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5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im\Desktop\FINANCIALS\2021\2021 BUDGET\"/>
    </mc:Choice>
  </mc:AlternateContent>
  <xr:revisionPtr revIDLastSave="0" documentId="13_ncr:1_{CF7A91E2-1035-4827-93CA-2C0AD308189C}" xr6:coauthVersionLast="46" xr6:coauthVersionMax="46" xr10:uidLastSave="{00000000-0000-0000-0000-000000000000}"/>
  <bookViews>
    <workbookView xWindow="-120" yWindow="-120" windowWidth="20730" windowHeight="11160" firstSheet="15" activeTab="16" xr2:uid="{00000000-000D-0000-FFFF-FFFF00000000}"/>
  </bookViews>
  <sheets>
    <sheet name="Balance Sheet" sheetId="14" state="hidden" r:id="rId1"/>
    <sheet name="P&amp;L Summary" sheetId="16" state="hidden" r:id="rId2"/>
    <sheet name="Statement of Functional Expense" sheetId="17" state="hidden" r:id="rId3"/>
    <sheet name="Affiliate Page" sheetId="12" state="hidden" r:id="rId4"/>
    <sheet name="Pivot Table" sheetId="3" state="hidden" r:id="rId5"/>
    <sheet name="Affiliate Pivot Table" sheetId="5" state="hidden" r:id="rId6"/>
    <sheet name="Cash Page" sheetId="11" state="hidden" r:id="rId7"/>
    <sheet name="June BS" sheetId="1" state="hidden" r:id="rId8"/>
    <sheet name="Profit and Loss" sheetId="4" state="hidden" r:id="rId9"/>
    <sheet name="Transaction Detail by Account" sheetId="2" state="hidden" r:id="rId10"/>
    <sheet name="Wages" sheetId="21" state="hidden" r:id="rId11"/>
    <sheet name="Oct Balance Sheet" sheetId="19" state="hidden" r:id="rId12"/>
    <sheet name="Oct Profit and Loss" sheetId="18" state="hidden" r:id="rId13"/>
    <sheet name="2021 BUDGET" sheetId="32" r:id="rId14"/>
    <sheet name="National" sheetId="48" r:id="rId15"/>
    <sheet name="Wisconsin" sheetId="35" r:id="rId16"/>
    <sheet name="Illinois" sheetId="33" r:id="rId17"/>
    <sheet name="IND" sheetId="51" r:id="rId18"/>
    <sheet name="Ohio" sheetId="36" r:id="rId19"/>
    <sheet name="Buffalo" sheetId="37" r:id="rId20"/>
    <sheet name="Missouri" sheetId="50" r:id="rId21"/>
    <sheet name="Tennessee" sheetId="34" r:id="rId22"/>
    <sheet name="Florida" sheetId="46" r:id="rId23"/>
    <sheet name="THE REST" sheetId="49" r:id="rId24"/>
  </sheets>
  <definedNames>
    <definedName name="_xlnm.Print_Area" localSheetId="13">'2021 BUDGET'!$A$61:$N$78</definedName>
    <definedName name="_xlnm.Print_Area" localSheetId="3">'Affiliate Page'!$A$2:$O$53</definedName>
    <definedName name="_xlnm.Print_Area" localSheetId="16">Illinois!#REF!</definedName>
    <definedName name="_xlnm.Print_Titles" localSheetId="13">'2021 BUDGET'!$A:$A,'2021 BUDGET'!$1:$4</definedName>
  </definedNames>
  <calcPr calcId="191029"/>
  <pivotCaches>
    <pivotCache cacheId="0" r:id="rId25"/>
    <pivotCache cacheId="1" r:id="rId26"/>
    <pivotCache cacheId="2" r:id="rId2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32" l="1"/>
  <c r="R71" i="49"/>
  <c r="R69" i="49"/>
  <c r="R67" i="49"/>
  <c r="R66" i="49"/>
  <c r="R65" i="49"/>
  <c r="L71" i="36"/>
  <c r="L69" i="36"/>
  <c r="L67" i="36"/>
  <c r="L66" i="36"/>
  <c r="L65" i="36"/>
  <c r="B52" i="48"/>
  <c r="B25" i="48"/>
  <c r="C52" i="48"/>
  <c r="Q52" i="32"/>
  <c r="R52" i="32" s="1"/>
  <c r="P52" i="32"/>
  <c r="M52" i="32"/>
  <c r="N52" i="32" s="1"/>
  <c r="L52" i="32"/>
  <c r="K52" i="32"/>
  <c r="J52" i="32"/>
  <c r="I52" i="32"/>
  <c r="H52" i="32"/>
  <c r="G52" i="32"/>
  <c r="F52" i="32"/>
  <c r="E52" i="32"/>
  <c r="D52" i="32"/>
  <c r="C52" i="32"/>
  <c r="B52" i="32"/>
  <c r="L52" i="35"/>
  <c r="C52" i="35"/>
  <c r="R52" i="49" l="1"/>
  <c r="Q52" i="49"/>
  <c r="I52" i="46"/>
  <c r="H52" i="46"/>
  <c r="L52" i="34"/>
  <c r="K52" i="34"/>
  <c r="L52" i="36"/>
  <c r="K52" i="36"/>
  <c r="K52" i="35"/>
  <c r="E52" i="33"/>
  <c r="L56" i="34"/>
  <c r="I57" i="32"/>
  <c r="I56" i="32"/>
  <c r="I55" i="32"/>
  <c r="I54" i="32"/>
  <c r="I53" i="32"/>
  <c r="I51" i="32"/>
  <c r="I50" i="32"/>
  <c r="I49" i="32"/>
  <c r="I48" i="32"/>
  <c r="I47" i="32"/>
  <c r="I46" i="32"/>
  <c r="I45" i="32"/>
  <c r="I44" i="32"/>
  <c r="I43" i="32"/>
  <c r="I42" i="32"/>
  <c r="I41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H57" i="32"/>
  <c r="H56" i="32"/>
  <c r="H55" i="32"/>
  <c r="H54" i="32"/>
  <c r="H53" i="32"/>
  <c r="H51" i="32"/>
  <c r="H50" i="32"/>
  <c r="H49" i="32"/>
  <c r="H48" i="32"/>
  <c r="H47" i="32"/>
  <c r="H46" i="32"/>
  <c r="H45" i="32"/>
  <c r="H44" i="32"/>
  <c r="H43" i="32"/>
  <c r="H42" i="32"/>
  <c r="H41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E57" i="32"/>
  <c r="E56" i="32"/>
  <c r="E55" i="32"/>
  <c r="E54" i="32"/>
  <c r="E53" i="32"/>
  <c r="E51" i="32"/>
  <c r="E50" i="32"/>
  <c r="E49" i="32"/>
  <c r="E48" i="32"/>
  <c r="E47" i="32"/>
  <c r="E46" i="32"/>
  <c r="E45" i="32"/>
  <c r="E44" i="32"/>
  <c r="E43" i="32"/>
  <c r="E42" i="32"/>
  <c r="E41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M56" i="32"/>
  <c r="M55" i="32"/>
  <c r="M54" i="32"/>
  <c r="M53" i="32"/>
  <c r="M51" i="32"/>
  <c r="M50" i="32"/>
  <c r="M49" i="32"/>
  <c r="M48" i="32"/>
  <c r="M47" i="32"/>
  <c r="M46" i="32"/>
  <c r="M45" i="32"/>
  <c r="M44" i="32"/>
  <c r="M43" i="32"/>
  <c r="M42" i="32"/>
  <c r="M41" i="32"/>
  <c r="M39" i="32"/>
  <c r="M38" i="32"/>
  <c r="M37" i="32"/>
  <c r="K57" i="35"/>
  <c r="K56" i="35"/>
  <c r="K55" i="35"/>
  <c r="K54" i="35"/>
  <c r="K53" i="35"/>
  <c r="K51" i="35"/>
  <c r="K50" i="35"/>
  <c r="K49" i="35"/>
  <c r="K48" i="35"/>
  <c r="K47" i="35"/>
  <c r="K46" i="35"/>
  <c r="K45" i="35"/>
  <c r="K44" i="35"/>
  <c r="K43" i="35"/>
  <c r="K42" i="35"/>
  <c r="K41" i="35"/>
  <c r="K39" i="35"/>
  <c r="K38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Q14" i="49"/>
  <c r="Q13" i="49"/>
  <c r="Q12" i="49"/>
  <c r="Q11" i="49"/>
  <c r="Q9" i="49"/>
  <c r="Q8" i="49"/>
  <c r="Q7" i="49"/>
  <c r="Q6" i="49"/>
  <c r="B16" i="46"/>
  <c r="K16" i="34"/>
  <c r="K16" i="36"/>
  <c r="K12" i="35"/>
  <c r="K14" i="35"/>
  <c r="K11" i="35"/>
  <c r="K7" i="35"/>
  <c r="K9" i="35"/>
  <c r="K6" i="35"/>
  <c r="Q57" i="32"/>
  <c r="Q55" i="32"/>
  <c r="Q54" i="32"/>
  <c r="Q53" i="32"/>
  <c r="Q51" i="32"/>
  <c r="Q50" i="32"/>
  <c r="Q49" i="32"/>
  <c r="Q48" i="32"/>
  <c r="Q47" i="32"/>
  <c r="Q46" i="32"/>
  <c r="Q45" i="32"/>
  <c r="Q44" i="32"/>
  <c r="Q43" i="32"/>
  <c r="Q42" i="32"/>
  <c r="Q41" i="32"/>
  <c r="Q39" i="32"/>
  <c r="Q38" i="32"/>
  <c r="Q37" i="32"/>
  <c r="Q36" i="32"/>
  <c r="Q35" i="32"/>
  <c r="Q34" i="32"/>
  <c r="Q33" i="32"/>
  <c r="Q32" i="32"/>
  <c r="Q31" i="32"/>
  <c r="Q30" i="32"/>
  <c r="Q29" i="32"/>
  <c r="Q28" i="32"/>
  <c r="Q26" i="32"/>
  <c r="Q25" i="32"/>
  <c r="Q24" i="32"/>
  <c r="Q23" i="32"/>
  <c r="Q22" i="32"/>
  <c r="Q21" i="32"/>
  <c r="Q20" i="32"/>
  <c r="Q16" i="32"/>
  <c r="B13" i="46"/>
  <c r="B13" i="37"/>
  <c r="H30" i="36"/>
  <c r="H13" i="36"/>
  <c r="B13" i="36"/>
  <c r="B13" i="33"/>
  <c r="E8" i="35"/>
  <c r="E13" i="35"/>
  <c r="K13" i="35" s="1"/>
  <c r="B37" i="35"/>
  <c r="K37" i="35" s="1"/>
  <c r="B8" i="35"/>
  <c r="K8" i="35" s="1"/>
  <c r="B56" i="48"/>
  <c r="Q56" i="32" s="1"/>
  <c r="B27" i="48"/>
  <c r="Q27" i="32" s="1"/>
  <c r="B8" i="48"/>
  <c r="C66" i="50" l="1"/>
  <c r="C65" i="50"/>
  <c r="C67" i="51"/>
  <c r="C66" i="51"/>
  <c r="B67" i="51"/>
  <c r="B66" i="51"/>
  <c r="C65" i="51"/>
  <c r="B65" i="51"/>
  <c r="B69" i="51" s="1"/>
  <c r="C67" i="33" l="1"/>
  <c r="C66" i="33"/>
  <c r="C65" i="33"/>
  <c r="C67" i="36" l="1"/>
  <c r="C66" i="36"/>
  <c r="C65" i="36"/>
  <c r="L57" i="35" l="1"/>
  <c r="B57" i="32" s="1"/>
  <c r="L56" i="35"/>
  <c r="B56" i="32" s="1"/>
  <c r="L55" i="35"/>
  <c r="B55" i="32" s="1"/>
  <c r="L54" i="35"/>
  <c r="B54" i="32" s="1"/>
  <c r="L53" i="35"/>
  <c r="B53" i="32" s="1"/>
  <c r="L51" i="35"/>
  <c r="B51" i="32" s="1"/>
  <c r="L50" i="35"/>
  <c r="B50" i="32" s="1"/>
  <c r="L49" i="35"/>
  <c r="B49" i="32" s="1"/>
  <c r="L48" i="35"/>
  <c r="B48" i="32" s="1"/>
  <c r="L47" i="35"/>
  <c r="B47" i="32" s="1"/>
  <c r="L46" i="35"/>
  <c r="B46" i="32" s="1"/>
  <c r="L45" i="35"/>
  <c r="B45" i="32" s="1"/>
  <c r="L44" i="35"/>
  <c r="B44" i="32" s="1"/>
  <c r="L43" i="35"/>
  <c r="B43" i="32" s="1"/>
  <c r="L42" i="35"/>
  <c r="B42" i="32" s="1"/>
  <c r="L41" i="35"/>
  <c r="B41" i="32" s="1"/>
  <c r="L39" i="35"/>
  <c r="B39" i="32" s="1"/>
  <c r="L38" i="35"/>
  <c r="B38" i="32" s="1"/>
  <c r="L37" i="35"/>
  <c r="B37" i="32" s="1"/>
  <c r="L36" i="35"/>
  <c r="B36" i="32" s="1"/>
  <c r="L35" i="35"/>
  <c r="B35" i="32" s="1"/>
  <c r="L34" i="35"/>
  <c r="B34" i="32" s="1"/>
  <c r="L33" i="35"/>
  <c r="B33" i="32" s="1"/>
  <c r="L32" i="35"/>
  <c r="B32" i="32" s="1"/>
  <c r="L31" i="35"/>
  <c r="B31" i="32" s="1"/>
  <c r="L30" i="35"/>
  <c r="B30" i="32" s="1"/>
  <c r="L29" i="35"/>
  <c r="B29" i="32" s="1"/>
  <c r="L28" i="35"/>
  <c r="B28" i="32" s="1"/>
  <c r="L27" i="35"/>
  <c r="B27" i="32" s="1"/>
  <c r="L26" i="35"/>
  <c r="B26" i="32" s="1"/>
  <c r="L25" i="35"/>
  <c r="B25" i="32" s="1"/>
  <c r="L24" i="35"/>
  <c r="B24" i="32" s="1"/>
  <c r="L23" i="35"/>
  <c r="B23" i="32" s="1"/>
  <c r="L22" i="35"/>
  <c r="B22" i="32" s="1"/>
  <c r="L21" i="35"/>
  <c r="B21" i="32" s="1"/>
  <c r="L20" i="35"/>
  <c r="B20" i="32" s="1"/>
  <c r="L19" i="35"/>
  <c r="F67" i="35"/>
  <c r="F66" i="35"/>
  <c r="F65" i="35"/>
  <c r="C67" i="37" l="1"/>
  <c r="I67" i="36" l="1"/>
  <c r="I66" i="36"/>
  <c r="I65" i="36"/>
  <c r="F67" i="36"/>
  <c r="F66" i="36"/>
  <c r="F65" i="36"/>
  <c r="C67" i="34"/>
  <c r="C66" i="34"/>
  <c r="C65" i="34"/>
  <c r="B13" i="34"/>
  <c r="I66" i="34"/>
  <c r="I65" i="34"/>
  <c r="H30" i="34"/>
  <c r="F67" i="34"/>
  <c r="F66" i="34"/>
  <c r="F65" i="34"/>
  <c r="I66" i="49"/>
  <c r="I65" i="49"/>
  <c r="L67" i="49"/>
  <c r="L66" i="49"/>
  <c r="L65" i="49"/>
  <c r="F67" i="49"/>
  <c r="F66" i="49"/>
  <c r="F65" i="49"/>
  <c r="C67" i="49"/>
  <c r="C66" i="49"/>
  <c r="C65" i="49"/>
  <c r="C67" i="46"/>
  <c r="C66" i="46"/>
  <c r="C65" i="46"/>
  <c r="C10" i="46"/>
  <c r="B10" i="46"/>
  <c r="C66" i="37"/>
  <c r="C65" i="37"/>
  <c r="E13" i="36" l="1"/>
  <c r="B58" i="36"/>
  <c r="R37" i="49"/>
  <c r="J37" i="32" s="1"/>
  <c r="Q37" i="49"/>
  <c r="I37" i="46"/>
  <c r="G37" i="32" s="1"/>
  <c r="H37" i="46"/>
  <c r="L37" i="34"/>
  <c r="F37" i="32" s="1"/>
  <c r="K37" i="34"/>
  <c r="L37" i="36"/>
  <c r="D37" i="32" s="1"/>
  <c r="K37" i="36"/>
  <c r="E37" i="33"/>
  <c r="C37" i="32" s="1"/>
  <c r="K37" i="32" s="1"/>
  <c r="R61" i="49"/>
  <c r="Q61" i="49"/>
  <c r="Q57" i="49"/>
  <c r="Q20" i="49"/>
  <c r="Q21" i="49"/>
  <c r="Q22" i="49"/>
  <c r="Q23" i="49"/>
  <c r="Q24" i="49"/>
  <c r="Q25" i="49"/>
  <c r="Q26" i="49"/>
  <c r="Q27" i="49"/>
  <c r="Q28" i="49"/>
  <c r="Q29" i="49"/>
  <c r="Q30" i="49"/>
  <c r="Q31" i="49"/>
  <c r="Q32" i="49"/>
  <c r="Q33" i="49"/>
  <c r="Q34" i="49"/>
  <c r="Q35" i="49"/>
  <c r="Q36" i="49"/>
  <c r="Q38" i="49"/>
  <c r="Q39" i="49"/>
  <c r="Q41" i="49"/>
  <c r="Q42" i="49"/>
  <c r="Q43" i="49"/>
  <c r="Q44" i="49"/>
  <c r="Q45" i="49"/>
  <c r="Q46" i="49"/>
  <c r="Q47" i="49"/>
  <c r="Q48" i="49"/>
  <c r="Q49" i="49"/>
  <c r="Q50" i="49"/>
  <c r="Q51" i="49"/>
  <c r="Q53" i="49"/>
  <c r="Q54" i="49"/>
  <c r="Q55" i="49"/>
  <c r="Q56" i="49"/>
  <c r="Q19" i="49"/>
  <c r="P37" i="32" l="1"/>
  <c r="C10" i="37"/>
  <c r="K56" i="34"/>
  <c r="K57" i="34"/>
  <c r="J65" i="32" l="1"/>
  <c r="I67" i="32"/>
  <c r="I65" i="32"/>
  <c r="H66" i="32"/>
  <c r="H65" i="32"/>
  <c r="E66" i="32"/>
  <c r="C66" i="32"/>
  <c r="C67" i="32"/>
  <c r="C65" i="32"/>
  <c r="L66" i="35"/>
  <c r="B66" i="32" s="1"/>
  <c r="L67" i="35"/>
  <c r="B67" i="32" s="1"/>
  <c r="L65" i="35"/>
  <c r="B65" i="32" s="1"/>
  <c r="F68" i="35"/>
  <c r="G68" i="35"/>
  <c r="I68" i="35"/>
  <c r="H5" i="35"/>
  <c r="I5" i="35"/>
  <c r="H10" i="35"/>
  <c r="H15" i="35" s="1"/>
  <c r="H16" i="35" s="1"/>
  <c r="H17" i="35" s="1"/>
  <c r="I10" i="35"/>
  <c r="I15" i="35" s="1"/>
  <c r="H58" i="35"/>
  <c r="I58" i="35"/>
  <c r="H65" i="35"/>
  <c r="H68" i="35" s="1"/>
  <c r="H66" i="35"/>
  <c r="H67" i="35"/>
  <c r="C68" i="35"/>
  <c r="B68" i="35"/>
  <c r="C68" i="33"/>
  <c r="B68" i="51"/>
  <c r="D66" i="32"/>
  <c r="D67" i="32"/>
  <c r="C68" i="36"/>
  <c r="F68" i="36"/>
  <c r="I68" i="36"/>
  <c r="B65" i="50"/>
  <c r="B66" i="50"/>
  <c r="B67" i="50"/>
  <c r="L66" i="34"/>
  <c r="F66" i="32" s="1"/>
  <c r="L65" i="34"/>
  <c r="C68" i="34"/>
  <c r="F68" i="34"/>
  <c r="I66" i="46"/>
  <c r="G66" i="32" s="1"/>
  <c r="I67" i="46"/>
  <c r="G67" i="32" s="1"/>
  <c r="I65" i="46"/>
  <c r="G65" i="32" s="1"/>
  <c r="F43" i="46"/>
  <c r="F42" i="46"/>
  <c r="F41" i="46"/>
  <c r="F68" i="46"/>
  <c r="C68" i="46"/>
  <c r="O43" i="49"/>
  <c r="O42" i="49"/>
  <c r="O68" i="49"/>
  <c r="N68" i="49"/>
  <c r="F68" i="49"/>
  <c r="C68" i="49"/>
  <c r="B68" i="32" l="1"/>
  <c r="L68" i="36"/>
  <c r="L68" i="35"/>
  <c r="C68" i="32"/>
  <c r="D65" i="32"/>
  <c r="D68" i="32" s="1"/>
  <c r="R68" i="49"/>
  <c r="G68" i="32"/>
  <c r="I68" i="46"/>
  <c r="F65" i="32"/>
  <c r="B68" i="50"/>
  <c r="H59" i="35"/>
  <c r="I16" i="35"/>
  <c r="I17" i="35" s="1"/>
  <c r="I59" i="35" s="1"/>
  <c r="Q19" i="32"/>
  <c r="Q14" i="32" l="1"/>
  <c r="Q13" i="32"/>
  <c r="Q12" i="32"/>
  <c r="Q11" i="32"/>
  <c r="Q9" i="32"/>
  <c r="Q8" i="32"/>
  <c r="Q7" i="32"/>
  <c r="Q6" i="32"/>
  <c r="B10" i="48"/>
  <c r="B5" i="48"/>
  <c r="E67" i="35"/>
  <c r="K67" i="35" s="1"/>
  <c r="E66" i="35"/>
  <c r="K66" i="35" s="1"/>
  <c r="E65" i="35"/>
  <c r="K65" i="35" s="1"/>
  <c r="E58" i="35"/>
  <c r="F58" i="35"/>
  <c r="K61" i="35"/>
  <c r="H62" i="35" s="1"/>
  <c r="K19" i="35"/>
  <c r="E10" i="35"/>
  <c r="F10" i="35"/>
  <c r="B10" i="35"/>
  <c r="E5" i="35"/>
  <c r="F5" i="35"/>
  <c r="B5" i="35"/>
  <c r="L61" i="35"/>
  <c r="L14" i="35"/>
  <c r="L13" i="35"/>
  <c r="L12" i="35"/>
  <c r="L11" i="35"/>
  <c r="L9" i="35"/>
  <c r="L8" i="35"/>
  <c r="L7" i="35"/>
  <c r="L6" i="35"/>
  <c r="B58" i="33"/>
  <c r="B71" i="33" s="1"/>
  <c r="B67" i="33"/>
  <c r="B66" i="33"/>
  <c r="B65" i="33"/>
  <c r="B10" i="33"/>
  <c r="B5" i="33"/>
  <c r="B15" i="33" s="1"/>
  <c r="B58" i="51"/>
  <c r="B10" i="51"/>
  <c r="B5" i="51"/>
  <c r="L57" i="36"/>
  <c r="D57" i="32" s="1"/>
  <c r="L56" i="36"/>
  <c r="D56" i="32" s="1"/>
  <c r="L55" i="36"/>
  <c r="D55" i="32" s="1"/>
  <c r="L54" i="36"/>
  <c r="D54" i="32" s="1"/>
  <c r="L53" i="36"/>
  <c r="D53" i="32" s="1"/>
  <c r="L51" i="36"/>
  <c r="D51" i="32" s="1"/>
  <c r="L50" i="36"/>
  <c r="D50" i="32" s="1"/>
  <c r="L49" i="36"/>
  <c r="D49" i="32" s="1"/>
  <c r="L48" i="36"/>
  <c r="D48" i="32" s="1"/>
  <c r="L47" i="36"/>
  <c r="D47" i="32" s="1"/>
  <c r="L46" i="36"/>
  <c r="D46" i="32" s="1"/>
  <c r="L45" i="36"/>
  <c r="D45" i="32" s="1"/>
  <c r="L44" i="36"/>
  <c r="D44" i="32" s="1"/>
  <c r="L43" i="36"/>
  <c r="D43" i="32" s="1"/>
  <c r="L42" i="36"/>
  <c r="D42" i="32" s="1"/>
  <c r="L41" i="36"/>
  <c r="D41" i="32" s="1"/>
  <c r="L39" i="36"/>
  <c r="D39" i="32" s="1"/>
  <c r="L38" i="36"/>
  <c r="D38" i="32" s="1"/>
  <c r="L36" i="36"/>
  <c r="D36" i="32" s="1"/>
  <c r="L35" i="36"/>
  <c r="D35" i="32" s="1"/>
  <c r="L34" i="36"/>
  <c r="D34" i="32" s="1"/>
  <c r="L33" i="36"/>
  <c r="D33" i="32" s="1"/>
  <c r="L32" i="36"/>
  <c r="D32" i="32" s="1"/>
  <c r="L31" i="36"/>
  <c r="D31" i="32" s="1"/>
  <c r="L30" i="36"/>
  <c r="D30" i="32" s="1"/>
  <c r="L29" i="36"/>
  <c r="D29" i="32" s="1"/>
  <c r="L28" i="36"/>
  <c r="D28" i="32" s="1"/>
  <c r="L27" i="36"/>
  <c r="D27" i="32" s="1"/>
  <c r="L26" i="36"/>
  <c r="D26" i="32" s="1"/>
  <c r="L25" i="36"/>
  <c r="D25" i="32" s="1"/>
  <c r="L24" i="36"/>
  <c r="D24" i="32" s="1"/>
  <c r="L23" i="36"/>
  <c r="D23" i="32" s="1"/>
  <c r="L22" i="36"/>
  <c r="D22" i="32" s="1"/>
  <c r="L21" i="36"/>
  <c r="D21" i="32" s="1"/>
  <c r="L20" i="36"/>
  <c r="D20" i="32" s="1"/>
  <c r="L19" i="36"/>
  <c r="L14" i="36"/>
  <c r="L13" i="36"/>
  <c r="L12" i="36"/>
  <c r="L11" i="36"/>
  <c r="L9" i="36"/>
  <c r="L8" i="36"/>
  <c r="L7" i="36"/>
  <c r="E67" i="36"/>
  <c r="E66" i="36"/>
  <c r="E65" i="36"/>
  <c r="E68" i="36" s="1"/>
  <c r="H67" i="36"/>
  <c r="H66" i="36"/>
  <c r="H65" i="36"/>
  <c r="B67" i="36"/>
  <c r="B66" i="36"/>
  <c r="B65" i="36"/>
  <c r="K61" i="36"/>
  <c r="B62" i="36" s="1"/>
  <c r="E58" i="36"/>
  <c r="E71" i="36" s="1"/>
  <c r="F58" i="36"/>
  <c r="F71" i="36" s="1"/>
  <c r="H58" i="36"/>
  <c r="H71" i="36" s="1"/>
  <c r="I58" i="36"/>
  <c r="I71" i="36" s="1"/>
  <c r="B71" i="36"/>
  <c r="K57" i="36"/>
  <c r="K56" i="36"/>
  <c r="K55" i="36"/>
  <c r="K54" i="36"/>
  <c r="K53" i="36"/>
  <c r="K51" i="36"/>
  <c r="K50" i="36"/>
  <c r="K49" i="36"/>
  <c r="K48" i="36"/>
  <c r="K47" i="36"/>
  <c r="K46" i="36"/>
  <c r="K45" i="36"/>
  <c r="K44" i="36"/>
  <c r="K43" i="36"/>
  <c r="K42" i="36"/>
  <c r="K41" i="36"/>
  <c r="K39" i="36"/>
  <c r="K38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4" i="36"/>
  <c r="K13" i="36"/>
  <c r="K12" i="36"/>
  <c r="K11" i="36"/>
  <c r="K9" i="36"/>
  <c r="K8" i="36"/>
  <c r="K7" i="36"/>
  <c r="K6" i="36"/>
  <c r="E10" i="36"/>
  <c r="F10" i="36"/>
  <c r="H10" i="36"/>
  <c r="I10" i="36"/>
  <c r="B10" i="36"/>
  <c r="E5" i="36"/>
  <c r="F5" i="36"/>
  <c r="H5" i="36"/>
  <c r="I5" i="36"/>
  <c r="I15" i="36" s="1"/>
  <c r="I16" i="36" s="1"/>
  <c r="I69" i="36" s="1"/>
  <c r="B5" i="36"/>
  <c r="L61" i="36"/>
  <c r="L6" i="36"/>
  <c r="B67" i="37"/>
  <c r="B66" i="37"/>
  <c r="B65" i="37"/>
  <c r="B58" i="50"/>
  <c r="B71" i="50" s="1"/>
  <c r="B10" i="50"/>
  <c r="B5" i="50"/>
  <c r="L57" i="34"/>
  <c r="F57" i="32" s="1"/>
  <c r="F56" i="32"/>
  <c r="L55" i="34"/>
  <c r="F55" i="32" s="1"/>
  <c r="L54" i="34"/>
  <c r="F54" i="32" s="1"/>
  <c r="L53" i="34"/>
  <c r="F53" i="32" s="1"/>
  <c r="L51" i="34"/>
  <c r="F51" i="32" s="1"/>
  <c r="L50" i="34"/>
  <c r="F50" i="32" s="1"/>
  <c r="L49" i="34"/>
  <c r="F49" i="32" s="1"/>
  <c r="L48" i="34"/>
  <c r="F48" i="32" s="1"/>
  <c r="L47" i="34"/>
  <c r="F47" i="32" s="1"/>
  <c r="L46" i="34"/>
  <c r="F46" i="32" s="1"/>
  <c r="L45" i="34"/>
  <c r="F45" i="32" s="1"/>
  <c r="L44" i="34"/>
  <c r="F44" i="32" s="1"/>
  <c r="L42" i="34"/>
  <c r="F42" i="32" s="1"/>
  <c r="L41" i="34"/>
  <c r="F41" i="32" s="1"/>
  <c r="L40" i="34"/>
  <c r="L39" i="34"/>
  <c r="F39" i="32" s="1"/>
  <c r="L38" i="34"/>
  <c r="F38" i="32" s="1"/>
  <c r="L36" i="34"/>
  <c r="F36" i="32" s="1"/>
  <c r="L35" i="34"/>
  <c r="F35" i="32" s="1"/>
  <c r="L34" i="34"/>
  <c r="F34" i="32" s="1"/>
  <c r="L33" i="34"/>
  <c r="F33" i="32" s="1"/>
  <c r="L32" i="34"/>
  <c r="F32" i="32" s="1"/>
  <c r="L31" i="34"/>
  <c r="F31" i="32" s="1"/>
  <c r="L30" i="34"/>
  <c r="F30" i="32" s="1"/>
  <c r="L29" i="34"/>
  <c r="F29" i="32" s="1"/>
  <c r="L28" i="34"/>
  <c r="F28" i="32" s="1"/>
  <c r="L27" i="34"/>
  <c r="F27" i="32" s="1"/>
  <c r="L26" i="34"/>
  <c r="F26" i="32" s="1"/>
  <c r="L25" i="34"/>
  <c r="F25" i="32" s="1"/>
  <c r="L24" i="34"/>
  <c r="F24" i="32" s="1"/>
  <c r="L23" i="34"/>
  <c r="F23" i="32" s="1"/>
  <c r="L22" i="34"/>
  <c r="F22" i="32" s="1"/>
  <c r="L21" i="34"/>
  <c r="F21" i="32" s="1"/>
  <c r="L20" i="34"/>
  <c r="F20" i="32" s="1"/>
  <c r="L19" i="34"/>
  <c r="L61" i="34"/>
  <c r="C62" i="34" s="1"/>
  <c r="I62" i="34"/>
  <c r="K61" i="34"/>
  <c r="H62" i="34" s="1"/>
  <c r="H67" i="34"/>
  <c r="H66" i="34"/>
  <c r="H65" i="34"/>
  <c r="E67" i="34"/>
  <c r="E66" i="34"/>
  <c r="E65" i="34"/>
  <c r="B67" i="34"/>
  <c r="B66" i="34"/>
  <c r="B65" i="34"/>
  <c r="K13" i="34"/>
  <c r="B10" i="34"/>
  <c r="K55" i="34"/>
  <c r="K54" i="34"/>
  <c r="K53" i="34"/>
  <c r="K51" i="34"/>
  <c r="K50" i="34"/>
  <c r="K49" i="34"/>
  <c r="K48" i="34"/>
  <c r="K47" i="34"/>
  <c r="K46" i="34"/>
  <c r="K45" i="34"/>
  <c r="K44" i="34"/>
  <c r="K43" i="34"/>
  <c r="K42" i="34"/>
  <c r="K41" i="34"/>
  <c r="K39" i="34"/>
  <c r="K38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4" i="34"/>
  <c r="K12" i="34"/>
  <c r="K11" i="34"/>
  <c r="K9" i="34"/>
  <c r="K8" i="34"/>
  <c r="K7" i="34"/>
  <c r="K6" i="34"/>
  <c r="B58" i="34"/>
  <c r="B71" i="34" s="1"/>
  <c r="E58" i="34"/>
  <c r="E71" i="34" s="1"/>
  <c r="F58" i="34"/>
  <c r="F71" i="34" s="1"/>
  <c r="H58" i="34"/>
  <c r="H71" i="34" s="1"/>
  <c r="C10" i="34"/>
  <c r="E10" i="34"/>
  <c r="F10" i="34"/>
  <c r="H10" i="34"/>
  <c r="I10" i="34"/>
  <c r="B5" i="34"/>
  <c r="C5" i="34"/>
  <c r="E5" i="34"/>
  <c r="F5" i="34"/>
  <c r="H5" i="34"/>
  <c r="I5" i="34"/>
  <c r="L14" i="34"/>
  <c r="L13" i="34"/>
  <c r="L12" i="34"/>
  <c r="L11" i="34"/>
  <c r="L9" i="34"/>
  <c r="L8" i="34"/>
  <c r="L7" i="34"/>
  <c r="L6" i="34"/>
  <c r="P22" i="32" l="1"/>
  <c r="P26" i="32"/>
  <c r="P39" i="32"/>
  <c r="P44" i="32"/>
  <c r="P57" i="32"/>
  <c r="P56" i="32"/>
  <c r="R56" i="32" s="1"/>
  <c r="P20" i="32"/>
  <c r="P36" i="32"/>
  <c r="P55" i="32"/>
  <c r="R55" i="32" s="1"/>
  <c r="P13" i="32"/>
  <c r="P21" i="32"/>
  <c r="P33" i="32"/>
  <c r="P38" i="32"/>
  <c r="P51" i="32"/>
  <c r="B68" i="33"/>
  <c r="B68" i="37"/>
  <c r="F15" i="36"/>
  <c r="F16" i="36" s="1"/>
  <c r="F69" i="36" s="1"/>
  <c r="L10" i="34"/>
  <c r="E68" i="34"/>
  <c r="K67" i="36"/>
  <c r="H68" i="36"/>
  <c r="B15" i="36"/>
  <c r="B15" i="48"/>
  <c r="B17" i="48" s="1"/>
  <c r="B62" i="34"/>
  <c r="F62" i="34"/>
  <c r="E62" i="34"/>
  <c r="H68" i="34"/>
  <c r="K67" i="34"/>
  <c r="F15" i="34"/>
  <c r="F16" i="34" s="1"/>
  <c r="F69" i="34" s="1"/>
  <c r="K66" i="36"/>
  <c r="B68" i="36"/>
  <c r="K65" i="36"/>
  <c r="H15" i="36"/>
  <c r="K68" i="35"/>
  <c r="Q10" i="32"/>
  <c r="Q5" i="32"/>
  <c r="L10" i="35"/>
  <c r="L62" i="35"/>
  <c r="I62" i="35"/>
  <c r="B58" i="35"/>
  <c r="E68" i="35"/>
  <c r="B15" i="51"/>
  <c r="B16" i="51" s="1"/>
  <c r="B17" i="51" s="1"/>
  <c r="B59" i="51" s="1"/>
  <c r="I17" i="36"/>
  <c r="I59" i="36" s="1"/>
  <c r="E15" i="34"/>
  <c r="E69" i="34" s="1"/>
  <c r="K66" i="34"/>
  <c r="K65" i="34"/>
  <c r="B68" i="34"/>
  <c r="B15" i="34"/>
  <c r="B69" i="34" s="1"/>
  <c r="I15" i="34"/>
  <c r="I16" i="34" s="1"/>
  <c r="I69" i="34" s="1"/>
  <c r="Q58" i="32"/>
  <c r="B58" i="48"/>
  <c r="L5" i="35"/>
  <c r="F15" i="35"/>
  <c r="F16" i="35" s="1"/>
  <c r="F69" i="35" s="1"/>
  <c r="E15" i="35"/>
  <c r="E16" i="35" s="1"/>
  <c r="L58" i="35"/>
  <c r="F71" i="35" s="1"/>
  <c r="K5" i="35"/>
  <c r="B15" i="35"/>
  <c r="B17" i="35" s="1"/>
  <c r="K10" i="35"/>
  <c r="B62" i="35"/>
  <c r="E62" i="35"/>
  <c r="K5" i="36"/>
  <c r="E15" i="36"/>
  <c r="E69" i="36" s="1"/>
  <c r="K10" i="36"/>
  <c r="L5" i="36"/>
  <c r="L58" i="36"/>
  <c r="D71" i="32" s="1"/>
  <c r="E62" i="36"/>
  <c r="H62" i="36"/>
  <c r="K58" i="36"/>
  <c r="K71" i="36" s="1"/>
  <c r="B15" i="50"/>
  <c r="B69" i="50" s="1"/>
  <c r="H15" i="34"/>
  <c r="H69" i="34" s="1"/>
  <c r="K58" i="34"/>
  <c r="K71" i="34" s="1"/>
  <c r="K5" i="34"/>
  <c r="K10" i="34"/>
  <c r="L5" i="34"/>
  <c r="L15" i="34" s="1"/>
  <c r="L16" i="34" s="1"/>
  <c r="L69" i="34" s="1"/>
  <c r="F69" i="32" s="1"/>
  <c r="B62" i="49"/>
  <c r="N62" i="49"/>
  <c r="K62" i="49"/>
  <c r="H62" i="49"/>
  <c r="Q60" i="49"/>
  <c r="E62" i="49"/>
  <c r="K67" i="49"/>
  <c r="K66" i="49"/>
  <c r="K65" i="49"/>
  <c r="H67" i="49"/>
  <c r="H66" i="49"/>
  <c r="H65" i="49"/>
  <c r="H68" i="49" s="1"/>
  <c r="B67" i="49"/>
  <c r="B66" i="49"/>
  <c r="B65" i="49"/>
  <c r="B58" i="49"/>
  <c r="B71" i="49" s="1"/>
  <c r="B10" i="49"/>
  <c r="E67" i="49"/>
  <c r="E66" i="49"/>
  <c r="E65" i="49"/>
  <c r="E68" i="49" s="1"/>
  <c r="G10" i="49"/>
  <c r="H10" i="49"/>
  <c r="I10" i="49"/>
  <c r="K10" i="49"/>
  <c r="L10" i="49"/>
  <c r="M10" i="49"/>
  <c r="N10" i="49"/>
  <c r="O10" i="49"/>
  <c r="E10" i="49"/>
  <c r="F62" i="49"/>
  <c r="I62" i="49"/>
  <c r="L62" i="49"/>
  <c r="O62" i="49"/>
  <c r="E58" i="49"/>
  <c r="F58" i="49"/>
  <c r="F71" i="49" s="1"/>
  <c r="H58" i="49"/>
  <c r="H71" i="49" s="1"/>
  <c r="K58" i="49"/>
  <c r="K71" i="49" s="1"/>
  <c r="N58" i="49"/>
  <c r="N71" i="49" s="1"/>
  <c r="O58" i="49"/>
  <c r="O71" i="49" s="1"/>
  <c r="B5" i="49"/>
  <c r="C5" i="49"/>
  <c r="E5" i="49"/>
  <c r="F5" i="49"/>
  <c r="H5" i="49"/>
  <c r="I5" i="49"/>
  <c r="K5" i="49"/>
  <c r="L5" i="49"/>
  <c r="N5" i="49"/>
  <c r="O5" i="49"/>
  <c r="R57" i="49"/>
  <c r="J57" i="32" s="1"/>
  <c r="R56" i="49"/>
  <c r="J56" i="32" s="1"/>
  <c r="R55" i="49"/>
  <c r="J55" i="32" s="1"/>
  <c r="R54" i="49"/>
  <c r="J54" i="32" s="1"/>
  <c r="R53" i="49"/>
  <c r="J53" i="32" s="1"/>
  <c r="R51" i="49"/>
  <c r="J51" i="32" s="1"/>
  <c r="R50" i="49"/>
  <c r="J50" i="32" s="1"/>
  <c r="R49" i="49"/>
  <c r="J49" i="32" s="1"/>
  <c r="R48" i="49"/>
  <c r="J48" i="32" s="1"/>
  <c r="R47" i="49"/>
  <c r="J47" i="32" s="1"/>
  <c r="R46" i="49"/>
  <c r="J46" i="32" s="1"/>
  <c r="R45" i="49"/>
  <c r="J45" i="32" s="1"/>
  <c r="R44" i="49"/>
  <c r="J44" i="32" s="1"/>
  <c r="R41" i="49"/>
  <c r="J41" i="32" s="1"/>
  <c r="R39" i="49"/>
  <c r="J39" i="32" s="1"/>
  <c r="R38" i="49"/>
  <c r="J38" i="32" s="1"/>
  <c r="R36" i="49"/>
  <c r="J36" i="32" s="1"/>
  <c r="R35" i="49"/>
  <c r="J35" i="32" s="1"/>
  <c r="R34" i="49"/>
  <c r="J34" i="32" s="1"/>
  <c r="R33" i="49"/>
  <c r="J33" i="32" s="1"/>
  <c r="R32" i="49"/>
  <c r="J32" i="32" s="1"/>
  <c r="R31" i="49"/>
  <c r="J31" i="32" s="1"/>
  <c r="R30" i="49"/>
  <c r="J30" i="32" s="1"/>
  <c r="R29" i="49"/>
  <c r="J29" i="32" s="1"/>
  <c r="R28" i="49"/>
  <c r="J28" i="32" s="1"/>
  <c r="R27" i="49"/>
  <c r="J27" i="32" s="1"/>
  <c r="R26" i="49"/>
  <c r="J26" i="32" s="1"/>
  <c r="R25" i="49"/>
  <c r="J25" i="32" s="1"/>
  <c r="R24" i="49"/>
  <c r="J24" i="32" s="1"/>
  <c r="R23" i="49"/>
  <c r="J23" i="32" s="1"/>
  <c r="R22" i="49"/>
  <c r="J22" i="32" s="1"/>
  <c r="R21" i="49"/>
  <c r="J21" i="32" s="1"/>
  <c r="R20" i="49"/>
  <c r="J20" i="32" s="1"/>
  <c r="R19" i="49"/>
  <c r="R14" i="49"/>
  <c r="R13" i="49"/>
  <c r="R12" i="49"/>
  <c r="R11" i="49"/>
  <c r="R9" i="49"/>
  <c r="R8" i="49"/>
  <c r="R7" i="49"/>
  <c r="R6" i="49"/>
  <c r="H57" i="46"/>
  <c r="H56" i="46"/>
  <c r="H55" i="46"/>
  <c r="H54" i="46"/>
  <c r="H53" i="46"/>
  <c r="P53" i="32" s="1"/>
  <c r="H51" i="46"/>
  <c r="H50" i="46"/>
  <c r="P50" i="32" s="1"/>
  <c r="H49" i="46"/>
  <c r="H48" i="46"/>
  <c r="H47" i="46"/>
  <c r="H46" i="46"/>
  <c r="P46" i="32" s="1"/>
  <c r="R46" i="32" s="1"/>
  <c r="H45" i="46"/>
  <c r="H44" i="46"/>
  <c r="H43" i="46"/>
  <c r="H42" i="46"/>
  <c r="H41" i="46"/>
  <c r="H39" i="46"/>
  <c r="H38" i="46"/>
  <c r="H36" i="46"/>
  <c r="H35" i="46"/>
  <c r="P35" i="32" s="1"/>
  <c r="H34" i="46"/>
  <c r="P34" i="32" s="1"/>
  <c r="H33" i="46"/>
  <c r="H32" i="46"/>
  <c r="P32" i="32" s="1"/>
  <c r="H31" i="46"/>
  <c r="P31" i="32" s="1"/>
  <c r="H30" i="46"/>
  <c r="H29" i="46"/>
  <c r="H28" i="46"/>
  <c r="P28" i="32" s="1"/>
  <c r="H27" i="46"/>
  <c r="H26" i="46"/>
  <c r="H25" i="46"/>
  <c r="P25" i="32" s="1"/>
  <c r="R25" i="32" s="1"/>
  <c r="H24" i="46"/>
  <c r="P24" i="32" s="1"/>
  <c r="R24" i="32" s="1"/>
  <c r="H23" i="46"/>
  <c r="H22" i="46"/>
  <c r="H21" i="46"/>
  <c r="H20" i="46"/>
  <c r="H19" i="46"/>
  <c r="H14" i="46"/>
  <c r="P14" i="32" s="1"/>
  <c r="H13" i="46"/>
  <c r="H12" i="46"/>
  <c r="P12" i="32" s="1"/>
  <c r="H11" i="46"/>
  <c r="H10" i="46" s="1"/>
  <c r="H9" i="46"/>
  <c r="H8" i="46"/>
  <c r="H7" i="46"/>
  <c r="H6" i="46"/>
  <c r="H61" i="46"/>
  <c r="P61" i="32" s="1"/>
  <c r="R61" i="32" s="1"/>
  <c r="I41" i="46"/>
  <c r="G41" i="32" s="1"/>
  <c r="I20" i="46"/>
  <c r="G20" i="32" s="1"/>
  <c r="I21" i="46"/>
  <c r="G21" i="32" s="1"/>
  <c r="I22" i="46"/>
  <c r="G22" i="32" s="1"/>
  <c r="I23" i="46"/>
  <c r="G23" i="32" s="1"/>
  <c r="I24" i="46"/>
  <c r="G24" i="32" s="1"/>
  <c r="I25" i="46"/>
  <c r="G25" i="32" s="1"/>
  <c r="I26" i="46"/>
  <c r="G26" i="32" s="1"/>
  <c r="I27" i="46"/>
  <c r="G27" i="32" s="1"/>
  <c r="I28" i="46"/>
  <c r="G28" i="32" s="1"/>
  <c r="I29" i="46"/>
  <c r="G29" i="32" s="1"/>
  <c r="I30" i="46"/>
  <c r="G30" i="32" s="1"/>
  <c r="I31" i="46"/>
  <c r="G31" i="32" s="1"/>
  <c r="I32" i="46"/>
  <c r="G32" i="32" s="1"/>
  <c r="I33" i="46"/>
  <c r="G33" i="32" s="1"/>
  <c r="I34" i="46"/>
  <c r="G34" i="32" s="1"/>
  <c r="I35" i="46"/>
  <c r="G35" i="32" s="1"/>
  <c r="I36" i="46"/>
  <c r="G36" i="32" s="1"/>
  <c r="I38" i="46"/>
  <c r="G38" i="32" s="1"/>
  <c r="I39" i="46"/>
  <c r="G39" i="32" s="1"/>
  <c r="I40" i="46"/>
  <c r="I42" i="46"/>
  <c r="G42" i="32" s="1"/>
  <c r="I43" i="46"/>
  <c r="G43" i="32" s="1"/>
  <c r="I44" i="46"/>
  <c r="G44" i="32" s="1"/>
  <c r="I45" i="46"/>
  <c r="G45" i="32" s="1"/>
  <c r="I46" i="46"/>
  <c r="G46" i="32" s="1"/>
  <c r="I47" i="46"/>
  <c r="G47" i="32" s="1"/>
  <c r="I48" i="46"/>
  <c r="G48" i="32" s="1"/>
  <c r="I49" i="46"/>
  <c r="G49" i="32" s="1"/>
  <c r="I50" i="46"/>
  <c r="G50" i="32" s="1"/>
  <c r="I51" i="46"/>
  <c r="G51" i="32" s="1"/>
  <c r="I53" i="46"/>
  <c r="G53" i="32" s="1"/>
  <c r="I54" i="46"/>
  <c r="G54" i="32" s="1"/>
  <c r="I55" i="46"/>
  <c r="G55" i="32" s="1"/>
  <c r="I56" i="46"/>
  <c r="G56" i="32" s="1"/>
  <c r="I57" i="46"/>
  <c r="G57" i="32" s="1"/>
  <c r="I14" i="46"/>
  <c r="I13" i="46"/>
  <c r="I12" i="46"/>
  <c r="I11" i="46"/>
  <c r="I7" i="46"/>
  <c r="I8" i="46"/>
  <c r="I9" i="46"/>
  <c r="E67" i="46"/>
  <c r="E66" i="46"/>
  <c r="E65" i="46"/>
  <c r="B62" i="46"/>
  <c r="H62" i="46" s="1"/>
  <c r="B67" i="46"/>
  <c r="H67" i="46" s="1"/>
  <c r="B66" i="46"/>
  <c r="B65" i="46"/>
  <c r="E58" i="46"/>
  <c r="E71" i="46" s="1"/>
  <c r="F58" i="46"/>
  <c r="F71" i="46" s="1"/>
  <c r="B58" i="46"/>
  <c r="B71" i="46" s="1"/>
  <c r="I61" i="46"/>
  <c r="E62" i="46" s="1"/>
  <c r="I19" i="46"/>
  <c r="I6" i="46"/>
  <c r="E5" i="46"/>
  <c r="B5" i="46"/>
  <c r="I61" i="32"/>
  <c r="I19" i="32"/>
  <c r="I14" i="32"/>
  <c r="I13" i="32"/>
  <c r="I12" i="32"/>
  <c r="I11" i="32"/>
  <c r="I9" i="32"/>
  <c r="I8" i="32"/>
  <c r="I7" i="32"/>
  <c r="I6" i="32"/>
  <c r="H9" i="32"/>
  <c r="H8" i="32"/>
  <c r="H7" i="32"/>
  <c r="H61" i="32"/>
  <c r="H19" i="32"/>
  <c r="H14" i="32"/>
  <c r="H13" i="32"/>
  <c r="H12" i="32"/>
  <c r="H11" i="32"/>
  <c r="H6" i="32"/>
  <c r="Q10" i="49" l="1"/>
  <c r="Q67" i="49"/>
  <c r="Q66" i="49"/>
  <c r="R41" i="32"/>
  <c r="P41" i="32"/>
  <c r="R42" i="32"/>
  <c r="R13" i="32"/>
  <c r="R21" i="32"/>
  <c r="R33" i="32"/>
  <c r="R38" i="32"/>
  <c r="R51" i="32"/>
  <c r="P47" i="32"/>
  <c r="R47" i="32" s="1"/>
  <c r="P29" i="32"/>
  <c r="R29" i="32" s="1"/>
  <c r="P8" i="32"/>
  <c r="R8" i="32" s="1"/>
  <c r="P7" i="32"/>
  <c r="R7" i="32" s="1"/>
  <c r="P49" i="32"/>
  <c r="R49" i="32" s="1"/>
  <c r="R31" i="32"/>
  <c r="R35" i="32"/>
  <c r="P23" i="32"/>
  <c r="R23" i="32" s="1"/>
  <c r="R28" i="32"/>
  <c r="P54" i="32"/>
  <c r="R54" i="32" s="1"/>
  <c r="R14" i="32"/>
  <c r="R22" i="32"/>
  <c r="R26" i="32"/>
  <c r="R30" i="32"/>
  <c r="R39" i="32"/>
  <c r="R44" i="32"/>
  <c r="R48" i="32"/>
  <c r="R53" i="32"/>
  <c r="R57" i="32"/>
  <c r="P19" i="32"/>
  <c r="R19" i="32" s="1"/>
  <c r="P43" i="32"/>
  <c r="R43" i="32" s="1"/>
  <c r="P11" i="32"/>
  <c r="P10" i="32" s="1"/>
  <c r="P42" i="32"/>
  <c r="P6" i="32"/>
  <c r="R6" i="32" s="1"/>
  <c r="P45" i="32"/>
  <c r="R45" i="32" s="1"/>
  <c r="P27" i="32"/>
  <c r="P48" i="32"/>
  <c r="P30" i="32"/>
  <c r="P9" i="32"/>
  <c r="R9" i="32" s="1"/>
  <c r="R12" i="32"/>
  <c r="R20" i="32"/>
  <c r="R32" i="32"/>
  <c r="R36" i="32"/>
  <c r="R50" i="32"/>
  <c r="Q62" i="49"/>
  <c r="Q65" i="49"/>
  <c r="Q68" i="49" s="1"/>
  <c r="Q15" i="32"/>
  <c r="B59" i="48"/>
  <c r="F17" i="36"/>
  <c r="F59" i="36" s="1"/>
  <c r="K62" i="34"/>
  <c r="Q58" i="49"/>
  <c r="Q71" i="49" s="1"/>
  <c r="R10" i="49"/>
  <c r="B15" i="49"/>
  <c r="K68" i="36"/>
  <c r="I10" i="46"/>
  <c r="R5" i="49"/>
  <c r="B59" i="35"/>
  <c r="K68" i="49"/>
  <c r="B68" i="49"/>
  <c r="E71" i="49"/>
  <c r="F62" i="46"/>
  <c r="H66" i="46"/>
  <c r="E68" i="46"/>
  <c r="B68" i="46"/>
  <c r="H65" i="46"/>
  <c r="H68" i="46" s="1"/>
  <c r="H58" i="46"/>
  <c r="H71" i="46" s="1"/>
  <c r="H5" i="46"/>
  <c r="H15" i="46" s="1"/>
  <c r="K68" i="34"/>
  <c r="B17" i="34"/>
  <c r="B59" i="34" s="1"/>
  <c r="K62" i="36"/>
  <c r="B17" i="36"/>
  <c r="B59" i="36" s="1"/>
  <c r="B69" i="36"/>
  <c r="E17" i="36"/>
  <c r="E59" i="36" s="1"/>
  <c r="H17" i="36"/>
  <c r="H59" i="36" s="1"/>
  <c r="H69" i="36"/>
  <c r="B17" i="33"/>
  <c r="B59" i="33" s="1"/>
  <c r="B69" i="33"/>
  <c r="L15" i="35"/>
  <c r="L16" i="35" s="1"/>
  <c r="E17" i="35"/>
  <c r="E59" i="35" s="1"/>
  <c r="E69" i="35"/>
  <c r="K69" i="35" s="1"/>
  <c r="L69" i="35"/>
  <c r="B69" i="32"/>
  <c r="L71" i="35"/>
  <c r="B71" i="32"/>
  <c r="F17" i="35"/>
  <c r="F59" i="35" s="1"/>
  <c r="K62" i="35"/>
  <c r="R34" i="32"/>
  <c r="K58" i="35"/>
  <c r="E71" i="35" s="1"/>
  <c r="K71" i="35" s="1"/>
  <c r="B17" i="50"/>
  <c r="B59" i="50" s="1"/>
  <c r="H10" i="32"/>
  <c r="E17" i="34"/>
  <c r="E59" i="34" s="1"/>
  <c r="F17" i="34"/>
  <c r="F59" i="34" s="1"/>
  <c r="H17" i="34"/>
  <c r="H59" i="34" s="1"/>
  <c r="I17" i="34"/>
  <c r="L17" i="34"/>
  <c r="N15" i="49"/>
  <c r="H15" i="49"/>
  <c r="K15" i="35"/>
  <c r="K16" i="35" s="1"/>
  <c r="K17" i="35" s="1"/>
  <c r="I5" i="32"/>
  <c r="I10" i="32"/>
  <c r="K15" i="36"/>
  <c r="H5" i="32"/>
  <c r="H15" i="32" s="1"/>
  <c r="H16" i="32" s="1"/>
  <c r="K15" i="34"/>
  <c r="K69" i="34" s="1"/>
  <c r="K15" i="49"/>
  <c r="K16" i="49" s="1"/>
  <c r="Q5" i="49"/>
  <c r="Q15" i="49" s="1"/>
  <c r="E15" i="49"/>
  <c r="E15" i="46"/>
  <c r="E16" i="46"/>
  <c r="B15" i="46"/>
  <c r="C10" i="51"/>
  <c r="C5" i="51"/>
  <c r="C10" i="50"/>
  <c r="C5" i="50"/>
  <c r="P58" i="32" l="1"/>
  <c r="N16" i="49"/>
  <c r="N17" i="49"/>
  <c r="N59" i="49" s="1"/>
  <c r="Q16" i="49"/>
  <c r="Q17" i="49" s="1"/>
  <c r="R5" i="32"/>
  <c r="P5" i="32"/>
  <c r="P15" i="32" s="1"/>
  <c r="P17" i="32" s="1"/>
  <c r="R27" i="32"/>
  <c r="R58" i="32" s="1"/>
  <c r="I15" i="32"/>
  <c r="I16" i="32" s="1"/>
  <c r="B17" i="49"/>
  <c r="B69" i="49"/>
  <c r="L17" i="35"/>
  <c r="L59" i="35" s="1"/>
  <c r="R11" i="32"/>
  <c r="E17" i="49"/>
  <c r="E59" i="49" s="1"/>
  <c r="E69" i="49"/>
  <c r="N69" i="49"/>
  <c r="K17" i="49"/>
  <c r="K59" i="49" s="1"/>
  <c r="K69" i="49"/>
  <c r="H69" i="49"/>
  <c r="E17" i="46"/>
  <c r="E59" i="46" s="1"/>
  <c r="E69" i="46"/>
  <c r="B17" i="46"/>
  <c r="B59" i="46" s="1"/>
  <c r="K17" i="36"/>
  <c r="K59" i="36" s="1"/>
  <c r="K69" i="36"/>
  <c r="K59" i="35"/>
  <c r="K17" i="34"/>
  <c r="K59" i="34" s="1"/>
  <c r="R10" i="32"/>
  <c r="C15" i="51"/>
  <c r="C16" i="51" s="1"/>
  <c r="C69" i="51" s="1"/>
  <c r="I69" i="32" s="1"/>
  <c r="H17" i="49"/>
  <c r="C15" i="50"/>
  <c r="C16" i="50" s="1"/>
  <c r="C69" i="50" s="1"/>
  <c r="H69" i="32" s="1"/>
  <c r="Q69" i="49" l="1"/>
  <c r="B59" i="49"/>
  <c r="H59" i="46"/>
  <c r="B69" i="46"/>
  <c r="H69" i="46" s="1"/>
  <c r="H16" i="46"/>
  <c r="H17" i="46" s="1"/>
  <c r="C17" i="50"/>
  <c r="H17" i="32"/>
  <c r="R15" i="32"/>
  <c r="C17" i="51"/>
  <c r="I17" i="32"/>
  <c r="H59" i="49"/>
  <c r="Q59" i="49" s="1"/>
  <c r="P59" i="32" l="1"/>
  <c r="Q17" i="32"/>
  <c r="C58" i="35"/>
  <c r="O15" i="49"/>
  <c r="O16" i="49" s="1"/>
  <c r="O69" i="49" s="1"/>
  <c r="R16" i="32" l="1"/>
  <c r="R17" i="32"/>
  <c r="R59" i="32" s="1"/>
  <c r="Q59" i="32"/>
  <c r="O17" i="49"/>
  <c r="O59" i="49" s="1"/>
  <c r="E44" i="33" l="1"/>
  <c r="C44" i="32" s="1"/>
  <c r="K44" i="32" s="1"/>
  <c r="L44" i="32" l="1"/>
  <c r="N44" i="32" s="1"/>
  <c r="E57" i="33" l="1"/>
  <c r="C57" i="32" s="1"/>
  <c r="K57" i="32" s="1"/>
  <c r="C61" i="32" l="1"/>
  <c r="J6" i="32" l="1"/>
  <c r="C58" i="49"/>
  <c r="J19" i="32"/>
  <c r="J14" i="32"/>
  <c r="J13" i="32"/>
  <c r="J12" i="32"/>
  <c r="J11" i="32"/>
  <c r="L15" i="49"/>
  <c r="L16" i="49" s="1"/>
  <c r="L69" i="49" s="1"/>
  <c r="I15" i="49"/>
  <c r="I16" i="49" s="1"/>
  <c r="I69" i="49" s="1"/>
  <c r="F10" i="49"/>
  <c r="F15" i="49" s="1"/>
  <c r="F16" i="49" s="1"/>
  <c r="F69" i="49" s="1"/>
  <c r="C10" i="49"/>
  <c r="C15" i="49" s="1"/>
  <c r="J9" i="32"/>
  <c r="J8" i="32"/>
  <c r="J7" i="32"/>
  <c r="E6" i="32"/>
  <c r="C58" i="34"/>
  <c r="C71" i="34" s="1"/>
  <c r="E24" i="33"/>
  <c r="C24" i="32" s="1"/>
  <c r="K24" i="32" s="1"/>
  <c r="G61" i="32"/>
  <c r="C58" i="46"/>
  <c r="C71" i="46" s="1"/>
  <c r="G19" i="32"/>
  <c r="G14" i="32"/>
  <c r="G13" i="32"/>
  <c r="G12" i="32"/>
  <c r="G11" i="32"/>
  <c r="G9" i="32"/>
  <c r="G7" i="32"/>
  <c r="G6" i="32"/>
  <c r="F5" i="46"/>
  <c r="F15" i="46" s="1"/>
  <c r="C5" i="46"/>
  <c r="E61" i="32"/>
  <c r="B58" i="37"/>
  <c r="B71" i="37" s="1"/>
  <c r="E19" i="32"/>
  <c r="E14" i="32"/>
  <c r="E13" i="32"/>
  <c r="E12" i="32"/>
  <c r="E11" i="32"/>
  <c r="B10" i="37"/>
  <c r="E9" i="32"/>
  <c r="E8" i="32"/>
  <c r="E7" i="32"/>
  <c r="B5" i="37"/>
  <c r="D61" i="32"/>
  <c r="C58" i="36"/>
  <c r="C71" i="36" s="1"/>
  <c r="D19" i="32"/>
  <c r="D14" i="32"/>
  <c r="D13" i="32"/>
  <c r="D12" i="32"/>
  <c r="C10" i="36"/>
  <c r="D9" i="32"/>
  <c r="D8" i="32"/>
  <c r="D7" i="32"/>
  <c r="D6" i="32"/>
  <c r="C5" i="36"/>
  <c r="F61" i="32"/>
  <c r="F19" i="32"/>
  <c r="F14" i="32"/>
  <c r="F13" i="32"/>
  <c r="F12" i="32"/>
  <c r="F11" i="32"/>
  <c r="F9" i="32"/>
  <c r="F8" i="32"/>
  <c r="F7" i="32"/>
  <c r="F6" i="32"/>
  <c r="C15" i="34"/>
  <c r="D5" i="33"/>
  <c r="D15" i="33" s="1"/>
  <c r="D16" i="33" s="1"/>
  <c r="M5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4" i="32"/>
  <c r="M13" i="32"/>
  <c r="M12" i="32"/>
  <c r="M11" i="32"/>
  <c r="M9" i="32"/>
  <c r="M8" i="32"/>
  <c r="M7" i="32"/>
  <c r="M6" i="32"/>
  <c r="C10" i="48"/>
  <c r="C5" i="48"/>
  <c r="D5" i="32" l="1"/>
  <c r="C15" i="48"/>
  <c r="C71" i="49"/>
  <c r="C16" i="49"/>
  <c r="C69" i="49" s="1"/>
  <c r="C16" i="34"/>
  <c r="C69" i="34" s="1"/>
  <c r="L17" i="49"/>
  <c r="I17" i="49"/>
  <c r="F17" i="49"/>
  <c r="F59" i="49" s="1"/>
  <c r="D11" i="32"/>
  <c r="D10" i="32" s="1"/>
  <c r="D15" i="32" s="1"/>
  <c r="D16" i="32" s="1"/>
  <c r="L10" i="36"/>
  <c r="L15" i="36" s="1"/>
  <c r="L16" i="36" s="1"/>
  <c r="D69" i="32" s="1"/>
  <c r="E10" i="32"/>
  <c r="E15" i="32" s="1"/>
  <c r="E16" i="32" s="1"/>
  <c r="F16" i="46"/>
  <c r="F69" i="46" s="1"/>
  <c r="G8" i="32"/>
  <c r="G5" i="32" s="1"/>
  <c r="I5" i="46"/>
  <c r="I15" i="46" s="1"/>
  <c r="I58" i="46"/>
  <c r="I71" i="46" s="1"/>
  <c r="G71" i="32" s="1"/>
  <c r="C15" i="46"/>
  <c r="E5" i="32"/>
  <c r="F5" i="32"/>
  <c r="F10" i="32"/>
  <c r="J10" i="32"/>
  <c r="J61" i="32"/>
  <c r="D58" i="32"/>
  <c r="C15" i="36"/>
  <c r="C16" i="36" s="1"/>
  <c r="C69" i="36" s="1"/>
  <c r="B15" i="37"/>
  <c r="G58" i="32"/>
  <c r="G10" i="32"/>
  <c r="J5" i="32"/>
  <c r="C62" i="49"/>
  <c r="L62" i="34"/>
  <c r="I62" i="36"/>
  <c r="C62" i="36"/>
  <c r="F62" i="36"/>
  <c r="C62" i="46"/>
  <c r="I62" i="46" s="1"/>
  <c r="L24" i="32"/>
  <c r="N24" i="32" s="1"/>
  <c r="C5" i="37"/>
  <c r="C15" i="37" s="1"/>
  <c r="C16" i="37" s="1"/>
  <c r="M10" i="32"/>
  <c r="B14" i="32"/>
  <c r="B13" i="32"/>
  <c r="B12" i="32"/>
  <c r="B11" i="32"/>
  <c r="C10" i="35"/>
  <c r="B9" i="32"/>
  <c r="B8" i="32"/>
  <c r="B7" i="32"/>
  <c r="B6" i="32"/>
  <c r="C5" i="35"/>
  <c r="E61" i="33"/>
  <c r="E56" i="33"/>
  <c r="C56" i="32" s="1"/>
  <c r="K56" i="32" s="1"/>
  <c r="E55" i="33"/>
  <c r="C55" i="32" s="1"/>
  <c r="K55" i="32" s="1"/>
  <c r="E54" i="33"/>
  <c r="C54" i="32" s="1"/>
  <c r="K54" i="32" s="1"/>
  <c r="E53" i="33"/>
  <c r="C53" i="32" s="1"/>
  <c r="K53" i="32" s="1"/>
  <c r="E51" i="33"/>
  <c r="C51" i="32" s="1"/>
  <c r="K51" i="32" s="1"/>
  <c r="E50" i="33"/>
  <c r="C50" i="32" s="1"/>
  <c r="K50" i="32" s="1"/>
  <c r="E49" i="33"/>
  <c r="C49" i="32" s="1"/>
  <c r="K49" i="32" s="1"/>
  <c r="E48" i="33"/>
  <c r="C48" i="32" s="1"/>
  <c r="K48" i="32" s="1"/>
  <c r="E47" i="33"/>
  <c r="C47" i="32" s="1"/>
  <c r="K47" i="32" s="1"/>
  <c r="E46" i="33"/>
  <c r="C46" i="32" s="1"/>
  <c r="K46" i="32" s="1"/>
  <c r="E45" i="33"/>
  <c r="C45" i="32" s="1"/>
  <c r="K45" i="32" s="1"/>
  <c r="E43" i="33"/>
  <c r="C43" i="32" s="1"/>
  <c r="E42" i="33"/>
  <c r="C42" i="32" s="1"/>
  <c r="E41" i="33"/>
  <c r="C41" i="32" s="1"/>
  <c r="K41" i="32" s="1"/>
  <c r="E39" i="33"/>
  <c r="C39" i="32" s="1"/>
  <c r="K39" i="32" s="1"/>
  <c r="E38" i="33"/>
  <c r="C38" i="32" s="1"/>
  <c r="K38" i="32" s="1"/>
  <c r="E36" i="33"/>
  <c r="C36" i="32" s="1"/>
  <c r="K36" i="32" s="1"/>
  <c r="E35" i="33"/>
  <c r="C35" i="32" s="1"/>
  <c r="K35" i="32" s="1"/>
  <c r="E34" i="33"/>
  <c r="C34" i="32" s="1"/>
  <c r="K34" i="32" s="1"/>
  <c r="E33" i="33"/>
  <c r="C33" i="32" s="1"/>
  <c r="K33" i="32" s="1"/>
  <c r="E32" i="33"/>
  <c r="C32" i="32" s="1"/>
  <c r="K32" i="32" s="1"/>
  <c r="E31" i="33"/>
  <c r="C31" i="32" s="1"/>
  <c r="K31" i="32" s="1"/>
  <c r="E30" i="33"/>
  <c r="C30" i="32" s="1"/>
  <c r="K30" i="32" s="1"/>
  <c r="E29" i="33"/>
  <c r="C29" i="32" s="1"/>
  <c r="K29" i="32" s="1"/>
  <c r="E28" i="33"/>
  <c r="C28" i="32" s="1"/>
  <c r="K28" i="32" s="1"/>
  <c r="E27" i="33"/>
  <c r="C27" i="32" s="1"/>
  <c r="K27" i="32" s="1"/>
  <c r="E26" i="33"/>
  <c r="C26" i="32" s="1"/>
  <c r="K26" i="32" s="1"/>
  <c r="E25" i="33"/>
  <c r="C25" i="32" s="1"/>
  <c r="K25" i="32" s="1"/>
  <c r="E23" i="33"/>
  <c r="C23" i="32" s="1"/>
  <c r="K23" i="32" s="1"/>
  <c r="E22" i="33"/>
  <c r="C22" i="32" s="1"/>
  <c r="K22" i="32" s="1"/>
  <c r="E21" i="33"/>
  <c r="C21" i="32" s="1"/>
  <c r="K21" i="32" s="1"/>
  <c r="E20" i="33"/>
  <c r="C20" i="32" s="1"/>
  <c r="K20" i="32" s="1"/>
  <c r="C58" i="33"/>
  <c r="E14" i="33"/>
  <c r="C14" i="32" s="1"/>
  <c r="E13" i="33"/>
  <c r="C13" i="32" s="1"/>
  <c r="E12" i="33"/>
  <c r="C12" i="32" s="1"/>
  <c r="E11" i="33"/>
  <c r="C11" i="32" s="1"/>
  <c r="E9" i="33"/>
  <c r="C9" i="32" s="1"/>
  <c r="E8" i="33"/>
  <c r="C8" i="32" s="1"/>
  <c r="E7" i="33"/>
  <c r="C7" i="32" s="1"/>
  <c r="E6" i="33"/>
  <c r="C6" i="32" s="1"/>
  <c r="C5" i="33"/>
  <c r="J15" i="32" l="1"/>
  <c r="J16" i="32" s="1"/>
  <c r="F15" i="32"/>
  <c r="F16" i="32" s="1"/>
  <c r="F17" i="32" s="1"/>
  <c r="G15" i="32"/>
  <c r="G16" i="32" s="1"/>
  <c r="C17" i="49"/>
  <c r="L37" i="32"/>
  <c r="N37" i="32" s="1"/>
  <c r="C17" i="34"/>
  <c r="C69" i="37"/>
  <c r="E69" i="32" s="1"/>
  <c r="E17" i="32"/>
  <c r="L62" i="36"/>
  <c r="L17" i="36"/>
  <c r="L59" i="36" s="1"/>
  <c r="C17" i="36"/>
  <c r="C59" i="36" s="1"/>
  <c r="C17" i="37"/>
  <c r="R15" i="49"/>
  <c r="R16" i="49" s="1"/>
  <c r="J69" i="32" s="1"/>
  <c r="R62" i="49"/>
  <c r="F17" i="46"/>
  <c r="F59" i="46" s="1"/>
  <c r="B61" i="32"/>
  <c r="K61" i="32" s="1"/>
  <c r="L61" i="32" s="1"/>
  <c r="J17" i="32"/>
  <c r="C15" i="35"/>
  <c r="F62" i="35"/>
  <c r="C62" i="35"/>
  <c r="K8" i="32"/>
  <c r="B5" i="32"/>
  <c r="K7" i="32"/>
  <c r="E5" i="33"/>
  <c r="C16" i="46"/>
  <c r="C69" i="46" s="1"/>
  <c r="I69" i="46" s="1"/>
  <c r="B19" i="32"/>
  <c r="D58" i="33"/>
  <c r="C58" i="48"/>
  <c r="D17" i="33"/>
  <c r="C10" i="33"/>
  <c r="E19" i="33"/>
  <c r="C19" i="32" s="1"/>
  <c r="G17" i="32" l="1"/>
  <c r="G59" i="32" s="1"/>
  <c r="B17" i="37"/>
  <c r="B59" i="37" s="1"/>
  <c r="B69" i="37"/>
  <c r="I16" i="46"/>
  <c r="I17" i="46" s="1"/>
  <c r="E10" i="33"/>
  <c r="E15" i="33" s="1"/>
  <c r="E16" i="33" s="1"/>
  <c r="C15" i="33"/>
  <c r="C16" i="33" s="1"/>
  <c r="C69" i="33" s="1"/>
  <c r="C69" i="32" s="1"/>
  <c r="K69" i="32" s="1"/>
  <c r="D59" i="33"/>
  <c r="C5" i="32"/>
  <c r="K6" i="32"/>
  <c r="C17" i="46"/>
  <c r="C16" i="35"/>
  <c r="C17" i="35" s="1"/>
  <c r="C59" i="35" s="1"/>
  <c r="E58" i="33"/>
  <c r="C71" i="33" s="1"/>
  <c r="C71" i="32" s="1"/>
  <c r="K5" i="32" l="1"/>
  <c r="C59" i="34"/>
  <c r="C59" i="46"/>
  <c r="I59" i="46" s="1"/>
  <c r="C17" i="33" l="1"/>
  <c r="C59" i="33" s="1"/>
  <c r="E59" i="33" s="1"/>
  <c r="E17" i="33" l="1"/>
  <c r="L39" i="32" l="1"/>
  <c r="C10" i="32" l="1"/>
  <c r="C15" i="32" s="1"/>
  <c r="C16" i="32" s="1"/>
  <c r="C17" i="32" l="1"/>
  <c r="M5" i="32"/>
  <c r="M15" i="32" s="1"/>
  <c r="B10" i="32" l="1"/>
  <c r="B15" i="32" s="1"/>
  <c r="D17" i="32" l="1"/>
  <c r="D59" i="32" s="1"/>
  <c r="L54" i="32"/>
  <c r="L53" i="32"/>
  <c r="L51" i="32"/>
  <c r="L50" i="32"/>
  <c r="L47" i="32"/>
  <c r="L46" i="32"/>
  <c r="L45" i="32"/>
  <c r="L29" i="32"/>
  <c r="L28" i="32"/>
  <c r="L27" i="32"/>
  <c r="L26" i="32"/>
  <c r="L25" i="32"/>
  <c r="L23" i="32"/>
  <c r="L22" i="32"/>
  <c r="L21" i="32"/>
  <c r="L20" i="32"/>
  <c r="K19" i="32"/>
  <c r="L19" i="32" s="1"/>
  <c r="K14" i="32"/>
  <c r="L14" i="32" s="1"/>
  <c r="N14" i="32" s="1"/>
  <c r="K12" i="32"/>
  <c r="L12" i="32" s="1"/>
  <c r="N12" i="32" s="1"/>
  <c r="K11" i="32"/>
  <c r="L11" i="32" s="1"/>
  <c r="N11" i="32" s="1"/>
  <c r="K10" i="32"/>
  <c r="L10" i="32" s="1"/>
  <c r="N10" i="32" s="1"/>
  <c r="K9" i="32"/>
  <c r="L8" i="32"/>
  <c r="N8" i="32" s="1"/>
  <c r="N61" i="32"/>
  <c r="L9" i="32" l="1"/>
  <c r="N9" i="32" s="1"/>
  <c r="I62" i="32"/>
  <c r="H62" i="32"/>
  <c r="B62" i="32"/>
  <c r="E62" i="32"/>
  <c r="F62" i="32"/>
  <c r="G62" i="32"/>
  <c r="J62" i="32"/>
  <c r="L49" i="32"/>
  <c r="N49" i="32" s="1"/>
  <c r="L55" i="32"/>
  <c r="N55" i="32" s="1"/>
  <c r="L48" i="32"/>
  <c r="N48" i="32" s="1"/>
  <c r="L56" i="32"/>
  <c r="N56" i="32" s="1"/>
  <c r="L57" i="32"/>
  <c r="N57" i="32" s="1"/>
  <c r="K62" i="32"/>
  <c r="C62" i="32"/>
  <c r="D62" i="32"/>
  <c r="N23" i="32"/>
  <c r="N25" i="32"/>
  <c r="L38" i="32"/>
  <c r="C58" i="32"/>
  <c r="C59" i="32" s="1"/>
  <c r="L34" i="32"/>
  <c r="L30" i="32"/>
  <c r="L32" i="32"/>
  <c r="L36" i="32"/>
  <c r="L31" i="32"/>
  <c r="L33" i="32"/>
  <c r="L7" i="32"/>
  <c r="N7" i="32" s="1"/>
  <c r="B16" i="32"/>
  <c r="L6" i="32"/>
  <c r="B58" i="32"/>
  <c r="K13" i="32"/>
  <c r="L13" i="32" s="1"/>
  <c r="N13" i="32" s="1"/>
  <c r="K15" i="32" l="1"/>
  <c r="K16" i="32" s="1"/>
  <c r="L35" i="32"/>
  <c r="N35" i="32" s="1"/>
  <c r="N6" i="32"/>
  <c r="L16" i="32" l="1"/>
  <c r="L5" i="32"/>
  <c r="N5" i="32" s="1"/>
  <c r="B17" i="32"/>
  <c r="M16" i="32" l="1"/>
  <c r="K17" i="32"/>
  <c r="L17" i="32" s="1"/>
  <c r="B59" i="32"/>
  <c r="L15" i="32"/>
  <c r="N16" i="32" l="1"/>
  <c r="C16" i="48"/>
  <c r="N15" i="32"/>
  <c r="C17" i="48" l="1"/>
  <c r="C59" i="48" s="1"/>
  <c r="M17" i="32" l="1"/>
  <c r="N17" i="32" s="1"/>
  <c r="C53" i="12" l="1"/>
  <c r="M51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L51" i="12"/>
  <c r="L50" i="12"/>
  <c r="L49" i="12"/>
  <c r="L48" i="12"/>
  <c r="L43" i="12"/>
  <c r="L31" i="12"/>
  <c r="K53" i="12" l="1"/>
  <c r="J53" i="12"/>
  <c r="I8" i="12" l="1"/>
  <c r="H31" i="12"/>
  <c r="H43" i="12"/>
  <c r="H13" i="12"/>
  <c r="H12" i="12"/>
  <c r="N51" i="12"/>
  <c r="O51" i="12" s="1"/>
  <c r="N50" i="12" l="1"/>
  <c r="O50" i="12" s="1"/>
  <c r="N49" i="12"/>
  <c r="O49" i="12" s="1"/>
  <c r="N48" i="12"/>
  <c r="O48" i="12" s="1"/>
  <c r="B47" i="12"/>
  <c r="S51" i="12" l="1"/>
  <c r="S49" i="12"/>
  <c r="S48" i="12"/>
  <c r="S47" i="12"/>
  <c r="S46" i="12"/>
  <c r="S45" i="12"/>
  <c r="S44" i="12"/>
  <c r="S42" i="12"/>
  <c r="S41" i="12"/>
  <c r="S40" i="12"/>
  <c r="S39" i="12"/>
  <c r="S38" i="12"/>
  <c r="S37" i="12"/>
  <c r="S36" i="12"/>
  <c r="S35" i="12"/>
  <c r="S34" i="12"/>
  <c r="S33" i="12"/>
  <c r="S32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1" i="12"/>
  <c r="S10" i="12"/>
  <c r="S9" i="12"/>
  <c r="S8" i="12"/>
  <c r="H51" i="12"/>
  <c r="H49" i="12"/>
  <c r="H48" i="12"/>
  <c r="H47" i="12"/>
  <c r="H46" i="12"/>
  <c r="H45" i="12"/>
  <c r="H44" i="12"/>
  <c r="H42" i="12"/>
  <c r="H41" i="12"/>
  <c r="H40" i="12"/>
  <c r="H39" i="12"/>
  <c r="H38" i="12"/>
  <c r="H37" i="12"/>
  <c r="H36" i="12"/>
  <c r="H35" i="12"/>
  <c r="H34" i="12"/>
  <c r="H33" i="12"/>
  <c r="H32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1" i="12"/>
  <c r="H10" i="12"/>
  <c r="H9" i="12"/>
  <c r="H8" i="12"/>
  <c r="I53" i="12"/>
  <c r="F53" i="12"/>
  <c r="E53" i="12"/>
  <c r="D53" i="12"/>
  <c r="B50" i="12"/>
  <c r="S50" i="12" s="1"/>
  <c r="G50" i="12"/>
  <c r="M50" i="12" s="1"/>
  <c r="E12" i="17"/>
  <c r="D32" i="17"/>
  <c r="F32" i="17" s="1"/>
  <c r="D20" i="17"/>
  <c r="D21" i="17"/>
  <c r="C21" i="17"/>
  <c r="C11" i="17"/>
  <c r="F11" i="17" s="1"/>
  <c r="F8" i="16"/>
  <c r="F11" i="16" s="1"/>
  <c r="D148" i="11"/>
  <c r="D141" i="11"/>
  <c r="D150" i="11"/>
  <c r="D149" i="11"/>
  <c r="D175" i="11"/>
  <c r="D153" i="11"/>
  <c r="D164" i="11"/>
  <c r="D145" i="11"/>
  <c r="D169" i="11"/>
  <c r="D152" i="11"/>
  <c r="D170" i="11"/>
  <c r="D163" i="11"/>
  <c r="D168" i="11"/>
  <c r="D135" i="11"/>
  <c r="D165" i="11"/>
  <c r="D154" i="11"/>
  <c r="D173" i="11"/>
  <c r="D147" i="11"/>
  <c r="D155" i="11"/>
  <c r="D162" i="11"/>
  <c r="D203" i="11"/>
  <c r="D156" i="11"/>
  <c r="D174" i="11"/>
  <c r="D161" i="11"/>
  <c r="D158" i="11"/>
  <c r="D166" i="11"/>
  <c r="D172" i="11"/>
  <c r="D157" i="11"/>
  <c r="D151" i="11"/>
  <c r="D136" i="11"/>
  <c r="D138" i="11"/>
  <c r="D143" i="11"/>
  <c r="D160" i="11"/>
  <c r="D167" i="11"/>
  <c r="D139" i="11"/>
  <c r="D134" i="11"/>
  <c r="D146" i="11"/>
  <c r="D144" i="11"/>
  <c r="D137" i="11"/>
  <c r="D140" i="11"/>
  <c r="D171" i="11"/>
  <c r="D215" i="11"/>
  <c r="D216" i="11"/>
  <c r="D186" i="11"/>
  <c r="D200" i="11"/>
  <c r="D184" i="11"/>
  <c r="D197" i="11"/>
  <c r="D181" i="11"/>
  <c r="D185" i="11"/>
  <c r="D210" i="11"/>
  <c r="D142" i="11"/>
  <c r="D159" i="11"/>
  <c r="D187" i="11"/>
  <c r="D177" i="11"/>
  <c r="D176" i="11"/>
  <c r="D178" i="11"/>
  <c r="D179" i="11"/>
  <c r="D180" i="11"/>
  <c r="D183" i="11"/>
  <c r="D188" i="11"/>
  <c r="D189" i="11"/>
  <c r="D190" i="11"/>
  <c r="D199" i="11"/>
  <c r="D191" i="11"/>
  <c r="D194" i="11"/>
  <c r="D196" i="11"/>
  <c r="D193" i="11"/>
  <c r="D195" i="11"/>
  <c r="D198" i="11"/>
  <c r="D192" i="11"/>
  <c r="D201" i="11"/>
  <c r="D202" i="11"/>
  <c r="D205" i="11"/>
  <c r="D204" i="11"/>
  <c r="D206" i="11"/>
  <c r="D209" i="11"/>
  <c r="D207" i="11"/>
  <c r="D208" i="11"/>
  <c r="D211" i="11"/>
  <c r="D182" i="11"/>
  <c r="D213" i="11"/>
  <c r="D214" i="11"/>
  <c r="D212" i="11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6" i="19"/>
  <c r="B47" i="19"/>
  <c r="B48" i="19"/>
  <c r="B50" i="19"/>
  <c r="B51" i="19"/>
  <c r="B52" i="19"/>
  <c r="B53" i="19"/>
  <c r="B54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100" i="19"/>
  <c r="F10" i="14" s="1"/>
  <c r="B104" i="19"/>
  <c r="B105" i="19"/>
  <c r="B106" i="19"/>
  <c r="B107" i="19"/>
  <c r="B114" i="19"/>
  <c r="B115" i="19" s="1"/>
  <c r="B118" i="19"/>
  <c r="B119" i="19"/>
  <c r="B120" i="19"/>
  <c r="B126" i="19"/>
  <c r="B127" i="19"/>
  <c r="B8" i="18"/>
  <c r="B9" i="18"/>
  <c r="B11" i="18"/>
  <c r="B12" i="18"/>
  <c r="B13" i="18"/>
  <c r="B14" i="18"/>
  <c r="B16" i="18"/>
  <c r="B18" i="18"/>
  <c r="B19" i="18" s="1"/>
  <c r="B21" i="18"/>
  <c r="B22" i="18" s="1"/>
  <c r="B27" i="18"/>
  <c r="B28" i="18" s="1"/>
  <c r="B30" i="18"/>
  <c r="B31" i="18"/>
  <c r="B32" i="18"/>
  <c r="B33" i="18"/>
  <c r="B34" i="18"/>
  <c r="B37" i="18"/>
  <c r="B38" i="18"/>
  <c r="B39" i="18"/>
  <c r="B42" i="18"/>
  <c r="B43" i="18"/>
  <c r="B44" i="18"/>
  <c r="B45" i="18"/>
  <c r="B46" i="18"/>
  <c r="B47" i="18"/>
  <c r="B48" i="18"/>
  <c r="B49" i="18"/>
  <c r="B51" i="18"/>
  <c r="B52" i="18"/>
  <c r="B53" i="18"/>
  <c r="B55" i="18"/>
  <c r="B56" i="18"/>
  <c r="B57" i="18"/>
  <c r="B58" i="18"/>
  <c r="B59" i="18"/>
  <c r="B62" i="18"/>
  <c r="B63" i="18" s="1"/>
  <c r="B65" i="18"/>
  <c r="B66" i="18"/>
  <c r="B67" i="18"/>
  <c r="B68" i="18"/>
  <c r="B69" i="18"/>
  <c r="B70" i="18"/>
  <c r="B72" i="18"/>
  <c r="B73" i="18"/>
  <c r="B75" i="18"/>
  <c r="B76" i="18" s="1"/>
  <c r="N2417" i="2"/>
  <c r="N2418" i="2"/>
  <c r="N2420" i="2"/>
  <c r="N3031" i="2"/>
  <c r="N3021" i="2"/>
  <c r="N2419" i="2"/>
  <c r="N3022" i="2"/>
  <c r="N3023" i="2"/>
  <c r="N2317" i="2"/>
  <c r="N2318" i="2"/>
  <c r="N2319" i="2"/>
  <c r="N371" i="2"/>
  <c r="N552" i="2"/>
  <c r="N553" i="2"/>
  <c r="N559" i="2"/>
  <c r="N6" i="2"/>
  <c r="N7" i="2"/>
  <c r="N2395" i="2"/>
  <c r="N18" i="2"/>
  <c r="N19" i="2"/>
  <c r="N2396" i="2"/>
  <c r="N2330" i="2"/>
  <c r="N2371" i="2"/>
  <c r="N1240" i="2"/>
  <c r="N1241" i="2"/>
  <c r="N377" i="2"/>
  <c r="N1242" i="2"/>
  <c r="N2313" i="2"/>
  <c r="N2411" i="2"/>
  <c r="N2316" i="2"/>
  <c r="N92" i="2"/>
  <c r="N1243" i="2"/>
  <c r="N1244" i="2"/>
  <c r="N1245" i="2"/>
  <c r="N378" i="2"/>
  <c r="N1246" i="2"/>
  <c r="N146" i="2"/>
  <c r="N560" i="2"/>
  <c r="N2168" i="2"/>
  <c r="N2169" i="2"/>
  <c r="N1247" i="2"/>
  <c r="N2320" i="2"/>
  <c r="N2321" i="2"/>
  <c r="N1248" i="2"/>
  <c r="N16" i="2"/>
  <c r="N1249" i="2"/>
  <c r="N2341" i="2"/>
  <c r="N2331" i="2"/>
  <c r="N2332" i="2"/>
  <c r="N379" i="2"/>
  <c r="N1250" i="2"/>
  <c r="N2322" i="2"/>
  <c r="N954" i="2"/>
  <c r="N1251" i="2"/>
  <c r="N93" i="2"/>
  <c r="N2323" i="2"/>
  <c r="N1252" i="2"/>
  <c r="N2397" i="2"/>
  <c r="N1925" i="2"/>
  <c r="N1052" i="2"/>
  <c r="N1958" i="2"/>
  <c r="N380" i="2"/>
  <c r="N2398" i="2"/>
  <c r="N147" i="2"/>
  <c r="N148" i="2"/>
  <c r="N149" i="2"/>
  <c r="N150" i="2"/>
  <c r="N561" i="2"/>
  <c r="N2399" i="2"/>
  <c r="N2400" i="2"/>
  <c r="N8" i="2"/>
  <c r="N2372" i="2"/>
  <c r="N9" i="2"/>
  <c r="N1253" i="2"/>
  <c r="N2333" i="2"/>
  <c r="N2334" i="2"/>
  <c r="N1254" i="2"/>
  <c r="N1228" i="2"/>
  <c r="N1255" i="2"/>
  <c r="N2393" i="2"/>
  <c r="N2314" i="2"/>
  <c r="N955" i="2"/>
  <c r="N123" i="2"/>
  <c r="N562" i="2"/>
  <c r="N2324" i="2"/>
  <c r="N563" i="2"/>
  <c r="N2335" i="2"/>
  <c r="N2401" i="2"/>
  <c r="N2402" i="2"/>
  <c r="N2403" i="2"/>
  <c r="N1959" i="2"/>
  <c r="N151" i="2"/>
  <c r="N1053" i="2"/>
  <c r="N1926" i="2"/>
  <c r="N152" i="2"/>
  <c r="N124" i="2"/>
  <c r="N2412" i="2"/>
  <c r="N1256" i="2"/>
  <c r="N1927" i="2"/>
  <c r="N554" i="2"/>
  <c r="N2114" i="2"/>
  <c r="N2325" i="2"/>
  <c r="N2326" i="2"/>
  <c r="N125" i="2"/>
  <c r="N1061" i="2"/>
  <c r="N2336" i="2"/>
  <c r="N2404" i="2"/>
  <c r="N2315" i="2"/>
  <c r="N1226" i="2"/>
  <c r="N564" i="2"/>
  <c r="N565" i="2"/>
  <c r="N1257" i="2"/>
  <c r="N956" i="2"/>
  <c r="N153" i="2"/>
  <c r="N2337" i="2"/>
  <c r="N1258" i="2"/>
  <c r="N1960" i="2"/>
  <c r="N2373" i="2"/>
  <c r="N126" i="2"/>
  <c r="N2394" i="2"/>
  <c r="N1961" i="2"/>
  <c r="N1363" i="2"/>
  <c r="N474" i="2"/>
  <c r="N134" i="2"/>
  <c r="N2170" i="2"/>
  <c r="N1366" i="2"/>
  <c r="N2405" i="2"/>
  <c r="N2077" i="2"/>
  <c r="N1367" i="2"/>
  <c r="N1368" i="2"/>
  <c r="N1369" i="2"/>
  <c r="N2374" i="2"/>
  <c r="N2338" i="2"/>
  <c r="N1054" i="2"/>
  <c r="N1370" i="2"/>
  <c r="N2327" i="2"/>
  <c r="N1055" i="2"/>
  <c r="N2406" i="2"/>
  <c r="N555" i="2"/>
  <c r="N2375" i="2"/>
  <c r="N1371" i="2"/>
  <c r="N2407" i="2"/>
  <c r="N2408" i="2"/>
  <c r="N475" i="2"/>
  <c r="N1056" i="2"/>
  <c r="N1229" i="2"/>
  <c r="N1936" i="2"/>
  <c r="N1932" i="2"/>
  <c r="N127" i="2"/>
  <c r="N10" i="2"/>
  <c r="N2409" i="2"/>
  <c r="N135" i="2"/>
  <c r="N11" i="2"/>
  <c r="N154" i="2"/>
  <c r="N904" i="2"/>
  <c r="N2328" i="2"/>
  <c r="N2376" i="2"/>
  <c r="N1227" i="2"/>
  <c r="N2377" i="2"/>
  <c r="N2078" i="2"/>
  <c r="N579" i="2"/>
  <c r="N1057" i="2"/>
  <c r="N1058" i="2"/>
  <c r="N1059" i="2"/>
  <c r="N1372" i="2"/>
  <c r="N17" i="2"/>
  <c r="N1373" i="2"/>
  <c r="N556" i="2"/>
  <c r="N1230" i="2"/>
  <c r="N1374" i="2"/>
  <c r="N2339" i="2"/>
  <c r="N128" i="2"/>
  <c r="N1060" i="2"/>
  <c r="N580" i="2"/>
  <c r="N1375" i="2"/>
  <c r="N381" i="2"/>
  <c r="N155" i="2"/>
  <c r="N1376" i="2"/>
  <c r="N581" i="2"/>
  <c r="N1418" i="2"/>
  <c r="N1231" i="2"/>
  <c r="N2340" i="2"/>
  <c r="N382" i="2"/>
  <c r="N2379" i="2"/>
  <c r="N2380" i="2"/>
  <c r="N2381" i="2"/>
  <c r="N2391" i="2"/>
  <c r="N1490" i="2"/>
  <c r="N1492" i="2"/>
  <c r="N2115" i="2"/>
  <c r="N1062" i="2"/>
  <c r="N2343" i="2"/>
  <c r="N2344" i="2"/>
  <c r="N2345" i="2"/>
  <c r="N2410" i="2"/>
  <c r="N2342" i="2"/>
  <c r="N1493" i="2"/>
  <c r="N12" i="2"/>
  <c r="N557" i="2"/>
  <c r="N13" i="2"/>
  <c r="N14" i="2"/>
  <c r="N335" i="2"/>
  <c r="N1494" i="2"/>
  <c r="N15" i="2"/>
  <c r="N129" i="2"/>
  <c r="N1495" i="2"/>
  <c r="N2329" i="2"/>
  <c r="N2392" i="2"/>
  <c r="N582" i="2"/>
  <c r="N868" i="2"/>
  <c r="N336" i="2"/>
  <c r="N1496" i="2"/>
  <c r="N1497" i="2"/>
  <c r="N1498" i="2"/>
  <c r="N558" i="2"/>
  <c r="N130" i="2"/>
  <c r="N337" i="2"/>
  <c r="N1937" i="2"/>
  <c r="N2116" i="2"/>
  <c r="N1232" i="2"/>
  <c r="N1947" i="2"/>
  <c r="N1063" i="2"/>
  <c r="N2346" i="2"/>
  <c r="N903" i="2"/>
  <c r="N1235" i="2"/>
  <c r="N133" i="2"/>
  <c r="N1948" i="2"/>
  <c r="N1220" i="2"/>
  <c r="N1499" i="2"/>
  <c r="N1221" i="2"/>
  <c r="N1933" i="2"/>
  <c r="N957" i="2"/>
  <c r="N869" i="2"/>
  <c r="N1949" i="2"/>
  <c r="N1950" i="2"/>
  <c r="N1941" i="2"/>
  <c r="N2079" i="2"/>
  <c r="N2080" i="2"/>
  <c r="N2368" i="2"/>
  <c r="N1222" i="2"/>
  <c r="N1500" i="2"/>
  <c r="N1233" i="2"/>
  <c r="N1532" i="2"/>
  <c r="N1951" i="2"/>
  <c r="N1942" i="2"/>
  <c r="N902" i="2"/>
  <c r="N1533" i="2"/>
  <c r="N1952" i="2"/>
  <c r="N1534" i="2"/>
  <c r="N2369" i="2"/>
  <c r="N1535" i="2"/>
  <c r="N1236" i="2"/>
  <c r="N2355" i="2"/>
  <c r="N1223" i="2"/>
  <c r="N1953" i="2"/>
  <c r="N1954" i="2"/>
  <c r="N1934" i="2"/>
  <c r="N870" i="2"/>
  <c r="N953" i="2"/>
  <c r="N871" i="2"/>
  <c r="N1536" i="2"/>
  <c r="N966" i="2"/>
  <c r="N2349" i="2"/>
  <c r="N2364" i="2"/>
  <c r="N131" i="2"/>
  <c r="N1930" i="2"/>
  <c r="N1955" i="2"/>
  <c r="N1537" i="2"/>
  <c r="N1741" i="2"/>
  <c r="N2416" i="2"/>
  <c r="N2356" i="2"/>
  <c r="N1791" i="2"/>
  <c r="N2365" i="2"/>
  <c r="N132" i="2"/>
  <c r="N872" i="2"/>
  <c r="N873" i="2"/>
  <c r="N1792" i="2"/>
  <c r="N1943" i="2"/>
  <c r="N2357" i="2"/>
  <c r="N1224" i="2"/>
  <c r="N1793" i="2"/>
  <c r="N2347" i="2"/>
  <c r="N958" i="2"/>
  <c r="N874" i="2"/>
  <c r="N1794" i="2"/>
  <c r="N959" i="2"/>
  <c r="N1944" i="2"/>
  <c r="N2167" i="2"/>
  <c r="N1234" i="2"/>
  <c r="N2353" i="2"/>
  <c r="N2358" i="2"/>
  <c r="N2359" i="2"/>
  <c r="N2360" i="2"/>
  <c r="N2361" i="2"/>
  <c r="N2350" i="2"/>
  <c r="N1237" i="2"/>
  <c r="N1225" i="2"/>
  <c r="N897" i="2"/>
  <c r="N2354" i="2"/>
  <c r="N1956" i="2"/>
  <c r="N2415" i="2"/>
  <c r="N1795" i="2"/>
  <c r="N2366" i="2"/>
  <c r="N898" i="2"/>
  <c r="N1957" i="2"/>
  <c r="N2367" i="2"/>
  <c r="N1796" i="2"/>
  <c r="N1797" i="2"/>
  <c r="N899" i="2"/>
  <c r="N1798" i="2"/>
  <c r="N900" i="2"/>
  <c r="N2348" i="2"/>
  <c r="N1238" i="2"/>
  <c r="N2117" i="2"/>
  <c r="N2351" i="2"/>
  <c r="N1945" i="2"/>
  <c r="N1799" i="2"/>
  <c r="N1863" i="2"/>
  <c r="N1864" i="2"/>
  <c r="N1872" i="2"/>
  <c r="N1873" i="2"/>
  <c r="N1935" i="2"/>
  <c r="N1239" i="2"/>
  <c r="N1931" i="2"/>
  <c r="N2370" i="2"/>
  <c r="N1874" i="2"/>
  <c r="N2362" i="2"/>
  <c r="N1924" i="2"/>
  <c r="N2352" i="2"/>
  <c r="N965" i="2"/>
  <c r="N2363" i="2"/>
  <c r="N2166" i="2"/>
  <c r="N1946" i="2"/>
  <c r="N901" i="2"/>
  <c r="N2413" i="2"/>
  <c r="N2414" i="2"/>
  <c r="N2113" i="2"/>
  <c r="N94" i="2"/>
  <c r="N2378" i="2"/>
  <c r="N960" i="2"/>
  <c r="N566" i="2"/>
  <c r="N4305" i="2"/>
  <c r="N4306" i="2"/>
  <c r="N567" i="2"/>
  <c r="N568" i="2"/>
  <c r="N569" i="2"/>
  <c r="N476" i="2"/>
  <c r="N477" i="2"/>
  <c r="N570" i="2"/>
  <c r="N136" i="2"/>
  <c r="N1324" i="2"/>
  <c r="N1325" i="2"/>
  <c r="N1326" i="2"/>
  <c r="N3353" i="2"/>
  <c r="N137" i="2"/>
  <c r="N3354" i="2"/>
  <c r="N3355" i="2"/>
  <c r="N3889" i="2"/>
  <c r="N138" i="2"/>
  <c r="N2081" i="2"/>
  <c r="N4328" i="2"/>
  <c r="N4392" i="2"/>
  <c r="N4135" i="2"/>
  <c r="N4204" i="2"/>
  <c r="N4129" i="2"/>
  <c r="N4398" i="2"/>
  <c r="N4210" i="2"/>
  <c r="N4215" i="2"/>
  <c r="N4130" i="2"/>
  <c r="N4393" i="2"/>
  <c r="N4329" i="2"/>
  <c r="N4205" i="2"/>
  <c r="N4399" i="2"/>
  <c r="N4175" i="2"/>
  <c r="N4220" i="2"/>
  <c r="N4131" i="2"/>
  <c r="N4221" i="2"/>
  <c r="N4206" i="2"/>
  <c r="N4400" i="2"/>
  <c r="N4216" i="2"/>
  <c r="N4176" i="2"/>
  <c r="N4394" i="2"/>
  <c r="N4330" i="2"/>
  <c r="N4217" i="2"/>
  <c r="N4132" i="2"/>
  <c r="N4207" i="2"/>
  <c r="N4401" i="2"/>
  <c r="N4211" i="2"/>
  <c r="N4331" i="2"/>
  <c r="N4395" i="2"/>
  <c r="N4177" i="2"/>
  <c r="N4208" i="2"/>
  <c r="N4212" i="2"/>
  <c r="N4218" i="2"/>
  <c r="N4402" i="2"/>
  <c r="N4396" i="2"/>
  <c r="N4178" i="2"/>
  <c r="N4332" i="2"/>
  <c r="N4133" i="2"/>
  <c r="N4219" i="2"/>
  <c r="N4134" i="2"/>
  <c r="N4223" i="2"/>
  <c r="N4397" i="2"/>
  <c r="N4209" i="2"/>
  <c r="N4333" i="2"/>
  <c r="N4403" i="2"/>
  <c r="N4199" i="2"/>
  <c r="N372" i="2"/>
  <c r="N373" i="2"/>
  <c r="N1875" i="2"/>
  <c r="N1876" i="2"/>
  <c r="N1877" i="2"/>
  <c r="N1878" i="2"/>
  <c r="N1879" i="2"/>
  <c r="N3997" i="2"/>
  <c r="N3998" i="2"/>
  <c r="N2382" i="2"/>
  <c r="N2383" i="2"/>
  <c r="N2384" i="2"/>
  <c r="N2385" i="2"/>
  <c r="N2386" i="2"/>
  <c r="N2387" i="2"/>
  <c r="N571" i="2"/>
  <c r="N95" i="2"/>
  <c r="N96" i="2"/>
  <c r="N97" i="2"/>
  <c r="N98" i="2"/>
  <c r="N99" i="2"/>
  <c r="N100" i="2"/>
  <c r="N101" i="2"/>
  <c r="N3254" i="2"/>
  <c r="N1938" i="2"/>
  <c r="N1939" i="2"/>
  <c r="N1940" i="2"/>
  <c r="N572" i="2"/>
  <c r="N961" i="2"/>
  <c r="N1419" i="2"/>
  <c r="N962" i="2"/>
  <c r="N963" i="2"/>
  <c r="N573" i="2"/>
  <c r="N1064" i="2"/>
  <c r="N1065" i="2"/>
  <c r="N1066" i="2"/>
  <c r="N1067" i="2"/>
  <c r="N1068" i="2"/>
  <c r="N1069" i="2"/>
  <c r="N1070" i="2"/>
  <c r="N1071" i="2"/>
  <c r="N1072" i="2"/>
  <c r="N574" i="2"/>
  <c r="N575" i="2"/>
  <c r="N576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4307" i="2"/>
  <c r="N577" i="2"/>
  <c r="N478" i="2"/>
  <c r="N578" i="2"/>
  <c r="N1800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39" i="2"/>
  <c r="N140" i="2"/>
  <c r="N141" i="2"/>
  <c r="N142" i="2"/>
  <c r="N4222" i="2"/>
  <c r="N143" i="2"/>
  <c r="N144" i="2"/>
  <c r="N3255" i="2"/>
  <c r="N3256" i="2"/>
  <c r="N905" i="2"/>
  <c r="N906" i="2"/>
  <c r="N1327" i="2"/>
  <c r="N907" i="2"/>
  <c r="N908" i="2"/>
  <c r="N909" i="2"/>
  <c r="N910" i="2"/>
  <c r="N3356" i="2"/>
  <c r="N3357" i="2"/>
  <c r="N3358" i="2"/>
  <c r="N145" i="2"/>
  <c r="N3890" i="2"/>
  <c r="N3891" i="2"/>
  <c r="N964" i="2"/>
  <c r="N2082" i="2"/>
  <c r="N2083" i="2"/>
  <c r="N3325" i="2"/>
  <c r="N374" i="2"/>
  <c r="N375" i="2"/>
  <c r="N376" i="2"/>
  <c r="N1880" i="2"/>
  <c r="N1881" i="2"/>
  <c r="N1882" i="2"/>
  <c r="N1883" i="2"/>
  <c r="N1884" i="2"/>
  <c r="N1885" i="2"/>
  <c r="N1886" i="2"/>
  <c r="N1887" i="2"/>
  <c r="N1888" i="2"/>
  <c r="N3033" i="2"/>
  <c r="N2388" i="2"/>
  <c r="N3999" i="2"/>
  <c r="N2389" i="2"/>
  <c r="N2390" i="2"/>
  <c r="N3484" i="2"/>
  <c r="N3456" i="2"/>
  <c r="N3485" i="2"/>
  <c r="N3486" i="2"/>
  <c r="N3463" i="2"/>
  <c r="N3487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201" i="2"/>
  <c r="N3202" i="2"/>
  <c r="N3203" i="2"/>
  <c r="N3204" i="2"/>
  <c r="N3478" i="2"/>
  <c r="N3479" i="2"/>
  <c r="N3095" i="2"/>
  <c r="N3103" i="2"/>
  <c r="N3488" i="2"/>
  <c r="N3480" i="2"/>
  <c r="N3104" i="2"/>
  <c r="N3205" i="2"/>
  <c r="N3481" i="2"/>
  <c r="N3105" i="2"/>
  <c r="N3106" i="2"/>
  <c r="N3107" i="2"/>
  <c r="N3108" i="2"/>
  <c r="N3195" i="2"/>
  <c r="N4085" i="2"/>
  <c r="N3196" i="2"/>
  <c r="N3032" i="2"/>
  <c r="N3206" i="2"/>
  <c r="N3197" i="2"/>
  <c r="N3482" i="2"/>
  <c r="N3039" i="2"/>
  <c r="N3990" i="2"/>
  <c r="N4086" i="2"/>
  <c r="N3996" i="2"/>
  <c r="N4000" i="2"/>
  <c r="N4023" i="2"/>
  <c r="N4028" i="2"/>
  <c r="N3989" i="2"/>
  <c r="N3040" i="2"/>
  <c r="N3041" i="2"/>
  <c r="N3042" i="2"/>
  <c r="N3489" i="2"/>
  <c r="N4029" i="2"/>
  <c r="N4030" i="2"/>
  <c r="N3043" i="2"/>
  <c r="N4031" i="2"/>
  <c r="N3044" i="2"/>
  <c r="N3084" i="2"/>
  <c r="N3694" i="2"/>
  <c r="N3695" i="2"/>
  <c r="N3207" i="2"/>
  <c r="N3199" i="2"/>
  <c r="N3243" i="2"/>
  <c r="N3244" i="2"/>
  <c r="N3200" i="2"/>
  <c r="N3987" i="2"/>
  <c r="N3988" i="2"/>
  <c r="N3245" i="2"/>
  <c r="N3246" i="2"/>
  <c r="N3247" i="2"/>
  <c r="N3248" i="2"/>
  <c r="N3955" i="2"/>
  <c r="N3696" i="2"/>
  <c r="N3249" i="2"/>
  <c r="N3250" i="2"/>
  <c r="N3251" i="2"/>
  <c r="N3252" i="2"/>
  <c r="N3253" i="2"/>
  <c r="N3317" i="2"/>
  <c r="N3318" i="2"/>
  <c r="N3319" i="2"/>
  <c r="N4081" i="2"/>
  <c r="N3320" i="2"/>
  <c r="N4082" i="2"/>
  <c r="N3321" i="2"/>
  <c r="N3322" i="2"/>
  <c r="N3323" i="2"/>
  <c r="N3697" i="2"/>
  <c r="N3324" i="2"/>
  <c r="N3698" i="2"/>
  <c r="N3326" i="2"/>
  <c r="N3327" i="2"/>
  <c r="N3699" i="2"/>
  <c r="N3328" i="2"/>
  <c r="N3329" i="2"/>
  <c r="N3352" i="2"/>
  <c r="N3393" i="2"/>
  <c r="N3394" i="2"/>
  <c r="N3700" i="2"/>
  <c r="N3408" i="2"/>
  <c r="N3198" i="2"/>
  <c r="N3701" i="2"/>
  <c r="N3399" i="2"/>
  <c r="N3702" i="2"/>
  <c r="N3409" i="2"/>
  <c r="N3419" i="2"/>
  <c r="N3703" i="2"/>
  <c r="N4083" i="2"/>
  <c r="N3704" i="2"/>
  <c r="N3420" i="2"/>
  <c r="N3421" i="2"/>
  <c r="N4079" i="2"/>
  <c r="N3422" i="2"/>
  <c r="N3883" i="2"/>
  <c r="N3884" i="2"/>
  <c r="N4032" i="2"/>
  <c r="N4033" i="2"/>
  <c r="N4080" i="2"/>
  <c r="N3450" i="2"/>
  <c r="N3886" i="2"/>
  <c r="N3956" i="2"/>
  <c r="N3451" i="2"/>
  <c r="N4084" i="2"/>
  <c r="N3452" i="2"/>
  <c r="N3887" i="2"/>
  <c r="N3483" i="2"/>
  <c r="N3888" i="2"/>
  <c r="N3953" i="2"/>
  <c r="N3954" i="2"/>
  <c r="N4087" i="2"/>
  <c r="N2" i="2"/>
  <c r="N3" i="2"/>
  <c r="N4" i="2"/>
  <c r="N5" i="2"/>
  <c r="N4303" i="2"/>
  <c r="N4404" i="2"/>
  <c r="N4551" i="2"/>
  <c r="N4459" i="2"/>
  <c r="N4213" i="2"/>
  <c r="N4340" i="2"/>
  <c r="N4088" i="2"/>
  <c r="N4334" i="2"/>
  <c r="N4224" i="2"/>
  <c r="N4405" i="2"/>
  <c r="N4304" i="2"/>
  <c r="N4335" i="2"/>
  <c r="N4341" i="2"/>
  <c r="N4089" i="2"/>
  <c r="N4460" i="2"/>
  <c r="N4552" i="2"/>
  <c r="N4413" i="2"/>
  <c r="N4225" i="2"/>
  <c r="N4338" i="2"/>
  <c r="N4553" i="2"/>
  <c r="N4336" i="2"/>
  <c r="N4127" i="2"/>
  <c r="N4461" i="2"/>
  <c r="N4326" i="2"/>
  <c r="N4339" i="2"/>
  <c r="N4214" i="2"/>
  <c r="N4458" i="2"/>
  <c r="N4462" i="2"/>
  <c r="N4554" i="2"/>
  <c r="N4337" i="2"/>
  <c r="N4128" i="2"/>
  <c r="N4327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3490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1962" i="2"/>
  <c r="N1963" i="2"/>
  <c r="N156" i="2"/>
  <c r="N2522" i="2"/>
  <c r="N157" i="2"/>
  <c r="N583" i="2"/>
  <c r="N4463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0" i="2"/>
  <c r="N2600" i="2"/>
  <c r="N1801" i="2"/>
  <c r="N1802" i="2"/>
  <c r="N2601" i="2"/>
  <c r="N1803" i="2"/>
  <c r="N2602" i="2"/>
  <c r="N2603" i="2"/>
  <c r="N2604" i="2"/>
  <c r="N1121" i="2"/>
  <c r="N2605" i="2"/>
  <c r="N2606" i="2"/>
  <c r="N2607" i="2"/>
  <c r="N2608" i="2"/>
  <c r="N1804" i="2"/>
  <c r="N3892" i="2"/>
  <c r="N3491" i="2"/>
  <c r="N3492" i="2"/>
  <c r="N2609" i="2"/>
  <c r="N2610" i="2"/>
  <c r="N2611" i="2"/>
  <c r="N2612" i="2"/>
  <c r="N2613" i="2"/>
  <c r="N2614" i="2"/>
  <c r="N2615" i="2"/>
  <c r="N2616" i="2"/>
  <c r="N2617" i="2"/>
  <c r="N2618" i="2"/>
  <c r="N2619" i="2"/>
  <c r="N1420" i="2"/>
  <c r="N1805" i="2"/>
  <c r="N2620" i="2"/>
  <c r="N911" i="2"/>
  <c r="N3493" i="2"/>
  <c r="N1806" i="2"/>
  <c r="N2621" i="2"/>
  <c r="N3494" i="2"/>
  <c r="N2622" i="2"/>
  <c r="N1807" i="2"/>
  <c r="N2623" i="2"/>
  <c r="N2624" i="2"/>
  <c r="N2625" i="2"/>
  <c r="N1808" i="2"/>
  <c r="N1809" i="2"/>
  <c r="N1810" i="2"/>
  <c r="N584" i="2"/>
  <c r="N383" i="2"/>
  <c r="N384" i="2"/>
  <c r="N1259" i="2"/>
  <c r="N1260" i="2"/>
  <c r="N2626" i="2"/>
  <c r="N2627" i="2"/>
  <c r="N2628" i="2"/>
  <c r="N2629" i="2"/>
  <c r="N2630" i="2"/>
  <c r="N2631" i="2"/>
  <c r="N4464" i="2"/>
  <c r="N4001" i="2"/>
  <c r="N4002" i="2"/>
  <c r="N4003" i="2"/>
  <c r="N4414" i="2"/>
  <c r="N4415" i="2"/>
  <c r="N4416" i="2"/>
  <c r="N4090" i="2"/>
  <c r="N4465" i="2"/>
  <c r="N4466" i="2"/>
  <c r="N4467" i="2"/>
  <c r="N4091" i="2"/>
  <c r="N4034" i="2"/>
  <c r="N4468" i="2"/>
  <c r="N4469" i="2"/>
  <c r="N3208" i="2"/>
  <c r="N3400" i="2"/>
  <c r="N2632" i="2"/>
  <c r="N4470" i="2"/>
  <c r="N4092" i="2"/>
  <c r="N4004" i="2"/>
  <c r="N3991" i="2"/>
  <c r="N4005" i="2"/>
  <c r="N2633" i="2"/>
  <c r="N585" i="2"/>
  <c r="N3705" i="2"/>
  <c r="N3706" i="2"/>
  <c r="N2634" i="2"/>
  <c r="N2635" i="2"/>
  <c r="N586" i="2"/>
  <c r="N2636" i="2"/>
  <c r="N2637" i="2"/>
  <c r="N1964" i="2"/>
  <c r="N3707" i="2"/>
  <c r="N1421" i="2"/>
  <c r="N2638" i="2"/>
  <c r="N102" i="2"/>
  <c r="N158" i="2"/>
  <c r="N1122" i="2"/>
  <c r="N2639" i="2"/>
  <c r="N2640" i="2"/>
  <c r="N1501" i="2"/>
  <c r="N21" i="2"/>
  <c r="N3708" i="2"/>
  <c r="N2641" i="2"/>
  <c r="N4342" i="2"/>
  <c r="N159" i="2"/>
  <c r="N160" i="2"/>
  <c r="N3257" i="2"/>
  <c r="N3258" i="2"/>
  <c r="N1123" i="2"/>
  <c r="N3709" i="2"/>
  <c r="N2642" i="2"/>
  <c r="N2643" i="2"/>
  <c r="N1965" i="2"/>
  <c r="N2644" i="2"/>
  <c r="N587" i="2"/>
  <c r="N588" i="2"/>
  <c r="N2645" i="2"/>
  <c r="N1966" i="2"/>
  <c r="N2646" i="2"/>
  <c r="N22" i="2"/>
  <c r="N2647" i="2"/>
  <c r="N3495" i="2"/>
  <c r="N161" i="2"/>
  <c r="N3710" i="2"/>
  <c r="N2648" i="2"/>
  <c r="N4343" i="2"/>
  <c r="N4344" i="2"/>
  <c r="N1967" i="2"/>
  <c r="N2649" i="2"/>
  <c r="N1422" i="2"/>
  <c r="N23" i="2"/>
  <c r="N912" i="2"/>
  <c r="N3711" i="2"/>
  <c r="N1968" i="2"/>
  <c r="N3712" i="2"/>
  <c r="N1969" i="2"/>
  <c r="N2650" i="2"/>
  <c r="N1970" i="2"/>
  <c r="N4226" i="2"/>
  <c r="N2651" i="2"/>
  <c r="N162" i="2"/>
  <c r="N2652" i="2"/>
  <c r="N4227" i="2"/>
  <c r="N4228" i="2"/>
  <c r="N4345" i="2"/>
  <c r="N2653" i="2"/>
  <c r="N3713" i="2"/>
  <c r="N2654" i="2"/>
  <c r="N2655" i="2"/>
  <c r="N2656" i="2"/>
  <c r="N2657" i="2"/>
  <c r="N2658" i="2"/>
  <c r="N3109" i="2"/>
  <c r="N2118" i="2"/>
  <c r="N4471" i="2"/>
  <c r="N2659" i="2"/>
  <c r="N2660" i="2"/>
  <c r="N3110" i="2"/>
  <c r="N2661" i="2"/>
  <c r="N2662" i="2"/>
  <c r="N2663" i="2"/>
  <c r="N2664" i="2"/>
  <c r="N2171" i="2"/>
  <c r="N2665" i="2"/>
  <c r="N2666" i="2"/>
  <c r="N1538" i="2"/>
  <c r="N2667" i="2"/>
  <c r="N4472" i="2"/>
  <c r="N2668" i="2"/>
  <c r="N2669" i="2"/>
  <c r="N2670" i="2"/>
  <c r="N4473" i="2"/>
  <c r="N2671" i="2"/>
  <c r="N1889" i="2"/>
  <c r="N3111" i="2"/>
  <c r="N2672" i="2"/>
  <c r="N4035" i="2"/>
  <c r="N2172" i="2"/>
  <c r="N2673" i="2"/>
  <c r="N3045" i="2"/>
  <c r="N4036" i="2"/>
  <c r="N2674" i="2"/>
  <c r="N2675" i="2"/>
  <c r="N2676" i="2"/>
  <c r="N2677" i="2"/>
  <c r="N2678" i="2"/>
  <c r="N3046" i="2"/>
  <c r="N4037" i="2"/>
  <c r="N2679" i="2"/>
  <c r="N2680" i="2"/>
  <c r="N2681" i="2"/>
  <c r="N2682" i="2"/>
  <c r="N2683" i="2"/>
  <c r="N3209" i="2"/>
  <c r="N2684" i="2"/>
  <c r="N2685" i="2"/>
  <c r="N2173" i="2"/>
  <c r="N2686" i="2"/>
  <c r="N2687" i="2"/>
  <c r="N1261" i="2"/>
  <c r="N2688" i="2"/>
  <c r="N3047" i="2"/>
  <c r="N3048" i="2"/>
  <c r="N2119" i="2"/>
  <c r="N3112" i="2"/>
  <c r="N3113" i="2"/>
  <c r="N2174" i="2"/>
  <c r="N2689" i="2"/>
  <c r="N2690" i="2"/>
  <c r="N2691" i="2"/>
  <c r="N2692" i="2"/>
  <c r="N3359" i="2"/>
  <c r="N3893" i="2"/>
  <c r="N3423" i="2"/>
  <c r="N1865" i="2"/>
  <c r="N1921" i="2"/>
  <c r="N3453" i="2"/>
  <c r="N4580" i="2"/>
  <c r="N875" i="2"/>
  <c r="N3085" i="2"/>
  <c r="N4229" i="2"/>
  <c r="N3714" i="2"/>
  <c r="N3715" i="2"/>
  <c r="N3496" i="2"/>
  <c r="N2693" i="2"/>
  <c r="N3024" i="2"/>
  <c r="N1866" i="2"/>
  <c r="N876" i="2"/>
  <c r="N4346" i="2"/>
  <c r="N3086" i="2"/>
  <c r="N3894" i="2"/>
  <c r="N479" i="2"/>
  <c r="N3457" i="2"/>
  <c r="N4581" i="2"/>
  <c r="N3360" i="2"/>
  <c r="N1971" i="2"/>
  <c r="N4406" i="2"/>
  <c r="N4407" i="2"/>
  <c r="N1124" i="2"/>
  <c r="N1867" i="2"/>
  <c r="N877" i="2"/>
  <c r="N3087" i="2"/>
  <c r="N1922" i="2"/>
  <c r="N4582" i="2"/>
  <c r="N3361" i="2"/>
  <c r="N3895" i="2"/>
  <c r="N2694" i="2"/>
  <c r="N3458" i="2"/>
  <c r="N3025" i="2"/>
  <c r="N3459" i="2"/>
  <c r="N3896" i="2"/>
  <c r="N1868" i="2"/>
  <c r="N3362" i="2"/>
  <c r="N2695" i="2"/>
  <c r="N2293" i="2"/>
  <c r="N1125" i="2"/>
  <c r="N3424" i="2"/>
  <c r="N3088" i="2"/>
  <c r="N3716" i="2"/>
  <c r="N3717" i="2"/>
  <c r="N3718" i="2"/>
  <c r="N2696" i="2"/>
  <c r="N4408" i="2"/>
  <c r="N3425" i="2"/>
  <c r="N1126" i="2"/>
  <c r="N3363" i="2"/>
  <c r="N3089" i="2"/>
  <c r="N3897" i="2"/>
  <c r="N3460" i="2"/>
  <c r="N3026" i="2"/>
  <c r="N3454" i="2"/>
  <c r="N2697" i="2"/>
  <c r="N1869" i="2"/>
  <c r="N2294" i="2"/>
  <c r="N2698" i="2"/>
  <c r="N3719" i="2"/>
  <c r="N3720" i="2"/>
  <c r="N3721" i="2"/>
  <c r="N3722" i="2"/>
  <c r="N3723" i="2"/>
  <c r="N3724" i="2"/>
  <c r="N3725" i="2"/>
  <c r="N3726" i="2"/>
  <c r="N1923" i="2"/>
  <c r="N589" i="2"/>
  <c r="N590" i="2"/>
  <c r="N4409" i="2"/>
  <c r="N2699" i="2"/>
  <c r="N1127" i="2"/>
  <c r="N2295" i="2"/>
  <c r="N3090" i="2"/>
  <c r="N3364" i="2"/>
  <c r="N1870" i="2"/>
  <c r="N2084" i="2"/>
  <c r="N4347" i="2"/>
  <c r="N2700" i="2"/>
  <c r="N3455" i="2"/>
  <c r="N3027" i="2"/>
  <c r="N878" i="2"/>
  <c r="N3426" i="2"/>
  <c r="N3461" i="2"/>
  <c r="N1811" i="2"/>
  <c r="N4410" i="2"/>
  <c r="N4024" i="2"/>
  <c r="N3096" i="2"/>
  <c r="N331" i="2"/>
  <c r="N3210" i="2"/>
  <c r="N3410" i="2"/>
  <c r="N3034" i="2"/>
  <c r="N1262" i="2"/>
  <c r="N338" i="2"/>
  <c r="N3401" i="2"/>
  <c r="N3690" i="2"/>
  <c r="N4200" i="2"/>
  <c r="N2701" i="2"/>
  <c r="N4411" i="2"/>
  <c r="N332" i="2"/>
  <c r="N4136" i="2"/>
  <c r="N3035" i="2"/>
  <c r="N2702" i="2"/>
  <c r="N3402" i="2"/>
  <c r="N4201" i="2"/>
  <c r="N3691" i="2"/>
  <c r="N3411" i="2"/>
  <c r="N385" i="2"/>
  <c r="N1263" i="2"/>
  <c r="N4025" i="2"/>
  <c r="N4006" i="2"/>
  <c r="N3957" i="2"/>
  <c r="N3097" i="2"/>
  <c r="N2703" i="2"/>
  <c r="N3958" i="2"/>
  <c r="N4412" i="2"/>
  <c r="N1264" i="2"/>
  <c r="N386" i="2"/>
  <c r="N4137" i="2"/>
  <c r="N4202" i="2"/>
  <c r="N3412" i="2"/>
  <c r="N3692" i="2"/>
  <c r="N3403" i="2"/>
  <c r="N3036" i="2"/>
  <c r="N4038" i="2"/>
  <c r="N333" i="2"/>
  <c r="N1364" i="2"/>
  <c r="N4007" i="2"/>
  <c r="N4026" i="2"/>
  <c r="N3404" i="2"/>
  <c r="N4093" i="2"/>
  <c r="N4094" i="2"/>
  <c r="N2704" i="2"/>
  <c r="N3211" i="2"/>
  <c r="N2705" i="2"/>
  <c r="N3405" i="2"/>
  <c r="N3693" i="2"/>
  <c r="N4203" i="2"/>
  <c r="N3413" i="2"/>
  <c r="N387" i="2"/>
  <c r="N4027" i="2"/>
  <c r="N3037" i="2"/>
  <c r="N3098" i="2"/>
  <c r="N3959" i="2"/>
  <c r="N1365" i="2"/>
  <c r="N334" i="2"/>
  <c r="N2706" i="2"/>
  <c r="N2175" i="2"/>
  <c r="N2176" i="2"/>
  <c r="N2177" i="2"/>
  <c r="N2178" i="2"/>
  <c r="N2179" i="2"/>
  <c r="N4474" i="2"/>
  <c r="N4008" i="2"/>
  <c r="N4009" i="2"/>
  <c r="N1265" i="2"/>
  <c r="N2296" i="2"/>
  <c r="N2707" i="2"/>
  <c r="N2708" i="2"/>
  <c r="N2709" i="2"/>
  <c r="N2710" i="2"/>
  <c r="N1972" i="2"/>
  <c r="N3497" i="2"/>
  <c r="N1973" i="2"/>
  <c r="N1974" i="2"/>
  <c r="N1975" i="2"/>
  <c r="N2711" i="2"/>
  <c r="N1976" i="2"/>
  <c r="N2712" i="2"/>
  <c r="N1977" i="2"/>
  <c r="N1978" i="2"/>
  <c r="N1979" i="2"/>
  <c r="N2713" i="2"/>
  <c r="N3727" i="2"/>
  <c r="N1980" i="2"/>
  <c r="N1981" i="2"/>
  <c r="N2714" i="2"/>
  <c r="N4475" i="2"/>
  <c r="N4476" i="2"/>
  <c r="N4477" i="2"/>
  <c r="N2715" i="2"/>
  <c r="N4478" i="2"/>
  <c r="N1539" i="2"/>
  <c r="N1540" i="2"/>
  <c r="N4479" i="2"/>
  <c r="N4480" i="2"/>
  <c r="N2716" i="2"/>
  <c r="N4481" i="2"/>
  <c r="N1377" i="2"/>
  <c r="N2717" i="2"/>
  <c r="N2718" i="2"/>
  <c r="N4179" i="2"/>
  <c r="N2719" i="2"/>
  <c r="N2720" i="2"/>
  <c r="N1541" i="2"/>
  <c r="N2721" i="2"/>
  <c r="N3114" i="2"/>
  <c r="N4482" i="2"/>
  <c r="N4483" i="2"/>
  <c r="N4484" i="2"/>
  <c r="N4485" i="2"/>
  <c r="N2722" i="2"/>
  <c r="N1542" i="2"/>
  <c r="N1543" i="2"/>
  <c r="N2723" i="2"/>
  <c r="N2724" i="2"/>
  <c r="N1982" i="2"/>
  <c r="N3498" i="2"/>
  <c r="N1423" i="2"/>
  <c r="N591" i="2"/>
  <c r="N1128" i="2"/>
  <c r="N163" i="2"/>
  <c r="N3499" i="2"/>
  <c r="N164" i="2"/>
  <c r="N2297" i="2"/>
  <c r="N4230" i="2"/>
  <c r="N2725" i="2"/>
  <c r="N4231" i="2"/>
  <c r="N4348" i="2"/>
  <c r="N592" i="2"/>
  <c r="N1983" i="2"/>
  <c r="N593" i="2"/>
  <c r="N594" i="2"/>
  <c r="N1129" i="2"/>
  <c r="N595" i="2"/>
  <c r="N596" i="2"/>
  <c r="N4232" i="2"/>
  <c r="N597" i="2"/>
  <c r="N598" i="2"/>
  <c r="N599" i="2"/>
  <c r="N4349" i="2"/>
  <c r="N4233" i="2"/>
  <c r="N1812" i="2"/>
  <c r="N600" i="2"/>
  <c r="N1813" i="2"/>
  <c r="N601" i="2"/>
  <c r="N4234" i="2"/>
  <c r="N3500" i="2"/>
  <c r="N2085" i="2"/>
  <c r="N602" i="2"/>
  <c r="N165" i="2"/>
  <c r="N2086" i="2"/>
  <c r="N2726" i="2"/>
  <c r="N1814" i="2"/>
  <c r="N3330" i="2"/>
  <c r="N1544" i="2"/>
  <c r="N4039" i="2"/>
  <c r="N3049" i="2"/>
  <c r="N3050" i="2"/>
  <c r="N1890" i="2"/>
  <c r="N2727" i="2"/>
  <c r="N2728" i="2"/>
  <c r="N2729" i="2"/>
  <c r="N2730" i="2"/>
  <c r="N2731" i="2"/>
  <c r="N1545" i="2"/>
  <c r="N2732" i="2"/>
  <c r="N2180" i="2"/>
  <c r="N4040" i="2"/>
  <c r="N3960" i="2"/>
  <c r="N2733" i="2"/>
  <c r="N3212" i="2"/>
  <c r="N1546" i="2"/>
  <c r="N2734" i="2"/>
  <c r="N1547" i="2"/>
  <c r="N1548" i="2"/>
  <c r="N339" i="2"/>
  <c r="N1549" i="2"/>
  <c r="N4417" i="2"/>
  <c r="N1550" i="2"/>
  <c r="N4486" i="2"/>
  <c r="N1266" i="2"/>
  <c r="N4010" i="2"/>
  <c r="N2735" i="2"/>
  <c r="N2736" i="2"/>
  <c r="N2737" i="2"/>
  <c r="N2738" i="2"/>
  <c r="N3501" i="2"/>
  <c r="N166" i="2"/>
  <c r="N603" i="2"/>
  <c r="N24" i="2"/>
  <c r="N2739" i="2"/>
  <c r="N1984" i="2"/>
  <c r="N1130" i="2"/>
  <c r="N480" i="2"/>
  <c r="N4350" i="2"/>
  <c r="N4235" i="2"/>
  <c r="N2740" i="2"/>
  <c r="N1985" i="2"/>
  <c r="N2741" i="2"/>
  <c r="N4351" i="2"/>
  <c r="N2742" i="2"/>
  <c r="N2743" i="2"/>
  <c r="N3502" i="2"/>
  <c r="N2744" i="2"/>
  <c r="N2745" i="2"/>
  <c r="N2746" i="2"/>
  <c r="N25" i="2"/>
  <c r="N26" i="2"/>
  <c r="N3427" i="2"/>
  <c r="N2747" i="2"/>
  <c r="N167" i="2"/>
  <c r="N2748" i="2"/>
  <c r="N3051" i="2"/>
  <c r="N2749" i="2"/>
  <c r="N2750" i="2"/>
  <c r="N2751" i="2"/>
  <c r="N2752" i="2"/>
  <c r="N2753" i="2"/>
  <c r="N1551" i="2"/>
  <c r="N2754" i="2"/>
  <c r="N2755" i="2"/>
  <c r="N2120" i="2"/>
  <c r="N4095" i="2"/>
  <c r="N4096" i="2"/>
  <c r="N3052" i="2"/>
  <c r="N2756" i="2"/>
  <c r="N2757" i="2"/>
  <c r="N2758" i="2"/>
  <c r="N3053" i="2"/>
  <c r="N1502" i="2"/>
  <c r="N3503" i="2"/>
  <c r="N3728" i="2"/>
  <c r="N913" i="2"/>
  <c r="N1503" i="2"/>
  <c r="N3504" i="2"/>
  <c r="N1504" i="2"/>
  <c r="N3729" i="2"/>
  <c r="N3505" i="2"/>
  <c r="N914" i="2"/>
  <c r="N3506" i="2"/>
  <c r="N1505" i="2"/>
  <c r="N3730" i="2"/>
  <c r="N3507" i="2"/>
  <c r="N915" i="2"/>
  <c r="N3731" i="2"/>
  <c r="N1506" i="2"/>
  <c r="N3508" i="2"/>
  <c r="N916" i="2"/>
  <c r="N3509" i="2"/>
  <c r="N3732" i="2"/>
  <c r="N1507" i="2"/>
  <c r="N917" i="2"/>
  <c r="N4180" i="2"/>
  <c r="N2181" i="2"/>
  <c r="N388" i="2"/>
  <c r="N3331" i="2"/>
  <c r="N3332" i="2"/>
  <c r="N389" i="2"/>
  <c r="N2182" i="2"/>
  <c r="N4181" i="2"/>
  <c r="N4182" i="2"/>
  <c r="N2183" i="2"/>
  <c r="N3333" i="2"/>
  <c r="N2184" i="2"/>
  <c r="N4183" i="2"/>
  <c r="N3334" i="2"/>
  <c r="N3961" i="2"/>
  <c r="N2759" i="2"/>
  <c r="N4011" i="2"/>
  <c r="N4012" i="2"/>
  <c r="N2760" i="2"/>
  <c r="N3510" i="2"/>
  <c r="N3511" i="2"/>
  <c r="N390" i="2"/>
  <c r="N1986" i="2"/>
  <c r="N1328" i="2"/>
  <c r="N604" i="2"/>
  <c r="N1329" i="2"/>
  <c r="N605" i="2"/>
  <c r="N168" i="2"/>
  <c r="N1424" i="2"/>
  <c r="N3733" i="2"/>
  <c r="N2087" i="2"/>
  <c r="N606" i="2"/>
  <c r="N607" i="2"/>
  <c r="N1871" i="2"/>
  <c r="N2088" i="2"/>
  <c r="N1425" i="2"/>
  <c r="N2761" i="2"/>
  <c r="N1987" i="2"/>
  <c r="N3734" i="2"/>
  <c r="N3735" i="2"/>
  <c r="N27" i="2"/>
  <c r="N3512" i="2"/>
  <c r="N3898" i="2"/>
  <c r="N3899" i="2"/>
  <c r="N608" i="2"/>
  <c r="N3900" i="2"/>
  <c r="N3901" i="2"/>
  <c r="N3902" i="2"/>
  <c r="N3736" i="2"/>
  <c r="N3737" i="2"/>
  <c r="N3738" i="2"/>
  <c r="N3739" i="2"/>
  <c r="N3740" i="2"/>
  <c r="N3741" i="2"/>
  <c r="N3742" i="2"/>
  <c r="N967" i="2"/>
  <c r="N968" i="2"/>
  <c r="N1988" i="2"/>
  <c r="N918" i="2"/>
  <c r="N3259" i="2"/>
  <c r="N3260" i="2"/>
  <c r="N3261" i="2"/>
  <c r="N3262" i="2"/>
  <c r="N3903" i="2"/>
  <c r="N3263" i="2"/>
  <c r="N3904" i="2"/>
  <c r="N3905" i="2"/>
  <c r="N3906" i="2"/>
  <c r="N3907" i="2"/>
  <c r="N609" i="2"/>
  <c r="N610" i="2"/>
  <c r="N3743" i="2"/>
  <c r="N3744" i="2"/>
  <c r="N3745" i="2"/>
  <c r="N969" i="2"/>
  <c r="N169" i="2"/>
  <c r="N170" i="2"/>
  <c r="N28" i="2"/>
  <c r="N171" i="2"/>
  <c r="N103" i="2"/>
  <c r="N3264" i="2"/>
  <c r="N1989" i="2"/>
  <c r="N1990" i="2"/>
  <c r="N1991" i="2"/>
  <c r="N1992" i="2"/>
  <c r="N1993" i="2"/>
  <c r="N1426" i="2"/>
  <c r="N4236" i="2"/>
  <c r="N104" i="2"/>
  <c r="N1427" i="2"/>
  <c r="N1994" i="2"/>
  <c r="N1995" i="2"/>
  <c r="N1996" i="2"/>
  <c r="N3265" i="2"/>
  <c r="N3266" i="2"/>
  <c r="N4237" i="2"/>
  <c r="N4238" i="2"/>
  <c r="N29" i="2"/>
  <c r="N611" i="2"/>
  <c r="N2089" i="2"/>
  <c r="N30" i="2"/>
  <c r="N612" i="2"/>
  <c r="N970" i="2"/>
  <c r="N1428" i="2"/>
  <c r="N971" i="2"/>
  <c r="N972" i="2"/>
  <c r="N3746" i="2"/>
  <c r="N172" i="2"/>
  <c r="N173" i="2"/>
  <c r="N613" i="2"/>
  <c r="N1429" i="2"/>
  <c r="N1430" i="2"/>
  <c r="N3267" i="2"/>
  <c r="N1997" i="2"/>
  <c r="N1998" i="2"/>
  <c r="N1999" i="2"/>
  <c r="N614" i="2"/>
  <c r="N1815" i="2"/>
  <c r="N1816" i="2"/>
  <c r="N105" i="2"/>
  <c r="N106" i="2"/>
  <c r="N107" i="2"/>
  <c r="N108" i="2"/>
  <c r="N109" i="2"/>
  <c r="N110" i="2"/>
  <c r="N111" i="2"/>
  <c r="N112" i="2"/>
  <c r="N113" i="2"/>
  <c r="N31" i="2"/>
  <c r="N32" i="2"/>
  <c r="N973" i="2"/>
  <c r="N1431" i="2"/>
  <c r="N1432" i="2"/>
  <c r="N2000" i="2"/>
  <c r="N1817" i="2"/>
  <c r="N615" i="2"/>
  <c r="N2762" i="2"/>
  <c r="N2763" i="2"/>
  <c r="N616" i="2"/>
  <c r="N33" i="2"/>
  <c r="N1818" i="2"/>
  <c r="N34" i="2"/>
  <c r="N35" i="2"/>
  <c r="N36" i="2"/>
  <c r="N2764" i="2"/>
  <c r="N2001" i="2"/>
  <c r="N617" i="2"/>
  <c r="N618" i="2"/>
  <c r="N619" i="2"/>
  <c r="N3268" i="2"/>
  <c r="N4239" i="2"/>
  <c r="N2002" i="2"/>
  <c r="N620" i="2"/>
  <c r="N621" i="2"/>
  <c r="N622" i="2"/>
  <c r="N1433" i="2"/>
  <c r="N3269" i="2"/>
  <c r="N3270" i="2"/>
  <c r="N1508" i="2"/>
  <c r="N1819" i="2"/>
  <c r="N1131" i="2"/>
  <c r="N4352" i="2"/>
  <c r="N3747" i="2"/>
  <c r="N4240" i="2"/>
  <c r="N623" i="2"/>
  <c r="N2003" i="2"/>
  <c r="N2004" i="2"/>
  <c r="N1509" i="2"/>
  <c r="N3428" i="2"/>
  <c r="N2005" i="2"/>
  <c r="N3429" i="2"/>
  <c r="N3430" i="2"/>
  <c r="N3513" i="2"/>
  <c r="N37" i="2"/>
  <c r="N2006" i="2"/>
  <c r="N2007" i="2"/>
  <c r="N1434" i="2"/>
  <c r="N2008" i="2"/>
  <c r="N3908" i="2"/>
  <c r="N3909" i="2"/>
  <c r="N3910" i="2"/>
  <c r="N624" i="2"/>
  <c r="N3514" i="2"/>
  <c r="N1820" i="2"/>
  <c r="N974" i="2"/>
  <c r="N975" i="2"/>
  <c r="N976" i="2"/>
  <c r="N2765" i="2"/>
  <c r="N2766" i="2"/>
  <c r="N4241" i="2"/>
  <c r="N4242" i="2"/>
  <c r="N2767" i="2"/>
  <c r="N2009" i="2"/>
  <c r="N2010" i="2"/>
  <c r="N3431" i="2"/>
  <c r="N3885" i="2"/>
  <c r="N625" i="2"/>
  <c r="N2011" i="2"/>
  <c r="N1510" i="2"/>
  <c r="N626" i="2"/>
  <c r="N2768" i="2"/>
  <c r="N627" i="2"/>
  <c r="N3271" i="2"/>
  <c r="N3272" i="2"/>
  <c r="N628" i="2"/>
  <c r="N629" i="2"/>
  <c r="N630" i="2"/>
  <c r="N631" i="2"/>
  <c r="N632" i="2"/>
  <c r="N3273" i="2"/>
  <c r="N1435" i="2"/>
  <c r="N633" i="2"/>
  <c r="N634" i="2"/>
  <c r="N2298" i="2"/>
  <c r="N977" i="2"/>
  <c r="N3274" i="2"/>
  <c r="N635" i="2"/>
  <c r="N3515" i="2"/>
  <c r="N636" i="2"/>
  <c r="N637" i="2"/>
  <c r="N638" i="2"/>
  <c r="N639" i="2"/>
  <c r="N3748" i="2"/>
  <c r="N640" i="2"/>
  <c r="N641" i="2"/>
  <c r="N3911" i="2"/>
  <c r="N3912" i="2"/>
  <c r="N642" i="2"/>
  <c r="N174" i="2"/>
  <c r="N978" i="2"/>
  <c r="N979" i="2"/>
  <c r="N3275" i="2"/>
  <c r="N3276" i="2"/>
  <c r="N3277" i="2"/>
  <c r="N3278" i="2"/>
  <c r="N3279" i="2"/>
  <c r="N3280" i="2"/>
  <c r="N175" i="2"/>
  <c r="N176" i="2"/>
  <c r="N177" i="2"/>
  <c r="N38" i="2"/>
  <c r="N643" i="2"/>
  <c r="N3516" i="2"/>
  <c r="N980" i="2"/>
  <c r="N3281" i="2"/>
  <c r="N1436" i="2"/>
  <c r="N3282" i="2"/>
  <c r="N3432" i="2"/>
  <c r="N4353" i="2"/>
  <c r="N3433" i="2"/>
  <c r="N3913" i="2"/>
  <c r="N3434" i="2"/>
  <c r="N178" i="2"/>
  <c r="N179" i="2"/>
  <c r="N180" i="2"/>
  <c r="N3435" i="2"/>
  <c r="N1511" i="2"/>
  <c r="N3091" i="2"/>
  <c r="N644" i="2"/>
  <c r="N3517" i="2"/>
  <c r="N3914" i="2"/>
  <c r="N3462" i="2"/>
  <c r="N3436" i="2"/>
  <c r="N3749" i="2"/>
  <c r="N3437" i="2"/>
  <c r="N645" i="2"/>
  <c r="N1437" i="2"/>
  <c r="N646" i="2"/>
  <c r="N1132" i="2"/>
  <c r="N1133" i="2"/>
  <c r="N3438" i="2"/>
  <c r="N181" i="2"/>
  <c r="N182" i="2"/>
  <c r="N183" i="2"/>
  <c r="N981" i="2"/>
  <c r="N1438" i="2"/>
  <c r="N3750" i="2"/>
  <c r="N3751" i="2"/>
  <c r="N184" i="2"/>
  <c r="N3752" i="2"/>
  <c r="N3753" i="2"/>
  <c r="N3754" i="2"/>
  <c r="N647" i="2"/>
  <c r="N3439" i="2"/>
  <c r="N2299" i="2"/>
  <c r="N3283" i="2"/>
  <c r="N1512" i="2"/>
  <c r="N648" i="2"/>
  <c r="N3755" i="2"/>
  <c r="N3756" i="2"/>
  <c r="N649" i="2"/>
  <c r="N3284" i="2"/>
  <c r="N650" i="2"/>
  <c r="N3285" i="2"/>
  <c r="N3092" i="2"/>
  <c r="N3915" i="2"/>
  <c r="N651" i="2"/>
  <c r="N3757" i="2"/>
  <c r="N652" i="2"/>
  <c r="N39" i="2"/>
  <c r="N2012" i="2"/>
  <c r="N3440" i="2"/>
  <c r="N185" i="2"/>
  <c r="N186" i="2"/>
  <c r="N3441" i="2"/>
  <c r="N3442" i="2"/>
  <c r="N2300" i="2"/>
  <c r="N2301" i="2"/>
  <c r="N3758" i="2"/>
  <c r="N3916" i="2"/>
  <c r="N187" i="2"/>
  <c r="N188" i="2"/>
  <c r="N189" i="2"/>
  <c r="N1513" i="2"/>
  <c r="N3759" i="2"/>
  <c r="N40" i="2"/>
  <c r="N2302" i="2"/>
  <c r="N3917" i="2"/>
  <c r="N3760" i="2"/>
  <c r="N3761" i="2"/>
  <c r="N653" i="2"/>
  <c r="N654" i="2"/>
  <c r="N190" i="2"/>
  <c r="N3443" i="2"/>
  <c r="N3762" i="2"/>
  <c r="N3763" i="2"/>
  <c r="N3764" i="2"/>
  <c r="N3286" i="2"/>
  <c r="N191" i="2"/>
  <c r="N192" i="2"/>
  <c r="N193" i="2"/>
  <c r="N194" i="2"/>
  <c r="N195" i="2"/>
  <c r="N3518" i="2"/>
  <c r="N4243" i="2"/>
  <c r="N655" i="2"/>
  <c r="N656" i="2"/>
  <c r="N3765" i="2"/>
  <c r="N3766" i="2"/>
  <c r="N4244" i="2"/>
  <c r="N41" i="2"/>
  <c r="N3287" i="2"/>
  <c r="N3288" i="2"/>
  <c r="N3289" i="2"/>
  <c r="N196" i="2"/>
  <c r="N1134" i="2"/>
  <c r="N1135" i="2"/>
  <c r="N657" i="2"/>
  <c r="N3444" i="2"/>
  <c r="N42" i="2"/>
  <c r="N3767" i="2"/>
  <c r="N3768" i="2"/>
  <c r="N481" i="2"/>
  <c r="N3445" i="2"/>
  <c r="N3290" i="2"/>
  <c r="N3291" i="2"/>
  <c r="N3769" i="2"/>
  <c r="N3770" i="2"/>
  <c r="N197" i="2"/>
  <c r="N3771" i="2"/>
  <c r="N43" i="2"/>
  <c r="N3772" i="2"/>
  <c r="N3773" i="2"/>
  <c r="N1136" i="2"/>
  <c r="N3446" i="2"/>
  <c r="N3918" i="2"/>
  <c r="N3774" i="2"/>
  <c r="N3775" i="2"/>
  <c r="N3776" i="2"/>
  <c r="N3777" i="2"/>
  <c r="N44" i="2"/>
  <c r="N45" i="2"/>
  <c r="N3778" i="2"/>
  <c r="N3447" i="2"/>
  <c r="N658" i="2"/>
  <c r="N46" i="2"/>
  <c r="N1439" i="2"/>
  <c r="N1440" i="2"/>
  <c r="N3448" i="2"/>
  <c r="N3292" i="2"/>
  <c r="N982" i="2"/>
  <c r="N47" i="2"/>
  <c r="N3293" i="2"/>
  <c r="N3294" i="2"/>
  <c r="N3295" i="2"/>
  <c r="N1137" i="2"/>
  <c r="N3449" i="2"/>
  <c r="N48" i="2"/>
  <c r="N3779" i="2"/>
  <c r="N3780" i="2"/>
  <c r="N3781" i="2"/>
  <c r="N3782" i="2"/>
  <c r="N3296" i="2"/>
  <c r="N3519" i="2"/>
  <c r="N4354" i="2"/>
  <c r="N3297" i="2"/>
  <c r="N3298" i="2"/>
  <c r="N3783" i="2"/>
  <c r="N2303" i="2"/>
  <c r="N1441" i="2"/>
  <c r="N3299" i="2"/>
  <c r="N3784" i="2"/>
  <c r="N1442" i="2"/>
  <c r="N198" i="2"/>
  <c r="N3520" i="2"/>
  <c r="N3521" i="2"/>
  <c r="N3522" i="2"/>
  <c r="N2304" i="2"/>
  <c r="N3523" i="2"/>
  <c r="N659" i="2"/>
  <c r="N1138" i="2"/>
  <c r="N3524" i="2"/>
  <c r="N3785" i="2"/>
  <c r="N660" i="2"/>
  <c r="N2305" i="2"/>
  <c r="N199" i="2"/>
  <c r="N1139" i="2"/>
  <c r="N661" i="2"/>
  <c r="N3786" i="2"/>
  <c r="N3787" i="2"/>
  <c r="N3788" i="2"/>
  <c r="N3789" i="2"/>
  <c r="N3790" i="2"/>
  <c r="N3791" i="2"/>
  <c r="N2306" i="2"/>
  <c r="N2307" i="2"/>
  <c r="N4308" i="2"/>
  <c r="N2308" i="2"/>
  <c r="N3792" i="2"/>
  <c r="N2309" i="2"/>
  <c r="N3793" i="2"/>
  <c r="N2310" i="2"/>
  <c r="N983" i="2"/>
  <c r="N984" i="2"/>
  <c r="N3794" i="2"/>
  <c r="N3795" i="2"/>
  <c r="N200" i="2"/>
  <c r="N201" i="2"/>
  <c r="N3796" i="2"/>
  <c r="N3797" i="2"/>
  <c r="N202" i="2"/>
  <c r="N49" i="2"/>
  <c r="N203" i="2"/>
  <c r="N3798" i="2"/>
  <c r="N3799" i="2"/>
  <c r="N3525" i="2"/>
  <c r="N204" i="2"/>
  <c r="N205" i="2"/>
  <c r="N206" i="2"/>
  <c r="N3300" i="2"/>
  <c r="N1821" i="2"/>
  <c r="N1822" i="2"/>
  <c r="N207" i="2"/>
  <c r="N3301" i="2"/>
  <c r="N50" i="2"/>
  <c r="N662" i="2"/>
  <c r="N1443" i="2"/>
  <c r="N3800" i="2"/>
  <c r="N1823" i="2"/>
  <c r="N51" i="2"/>
  <c r="N1140" i="2"/>
  <c r="N52" i="2"/>
  <c r="N208" i="2"/>
  <c r="N3801" i="2"/>
  <c r="N4309" i="2"/>
  <c r="N3302" i="2"/>
  <c r="N985" i="2"/>
  <c r="N663" i="2"/>
  <c r="N664" i="2"/>
  <c r="N3802" i="2"/>
  <c r="N3803" i="2"/>
  <c r="N3804" i="2"/>
  <c r="N209" i="2"/>
  <c r="N3805" i="2"/>
  <c r="N3303" i="2"/>
  <c r="N3304" i="2"/>
  <c r="N210" i="2"/>
  <c r="N3806" i="2"/>
  <c r="N3305" i="2"/>
  <c r="N4310" i="2"/>
  <c r="N3526" i="2"/>
  <c r="N3807" i="2"/>
  <c r="N986" i="2"/>
  <c r="N3808" i="2"/>
  <c r="N4355" i="2"/>
  <c r="N4311" i="2"/>
  <c r="N3809" i="2"/>
  <c r="N4312" i="2"/>
  <c r="N4245" i="2"/>
  <c r="N4356" i="2"/>
  <c r="N3306" i="2"/>
  <c r="N3810" i="2"/>
  <c r="N987" i="2"/>
  <c r="N4357" i="2"/>
  <c r="N1141" i="2"/>
  <c r="N4358" i="2"/>
  <c r="N3811" i="2"/>
  <c r="N4246" i="2"/>
  <c r="N4247" i="2"/>
  <c r="N4313" i="2"/>
  <c r="N4314" i="2"/>
  <c r="N3812" i="2"/>
  <c r="N3813" i="2"/>
  <c r="N3307" i="2"/>
  <c r="N3308" i="2"/>
  <c r="N3527" i="2"/>
  <c r="N4359" i="2"/>
  <c r="N3814" i="2"/>
  <c r="N4248" i="2"/>
  <c r="N4249" i="2"/>
  <c r="N4360" i="2"/>
  <c r="N3815" i="2"/>
  <c r="N4361" i="2"/>
  <c r="N4315" i="2"/>
  <c r="N665" i="2"/>
  <c r="N4316" i="2"/>
  <c r="N1142" i="2"/>
  <c r="N3816" i="2"/>
  <c r="N3817" i="2"/>
  <c r="N3818" i="2"/>
  <c r="N3819" i="2"/>
  <c r="N3820" i="2"/>
  <c r="N988" i="2"/>
  <c r="N1143" i="2"/>
  <c r="N4250" i="2"/>
  <c r="N4362" i="2"/>
  <c r="N4317" i="2"/>
  <c r="N3821" i="2"/>
  <c r="N4318" i="2"/>
  <c r="N3822" i="2"/>
  <c r="N3528" i="2"/>
  <c r="N53" i="2"/>
  <c r="N4319" i="2"/>
  <c r="N666" i="2"/>
  <c r="N482" i="2"/>
  <c r="N4251" i="2"/>
  <c r="N4363" i="2"/>
  <c r="N1144" i="2"/>
  <c r="N483" i="2"/>
  <c r="N667" i="2"/>
  <c r="N4364" i="2"/>
  <c r="N3529" i="2"/>
  <c r="N1145" i="2"/>
  <c r="N211" i="2"/>
  <c r="N668" i="2"/>
  <c r="N4365" i="2"/>
  <c r="N669" i="2"/>
  <c r="N670" i="2"/>
  <c r="N3309" i="2"/>
  <c r="N671" i="2"/>
  <c r="N4366" i="2"/>
  <c r="N3310" i="2"/>
  <c r="N989" i="2"/>
  <c r="N990" i="2"/>
  <c r="N3311" i="2"/>
  <c r="N2013" i="2"/>
  <c r="N484" i="2"/>
  <c r="N672" i="2"/>
  <c r="N3312" i="2"/>
  <c r="N991" i="2"/>
  <c r="N992" i="2"/>
  <c r="N673" i="2"/>
  <c r="N485" i="2"/>
  <c r="N212" i="2"/>
  <c r="N993" i="2"/>
  <c r="N486" i="2"/>
  <c r="N487" i="2"/>
  <c r="N488" i="2"/>
  <c r="N1146" i="2"/>
  <c r="N4367" i="2"/>
  <c r="N674" i="2"/>
  <c r="N1147" i="2"/>
  <c r="N4368" i="2"/>
  <c r="N1148" i="2"/>
  <c r="N1149" i="2"/>
  <c r="N994" i="2"/>
  <c r="N4369" i="2"/>
  <c r="N4252" i="2"/>
  <c r="N4320" i="2"/>
  <c r="N4370" i="2"/>
  <c r="N213" i="2"/>
  <c r="N4371" i="2"/>
  <c r="N4372" i="2"/>
  <c r="N489" i="2"/>
  <c r="N1150" i="2"/>
  <c r="N4373" i="2"/>
  <c r="N490" i="2"/>
  <c r="N995" i="2"/>
  <c r="N491" i="2"/>
  <c r="N492" i="2"/>
  <c r="N3530" i="2"/>
  <c r="N1151" i="2"/>
  <c r="N4374" i="2"/>
  <c r="N1824" i="2"/>
  <c r="N675" i="2"/>
  <c r="N1825" i="2"/>
  <c r="N996" i="2"/>
  <c r="N4375" i="2"/>
  <c r="N493" i="2"/>
  <c r="N4376" i="2"/>
  <c r="N1152" i="2"/>
  <c r="N676" i="2"/>
  <c r="N494" i="2"/>
  <c r="N495" i="2"/>
  <c r="N997" i="2"/>
  <c r="N214" i="2"/>
  <c r="N54" i="2"/>
  <c r="N677" i="2"/>
  <c r="N2311" i="2"/>
  <c r="N678" i="2"/>
  <c r="N679" i="2"/>
  <c r="N496" i="2"/>
  <c r="N680" i="2"/>
  <c r="N3531" i="2"/>
  <c r="N3532" i="2"/>
  <c r="N681" i="2"/>
  <c r="N998" i="2"/>
  <c r="N999" i="2"/>
  <c r="N1000" i="2"/>
  <c r="N682" i="2"/>
  <c r="N215" i="2"/>
  <c r="N1153" i="2"/>
  <c r="N216" i="2"/>
  <c r="N217" i="2"/>
  <c r="N1154" i="2"/>
  <c r="N218" i="2"/>
  <c r="N683" i="2"/>
  <c r="N4377" i="2"/>
  <c r="N684" i="2"/>
  <c r="N685" i="2"/>
  <c r="N686" i="2"/>
  <c r="N687" i="2"/>
  <c r="N688" i="2"/>
  <c r="N689" i="2"/>
  <c r="N690" i="2"/>
  <c r="N3823" i="2"/>
  <c r="N3824" i="2"/>
  <c r="N691" i="2"/>
  <c r="N692" i="2"/>
  <c r="N4378" i="2"/>
  <c r="N3825" i="2"/>
  <c r="N3826" i="2"/>
  <c r="N1001" i="2"/>
  <c r="N3827" i="2"/>
  <c r="N3828" i="2"/>
  <c r="N219" i="2"/>
  <c r="N693" i="2"/>
  <c r="N220" i="2"/>
  <c r="N694" i="2"/>
  <c r="N695" i="2"/>
  <c r="N696" i="2"/>
  <c r="N697" i="2"/>
  <c r="N698" i="2"/>
  <c r="N221" i="2"/>
  <c r="N699" i="2"/>
  <c r="N1002" i="2"/>
  <c r="N222" i="2"/>
  <c r="N700" i="2"/>
  <c r="N223" i="2"/>
  <c r="N1826" i="2"/>
  <c r="N224" i="2"/>
  <c r="N4379" i="2"/>
  <c r="N701" i="2"/>
  <c r="N55" i="2"/>
  <c r="N497" i="2"/>
  <c r="N498" i="2"/>
  <c r="N702" i="2"/>
  <c r="N703" i="2"/>
  <c r="N704" i="2"/>
  <c r="N705" i="2"/>
  <c r="N1155" i="2"/>
  <c r="N499" i="2"/>
  <c r="N1156" i="2"/>
  <c r="N1157" i="2"/>
  <c r="N3533" i="2"/>
  <c r="N3534" i="2"/>
  <c r="N1158" i="2"/>
  <c r="N500" i="2"/>
  <c r="N501" i="2"/>
  <c r="N1159" i="2"/>
  <c r="N4253" i="2"/>
  <c r="N225" i="2"/>
  <c r="N3535" i="2"/>
  <c r="N3536" i="2"/>
  <c r="N4380" i="2"/>
  <c r="N3829" i="2"/>
  <c r="N3537" i="2"/>
  <c r="N3538" i="2"/>
  <c r="N3539" i="2"/>
  <c r="N114" i="2"/>
  <c r="N4381" i="2"/>
  <c r="N226" i="2"/>
  <c r="N227" i="2"/>
  <c r="N879" i="2"/>
  <c r="N4254" i="2"/>
  <c r="N4255" i="2"/>
  <c r="N4256" i="2"/>
  <c r="N4257" i="2"/>
  <c r="N3540" i="2"/>
  <c r="N2769" i="2"/>
  <c r="N3541" i="2"/>
  <c r="N4258" i="2"/>
  <c r="N3542" i="2"/>
  <c r="N880" i="2"/>
  <c r="N881" i="2"/>
  <c r="N882" i="2"/>
  <c r="N883" i="2"/>
  <c r="N3543" i="2"/>
  <c r="N3544" i="2"/>
  <c r="N3545" i="2"/>
  <c r="N884" i="2"/>
  <c r="N3546" i="2"/>
  <c r="N56" i="2"/>
  <c r="N3547" i="2"/>
  <c r="N885" i="2"/>
  <c r="N228" i="2"/>
  <c r="N3028" i="2"/>
  <c r="N229" i="2"/>
  <c r="N3548" i="2"/>
  <c r="N886" i="2"/>
  <c r="N230" i="2"/>
  <c r="N887" i="2"/>
  <c r="N231" i="2"/>
  <c r="N57" i="2"/>
  <c r="N3549" i="2"/>
  <c r="N888" i="2"/>
  <c r="N3550" i="2"/>
  <c r="N3551" i="2"/>
  <c r="N3552" i="2"/>
  <c r="N2014" i="2"/>
  <c r="N502" i="2"/>
  <c r="N3553" i="2"/>
  <c r="N919" i="2"/>
  <c r="N3554" i="2"/>
  <c r="N503" i="2"/>
  <c r="N4382" i="2"/>
  <c r="N4259" i="2"/>
  <c r="N504" i="2"/>
  <c r="N889" i="2"/>
  <c r="N4383" i="2"/>
  <c r="N4260" i="2"/>
  <c r="N3029" i="2"/>
  <c r="N2090" i="2"/>
  <c r="N2091" i="2"/>
  <c r="N3919" i="2"/>
  <c r="N1827" i="2"/>
  <c r="N1828" i="2"/>
  <c r="N232" i="2"/>
  <c r="N706" i="2"/>
  <c r="N920" i="2"/>
  <c r="N921" i="2"/>
  <c r="N4261" i="2"/>
  <c r="N505" i="2"/>
  <c r="N506" i="2"/>
  <c r="N507" i="2"/>
  <c r="N922" i="2"/>
  <c r="N3920" i="2"/>
  <c r="N4262" i="2"/>
  <c r="N233" i="2"/>
  <c r="N4263" i="2"/>
  <c r="N4264" i="2"/>
  <c r="N4265" i="2"/>
  <c r="N4266" i="2"/>
  <c r="N3830" i="2"/>
  <c r="N3831" i="2"/>
  <c r="N2092" i="2"/>
  <c r="N707" i="2"/>
  <c r="N3832" i="2"/>
  <c r="N708" i="2"/>
  <c r="N4267" i="2"/>
  <c r="N4268" i="2"/>
  <c r="N923" i="2"/>
  <c r="N890" i="2"/>
  <c r="N4384" i="2"/>
  <c r="N3833" i="2"/>
  <c r="N508" i="2"/>
  <c r="N509" i="2"/>
  <c r="N4321" i="2"/>
  <c r="N3834" i="2"/>
  <c r="N709" i="2"/>
  <c r="N4385" i="2"/>
  <c r="N4386" i="2"/>
  <c r="N3835" i="2"/>
  <c r="N234" i="2"/>
  <c r="N3555" i="2"/>
  <c r="N3836" i="2"/>
  <c r="N924" i="2"/>
  <c r="N3837" i="2"/>
  <c r="N4387" i="2"/>
  <c r="N235" i="2"/>
  <c r="N510" i="2"/>
  <c r="N4388" i="2"/>
  <c r="N1003" i="2"/>
  <c r="N925" i="2"/>
  <c r="N926" i="2"/>
  <c r="N710" i="2"/>
  <c r="N711" i="2"/>
  <c r="N236" i="2"/>
  <c r="N712" i="2"/>
  <c r="N713" i="2"/>
  <c r="N714" i="2"/>
  <c r="N237" i="2"/>
  <c r="N927" i="2"/>
  <c r="N715" i="2"/>
  <c r="N716" i="2"/>
  <c r="N511" i="2"/>
  <c r="N3838" i="2"/>
  <c r="N1514" i="2"/>
  <c r="N928" i="2"/>
  <c r="N58" i="2"/>
  <c r="N59" i="2"/>
  <c r="N929" i="2"/>
  <c r="N3839" i="2"/>
  <c r="N3840" i="2"/>
  <c r="N238" i="2"/>
  <c r="N4269" i="2"/>
  <c r="N717" i="2"/>
  <c r="N3841" i="2"/>
  <c r="N718" i="2"/>
  <c r="N1829" i="2"/>
  <c r="N3556" i="2"/>
  <c r="N1515" i="2"/>
  <c r="N1830" i="2"/>
  <c r="N1831" i="2"/>
  <c r="N60" i="2"/>
  <c r="N61" i="2"/>
  <c r="N1832" i="2"/>
  <c r="N1833" i="2"/>
  <c r="N1834" i="2"/>
  <c r="N512" i="2"/>
  <c r="N513" i="2"/>
  <c r="N2312" i="2"/>
  <c r="N1835" i="2"/>
  <c r="N62" i="2"/>
  <c r="N3842" i="2"/>
  <c r="N3843" i="2"/>
  <c r="N1004" i="2"/>
  <c r="N1516" i="2"/>
  <c r="N4270" i="2"/>
  <c r="N1836" i="2"/>
  <c r="N514" i="2"/>
  <c r="N239" i="2"/>
  <c r="N1837" i="2"/>
  <c r="N240" i="2"/>
  <c r="N241" i="2"/>
  <c r="N242" i="2"/>
  <c r="N1838" i="2"/>
  <c r="N243" i="2"/>
  <c r="N4271" i="2"/>
  <c r="N1839" i="2"/>
  <c r="N1517" i="2"/>
  <c r="N719" i="2"/>
  <c r="N720" i="2"/>
  <c r="N244" i="2"/>
  <c r="N245" i="2"/>
  <c r="N1840" i="2"/>
  <c r="N721" i="2"/>
  <c r="N3844" i="2"/>
  <c r="N1841" i="2"/>
  <c r="N246" i="2"/>
  <c r="N247" i="2"/>
  <c r="N248" i="2"/>
  <c r="N249" i="2"/>
  <c r="N4272" i="2"/>
  <c r="N722" i="2"/>
  <c r="N3557" i="2"/>
  <c r="N515" i="2"/>
  <c r="N723" i="2"/>
  <c r="N250" i="2"/>
  <c r="N251" i="2"/>
  <c r="N252" i="2"/>
  <c r="N3558" i="2"/>
  <c r="N3559" i="2"/>
  <c r="N1518" i="2"/>
  <c r="N4273" i="2"/>
  <c r="N3845" i="2"/>
  <c r="N724" i="2"/>
  <c r="N725" i="2"/>
  <c r="N726" i="2"/>
  <c r="N727" i="2"/>
  <c r="N728" i="2"/>
  <c r="N729" i="2"/>
  <c r="N3560" i="2"/>
  <c r="N63" i="2"/>
  <c r="N730" i="2"/>
  <c r="N731" i="2"/>
  <c r="N1519" i="2"/>
  <c r="N1520" i="2"/>
  <c r="N253" i="2"/>
  <c r="N3846" i="2"/>
  <c r="N254" i="2"/>
  <c r="N891" i="2"/>
  <c r="N1521" i="2"/>
  <c r="N732" i="2"/>
  <c r="N733" i="2"/>
  <c r="N734" i="2"/>
  <c r="N255" i="2"/>
  <c r="N735" i="2"/>
  <c r="N736" i="2"/>
  <c r="N3561" i="2"/>
  <c r="N4274" i="2"/>
  <c r="N4275" i="2"/>
  <c r="N256" i="2"/>
  <c r="N737" i="2"/>
  <c r="N738" i="2"/>
  <c r="N1005" i="2"/>
  <c r="N1006" i="2"/>
  <c r="N1522" i="2"/>
  <c r="N1523" i="2"/>
  <c r="N3847" i="2"/>
  <c r="N3848" i="2"/>
  <c r="N3849" i="2"/>
  <c r="N1007" i="2"/>
  <c r="N3562" i="2"/>
  <c r="N892" i="2"/>
  <c r="N257" i="2"/>
  <c r="N258" i="2"/>
  <c r="N3850" i="2"/>
  <c r="N1008" i="2"/>
  <c r="N1009" i="2"/>
  <c r="N3563" i="2"/>
  <c r="N3851" i="2"/>
  <c r="N3852" i="2"/>
  <c r="N1010" i="2"/>
  <c r="N1011" i="2"/>
  <c r="N1012" i="2"/>
  <c r="N516" i="2"/>
  <c r="N259" i="2"/>
  <c r="N930" i="2"/>
  <c r="N64" i="2"/>
  <c r="N260" i="2"/>
  <c r="N739" i="2"/>
  <c r="N1330" i="2"/>
  <c r="N740" i="2"/>
  <c r="N1331" i="2"/>
  <c r="N65" i="2"/>
  <c r="N1332" i="2"/>
  <c r="N1333" i="2"/>
  <c r="N3853" i="2"/>
  <c r="N3564" i="2"/>
  <c r="N4389" i="2"/>
  <c r="N3854" i="2"/>
  <c r="N261" i="2"/>
  <c r="N741" i="2"/>
  <c r="N262" i="2"/>
  <c r="N742" i="2"/>
  <c r="N3855" i="2"/>
  <c r="N2015" i="2"/>
  <c r="N743" i="2"/>
  <c r="N931" i="2"/>
  <c r="N744" i="2"/>
  <c r="N745" i="2"/>
  <c r="N517" i="2"/>
  <c r="N66" i="2"/>
  <c r="N3856" i="2"/>
  <c r="N1334" i="2"/>
  <c r="N932" i="2"/>
  <c r="N1335" i="2"/>
  <c r="N933" i="2"/>
  <c r="N1842" i="2"/>
  <c r="N746" i="2"/>
  <c r="N1336" i="2"/>
  <c r="N1524" i="2"/>
  <c r="N263" i="2"/>
  <c r="N264" i="2"/>
  <c r="N747" i="2"/>
  <c r="N748" i="2"/>
  <c r="N749" i="2"/>
  <c r="N750" i="2"/>
  <c r="N751" i="2"/>
  <c r="N752" i="2"/>
  <c r="N753" i="2"/>
  <c r="N3857" i="2"/>
  <c r="N3858" i="2"/>
  <c r="N934" i="2"/>
  <c r="N3859" i="2"/>
  <c r="N3860" i="2"/>
  <c r="N3861" i="2"/>
  <c r="N3862" i="2"/>
  <c r="N3863" i="2"/>
  <c r="N3864" i="2"/>
  <c r="N3865" i="2"/>
  <c r="N3866" i="2"/>
  <c r="N3867" i="2"/>
  <c r="N3868" i="2"/>
  <c r="N935" i="2"/>
  <c r="N265" i="2"/>
  <c r="N266" i="2"/>
  <c r="N267" i="2"/>
  <c r="N3869" i="2"/>
  <c r="N1337" i="2"/>
  <c r="N936" i="2"/>
  <c r="N1843" i="2"/>
  <c r="N1338" i="2"/>
  <c r="N937" i="2"/>
  <c r="N754" i="2"/>
  <c r="N755" i="2"/>
  <c r="N1339" i="2"/>
  <c r="N756" i="2"/>
  <c r="N3870" i="2"/>
  <c r="N3871" i="2"/>
  <c r="N3872" i="2"/>
  <c r="N3873" i="2"/>
  <c r="N3565" i="2"/>
  <c r="N2093" i="2"/>
  <c r="N893" i="2"/>
  <c r="N894" i="2"/>
  <c r="N938" i="2"/>
  <c r="N4276" i="2"/>
  <c r="N895" i="2"/>
  <c r="N4277" i="2"/>
  <c r="N757" i="2"/>
  <c r="N758" i="2"/>
  <c r="N3874" i="2"/>
  <c r="N3875" i="2"/>
  <c r="N1525" i="2"/>
  <c r="N268" i="2"/>
  <c r="N2016" i="2"/>
  <c r="N1013" i="2"/>
  <c r="N759" i="2"/>
  <c r="N3313" i="2"/>
  <c r="N2094" i="2"/>
  <c r="N4278" i="2"/>
  <c r="N518" i="2"/>
  <c r="N939" i="2"/>
  <c r="N4279" i="2"/>
  <c r="N4280" i="2"/>
  <c r="N4281" i="2"/>
  <c r="N1340" i="2"/>
  <c r="N1341" i="2"/>
  <c r="N760" i="2"/>
  <c r="N761" i="2"/>
  <c r="N269" i="2"/>
  <c r="N3876" i="2"/>
  <c r="N1844" i="2"/>
  <c r="N1845" i="2"/>
  <c r="N1846" i="2"/>
  <c r="N1847" i="2"/>
  <c r="N4282" i="2"/>
  <c r="N1848" i="2"/>
  <c r="N1849" i="2"/>
  <c r="N1850" i="2"/>
  <c r="N2095" i="2"/>
  <c r="N940" i="2"/>
  <c r="N270" i="2"/>
  <c r="N519" i="2"/>
  <c r="N520" i="2"/>
  <c r="N762" i="2"/>
  <c r="N763" i="2"/>
  <c r="N764" i="2"/>
  <c r="N765" i="2"/>
  <c r="N766" i="2"/>
  <c r="N3566" i="2"/>
  <c r="N1851" i="2"/>
  <c r="N1852" i="2"/>
  <c r="N1853" i="2"/>
  <c r="N767" i="2"/>
  <c r="N1342" i="2"/>
  <c r="N521" i="2"/>
  <c r="N1444" i="2"/>
  <c r="N768" i="2"/>
  <c r="N522" i="2"/>
  <c r="N3567" i="2"/>
  <c r="N1343" i="2"/>
  <c r="N3568" i="2"/>
  <c r="N1854" i="2"/>
  <c r="N1160" i="2"/>
  <c r="N271" i="2"/>
  <c r="N272" i="2"/>
  <c r="N273" i="2"/>
  <c r="N274" i="2"/>
  <c r="N67" i="2"/>
  <c r="N68" i="2"/>
  <c r="N69" i="2"/>
  <c r="N70" i="2"/>
  <c r="N1344" i="2"/>
  <c r="N1345" i="2"/>
  <c r="N1346" i="2"/>
  <c r="N1347" i="2"/>
  <c r="N3569" i="2"/>
  <c r="N2096" i="2"/>
  <c r="N3570" i="2"/>
  <c r="N275" i="2"/>
  <c r="N71" i="2"/>
  <c r="N523" i="2"/>
  <c r="N524" i="2"/>
  <c r="N525" i="2"/>
  <c r="N1348" i="2"/>
  <c r="N1349" i="2"/>
  <c r="N1350" i="2"/>
  <c r="N1351" i="2"/>
  <c r="N769" i="2"/>
  <c r="N3571" i="2"/>
  <c r="N3572" i="2"/>
  <c r="N3573" i="2"/>
  <c r="N2770" i="2"/>
  <c r="N526" i="2"/>
  <c r="N3877" i="2"/>
  <c r="N770" i="2"/>
  <c r="N771" i="2"/>
  <c r="N772" i="2"/>
  <c r="N773" i="2"/>
  <c r="N774" i="2"/>
  <c r="N775" i="2"/>
  <c r="N776" i="2"/>
  <c r="N777" i="2"/>
  <c r="N778" i="2"/>
  <c r="N779" i="2"/>
  <c r="N780" i="2"/>
  <c r="N3574" i="2"/>
  <c r="N3575" i="2"/>
  <c r="N3576" i="2"/>
  <c r="N1445" i="2"/>
  <c r="N1446" i="2"/>
  <c r="N1447" i="2"/>
  <c r="N1448" i="2"/>
  <c r="N1449" i="2"/>
  <c r="N1450" i="2"/>
  <c r="N276" i="2"/>
  <c r="N1352" i="2"/>
  <c r="N1353" i="2"/>
  <c r="N1354" i="2"/>
  <c r="N1355" i="2"/>
  <c r="N1356" i="2"/>
  <c r="N527" i="2"/>
  <c r="N1451" i="2"/>
  <c r="N781" i="2"/>
  <c r="N277" i="2"/>
  <c r="N278" i="2"/>
  <c r="N279" i="2"/>
  <c r="N280" i="2"/>
  <c r="N281" i="2"/>
  <c r="N282" i="2"/>
  <c r="N283" i="2"/>
  <c r="N782" i="2"/>
  <c r="N783" i="2"/>
  <c r="N784" i="2"/>
  <c r="N785" i="2"/>
  <c r="N786" i="2"/>
  <c r="N1452" i="2"/>
  <c r="N1855" i="2"/>
  <c r="N787" i="2"/>
  <c r="N1453" i="2"/>
  <c r="N1454" i="2"/>
  <c r="N1455" i="2"/>
  <c r="N1456" i="2"/>
  <c r="N1357" i="2"/>
  <c r="N788" i="2"/>
  <c r="N789" i="2"/>
  <c r="N790" i="2"/>
  <c r="N791" i="2"/>
  <c r="N792" i="2"/>
  <c r="N793" i="2"/>
  <c r="N794" i="2"/>
  <c r="N3577" i="2"/>
  <c r="N3578" i="2"/>
  <c r="N1161" i="2"/>
  <c r="N2097" i="2"/>
  <c r="N795" i="2"/>
  <c r="N1457" i="2"/>
  <c r="N284" i="2"/>
  <c r="N2017" i="2"/>
  <c r="N285" i="2"/>
  <c r="N3579" i="2"/>
  <c r="N1458" i="2"/>
  <c r="N1459" i="2"/>
  <c r="N286" i="2"/>
  <c r="N72" i="2"/>
  <c r="N73" i="2"/>
  <c r="N3580" i="2"/>
  <c r="N796" i="2"/>
  <c r="N797" i="2"/>
  <c r="N1014" i="2"/>
  <c r="N3581" i="2"/>
  <c r="N3582" i="2"/>
  <c r="N798" i="2"/>
  <c r="N799" i="2"/>
  <c r="N800" i="2"/>
  <c r="N801" i="2"/>
  <c r="N802" i="2"/>
  <c r="N528" i="2"/>
  <c r="N1358" i="2"/>
  <c r="N529" i="2"/>
  <c r="N3583" i="2"/>
  <c r="N3584" i="2"/>
  <c r="N1526" i="2"/>
  <c r="N2098" i="2"/>
  <c r="N74" i="2"/>
  <c r="N4322" i="2"/>
  <c r="N3585" i="2"/>
  <c r="N803" i="2"/>
  <c r="N75" i="2"/>
  <c r="N287" i="2"/>
  <c r="N76" i="2"/>
  <c r="N3586" i="2"/>
  <c r="N3587" i="2"/>
  <c r="N1460" i="2"/>
  <c r="N3588" i="2"/>
  <c r="N1015" i="2"/>
  <c r="N1016" i="2"/>
  <c r="N1017" i="2"/>
  <c r="N1018" i="2"/>
  <c r="N3589" i="2"/>
  <c r="N3590" i="2"/>
  <c r="N3591" i="2"/>
  <c r="N3365" i="2"/>
  <c r="N804" i="2"/>
  <c r="N4283" i="2"/>
  <c r="N3921" i="2"/>
  <c r="N3922" i="2"/>
  <c r="N3923" i="2"/>
  <c r="N3924" i="2"/>
  <c r="N3925" i="2"/>
  <c r="N3926" i="2"/>
  <c r="N3927" i="2"/>
  <c r="N3928" i="2"/>
  <c r="N3929" i="2"/>
  <c r="N3930" i="2"/>
  <c r="N3931" i="2"/>
  <c r="N530" i="2"/>
  <c r="N531" i="2"/>
  <c r="N532" i="2"/>
  <c r="N288" i="2"/>
  <c r="N289" i="2"/>
  <c r="N290" i="2"/>
  <c r="N291" i="2"/>
  <c r="N292" i="2"/>
  <c r="N1019" i="2"/>
  <c r="N1020" i="2"/>
  <c r="N1021" i="2"/>
  <c r="N2099" i="2"/>
  <c r="N4390" i="2"/>
  <c r="N1461" i="2"/>
  <c r="N3932" i="2"/>
  <c r="N3933" i="2"/>
  <c r="N3934" i="2"/>
  <c r="N3935" i="2"/>
  <c r="N805" i="2"/>
  <c r="N1527" i="2"/>
  <c r="N3366" i="2"/>
  <c r="N533" i="2"/>
  <c r="N1462" i="2"/>
  <c r="N3367" i="2"/>
  <c r="N3368" i="2"/>
  <c r="N3369" i="2"/>
  <c r="N806" i="2"/>
  <c r="N3936" i="2"/>
  <c r="N3937" i="2"/>
  <c r="N3938" i="2"/>
  <c r="N3939" i="2"/>
  <c r="N534" i="2"/>
  <c r="N535" i="2"/>
  <c r="N1463" i="2"/>
  <c r="N1464" i="2"/>
  <c r="N1465" i="2"/>
  <c r="N1466" i="2"/>
  <c r="N2100" i="2"/>
  <c r="N77" i="2"/>
  <c r="N1022" i="2"/>
  <c r="N536" i="2"/>
  <c r="N537" i="2"/>
  <c r="N2101" i="2"/>
  <c r="N941" i="2"/>
  <c r="N1467" i="2"/>
  <c r="N1468" i="2"/>
  <c r="N293" i="2"/>
  <c r="N3878" i="2"/>
  <c r="N538" i="2"/>
  <c r="N539" i="2"/>
  <c r="N540" i="2"/>
  <c r="N3940" i="2"/>
  <c r="N807" i="2"/>
  <c r="N3592" i="2"/>
  <c r="N3593" i="2"/>
  <c r="N78" i="2"/>
  <c r="N1469" i="2"/>
  <c r="N1470" i="2"/>
  <c r="N541" i="2"/>
  <c r="N3941" i="2"/>
  <c r="N3370" i="2"/>
  <c r="N808" i="2"/>
  <c r="N809" i="2"/>
  <c r="N3594" i="2"/>
  <c r="N3595" i="2"/>
  <c r="N3596" i="2"/>
  <c r="N3597" i="2"/>
  <c r="N3598" i="2"/>
  <c r="N3599" i="2"/>
  <c r="N3600" i="2"/>
  <c r="N3601" i="2"/>
  <c r="N3602" i="2"/>
  <c r="N1471" i="2"/>
  <c r="N3371" i="2"/>
  <c r="N3603" i="2"/>
  <c r="N3372" i="2"/>
  <c r="N3373" i="2"/>
  <c r="N3374" i="2"/>
  <c r="N1472" i="2"/>
  <c r="N1473" i="2"/>
  <c r="N1474" i="2"/>
  <c r="N1475" i="2"/>
  <c r="N1476" i="2"/>
  <c r="N1477" i="2"/>
  <c r="N1478" i="2"/>
  <c r="N1479" i="2"/>
  <c r="N2102" i="2"/>
  <c r="N294" i="2"/>
  <c r="N295" i="2"/>
  <c r="N542" i="2"/>
  <c r="N3942" i="2"/>
  <c r="N810" i="2"/>
  <c r="N3375" i="2"/>
  <c r="N3376" i="2"/>
  <c r="N3377" i="2"/>
  <c r="N3604" i="2"/>
  <c r="N3378" i="2"/>
  <c r="N1480" i="2"/>
  <c r="N1481" i="2"/>
  <c r="N1482" i="2"/>
  <c r="N3605" i="2"/>
  <c r="N2771" i="2"/>
  <c r="N3943" i="2"/>
  <c r="N4284" i="2"/>
  <c r="N2772" i="2"/>
  <c r="N1483" i="2"/>
  <c r="N296" i="2"/>
  <c r="N3944" i="2"/>
  <c r="N4285" i="2"/>
  <c r="N1528" i="2"/>
  <c r="N811" i="2"/>
  <c r="N3606" i="2"/>
  <c r="N1023" i="2"/>
  <c r="N1856" i="2"/>
  <c r="N4286" i="2"/>
  <c r="N1484" i="2"/>
  <c r="N79" i="2"/>
  <c r="N3945" i="2"/>
  <c r="N1024" i="2"/>
  <c r="N812" i="2"/>
  <c r="N3607" i="2"/>
  <c r="N1025" i="2"/>
  <c r="N4287" i="2"/>
  <c r="N297" i="2"/>
  <c r="N80" i="2"/>
  <c r="N1026" i="2"/>
  <c r="N3379" i="2"/>
  <c r="N1027" i="2"/>
  <c r="N813" i="2"/>
  <c r="N3380" i="2"/>
  <c r="N2103" i="2"/>
  <c r="N1028" i="2"/>
  <c r="N1029" i="2"/>
  <c r="N1030" i="2"/>
  <c r="N1031" i="2"/>
  <c r="N1032" i="2"/>
  <c r="N1033" i="2"/>
  <c r="N2104" i="2"/>
  <c r="N1485" i="2"/>
  <c r="N1486" i="2"/>
  <c r="N4391" i="2"/>
  <c r="N3946" i="2"/>
  <c r="N3947" i="2"/>
  <c r="N814" i="2"/>
  <c r="N815" i="2"/>
  <c r="N816" i="2"/>
  <c r="N817" i="2"/>
  <c r="N818" i="2"/>
  <c r="N3381" i="2"/>
  <c r="N4288" i="2"/>
  <c r="N3608" i="2"/>
  <c r="N298" i="2"/>
  <c r="N2773" i="2"/>
  <c r="N2774" i="2"/>
  <c r="N2775" i="2"/>
  <c r="N299" i="2"/>
  <c r="N300" i="2"/>
  <c r="N301" i="2"/>
  <c r="N302" i="2"/>
  <c r="N819" i="2"/>
  <c r="N820" i="2"/>
  <c r="N2776" i="2"/>
  <c r="N3609" i="2"/>
  <c r="N3610" i="2"/>
  <c r="N1034" i="2"/>
  <c r="N1529" i="2"/>
  <c r="N2777" i="2"/>
  <c r="N2778" i="2"/>
  <c r="N2105" i="2"/>
  <c r="N2779" i="2"/>
  <c r="N303" i="2"/>
  <c r="N4289" i="2"/>
  <c r="N4290" i="2"/>
  <c r="N821" i="2"/>
  <c r="N822" i="2"/>
  <c r="N3611" i="2"/>
  <c r="N3612" i="2"/>
  <c r="N3613" i="2"/>
  <c r="N1487" i="2"/>
  <c r="N823" i="2"/>
  <c r="N824" i="2"/>
  <c r="N1035" i="2"/>
  <c r="N3614" i="2"/>
  <c r="N3615" i="2"/>
  <c r="N3616" i="2"/>
  <c r="N3617" i="2"/>
  <c r="N3618" i="2"/>
  <c r="N3619" i="2"/>
  <c r="N1036" i="2"/>
  <c r="N2106" i="2"/>
  <c r="N2107" i="2"/>
  <c r="N3879" i="2"/>
  <c r="N3880" i="2"/>
  <c r="N3881" i="2"/>
  <c r="N825" i="2"/>
  <c r="N1488" i="2"/>
  <c r="N543" i="2"/>
  <c r="N3620" i="2"/>
  <c r="N3621" i="2"/>
  <c r="N2108" i="2"/>
  <c r="N304" i="2"/>
  <c r="N2780" i="2"/>
  <c r="N3030" i="2"/>
  <c r="N305" i="2"/>
  <c r="N81" i="2"/>
  <c r="N544" i="2"/>
  <c r="N4291" i="2"/>
  <c r="N4292" i="2"/>
  <c r="N826" i="2"/>
  <c r="N827" i="2"/>
  <c r="N828" i="2"/>
  <c r="N829" i="2"/>
  <c r="N830" i="2"/>
  <c r="N831" i="2"/>
  <c r="N832" i="2"/>
  <c r="N833" i="2"/>
  <c r="N1037" i="2"/>
  <c r="N1038" i="2"/>
  <c r="N1039" i="2"/>
  <c r="N1040" i="2"/>
  <c r="N834" i="2"/>
  <c r="N1041" i="2"/>
  <c r="N1857" i="2"/>
  <c r="N1858" i="2"/>
  <c r="N1859" i="2"/>
  <c r="N3382" i="2"/>
  <c r="N306" i="2"/>
  <c r="N2109" i="2"/>
  <c r="N2781" i="2"/>
  <c r="N3622" i="2"/>
  <c r="N1042" i="2"/>
  <c r="N1043" i="2"/>
  <c r="N1044" i="2"/>
  <c r="N2782" i="2"/>
  <c r="N4293" i="2"/>
  <c r="N4294" i="2"/>
  <c r="N4295" i="2"/>
  <c r="N545" i="2"/>
  <c r="N546" i="2"/>
  <c r="N835" i="2"/>
  <c r="N836" i="2"/>
  <c r="N837" i="2"/>
  <c r="N838" i="2"/>
  <c r="N3623" i="2"/>
  <c r="N3624" i="2"/>
  <c r="N4296" i="2"/>
  <c r="N4297" i="2"/>
  <c r="N4298" i="2"/>
  <c r="N839" i="2"/>
  <c r="N840" i="2"/>
  <c r="N1860" i="2"/>
  <c r="N841" i="2"/>
  <c r="N842" i="2"/>
  <c r="N843" i="2"/>
  <c r="N844" i="2"/>
  <c r="N1530" i="2"/>
  <c r="N845" i="2"/>
  <c r="N547" i="2"/>
  <c r="N548" i="2"/>
  <c r="N846" i="2"/>
  <c r="N847" i="2"/>
  <c r="N82" i="2"/>
  <c r="N3383" i="2"/>
  <c r="N3384" i="2"/>
  <c r="N3625" i="2"/>
  <c r="N3626" i="2"/>
  <c r="N4299" i="2"/>
  <c r="N2783" i="2"/>
  <c r="N942" i="2"/>
  <c r="N307" i="2"/>
  <c r="N1861" i="2"/>
  <c r="N3627" i="2"/>
  <c r="N3628" i="2"/>
  <c r="N4300" i="2"/>
  <c r="N4301" i="2"/>
  <c r="N848" i="2"/>
  <c r="N1531" i="2"/>
  <c r="N3385" i="2"/>
  <c r="N3386" i="2"/>
  <c r="N3629" i="2"/>
  <c r="N943" i="2"/>
  <c r="N3630" i="2"/>
  <c r="N1045" i="2"/>
  <c r="N3093" i="2"/>
  <c r="N3094" i="2"/>
  <c r="N2784" i="2"/>
  <c r="N944" i="2"/>
  <c r="N3631" i="2"/>
  <c r="N1378" i="2"/>
  <c r="N1552" i="2"/>
  <c r="N1553" i="2"/>
  <c r="N1554" i="2"/>
  <c r="N391" i="2"/>
  <c r="N4418" i="2"/>
  <c r="N3115" i="2"/>
  <c r="N3962" i="2"/>
  <c r="N3335" i="2"/>
  <c r="N1555" i="2"/>
  <c r="N1556" i="2"/>
  <c r="N1557" i="2"/>
  <c r="N392" i="2"/>
  <c r="N1558" i="2"/>
  <c r="N1559" i="2"/>
  <c r="N1560" i="2"/>
  <c r="N393" i="2"/>
  <c r="N394" i="2"/>
  <c r="N1561" i="2"/>
  <c r="N4041" i="2"/>
  <c r="N1562" i="2"/>
  <c r="N395" i="2"/>
  <c r="N1563" i="2"/>
  <c r="N396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397" i="2"/>
  <c r="N398" i="2"/>
  <c r="N399" i="2"/>
  <c r="N400" i="2"/>
  <c r="N401" i="2"/>
  <c r="N3336" i="2"/>
  <c r="N3337" i="2"/>
  <c r="N3338" i="2"/>
  <c r="N3339" i="2"/>
  <c r="N1578" i="2"/>
  <c r="N1579" i="2"/>
  <c r="N1580" i="2"/>
  <c r="N1581" i="2"/>
  <c r="N1582" i="2"/>
  <c r="N1583" i="2"/>
  <c r="N1584" i="2"/>
  <c r="N3340" i="2"/>
  <c r="N402" i="2"/>
  <c r="N403" i="2"/>
  <c r="N404" i="2"/>
  <c r="N405" i="2"/>
  <c r="N3341" i="2"/>
  <c r="N406" i="2"/>
  <c r="N1585" i="2"/>
  <c r="N1586" i="2"/>
  <c r="N1587" i="2"/>
  <c r="N1588" i="2"/>
  <c r="N1589" i="2"/>
  <c r="N3342" i="2"/>
  <c r="N407" i="2"/>
  <c r="N408" i="2"/>
  <c r="N409" i="2"/>
  <c r="N1742" i="2"/>
  <c r="N4184" i="2"/>
  <c r="N2185" i="2"/>
  <c r="N2186" i="2"/>
  <c r="N4042" i="2"/>
  <c r="N1590" i="2"/>
  <c r="N1591" i="2"/>
  <c r="N410" i="2"/>
  <c r="N411" i="2"/>
  <c r="N412" i="2"/>
  <c r="N413" i="2"/>
  <c r="N414" i="2"/>
  <c r="N1743" i="2"/>
  <c r="N1744" i="2"/>
  <c r="N1745" i="2"/>
  <c r="N1746" i="2"/>
  <c r="N2187" i="2"/>
  <c r="N4043" i="2"/>
  <c r="N1592" i="2"/>
  <c r="N415" i="2"/>
  <c r="N4138" i="2"/>
  <c r="N416" i="2"/>
  <c r="N417" i="2"/>
  <c r="N418" i="2"/>
  <c r="N419" i="2"/>
  <c r="N3116" i="2"/>
  <c r="N3117" i="2"/>
  <c r="N3118" i="2"/>
  <c r="N3119" i="2"/>
  <c r="N2188" i="2"/>
  <c r="N4044" i="2"/>
  <c r="N4045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1593" i="2"/>
  <c r="N1594" i="2"/>
  <c r="N1595" i="2"/>
  <c r="N1747" i="2"/>
  <c r="N1748" i="2"/>
  <c r="N1749" i="2"/>
  <c r="N3120" i="2"/>
  <c r="N3121" i="2"/>
  <c r="N3122" i="2"/>
  <c r="N442" i="2"/>
  <c r="N2189" i="2"/>
  <c r="N443" i="2"/>
  <c r="N444" i="2"/>
  <c r="N445" i="2"/>
  <c r="N446" i="2"/>
  <c r="N447" i="2"/>
  <c r="N2190" i="2"/>
  <c r="N448" i="2"/>
  <c r="N1596" i="2"/>
  <c r="N1597" i="2"/>
  <c r="N1598" i="2"/>
  <c r="N1750" i="2"/>
  <c r="N1751" i="2"/>
  <c r="N1752" i="2"/>
  <c r="N3054" i="2"/>
  <c r="N3055" i="2"/>
  <c r="N3123" i="2"/>
  <c r="N2191" i="2"/>
  <c r="N2192" i="2"/>
  <c r="N449" i="2"/>
  <c r="N450" i="2"/>
  <c r="N2193" i="2"/>
  <c r="N2194" i="2"/>
  <c r="N2195" i="2"/>
  <c r="N2196" i="2"/>
  <c r="N2197" i="2"/>
  <c r="N1753" i="2"/>
  <c r="N1754" i="2"/>
  <c r="N451" i="2"/>
  <c r="N452" i="2"/>
  <c r="N453" i="2"/>
  <c r="N3056" i="2"/>
  <c r="N3213" i="2"/>
  <c r="N454" i="2"/>
  <c r="N2198" i="2"/>
  <c r="N2199" i="2"/>
  <c r="N1599" i="2"/>
  <c r="N2200" i="2"/>
  <c r="N2201" i="2"/>
  <c r="N455" i="2"/>
  <c r="N4046" i="2"/>
  <c r="N4487" i="2"/>
  <c r="N1755" i="2"/>
  <c r="N3057" i="2"/>
  <c r="N3058" i="2"/>
  <c r="N2202" i="2"/>
  <c r="N2203" i="2"/>
  <c r="N2204" i="2"/>
  <c r="N2205" i="2"/>
  <c r="N2206" i="2"/>
  <c r="N2207" i="2"/>
  <c r="N456" i="2"/>
  <c r="N4047" i="2"/>
  <c r="N1600" i="2"/>
  <c r="N457" i="2"/>
  <c r="N1601" i="2"/>
  <c r="N1602" i="2"/>
  <c r="N458" i="2"/>
  <c r="N459" i="2"/>
  <c r="N4185" i="2"/>
  <c r="N2121" i="2"/>
  <c r="N3214" i="2"/>
  <c r="N3124" i="2"/>
  <c r="N2208" i="2"/>
  <c r="N4048" i="2"/>
  <c r="N4049" i="2"/>
  <c r="N4050" i="2"/>
  <c r="N4051" i="2"/>
  <c r="N3059" i="2"/>
  <c r="N3060" i="2"/>
  <c r="N1756" i="2"/>
  <c r="N1757" i="2"/>
  <c r="N1758" i="2"/>
  <c r="N1759" i="2"/>
  <c r="N4488" i="2"/>
  <c r="N3125" i="2"/>
  <c r="N3126" i="2"/>
  <c r="N3127" i="2"/>
  <c r="N4489" i="2"/>
  <c r="N1891" i="2"/>
  <c r="N1892" i="2"/>
  <c r="N1893" i="2"/>
  <c r="N3128" i="2"/>
  <c r="N3129" i="2"/>
  <c r="N1894" i="2"/>
  <c r="N1895" i="2"/>
  <c r="N1896" i="2"/>
  <c r="N4052" i="2"/>
  <c r="N1897" i="2"/>
  <c r="N1898" i="2"/>
  <c r="N2122" i="2"/>
  <c r="N1899" i="2"/>
  <c r="N1900" i="2"/>
  <c r="N1901" i="2"/>
  <c r="N1902" i="2"/>
  <c r="N1603" i="2"/>
  <c r="N1604" i="2"/>
  <c r="N1605" i="2"/>
  <c r="N3130" i="2"/>
  <c r="N3131" i="2"/>
  <c r="N2123" i="2"/>
  <c r="N3061" i="2"/>
  <c r="N1606" i="2"/>
  <c r="N1607" i="2"/>
  <c r="N2209" i="2"/>
  <c r="N3132" i="2"/>
  <c r="N4053" i="2"/>
  <c r="N2210" i="2"/>
  <c r="N2124" i="2"/>
  <c r="N1903" i="2"/>
  <c r="N2125" i="2"/>
  <c r="N3133" i="2"/>
  <c r="N3134" i="2"/>
  <c r="N4490" i="2"/>
  <c r="N4491" i="2"/>
  <c r="N3135" i="2"/>
  <c r="N1904" i="2"/>
  <c r="N2126" i="2"/>
  <c r="N2127" i="2"/>
  <c r="N2128" i="2"/>
  <c r="N3062" i="2"/>
  <c r="N2129" i="2"/>
  <c r="N3136" i="2"/>
  <c r="N2211" i="2"/>
  <c r="N2212" i="2"/>
  <c r="N2213" i="2"/>
  <c r="N2130" i="2"/>
  <c r="N3215" i="2"/>
  <c r="N3216" i="2"/>
  <c r="N1379" i="2"/>
  <c r="N2214" i="2"/>
  <c r="N460" i="2"/>
  <c r="N3137" i="2"/>
  <c r="N1608" i="2"/>
  <c r="N1380" i="2"/>
  <c r="N3099" i="2"/>
  <c r="N2131" i="2"/>
  <c r="N2132" i="2"/>
  <c r="N3217" i="2"/>
  <c r="N3218" i="2"/>
  <c r="N3219" i="2"/>
  <c r="N3220" i="2"/>
  <c r="N2215" i="2"/>
  <c r="N2216" i="2"/>
  <c r="N2217" i="2"/>
  <c r="N2218" i="2"/>
  <c r="N2219" i="2"/>
  <c r="N2220" i="2"/>
  <c r="N2221" i="2"/>
  <c r="N2222" i="2"/>
  <c r="N1609" i="2"/>
  <c r="N3100" i="2"/>
  <c r="N2133" i="2"/>
  <c r="N1381" i="2"/>
  <c r="N3138" i="2"/>
  <c r="N2223" i="2"/>
  <c r="N4492" i="2"/>
  <c r="N4054" i="2"/>
  <c r="N2134" i="2"/>
  <c r="N3221" i="2"/>
  <c r="N3963" i="2"/>
  <c r="N4419" i="2"/>
  <c r="N3964" i="2"/>
  <c r="N4493" i="2"/>
  <c r="N3139" i="2"/>
  <c r="N4055" i="2"/>
  <c r="N3140" i="2"/>
  <c r="N1928" i="2"/>
  <c r="N2135" i="2"/>
  <c r="N4494" i="2"/>
  <c r="N2136" i="2"/>
  <c r="N461" i="2"/>
  <c r="N4495" i="2"/>
  <c r="N462" i="2"/>
  <c r="N463" i="2"/>
  <c r="N464" i="2"/>
  <c r="N465" i="2"/>
  <c r="N2224" i="2"/>
  <c r="N2225" i="2"/>
  <c r="N2226" i="2"/>
  <c r="N2227" i="2"/>
  <c r="N4056" i="2"/>
  <c r="N1760" i="2"/>
  <c r="N1761" i="2"/>
  <c r="N1762" i="2"/>
  <c r="N466" i="2"/>
  <c r="N467" i="2"/>
  <c r="N1905" i="2"/>
  <c r="N3141" i="2"/>
  <c r="N3142" i="2"/>
  <c r="N3143" i="2"/>
  <c r="N3144" i="2"/>
  <c r="N3145" i="2"/>
  <c r="N3146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1610" i="2"/>
  <c r="N4496" i="2"/>
  <c r="N4497" i="2"/>
  <c r="N1763" i="2"/>
  <c r="N1764" i="2"/>
  <c r="N2785" i="2"/>
  <c r="N2137" i="2"/>
  <c r="N2138" i="2"/>
  <c r="N2139" i="2"/>
  <c r="N2140" i="2"/>
  <c r="N2141" i="2"/>
  <c r="N2142" i="2"/>
  <c r="N468" i="2"/>
  <c r="N1906" i="2"/>
  <c r="N4139" i="2"/>
  <c r="N4057" i="2"/>
  <c r="N4498" i="2"/>
  <c r="N3965" i="2"/>
  <c r="N3966" i="2"/>
  <c r="N1611" i="2"/>
  <c r="N3967" i="2"/>
  <c r="N3968" i="2"/>
  <c r="N3969" i="2"/>
  <c r="N3970" i="2"/>
  <c r="N3147" i="2"/>
  <c r="N3222" i="2"/>
  <c r="N3223" i="2"/>
  <c r="N3224" i="2"/>
  <c r="N3148" i="2"/>
  <c r="N3149" i="2"/>
  <c r="N2240" i="2"/>
  <c r="N2241" i="2"/>
  <c r="N2242" i="2"/>
  <c r="N3971" i="2"/>
  <c r="N3972" i="2"/>
  <c r="N3973" i="2"/>
  <c r="N2143" i="2"/>
  <c r="N2144" i="2"/>
  <c r="N2145" i="2"/>
  <c r="N2146" i="2"/>
  <c r="N2147" i="2"/>
  <c r="N2148" i="2"/>
  <c r="N2149" i="2"/>
  <c r="N2150" i="2"/>
  <c r="N3225" i="2"/>
  <c r="N4420" i="2"/>
  <c r="N3150" i="2"/>
  <c r="N3974" i="2"/>
  <c r="N3226" i="2"/>
  <c r="N2151" i="2"/>
  <c r="N4499" i="2"/>
  <c r="N4500" i="2"/>
  <c r="N4501" i="2"/>
  <c r="N4502" i="2"/>
  <c r="N3227" i="2"/>
  <c r="N4503" i="2"/>
  <c r="N3228" i="2"/>
  <c r="N3229" i="2"/>
  <c r="N3975" i="2"/>
  <c r="N4504" i="2"/>
  <c r="N3976" i="2"/>
  <c r="N3230" i="2"/>
  <c r="N3101" i="2"/>
  <c r="N3231" i="2"/>
  <c r="N3232" i="2"/>
  <c r="N3233" i="2"/>
  <c r="N3063" i="2"/>
  <c r="N1612" i="2"/>
  <c r="N4505" i="2"/>
  <c r="N3977" i="2"/>
  <c r="N3978" i="2"/>
  <c r="N3979" i="2"/>
  <c r="N4186" i="2"/>
  <c r="N3102" i="2"/>
  <c r="N1613" i="2"/>
  <c r="N4506" i="2"/>
  <c r="N4507" i="2"/>
  <c r="N4508" i="2"/>
  <c r="N4509" i="2"/>
  <c r="N1382" i="2"/>
  <c r="N4510" i="2"/>
  <c r="N3234" i="2"/>
  <c r="N3235" i="2"/>
  <c r="N3236" i="2"/>
  <c r="N3237" i="2"/>
  <c r="N1383" i="2"/>
  <c r="N1614" i="2"/>
  <c r="N1615" i="2"/>
  <c r="N1765" i="2"/>
  <c r="N3980" i="2"/>
  <c r="N1616" i="2"/>
  <c r="N1384" i="2"/>
  <c r="N1385" i="2"/>
  <c r="N1386" i="2"/>
  <c r="N3151" i="2"/>
  <c r="N1387" i="2"/>
  <c r="N1388" i="2"/>
  <c r="N3152" i="2"/>
  <c r="N1389" i="2"/>
  <c r="N1390" i="2"/>
  <c r="N1391" i="2"/>
  <c r="N1617" i="2"/>
  <c r="N3153" i="2"/>
  <c r="N3154" i="2"/>
  <c r="N1392" i="2"/>
  <c r="N1618" i="2"/>
  <c r="N4511" i="2"/>
  <c r="N1393" i="2"/>
  <c r="N1766" i="2"/>
  <c r="N4421" i="2"/>
  <c r="N1767" i="2"/>
  <c r="N1619" i="2"/>
  <c r="N1620" i="2"/>
  <c r="N4422" i="2"/>
  <c r="N3155" i="2"/>
  <c r="N3156" i="2"/>
  <c r="N2243" i="2"/>
  <c r="N2152" i="2"/>
  <c r="N1621" i="2"/>
  <c r="N1622" i="2"/>
  <c r="N1623" i="2"/>
  <c r="N1624" i="2"/>
  <c r="N1625" i="2"/>
  <c r="N1626" i="2"/>
  <c r="N1627" i="2"/>
  <c r="N1628" i="2"/>
  <c r="N4140" i="2"/>
  <c r="N4141" i="2"/>
  <c r="N4142" i="2"/>
  <c r="N4143" i="2"/>
  <c r="N4144" i="2"/>
  <c r="N2244" i="2"/>
  <c r="N2245" i="2"/>
  <c r="N1394" i="2"/>
  <c r="N1395" i="2"/>
  <c r="N1396" i="2"/>
  <c r="N1768" i="2"/>
  <c r="N1929" i="2"/>
  <c r="N4423" i="2"/>
  <c r="N1769" i="2"/>
  <c r="N1770" i="2"/>
  <c r="N1771" i="2"/>
  <c r="N1629" i="2"/>
  <c r="N1630" i="2"/>
  <c r="N1631" i="2"/>
  <c r="N1772" i="2"/>
  <c r="N1632" i="2"/>
  <c r="N1633" i="2"/>
  <c r="N2246" i="2"/>
  <c r="N1397" i="2"/>
  <c r="N1634" i="2"/>
  <c r="N1635" i="2"/>
  <c r="N3157" i="2"/>
  <c r="N3158" i="2"/>
  <c r="N3406" i="2"/>
  <c r="N1636" i="2"/>
  <c r="N4424" i="2"/>
  <c r="N1637" i="2"/>
  <c r="N1638" i="2"/>
  <c r="N1398" i="2"/>
  <c r="N1399" i="2"/>
  <c r="N1639" i="2"/>
  <c r="N1640" i="2"/>
  <c r="N4512" i="2"/>
  <c r="N1641" i="2"/>
  <c r="N4058" i="2"/>
  <c r="N1642" i="2"/>
  <c r="N4145" i="2"/>
  <c r="N1643" i="2"/>
  <c r="N1773" i="2"/>
  <c r="N1400" i="2"/>
  <c r="N4425" i="2"/>
  <c r="N4426" i="2"/>
  <c r="N4427" i="2"/>
  <c r="N1644" i="2"/>
  <c r="N1645" i="2"/>
  <c r="N1646" i="2"/>
  <c r="N1647" i="2"/>
  <c r="N1648" i="2"/>
  <c r="N1649" i="2"/>
  <c r="N1650" i="2"/>
  <c r="N1651" i="2"/>
  <c r="N1652" i="2"/>
  <c r="N1653" i="2"/>
  <c r="N1401" i="2"/>
  <c r="N1654" i="2"/>
  <c r="N3159" i="2"/>
  <c r="N1774" i="2"/>
  <c r="N1655" i="2"/>
  <c r="N1656" i="2"/>
  <c r="N1657" i="2"/>
  <c r="N1658" i="2"/>
  <c r="N3160" i="2"/>
  <c r="N1659" i="2"/>
  <c r="N1660" i="2"/>
  <c r="N3161" i="2"/>
  <c r="N1775" i="2"/>
  <c r="N1661" i="2"/>
  <c r="N3162" i="2"/>
  <c r="N4555" i="2"/>
  <c r="N1662" i="2"/>
  <c r="N4428" i="2"/>
  <c r="N1663" i="2"/>
  <c r="N1664" i="2"/>
  <c r="N1665" i="2"/>
  <c r="N4556" i="2"/>
  <c r="N1776" i="2"/>
  <c r="N1666" i="2"/>
  <c r="N3238" i="2"/>
  <c r="N1402" i="2"/>
  <c r="N1667" i="2"/>
  <c r="N4557" i="2"/>
  <c r="N4429" i="2"/>
  <c r="N4430" i="2"/>
  <c r="N1403" i="2"/>
  <c r="N3064" i="2"/>
  <c r="N3163" i="2"/>
  <c r="N4059" i="2"/>
  <c r="N1404" i="2"/>
  <c r="N1668" i="2"/>
  <c r="N1669" i="2"/>
  <c r="N3164" i="2"/>
  <c r="N4146" i="2"/>
  <c r="N4558" i="2"/>
  <c r="N4559" i="2"/>
  <c r="N4431" i="2"/>
  <c r="N4432" i="2"/>
  <c r="N3165" i="2"/>
  <c r="N4147" i="2"/>
  <c r="N1777" i="2"/>
  <c r="N1778" i="2"/>
  <c r="N4433" i="2"/>
  <c r="N1779" i="2"/>
  <c r="N4560" i="2"/>
  <c r="N1780" i="2"/>
  <c r="N1781" i="2"/>
  <c r="N4561" i="2"/>
  <c r="N4562" i="2"/>
  <c r="N340" i="2"/>
  <c r="N1670" i="2"/>
  <c r="N1671" i="2"/>
  <c r="N2247" i="2"/>
  <c r="N4434" i="2"/>
  <c r="N341" i="2"/>
  <c r="N4513" i="2"/>
  <c r="N4148" i="2"/>
  <c r="N4563" i="2"/>
  <c r="N342" i="2"/>
  <c r="N4564" i="2"/>
  <c r="N4514" i="2"/>
  <c r="N4515" i="2"/>
  <c r="N1672" i="2"/>
  <c r="N4435" i="2"/>
  <c r="N1673" i="2"/>
  <c r="N3166" i="2"/>
  <c r="N3167" i="2"/>
  <c r="N2248" i="2"/>
  <c r="N4060" i="2"/>
  <c r="N4061" i="2"/>
  <c r="N4062" i="2"/>
  <c r="N1674" i="2"/>
  <c r="N1675" i="2"/>
  <c r="N1676" i="2"/>
  <c r="N4149" i="2"/>
  <c r="N4150" i="2"/>
  <c r="N4151" i="2"/>
  <c r="N4152" i="2"/>
  <c r="N4436" i="2"/>
  <c r="N4437" i="2"/>
  <c r="N4438" i="2"/>
  <c r="N4439" i="2"/>
  <c r="N1782" i="2"/>
  <c r="N1783" i="2"/>
  <c r="N1784" i="2"/>
  <c r="N4565" i="2"/>
  <c r="N343" i="2"/>
  <c r="N344" i="2"/>
  <c r="N345" i="2"/>
  <c r="N346" i="2"/>
  <c r="N347" i="2"/>
  <c r="N348" i="2"/>
  <c r="N349" i="2"/>
  <c r="N1267" i="2"/>
  <c r="N2249" i="2"/>
  <c r="N2153" i="2"/>
  <c r="N350" i="2"/>
  <c r="N3168" i="2"/>
  <c r="N3169" i="2"/>
  <c r="N2154" i="2"/>
  <c r="N2250" i="2"/>
  <c r="N1677" i="2"/>
  <c r="N4440" i="2"/>
  <c r="N2251" i="2"/>
  <c r="N351" i="2"/>
  <c r="N352" i="2"/>
  <c r="N353" i="2"/>
  <c r="N354" i="2"/>
  <c r="N4516" i="2"/>
  <c r="N1678" i="2"/>
  <c r="N1785" i="2"/>
  <c r="N1786" i="2"/>
  <c r="N1679" i="2"/>
  <c r="N1680" i="2"/>
  <c r="N3170" i="2"/>
  <c r="N355" i="2"/>
  <c r="N4566" i="2"/>
  <c r="N4567" i="2"/>
  <c r="N4517" i="2"/>
  <c r="N4518" i="2"/>
  <c r="N4519" i="2"/>
  <c r="N1681" i="2"/>
  <c r="N2252" i="2"/>
  <c r="N4063" i="2"/>
  <c r="N4064" i="2"/>
  <c r="N1787" i="2"/>
  <c r="N1788" i="2"/>
  <c r="N1682" i="2"/>
  <c r="N4520" i="2"/>
  <c r="N356" i="2"/>
  <c r="N357" i="2"/>
  <c r="N4065" i="2"/>
  <c r="N4066" i="2"/>
  <c r="N4067" i="2"/>
  <c r="N1789" i="2"/>
  <c r="N1683" i="2"/>
  <c r="N1684" i="2"/>
  <c r="N4568" i="2"/>
  <c r="N1790" i="2"/>
  <c r="N1685" i="2"/>
  <c r="N2253" i="2"/>
  <c r="N2254" i="2"/>
  <c r="N3065" i="2"/>
  <c r="N4068" i="2"/>
  <c r="N4069" i="2"/>
  <c r="N4070" i="2"/>
  <c r="N4071" i="2"/>
  <c r="N4072" i="2"/>
  <c r="N1686" i="2"/>
  <c r="N1687" i="2"/>
  <c r="N1688" i="2"/>
  <c r="N1689" i="2"/>
  <c r="N1690" i="2"/>
  <c r="N4521" i="2"/>
  <c r="N4522" i="2"/>
  <c r="N2155" i="2"/>
  <c r="N2156" i="2"/>
  <c r="N358" i="2"/>
  <c r="N359" i="2"/>
  <c r="N360" i="2"/>
  <c r="N361" i="2"/>
  <c r="N362" i="2"/>
  <c r="N363" i="2"/>
  <c r="N364" i="2"/>
  <c r="N365" i="2"/>
  <c r="N366" i="2"/>
  <c r="N2255" i="2"/>
  <c r="N2256" i="2"/>
  <c r="N2257" i="2"/>
  <c r="N2258" i="2"/>
  <c r="N2259" i="2"/>
  <c r="N2260" i="2"/>
  <c r="N2261" i="2"/>
  <c r="N2262" i="2"/>
  <c r="N2263" i="2"/>
  <c r="N3066" i="2"/>
  <c r="N1691" i="2"/>
  <c r="N1692" i="2"/>
  <c r="N2157" i="2"/>
  <c r="N2264" i="2"/>
  <c r="N3343" i="2"/>
  <c r="N4523" i="2"/>
  <c r="N2265" i="2"/>
  <c r="N367" i="2"/>
  <c r="N2266" i="2"/>
  <c r="N2267" i="2"/>
  <c r="N1693" i="2"/>
  <c r="N368" i="2"/>
  <c r="N369" i="2"/>
  <c r="N4441" i="2"/>
  <c r="N3344" i="2"/>
  <c r="N2268" i="2"/>
  <c r="N4073" i="2"/>
  <c r="N1694" i="2"/>
  <c r="N2269" i="2"/>
  <c r="N4524" i="2"/>
  <c r="N2158" i="2"/>
  <c r="N4442" i="2"/>
  <c r="N4153" i="2"/>
  <c r="N4154" i="2"/>
  <c r="N1695" i="2"/>
  <c r="N3345" i="2"/>
  <c r="N4525" i="2"/>
  <c r="N4443" i="2"/>
  <c r="N4155" i="2"/>
  <c r="N2159" i="2"/>
  <c r="N3346" i="2"/>
  <c r="N3347" i="2"/>
  <c r="N4444" i="2"/>
  <c r="N4445" i="2"/>
  <c r="N4446" i="2"/>
  <c r="N4447" i="2"/>
  <c r="N4448" i="2"/>
  <c r="N3171" i="2"/>
  <c r="N3172" i="2"/>
  <c r="N3173" i="2"/>
  <c r="N3174" i="2"/>
  <c r="N3175" i="2"/>
  <c r="N3176" i="2"/>
  <c r="N2270" i="2"/>
  <c r="N2271" i="2"/>
  <c r="N2272" i="2"/>
  <c r="N2273" i="2"/>
  <c r="N4074" i="2"/>
  <c r="N1696" i="2"/>
  <c r="N1697" i="2"/>
  <c r="N1698" i="2"/>
  <c r="N4526" i="2"/>
  <c r="N4527" i="2"/>
  <c r="N4528" i="2"/>
  <c r="N4529" i="2"/>
  <c r="N4530" i="2"/>
  <c r="N4531" i="2"/>
  <c r="N4449" i="2"/>
  <c r="N4450" i="2"/>
  <c r="N4451" i="2"/>
  <c r="N4452" i="2"/>
  <c r="N1699" i="2"/>
  <c r="N1700" i="2"/>
  <c r="N4156" i="2"/>
  <c r="N4157" i="2"/>
  <c r="N4158" i="2"/>
  <c r="N4159" i="2"/>
  <c r="N4160" i="2"/>
  <c r="N4161" i="2"/>
  <c r="N4162" i="2"/>
  <c r="N2160" i="2"/>
  <c r="N2274" i="2"/>
  <c r="N3348" i="2"/>
  <c r="N4532" i="2"/>
  <c r="N4187" i="2"/>
  <c r="N4163" i="2"/>
  <c r="N4188" i="2"/>
  <c r="N4164" i="2"/>
  <c r="N3177" i="2"/>
  <c r="N1701" i="2"/>
  <c r="N3178" i="2"/>
  <c r="N3179" i="2"/>
  <c r="N2275" i="2"/>
  <c r="N2276" i="2"/>
  <c r="N2277" i="2"/>
  <c r="N2278" i="2"/>
  <c r="N2279" i="2"/>
  <c r="N2280" i="2"/>
  <c r="N2281" i="2"/>
  <c r="N2282" i="2"/>
  <c r="N2283" i="2"/>
  <c r="N2786" i="2"/>
  <c r="N4533" i="2"/>
  <c r="N4534" i="2"/>
  <c r="N4535" i="2"/>
  <c r="N1702" i="2"/>
  <c r="N3180" i="2"/>
  <c r="N3181" i="2"/>
  <c r="N3182" i="2"/>
  <c r="N3183" i="2"/>
  <c r="N3067" i="2"/>
  <c r="N4189" i="2"/>
  <c r="N4536" i="2"/>
  <c r="N1703" i="2"/>
  <c r="N4190" i="2"/>
  <c r="N4537" i="2"/>
  <c r="N2284" i="2"/>
  <c r="N2285" i="2"/>
  <c r="N4538" i="2"/>
  <c r="N4539" i="2"/>
  <c r="N4540" i="2"/>
  <c r="N1704" i="2"/>
  <c r="N3184" i="2"/>
  <c r="N3068" i="2"/>
  <c r="N3069" i="2"/>
  <c r="N4165" i="2"/>
  <c r="N2286" i="2"/>
  <c r="N4075" i="2"/>
  <c r="N2287" i="2"/>
  <c r="N1705" i="2"/>
  <c r="N1706" i="2"/>
  <c r="N1707" i="2"/>
  <c r="N1708" i="2"/>
  <c r="N1709" i="2"/>
  <c r="N4191" i="2"/>
  <c r="N4192" i="2"/>
  <c r="N4193" i="2"/>
  <c r="N4194" i="2"/>
  <c r="N4166" i="2"/>
  <c r="N4167" i="2"/>
  <c r="N4168" i="2"/>
  <c r="N4169" i="2"/>
  <c r="N3070" i="2"/>
  <c r="N3071" i="2"/>
  <c r="N3349" i="2"/>
  <c r="N3350" i="2"/>
  <c r="N4569" i="2"/>
  <c r="N3414" i="2"/>
  <c r="N3415" i="2"/>
  <c r="N3185" i="2"/>
  <c r="N3186" i="2"/>
  <c r="N2288" i="2"/>
  <c r="N4076" i="2"/>
  <c r="N3981" i="2"/>
  <c r="N1710" i="2"/>
  <c r="N4195" i="2"/>
  <c r="N4170" i="2"/>
  <c r="N4171" i="2"/>
  <c r="N2289" i="2"/>
  <c r="N3407" i="2"/>
  <c r="N4541" i="2"/>
  <c r="N3187" i="2"/>
  <c r="N3188" i="2"/>
  <c r="N370" i="2"/>
  <c r="N4097" i="2"/>
  <c r="N3189" i="2"/>
  <c r="N4098" i="2"/>
  <c r="N4099" i="2"/>
  <c r="N4570" i="2"/>
  <c r="N4571" i="2"/>
  <c r="N4572" i="2"/>
  <c r="N4172" i="2"/>
  <c r="N4453" i="2"/>
  <c r="N3072" i="2"/>
  <c r="N1711" i="2"/>
  <c r="N4454" i="2"/>
  <c r="N4100" i="2"/>
  <c r="N2161" i="2"/>
  <c r="N4101" i="2"/>
  <c r="N4102" i="2"/>
  <c r="N3416" i="2"/>
  <c r="N3417" i="2"/>
  <c r="N4455" i="2"/>
  <c r="N3190" i="2"/>
  <c r="N3191" i="2"/>
  <c r="N3192" i="2"/>
  <c r="N3193" i="2"/>
  <c r="N1712" i="2"/>
  <c r="N1713" i="2"/>
  <c r="N1714" i="2"/>
  <c r="N1715" i="2"/>
  <c r="N1716" i="2"/>
  <c r="N1717" i="2"/>
  <c r="N1718" i="2"/>
  <c r="N3073" i="2"/>
  <c r="N3074" i="2"/>
  <c r="N3075" i="2"/>
  <c r="N2787" i="2"/>
  <c r="N4573" i="2"/>
  <c r="N4574" i="2"/>
  <c r="N4542" i="2"/>
  <c r="N4543" i="2"/>
  <c r="N4103" i="2"/>
  <c r="N4104" i="2"/>
  <c r="N4456" i="2"/>
  <c r="N1719" i="2"/>
  <c r="N1720" i="2"/>
  <c r="N1721" i="2"/>
  <c r="N3982" i="2"/>
  <c r="N4013" i="2"/>
  <c r="N1722" i="2"/>
  <c r="N1268" i="2"/>
  <c r="N1723" i="2"/>
  <c r="N1724" i="2"/>
  <c r="N1725" i="2"/>
  <c r="N1269" i="2"/>
  <c r="N4014" i="2"/>
  <c r="N1726" i="2"/>
  <c r="N4105" i="2"/>
  <c r="N1270" i="2"/>
  <c r="N1727" i="2"/>
  <c r="N4575" i="2"/>
  <c r="N1728" i="2"/>
  <c r="N2290" i="2"/>
  <c r="N1729" i="2"/>
  <c r="N3076" i="2"/>
  <c r="N2291" i="2"/>
  <c r="N2292" i="2"/>
  <c r="N4015" i="2"/>
  <c r="N4196" i="2"/>
  <c r="N3983" i="2"/>
  <c r="N2162" i="2"/>
  <c r="N3984" i="2"/>
  <c r="N1730" i="2"/>
  <c r="N4576" i="2"/>
  <c r="N1731" i="2"/>
  <c r="N3077" i="2"/>
  <c r="N1732" i="2"/>
  <c r="N1733" i="2"/>
  <c r="N4577" i="2"/>
  <c r="N4077" i="2"/>
  <c r="N1734" i="2"/>
  <c r="N1735" i="2"/>
  <c r="N1736" i="2"/>
  <c r="N4106" i="2"/>
  <c r="N4107" i="2"/>
  <c r="N1271" i="2"/>
  <c r="N3078" i="2"/>
  <c r="N3985" i="2"/>
  <c r="N2163" i="2"/>
  <c r="N4578" i="2"/>
  <c r="N2164" i="2"/>
  <c r="N1737" i="2"/>
  <c r="N1738" i="2"/>
  <c r="N2165" i="2"/>
  <c r="N4108" i="2"/>
  <c r="N1272" i="2"/>
  <c r="N3079" i="2"/>
  <c r="N3080" i="2"/>
  <c r="N1739" i="2"/>
  <c r="N4197" i="2"/>
  <c r="N4579" i="2"/>
  <c r="N849" i="2"/>
  <c r="N115" i="2"/>
  <c r="N116" i="2"/>
  <c r="N117" i="2"/>
  <c r="N118" i="2"/>
  <c r="N119" i="2"/>
  <c r="N120" i="2"/>
  <c r="N121" i="2"/>
  <c r="N3314" i="2"/>
  <c r="N2018" i="2"/>
  <c r="N2019" i="2"/>
  <c r="N2020" i="2"/>
  <c r="N850" i="2"/>
  <c r="N1489" i="2"/>
  <c r="N1046" i="2"/>
  <c r="N1047" i="2"/>
  <c r="N1048" i="2"/>
  <c r="N851" i="2"/>
  <c r="N1162" i="2"/>
  <c r="N1163" i="2"/>
  <c r="N1164" i="2"/>
  <c r="N1165" i="2"/>
  <c r="N1166" i="2"/>
  <c r="N1167" i="2"/>
  <c r="N1168" i="2"/>
  <c r="N1169" i="2"/>
  <c r="N1170" i="2"/>
  <c r="N852" i="2"/>
  <c r="N853" i="2"/>
  <c r="N854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4323" i="2"/>
  <c r="N855" i="2"/>
  <c r="N549" i="2"/>
  <c r="N856" i="2"/>
  <c r="N1862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308" i="2"/>
  <c r="N309" i="2"/>
  <c r="N310" i="2"/>
  <c r="N311" i="2"/>
  <c r="N4302" i="2"/>
  <c r="N312" i="2"/>
  <c r="N313" i="2"/>
  <c r="N3315" i="2"/>
  <c r="N3316" i="2"/>
  <c r="N945" i="2"/>
  <c r="N946" i="2"/>
  <c r="N1359" i="2"/>
  <c r="N947" i="2"/>
  <c r="N948" i="2"/>
  <c r="N949" i="2"/>
  <c r="N950" i="2"/>
  <c r="N3948" i="2"/>
  <c r="N3949" i="2"/>
  <c r="N3387" i="2"/>
  <c r="N3388" i="2"/>
  <c r="N3389" i="2"/>
  <c r="N314" i="2"/>
  <c r="N1049" i="2"/>
  <c r="N2110" i="2"/>
  <c r="N2111" i="2"/>
  <c r="N3351" i="2"/>
  <c r="N469" i="2"/>
  <c r="N470" i="2"/>
  <c r="N471" i="2"/>
  <c r="N1907" i="2"/>
  <c r="N1908" i="2"/>
  <c r="N1909" i="2"/>
  <c r="N1910" i="2"/>
  <c r="N1911" i="2"/>
  <c r="N1912" i="2"/>
  <c r="N1913" i="2"/>
  <c r="N1914" i="2"/>
  <c r="N1915" i="2"/>
  <c r="N3038" i="2"/>
  <c r="N2788" i="2"/>
  <c r="N2789" i="2"/>
  <c r="N2790" i="2"/>
  <c r="N4016" i="2"/>
  <c r="N472" i="2"/>
  <c r="N473" i="2"/>
  <c r="N1916" i="2"/>
  <c r="N1917" i="2"/>
  <c r="N1918" i="2"/>
  <c r="N1919" i="2"/>
  <c r="N1920" i="2"/>
  <c r="N4017" i="2"/>
  <c r="N4018" i="2"/>
  <c r="N2791" i="2"/>
  <c r="N122" i="2"/>
  <c r="N2792" i="2"/>
  <c r="N1050" i="2"/>
  <c r="N857" i="2"/>
  <c r="N4324" i="2"/>
  <c r="N4325" i="2"/>
  <c r="N858" i="2"/>
  <c r="N859" i="2"/>
  <c r="N860" i="2"/>
  <c r="N550" i="2"/>
  <c r="N551" i="2"/>
  <c r="N861" i="2"/>
  <c r="N315" i="2"/>
  <c r="N1360" i="2"/>
  <c r="N1361" i="2"/>
  <c r="N1362" i="2"/>
  <c r="N3390" i="2"/>
  <c r="N3391" i="2"/>
  <c r="N3392" i="2"/>
  <c r="N316" i="2"/>
  <c r="N3950" i="2"/>
  <c r="N317" i="2"/>
  <c r="N2112" i="2"/>
  <c r="N2793" i="2"/>
  <c r="N2794" i="2"/>
  <c r="N2795" i="2"/>
  <c r="N2796" i="2"/>
  <c r="N951" i="2"/>
  <c r="N2797" i="2"/>
  <c r="N2798" i="2"/>
  <c r="N2799" i="2"/>
  <c r="N2800" i="2"/>
  <c r="N952" i="2"/>
  <c r="N2801" i="2"/>
  <c r="N2021" i="2"/>
  <c r="N2022" i="2"/>
  <c r="N83" i="2"/>
  <c r="N84" i="2"/>
  <c r="N2023" i="2"/>
  <c r="N3632" i="2"/>
  <c r="N2802" i="2"/>
  <c r="N4078" i="2"/>
  <c r="N4109" i="2"/>
  <c r="N4544" i="2"/>
  <c r="N3992" i="2"/>
  <c r="N3993" i="2"/>
  <c r="N3994" i="2"/>
  <c r="N4019" i="2"/>
  <c r="N3995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3239" i="2"/>
  <c r="N4198" i="2"/>
  <c r="N1273" i="2"/>
  <c r="N3240" i="2"/>
  <c r="N2826" i="2"/>
  <c r="N3241" i="2"/>
  <c r="N3081" i="2"/>
  <c r="N1491" i="2"/>
  <c r="N1274" i="2"/>
  <c r="N1275" i="2"/>
  <c r="N2827" i="2"/>
  <c r="N2828" i="2"/>
  <c r="N4173" i="2"/>
  <c r="N2829" i="2"/>
  <c r="N1276" i="2"/>
  <c r="N1277" i="2"/>
  <c r="N4545" i="2"/>
  <c r="N2830" i="2"/>
  <c r="N3194" i="2"/>
  <c r="N1740" i="2"/>
  <c r="N2831" i="2"/>
  <c r="N1405" i="2"/>
  <c r="N4457" i="2"/>
  <c r="N4174" i="2"/>
  <c r="N1406" i="2"/>
  <c r="N2832" i="2"/>
  <c r="N3242" i="2"/>
  <c r="N1278" i="2"/>
  <c r="N1407" i="2"/>
  <c r="N1279" i="2"/>
  <c r="N2833" i="2"/>
  <c r="N4110" i="2"/>
  <c r="N2834" i="2"/>
  <c r="N4020" i="2"/>
  <c r="N4111" i="2"/>
  <c r="N1408" i="2"/>
  <c r="N3986" i="2"/>
  <c r="N3418" i="2"/>
  <c r="N2835" i="2"/>
  <c r="N4112" i="2"/>
  <c r="N2836" i="2"/>
  <c r="N2837" i="2"/>
  <c r="N2838" i="2"/>
  <c r="N4113" i="2"/>
  <c r="N4114" i="2"/>
  <c r="N4115" i="2"/>
  <c r="N4546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3633" i="2"/>
  <c r="N2872" i="2"/>
  <c r="N2873" i="2"/>
  <c r="N2874" i="2"/>
  <c r="N3634" i="2"/>
  <c r="N2875" i="2"/>
  <c r="N2876" i="2"/>
  <c r="N2877" i="2"/>
  <c r="N2878" i="2"/>
  <c r="N3635" i="2"/>
  <c r="N3636" i="2"/>
  <c r="N2879" i="2"/>
  <c r="N2880" i="2"/>
  <c r="N3637" i="2"/>
  <c r="N2881" i="2"/>
  <c r="N2882" i="2"/>
  <c r="N2883" i="2"/>
  <c r="N2884" i="2"/>
  <c r="N3638" i="2"/>
  <c r="N2885" i="2"/>
  <c r="N3639" i="2"/>
  <c r="N2886" i="2"/>
  <c r="N2887" i="2"/>
  <c r="N3640" i="2"/>
  <c r="N2888" i="2"/>
  <c r="N2889" i="2"/>
  <c r="N2890" i="2"/>
  <c r="N3641" i="2"/>
  <c r="N2891" i="2"/>
  <c r="N2892" i="2"/>
  <c r="N3642" i="2"/>
  <c r="N2893" i="2"/>
  <c r="N3643" i="2"/>
  <c r="N2894" i="2"/>
  <c r="N364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4116" i="2"/>
  <c r="N2908" i="2"/>
  <c r="N2909" i="2"/>
  <c r="N2910" i="2"/>
  <c r="N4117" i="2"/>
  <c r="N2911" i="2"/>
  <c r="N2912" i="2"/>
  <c r="N2913" i="2"/>
  <c r="N4118" i="2"/>
  <c r="N4547" i="2"/>
  <c r="N4119" i="2"/>
  <c r="N2914" i="2"/>
  <c r="N2915" i="2"/>
  <c r="N4548" i="2"/>
  <c r="N4120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3645" i="2"/>
  <c r="N2944" i="2"/>
  <c r="N3646" i="2"/>
  <c r="N2945" i="2"/>
  <c r="N3647" i="2"/>
  <c r="N3648" i="2"/>
  <c r="N2946" i="2"/>
  <c r="N3649" i="2"/>
  <c r="N2947" i="2"/>
  <c r="N2948" i="2"/>
  <c r="N2949" i="2"/>
  <c r="N2950" i="2"/>
  <c r="N3650" i="2"/>
  <c r="N2951" i="2"/>
  <c r="N2952" i="2"/>
  <c r="N2953" i="2"/>
  <c r="N2954" i="2"/>
  <c r="N3651" i="2"/>
  <c r="N2955" i="2"/>
  <c r="N2956" i="2"/>
  <c r="N3652" i="2"/>
  <c r="N3653" i="2"/>
  <c r="N2957" i="2"/>
  <c r="N2958" i="2"/>
  <c r="N3654" i="2"/>
  <c r="N2959" i="2"/>
  <c r="N2960" i="2"/>
  <c r="N2961" i="2"/>
  <c r="N2962" i="2"/>
  <c r="N2963" i="2"/>
  <c r="N4121" i="2"/>
  <c r="N4122" i="2"/>
  <c r="N4123" i="2"/>
  <c r="N4549" i="2"/>
  <c r="N4124" i="2"/>
  <c r="N2964" i="2"/>
  <c r="N4550" i="2"/>
  <c r="N4125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024" i="2"/>
  <c r="N3655" i="2"/>
  <c r="N862" i="2"/>
  <c r="N3656" i="2"/>
  <c r="N3657" i="2"/>
  <c r="N2025" i="2"/>
  <c r="N2026" i="2"/>
  <c r="N2027" i="2"/>
  <c r="N863" i="2"/>
  <c r="N2028" i="2"/>
  <c r="N2029" i="2"/>
  <c r="N864" i="2"/>
  <c r="N3658" i="2"/>
  <c r="N865" i="2"/>
  <c r="N318" i="2"/>
  <c r="N2030" i="2"/>
  <c r="N319" i="2"/>
  <c r="N320" i="2"/>
  <c r="N321" i="2"/>
  <c r="N2031" i="2"/>
  <c r="N2032" i="2"/>
  <c r="N2033" i="2"/>
  <c r="N2034" i="2"/>
  <c r="N2035" i="2"/>
  <c r="N2036" i="2"/>
  <c r="N2037" i="2"/>
  <c r="N2038" i="2"/>
  <c r="N2039" i="2"/>
  <c r="N322" i="2"/>
  <c r="N2040" i="2"/>
  <c r="N323" i="2"/>
  <c r="N2041" i="2"/>
  <c r="N3659" i="2"/>
  <c r="N2042" i="2"/>
  <c r="N2043" i="2"/>
  <c r="N324" i="2"/>
  <c r="N3660" i="2"/>
  <c r="N2044" i="2"/>
  <c r="N3661" i="2"/>
  <c r="N2045" i="2"/>
  <c r="N2046" i="2"/>
  <c r="N2047" i="2"/>
  <c r="N325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326" i="2"/>
  <c r="N866" i="2"/>
  <c r="N2063" i="2"/>
  <c r="N2064" i="2"/>
  <c r="N2065" i="2"/>
  <c r="N2066" i="2"/>
  <c r="N2067" i="2"/>
  <c r="N2068" i="2"/>
  <c r="N2069" i="2"/>
  <c r="N2070" i="2"/>
  <c r="N85" i="2"/>
  <c r="N2071" i="2"/>
  <c r="N86" i="2"/>
  <c r="N2072" i="2"/>
  <c r="N1051" i="2"/>
  <c r="N2073" i="2"/>
  <c r="N327" i="2"/>
  <c r="N3662" i="2"/>
  <c r="N2995" i="2"/>
  <c r="N328" i="2"/>
  <c r="N329" i="2"/>
  <c r="N330" i="2"/>
  <c r="N3663" i="2"/>
  <c r="N3664" i="2"/>
  <c r="N3665" i="2"/>
  <c r="N2074" i="2"/>
  <c r="N3666" i="2"/>
  <c r="N2075" i="2"/>
  <c r="N3667" i="2"/>
  <c r="N3668" i="2"/>
  <c r="N3669" i="2"/>
  <c r="N3670" i="2"/>
  <c r="N3671" i="2"/>
  <c r="N3672" i="2"/>
  <c r="N867" i="2"/>
  <c r="N3673" i="2"/>
  <c r="N3674" i="2"/>
  <c r="N3675" i="2"/>
  <c r="N3676" i="2"/>
  <c r="N3677" i="2"/>
  <c r="N3678" i="2"/>
  <c r="N3679" i="2"/>
  <c r="N3680" i="2"/>
  <c r="N3681" i="2"/>
  <c r="N3682" i="2"/>
  <c r="N3683" i="2"/>
  <c r="N3684" i="2"/>
  <c r="N3685" i="2"/>
  <c r="N896" i="2"/>
  <c r="N87" i="2"/>
  <c r="N2076" i="2"/>
  <c r="N3686" i="2"/>
  <c r="N3687" i="2"/>
  <c r="N3688" i="2"/>
  <c r="N2996" i="2"/>
  <c r="N3882" i="2"/>
  <c r="N3951" i="2"/>
  <c r="N2997" i="2"/>
  <c r="N3952" i="2"/>
  <c r="N3689" i="2"/>
  <c r="N88" i="2"/>
  <c r="N3395" i="2"/>
  <c r="N3396" i="2"/>
  <c r="N3397" i="2"/>
  <c r="N3398" i="2"/>
  <c r="N1219" i="2"/>
  <c r="N2998" i="2"/>
  <c r="N89" i="2"/>
  <c r="N90" i="2"/>
  <c r="N91" i="2"/>
  <c r="N3082" i="2"/>
  <c r="N3083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409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2999" i="2"/>
  <c r="N3000" i="2"/>
  <c r="N1410" i="2"/>
  <c r="N1314" i="2"/>
  <c r="N1315" i="2"/>
  <c r="N1316" i="2"/>
  <c r="N1317" i="2"/>
  <c r="N1318" i="2"/>
  <c r="N1319" i="2"/>
  <c r="N1320" i="2"/>
  <c r="N1321" i="2"/>
  <c r="N1322" i="2"/>
  <c r="N3001" i="2"/>
  <c r="N1323" i="2"/>
  <c r="N3002" i="2"/>
  <c r="N3003" i="2"/>
  <c r="N3004" i="2"/>
  <c r="N1411" i="2"/>
  <c r="N3005" i="2"/>
  <c r="N1412" i="2"/>
  <c r="N4126" i="2"/>
  <c r="N1413" i="2"/>
  <c r="N1414" i="2"/>
  <c r="N3006" i="2"/>
  <c r="N1415" i="2"/>
  <c r="N1416" i="2"/>
  <c r="N3007" i="2"/>
  <c r="N3008" i="2"/>
  <c r="N3009" i="2"/>
  <c r="N3010" i="2"/>
  <c r="N3011" i="2"/>
  <c r="N3012" i="2"/>
  <c r="N4021" i="2"/>
  <c r="N3013" i="2"/>
  <c r="N3014" i="2"/>
  <c r="N3015" i="2"/>
  <c r="N3016" i="2"/>
  <c r="N3017" i="2"/>
  <c r="N3018" i="2"/>
  <c r="N1417" i="2"/>
  <c r="N3019" i="2"/>
  <c r="N3020" i="2"/>
  <c r="N4022" i="2"/>
  <c r="I64" i="12"/>
  <c r="G64" i="12"/>
  <c r="F64" i="12"/>
  <c r="E64" i="12"/>
  <c r="C64" i="12"/>
  <c r="B64" i="12"/>
  <c r="L4583" i="2"/>
  <c r="F33" i="17"/>
  <c r="F39" i="17"/>
  <c r="F10" i="17"/>
  <c r="F26" i="17"/>
  <c r="F17" i="17"/>
  <c r="F24" i="17"/>
  <c r="F15" i="17"/>
  <c r="F28" i="17"/>
  <c r="F40" i="17"/>
  <c r="F41" i="17"/>
  <c r="F29" i="17"/>
  <c r="F27" i="17"/>
  <c r="F9" i="17"/>
  <c r="F8" i="17"/>
  <c r="F7" i="17"/>
  <c r="F30" i="17"/>
  <c r="F16" i="17"/>
  <c r="F37" i="17"/>
  <c r="F13" i="17"/>
  <c r="F22" i="17"/>
  <c r="F19" i="17"/>
  <c r="F12" i="17"/>
  <c r="F35" i="17"/>
  <c r="F36" i="17"/>
  <c r="F18" i="17"/>
  <c r="F31" i="17"/>
  <c r="F38" i="17"/>
  <c r="F34" i="17"/>
  <c r="F23" i="17"/>
  <c r="F25" i="17"/>
  <c r="F14" i="17"/>
  <c r="F20" i="17"/>
  <c r="E43" i="17"/>
  <c r="F17" i="16" s="1"/>
  <c r="H21" i="14"/>
  <c r="H13" i="14"/>
  <c r="N28" i="12"/>
  <c r="O28" i="12" s="1"/>
  <c r="N21" i="12"/>
  <c r="O21" i="12" s="1"/>
  <c r="N39" i="12"/>
  <c r="O39" i="12" s="1"/>
  <c r="N63" i="12"/>
  <c r="O63" i="12" s="1"/>
  <c r="N17" i="12"/>
  <c r="O17" i="12" s="1"/>
  <c r="N23" i="12"/>
  <c r="O23" i="12" s="1"/>
  <c r="N33" i="12"/>
  <c r="O33" i="12" s="1"/>
  <c r="N14" i="12"/>
  <c r="O14" i="12" s="1"/>
  <c r="N11" i="12"/>
  <c r="O11" i="12" s="1"/>
  <c r="N44" i="12"/>
  <c r="O44" i="12" s="1"/>
  <c r="N10" i="12"/>
  <c r="O10" i="12" s="1"/>
  <c r="N32" i="12"/>
  <c r="O32" i="12" s="1"/>
  <c r="N30" i="12"/>
  <c r="O30" i="12" s="1"/>
  <c r="N16" i="12"/>
  <c r="O16" i="12" s="1"/>
  <c r="N9" i="12"/>
  <c r="N62" i="12"/>
  <c r="O62" i="12" s="1"/>
  <c r="N47" i="12"/>
  <c r="O47" i="12" s="1"/>
  <c r="N27" i="12"/>
  <c r="O27" i="12" s="1"/>
  <c r="N38" i="12"/>
  <c r="O38" i="12" s="1"/>
  <c r="N22" i="12"/>
  <c r="O22" i="12" s="1"/>
  <c r="N46" i="12"/>
  <c r="O46" i="12" s="1"/>
  <c r="N59" i="12"/>
  <c r="O59" i="12" s="1"/>
  <c r="N60" i="12"/>
  <c r="O60" i="12" s="1"/>
  <c r="N24" i="12"/>
  <c r="O24" i="12" s="1"/>
  <c r="N37" i="12"/>
  <c r="O37" i="12" s="1"/>
  <c r="N36" i="12"/>
  <c r="O36" i="12" s="1"/>
  <c r="N42" i="12"/>
  <c r="O42" i="12" s="1"/>
  <c r="N45" i="12"/>
  <c r="O45" i="12" s="1"/>
  <c r="N19" i="12"/>
  <c r="O19" i="12" s="1"/>
  <c r="N15" i="12"/>
  <c r="O15" i="12" s="1"/>
  <c r="N41" i="12"/>
  <c r="O41" i="12" s="1"/>
  <c r="N29" i="12"/>
  <c r="O29" i="12" s="1"/>
  <c r="N34" i="12"/>
  <c r="O34" i="12" s="1"/>
  <c r="N61" i="12"/>
  <c r="O61" i="12" s="1"/>
  <c r="N18" i="12"/>
  <c r="O18" i="12" s="1"/>
  <c r="N35" i="12"/>
  <c r="O35" i="12" s="1"/>
  <c r="N26" i="12"/>
  <c r="O26" i="12" s="1"/>
  <c r="N20" i="12"/>
  <c r="O20" i="12" s="1"/>
  <c r="N40" i="12"/>
  <c r="O40" i="12" s="1"/>
  <c r="N25" i="12"/>
  <c r="O25" i="12" s="1"/>
  <c r="L28" i="12"/>
  <c r="L21" i="12"/>
  <c r="L39" i="12"/>
  <c r="L63" i="12"/>
  <c r="L17" i="12"/>
  <c r="L23" i="12"/>
  <c r="L33" i="12"/>
  <c r="L14" i="12"/>
  <c r="L11" i="12"/>
  <c r="L44" i="12"/>
  <c r="L10" i="12"/>
  <c r="L32" i="12"/>
  <c r="L30" i="12"/>
  <c r="L16" i="12"/>
  <c r="L9" i="12"/>
  <c r="L62" i="12"/>
  <c r="L47" i="12"/>
  <c r="L27" i="12"/>
  <c r="L8" i="12"/>
  <c r="L38" i="12"/>
  <c r="L22" i="12"/>
  <c r="L46" i="12"/>
  <c r="L59" i="12"/>
  <c r="L60" i="12"/>
  <c r="L24" i="12"/>
  <c r="L37" i="12"/>
  <c r="L36" i="12"/>
  <c r="L42" i="12"/>
  <c r="L45" i="12"/>
  <c r="L19" i="12"/>
  <c r="L15" i="12"/>
  <c r="L41" i="12"/>
  <c r="L29" i="12"/>
  <c r="L34" i="12"/>
  <c r="L61" i="12"/>
  <c r="L18" i="12"/>
  <c r="L35" i="12"/>
  <c r="L26" i="12"/>
  <c r="L20" i="12"/>
  <c r="L40" i="12"/>
  <c r="L25" i="12"/>
  <c r="H62" i="12"/>
  <c r="H60" i="12"/>
  <c r="D17" i="11"/>
  <c r="D8" i="11"/>
  <c r="D19" i="11"/>
  <c r="D45" i="11"/>
  <c r="D94" i="11"/>
  <c r="D18" i="11"/>
  <c r="D66" i="11"/>
  <c r="D53" i="11"/>
  <c r="D22" i="11"/>
  <c r="D37" i="11"/>
  <c r="D107" i="11"/>
  <c r="D14" i="11"/>
  <c r="D47" i="11"/>
  <c r="D48" i="11"/>
  <c r="D116" i="11"/>
  <c r="D21" i="11"/>
  <c r="D49" i="11"/>
  <c r="D36" i="11"/>
  <c r="D106" i="11"/>
  <c r="D43" i="11"/>
  <c r="D111" i="11"/>
  <c r="D3" i="11"/>
  <c r="D39" i="11"/>
  <c r="D109" i="11"/>
  <c r="D42" i="11"/>
  <c r="D110" i="11"/>
  <c r="D35" i="11"/>
  <c r="D34" i="11"/>
  <c r="D105" i="11"/>
  <c r="D91" i="11"/>
  <c r="D24" i="11"/>
  <c r="D52" i="11"/>
  <c r="D117" i="11"/>
  <c r="D23" i="11"/>
  <c r="D112" i="11"/>
  <c r="D33" i="11"/>
  <c r="D104" i="11"/>
  <c r="D30" i="11"/>
  <c r="D101" i="11"/>
  <c r="D31" i="11"/>
  <c r="D102" i="11"/>
  <c r="D26" i="11"/>
  <c r="D99" i="11"/>
  <c r="D40" i="11"/>
  <c r="D51" i="11"/>
  <c r="D114" i="11"/>
  <c r="D29" i="11"/>
  <c r="D56" i="11"/>
  <c r="D25" i="11"/>
  <c r="D38" i="11"/>
  <c r="D108" i="11"/>
  <c r="D16" i="11"/>
  <c r="D46" i="11"/>
  <c r="D115" i="11"/>
  <c r="D20" i="11"/>
  <c r="D44" i="11"/>
  <c r="D113" i="11"/>
  <c r="D4" i="11"/>
  <c r="D5" i="11"/>
  <c r="D32" i="11"/>
  <c r="D103" i="11"/>
  <c r="D12" i="11"/>
  <c r="D28" i="11"/>
  <c r="D100" i="11"/>
  <c r="D11" i="11"/>
  <c r="D41" i="11"/>
  <c r="D79" i="11"/>
  <c r="D6" i="11"/>
  <c r="D2" i="11"/>
  <c r="D68" i="11"/>
  <c r="D15" i="11"/>
  <c r="D13" i="11"/>
  <c r="D118" i="11"/>
  <c r="D90" i="11"/>
  <c r="D87" i="11"/>
  <c r="D72" i="11"/>
  <c r="D7" i="11"/>
  <c r="D50" i="11"/>
  <c r="D85" i="11"/>
  <c r="D67" i="11"/>
  <c r="D126" i="11"/>
  <c r="D62" i="11"/>
  <c r="D81" i="11"/>
  <c r="D9" i="11"/>
  <c r="D122" i="11"/>
  <c r="D124" i="11"/>
  <c r="D125" i="11"/>
  <c r="D123" i="11"/>
  <c r="D63" i="11"/>
  <c r="D98" i="11"/>
  <c r="D121" i="11"/>
  <c r="D97" i="11"/>
  <c r="D96" i="11"/>
  <c r="D119" i="11"/>
  <c r="D95" i="11"/>
  <c r="D92" i="11"/>
  <c r="D93" i="11"/>
  <c r="D89" i="11"/>
  <c r="D88" i="11"/>
  <c r="D86" i="11"/>
  <c r="D84" i="11"/>
  <c r="D82" i="11"/>
  <c r="D78" i="11"/>
  <c r="D74" i="11"/>
  <c r="D76" i="11"/>
  <c r="D80" i="11"/>
  <c r="D75" i="11"/>
  <c r="D77" i="11"/>
  <c r="D73" i="11"/>
  <c r="D83" i="11"/>
  <c r="D71" i="11"/>
  <c r="D70" i="11"/>
  <c r="D69" i="11"/>
  <c r="D64" i="11"/>
  <c r="D60" i="11"/>
  <c r="D61" i="11"/>
  <c r="D59" i="11"/>
  <c r="D58" i="11"/>
  <c r="D57" i="11"/>
  <c r="D54" i="11"/>
  <c r="D55" i="11"/>
  <c r="D27" i="11"/>
  <c r="D10" i="11"/>
  <c r="D120" i="11"/>
  <c r="D65" i="11"/>
  <c r="O8" i="12"/>
  <c r="B178" i="1"/>
  <c r="B8" i="4"/>
  <c r="B9" i="4" s="1"/>
  <c r="B10" i="4"/>
  <c r="B11" i="4"/>
  <c r="B12" i="4"/>
  <c r="B13" i="4"/>
  <c r="B15" i="4"/>
  <c r="B17" i="4"/>
  <c r="B18" i="4" s="1"/>
  <c r="B20" i="4"/>
  <c r="B21" i="4" s="1"/>
  <c r="B23" i="4"/>
  <c r="B24" i="4" s="1"/>
  <c r="B29" i="4"/>
  <c r="B30" i="4" s="1"/>
  <c r="B32" i="4"/>
  <c r="B33" i="4"/>
  <c r="B34" i="4"/>
  <c r="B35" i="4"/>
  <c r="B36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9" i="4"/>
  <c r="B60" i="4"/>
  <c r="B61" i="4"/>
  <c r="B62" i="4"/>
  <c r="B63" i="4"/>
  <c r="B64" i="4"/>
  <c r="B67" i="4"/>
  <c r="B68" i="4" s="1"/>
  <c r="B70" i="4"/>
  <c r="B71" i="4"/>
  <c r="B72" i="4"/>
  <c r="B73" i="4"/>
  <c r="B74" i="4"/>
  <c r="B75" i="4"/>
  <c r="B76" i="4"/>
  <c r="B78" i="4"/>
  <c r="B79" i="4"/>
  <c r="B81" i="4"/>
  <c r="B82" i="4" s="1"/>
  <c r="B83" i="4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3" i="1"/>
  <c r="B144" i="1" s="1"/>
  <c r="B146" i="1"/>
  <c r="B147" i="1" s="1"/>
  <c r="B150" i="1"/>
  <c r="B151" i="1"/>
  <c r="B152" i="1"/>
  <c r="B153" i="1"/>
  <c r="B161" i="1"/>
  <c r="B164" i="1"/>
  <c r="B165" i="1"/>
  <c r="B166" i="1"/>
  <c r="B167" i="1"/>
  <c r="B168" i="1"/>
  <c r="B170" i="1"/>
  <c r="B171" i="1"/>
  <c r="B176" i="1"/>
  <c r="B177" i="1"/>
  <c r="F21" i="17" l="1"/>
  <c r="D43" i="17"/>
  <c r="F16" i="16" s="1"/>
  <c r="B54" i="18"/>
  <c r="B169" i="1"/>
  <c r="B172" i="1" s="1"/>
  <c r="B173" i="1" s="1"/>
  <c r="B174" i="1" s="1"/>
  <c r="B40" i="18"/>
  <c r="B128" i="19"/>
  <c r="F19" i="14" s="1"/>
  <c r="B53" i="12"/>
  <c r="B35" i="18"/>
  <c r="B55" i="19"/>
  <c r="B10" i="18"/>
  <c r="B57" i="1"/>
  <c r="H64" i="12"/>
  <c r="B49" i="19"/>
  <c r="B121" i="19"/>
  <c r="B122" i="19" s="1"/>
  <c r="B123" i="19" s="1"/>
  <c r="B124" i="19" s="1"/>
  <c r="B129" i="19" s="1"/>
  <c r="B71" i="18"/>
  <c r="G53" i="12"/>
  <c r="M53" i="12" s="1"/>
  <c r="H50" i="12"/>
  <c r="B58" i="4"/>
  <c r="B65" i="4" s="1"/>
  <c r="B42" i="4"/>
  <c r="B154" i="1"/>
  <c r="B62" i="1"/>
  <c r="B53" i="1"/>
  <c r="B141" i="1" s="1"/>
  <c r="B148" i="1" s="1"/>
  <c r="B155" i="1" s="1"/>
  <c r="B77" i="4"/>
  <c r="B37" i="4"/>
  <c r="B14" i="4"/>
  <c r="B25" i="4" s="1"/>
  <c r="B26" i="4" s="1"/>
  <c r="B179" i="1"/>
  <c r="D127" i="11"/>
  <c r="B60" i="18"/>
  <c r="B77" i="18" s="1"/>
  <c r="B15" i="18"/>
  <c r="B23" i="18" s="1"/>
  <c r="B24" i="18" s="1"/>
  <c r="B108" i="19"/>
  <c r="F11" i="14" s="1"/>
  <c r="B81" i="19"/>
  <c r="B45" i="19"/>
  <c r="F17" i="14"/>
  <c r="F21" i="14" s="1"/>
  <c r="B101" i="19"/>
  <c r="C43" i="17"/>
  <c r="F15" i="16" s="1"/>
  <c r="F19" i="16" s="1"/>
  <c r="F21" i="16" s="1"/>
  <c r="H53" i="12"/>
  <c r="L53" i="12"/>
  <c r="O9" i="12"/>
  <c r="O53" i="12" s="1"/>
  <c r="N53" i="12"/>
  <c r="N4583" i="2"/>
  <c r="B180" i="1" l="1"/>
  <c r="B84" i="4"/>
  <c r="B98" i="19"/>
  <c r="B102" i="19" s="1"/>
  <c r="B109" i="19" s="1"/>
  <c r="F43" i="17"/>
  <c r="B78" i="18"/>
  <c r="B79" i="18" s="1"/>
  <c r="B85" i="4"/>
  <c r="B86" i="4" s="1"/>
  <c r="F9" i="14" l="1"/>
  <c r="F13" i="14" s="1"/>
  <c r="N29" i="32"/>
  <c r="N28" i="32"/>
  <c r="N53" i="32"/>
  <c r="M58" i="32"/>
  <c r="N36" i="32"/>
  <c r="N30" i="32"/>
  <c r="N39" i="32"/>
  <c r="N46" i="32"/>
  <c r="N32" i="32"/>
  <c r="N21" i="32"/>
  <c r="N51" i="32"/>
  <c r="N34" i="32"/>
  <c r="N26" i="32"/>
  <c r="N19" i="32"/>
  <c r="N45" i="32"/>
  <c r="N20" i="32"/>
  <c r="N38" i="32"/>
  <c r="N47" i="32"/>
  <c r="N54" i="32"/>
  <c r="N31" i="32"/>
  <c r="N22" i="32"/>
  <c r="N50" i="32"/>
  <c r="N33" i="32"/>
  <c r="N27" i="32"/>
  <c r="M59" i="32" l="1"/>
  <c r="R17" i="49" l="1"/>
  <c r="C59" i="49" l="1"/>
  <c r="E65" i="32"/>
  <c r="L41" i="32" l="1"/>
  <c r="N41" i="32" s="1"/>
  <c r="K65" i="32"/>
  <c r="E67" i="32"/>
  <c r="C58" i="37"/>
  <c r="C68" i="37"/>
  <c r="C71" i="37" l="1"/>
  <c r="E71" i="32" s="1"/>
  <c r="C59" i="37"/>
  <c r="E68" i="32"/>
  <c r="E58" i="32" l="1"/>
  <c r="E59" i="32" l="1"/>
  <c r="L58" i="49"/>
  <c r="J66" i="32"/>
  <c r="R42" i="49"/>
  <c r="J42" i="32" s="1"/>
  <c r="K42" i="32" s="1"/>
  <c r="L68" i="49"/>
  <c r="L71" i="49" l="1"/>
  <c r="L59" i="49"/>
  <c r="J67" i="32"/>
  <c r="I43" i="49"/>
  <c r="R43" i="49" s="1"/>
  <c r="J43" i="32" s="1"/>
  <c r="I68" i="49"/>
  <c r="J68" i="32" l="1"/>
  <c r="I58" i="49"/>
  <c r="I59" i="49" s="1"/>
  <c r="R59" i="49" s="1"/>
  <c r="J58" i="32"/>
  <c r="I71" i="49"/>
  <c r="R58" i="49" l="1"/>
  <c r="J71" i="32" s="1"/>
  <c r="J59" i="32"/>
  <c r="L67" i="34"/>
  <c r="L68" i="34" s="1"/>
  <c r="I43" i="34"/>
  <c r="I58" i="34" s="1"/>
  <c r="I68" i="34"/>
  <c r="I59" i="34" l="1"/>
  <c r="I71" i="34"/>
  <c r="L43" i="34"/>
  <c r="F43" i="32" s="1"/>
  <c r="K43" i="32" s="1"/>
  <c r="F67" i="32"/>
  <c r="F68" i="32" l="1"/>
  <c r="L58" i="34"/>
  <c r="L71" i="34" l="1"/>
  <c r="F71" i="32" s="1"/>
  <c r="L59" i="34"/>
  <c r="F58" i="32"/>
  <c r="F59" i="32" l="1"/>
  <c r="C58" i="51"/>
  <c r="C59" i="51" s="1"/>
  <c r="I58" i="32"/>
  <c r="L42" i="32"/>
  <c r="N42" i="32" s="1"/>
  <c r="I66" i="32"/>
  <c r="I68" i="32" s="1"/>
  <c r="C68" i="51"/>
  <c r="C71" i="51" l="1"/>
  <c r="I71" i="32" s="1"/>
  <c r="K66" i="32"/>
  <c r="I59" i="32"/>
  <c r="H67" i="32"/>
  <c r="K67" i="32" s="1"/>
  <c r="C58" i="50"/>
  <c r="C68" i="50"/>
  <c r="K68" i="32" l="1"/>
  <c r="C59" i="50"/>
  <c r="C71" i="50"/>
  <c r="H71" i="32" s="1"/>
  <c r="K71" i="32" s="1"/>
  <c r="H68" i="32"/>
  <c r="H58" i="32" l="1"/>
  <c r="L43" i="32"/>
  <c r="N43" i="32" s="1"/>
  <c r="H59" i="32" l="1"/>
  <c r="K59" i="32" s="1"/>
  <c r="L59" i="32" s="1"/>
  <c r="N59" i="32" s="1"/>
  <c r="K58" i="32"/>
  <c r="L58" i="32" s="1"/>
  <c r="N58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Eimers</author>
  </authors>
  <commentList>
    <comment ref="C6" authorId="0" shapeId="0" xr:uid="{13A4FF07-1EDB-4413-AD5F-F7689926EE56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$1K/month from MlilyUSA jama mattress sales;</t>
        </r>
      </text>
    </comment>
    <comment ref="B12" authorId="0" shapeId="0" xr:uid="{4A7D91ED-0BFE-4266-8141-2C4E5E0B08F7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$25K assurance;
$50K Folgia on balance c sheet recorded in 2019;</t>
        </r>
      </text>
    </comment>
    <comment ref="C12" authorId="0" shapeId="0" xr:uid="{AD1A2DAE-D3CF-447F-BDBA-980B485C2881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$25K assurance;
$50K foglia;
</t>
        </r>
      </text>
    </comment>
    <comment ref="B16" authorId="0" shapeId="0" xr:uid="{0B3CBEFE-E39A-455A-BF4B-7B34C548036E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jan-dec 15%
</t>
        </r>
      </text>
    </comment>
    <comment ref="B37" authorId="0" shapeId="0" xr:uid="{55D6DED3-16A3-4EE0-A597-6C19BEBB750D}">
      <text>
        <r>
          <rPr>
            <b/>
            <sz val="9"/>
            <color indexed="81"/>
            <rFont val="Tahoma"/>
            <charset val="1"/>
          </rPr>
          <t>Michelle Eimers:</t>
        </r>
        <r>
          <rPr>
            <sz val="9"/>
            <color indexed="81"/>
            <rFont val="Tahoma"/>
            <charset val="1"/>
          </rPr>
          <t xml:space="preserve">
t-shirts/aprons/masks</t>
        </r>
      </text>
    </comment>
    <comment ref="C38" authorId="0" shapeId="0" xr:uid="{463E9368-364B-4247-B12F-9DCF48D0A2EF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knoxville office storage @$169/month;
wi office storage $100/month;</t>
        </r>
      </text>
    </comment>
    <comment ref="B41" authorId="0" shapeId="0" xr:uid="{5BE56D3D-9C55-4B6D-A2D5-65CA56A3E881}">
      <text>
        <r>
          <rPr>
            <b/>
            <sz val="9"/>
            <color indexed="81"/>
            <rFont val="Tahoma"/>
            <charset val="1"/>
          </rPr>
          <t>Michelle Eimers:</t>
        </r>
        <r>
          <rPr>
            <sz val="9"/>
            <color indexed="81"/>
            <rFont val="Tahoma"/>
            <charset val="1"/>
          </rPr>
          <t xml:space="preserve">
covid supplies/safety kit
</t>
        </r>
      </text>
    </comment>
    <comment ref="B52" authorId="0" shapeId="0" xr:uid="{5E7B1ACF-8679-4550-BDA3-7B2D23263BFA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$9,050 grant writer;
$5,400 cs acctg;
$2,000 lynn wall;</t>
        </r>
      </text>
    </comment>
    <comment ref="C52" authorId="0" shapeId="0" xr:uid="{1A3A289F-307D-4E9E-A750-382ED6C137D6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$24K buffalo;
$5,400 cs acctg;
$6K grant writer;</t>
        </r>
      </text>
    </comment>
    <comment ref="C56" authorId="0" shapeId="0" xr:uid="{0632221A-EFA3-4C87-A7BC-AF8F99FE71BD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eimers current salary @$60K/year; $60K nat; 
wolfla/nat=$12K; knox/nat=$12K;
$35K for 2020 bonus from national;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Eimers</author>
  </authors>
  <commentList>
    <comment ref="C56" authorId="0" shapeId="0" xr:uid="{72193E5D-5DE8-4716-B461-16D83A26659A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Wolfla's annual wage is $72K/year -$60k is wi ops and $12K is national's budget;
$1,600 car allowance;
$4000 bonus 2020;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Eimers</author>
  </authors>
  <commentList>
    <comment ref="D25" authorId="0" shapeId="0" xr:uid="{778B8347-D3CA-4CDD-A50F-775C0FD16F76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$400/mo to A. Schwemin;</t>
        </r>
      </text>
    </comment>
    <comment ref="B56" authorId="0" shapeId="0" xr:uid="{12E06319-4950-413C-9459-65D435B857A3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$annual wage is $52K,  $1,600 car allowance;</t>
        </r>
      </text>
    </comment>
    <comment ref="D56" authorId="0" shapeId="0" xr:uid="{E96C83CE-EFFD-40A4-A08C-981CAF046D3E}">
      <text>
        <r>
          <rPr>
            <b/>
            <sz val="9"/>
            <color indexed="81"/>
            <rFont val="Tahoma"/>
            <charset val="1"/>
          </rPr>
          <t>Michelle Eimers:</t>
        </r>
        <r>
          <rPr>
            <sz val="9"/>
            <color indexed="81"/>
            <rFont val="Tahoma"/>
            <charset val="1"/>
          </rPr>
          <t xml:space="preserve">
knox annual salary is $80K; $68K=chi ops; $12K=nat; car allowance $1,600;
$4K bonus 2020;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Eimers</author>
  </authors>
  <commentList>
    <comment ref="B7" authorId="0" shapeId="0" xr:uid="{6836B541-1D51-4E20-AD92-0671B5C51D3E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gov't grant;</t>
        </r>
      </text>
    </comment>
    <comment ref="C30" authorId="0" shapeId="0" xr:uid="{492F77FF-1AA4-436E-B7D9-E2587DE5DC38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uhaul rentals/gas;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Eimers</author>
  </authors>
  <commentList>
    <comment ref="H56" authorId="0" shapeId="0" xr:uid="{F308CA85-78A9-4059-B3EA-2E9CBAF22D19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INTERIM DIR-KNOX - TO BE PAID OUT OF NAT'S FUNDS;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Eimers</author>
  </authors>
  <commentList>
    <comment ref="C19" authorId="0" shapeId="0" xr:uid="{FC826508-80CB-4DFF-9B82-E047ADF1E134}">
      <text>
        <r>
          <rPr>
            <b/>
            <sz val="9"/>
            <color indexed="81"/>
            <rFont val="Tahoma"/>
            <family val="2"/>
          </rPr>
          <t>Michelle Eimers:</t>
        </r>
        <r>
          <rPr>
            <sz val="9"/>
            <color indexed="81"/>
            <rFont val="Tahoma"/>
            <family val="2"/>
          </rPr>
          <t xml:space="preserve">
chamber of commerce annual fee;</t>
        </r>
      </text>
    </comment>
  </commentList>
</comments>
</file>

<file path=xl/sharedStrings.xml><?xml version="1.0" encoding="utf-8"?>
<sst xmlns="http://schemas.openxmlformats.org/spreadsheetml/2006/main" count="39187" uniqueCount="2255">
  <si>
    <t>Total</t>
  </si>
  <si>
    <t>ASSETS</t>
  </si>
  <si>
    <t xml:space="preserve">   Current Assets</t>
  </si>
  <si>
    <t xml:space="preserve">      Bank Accounts</t>
  </si>
  <si>
    <t xml:space="preserve">         10000 SunTrust National 2923</t>
  </si>
  <si>
    <t xml:space="preserve">         10100 National Special Spaces 0698</t>
  </si>
  <si>
    <t xml:space="preserve">         10105 BofA Restricted Funds -055</t>
  </si>
  <si>
    <t xml:space="preserve">            10101 Feld</t>
  </si>
  <si>
    <t xml:space="preserve">            10102 Sunny Bear Funds</t>
  </si>
  <si>
    <t xml:space="preserve">            10103 Austin</t>
  </si>
  <si>
    <t xml:space="preserve">            10106 BofA Albequerque - 233</t>
  </si>
  <si>
    <t xml:space="preserve">            10108 Buffalo - 259</t>
  </si>
  <si>
    <t xml:space="preserve">            10109 Boston-3100</t>
  </si>
  <si>
    <t xml:space="preserve">            10110 Chattanooga - 4598</t>
  </si>
  <si>
    <t xml:space="preserve">            10111 Chicago 8350</t>
  </si>
  <si>
    <t xml:space="preserve">            10112 Cincinnati - 097</t>
  </si>
  <si>
    <t xml:space="preserve">            10114 Columbus - 262</t>
  </si>
  <si>
    <t xml:space="preserve">            10115 Columbia, SC 4798</t>
  </si>
  <si>
    <t xml:space="preserve">            10117 Delaware</t>
  </si>
  <si>
    <t xml:space="preserve">            10118 Houston - 136</t>
  </si>
  <si>
    <t xml:space="preserve">            10119 Knox UT</t>
  </si>
  <si>
    <t xml:space="preserve">            10120 Knoxville - 194</t>
  </si>
  <si>
    <t xml:space="preserve">            10121 NEW</t>
  </si>
  <si>
    <t xml:space="preserve">            10122 Las Vegas - 246</t>
  </si>
  <si>
    <t xml:space="preserve">            10123 Minneapolis - 4572</t>
  </si>
  <si>
    <t xml:space="preserve">            10124 Michigan -110</t>
  </si>
  <si>
    <t xml:space="preserve">            10125 National</t>
  </si>
  <si>
    <t xml:space="preserve">            10126 Milwaukee - 178</t>
  </si>
  <si>
    <t xml:space="preserve">            10127 Miami 6224</t>
  </si>
  <si>
    <t xml:space="preserve">            10128 Nashville - 149</t>
  </si>
  <si>
    <t xml:space="preserve">            10129 NEPA - 4608</t>
  </si>
  <si>
    <t xml:space="preserve">            10130 New York - 165</t>
  </si>
  <si>
    <t xml:space="preserve">            10131 Ohio - 152</t>
  </si>
  <si>
    <t xml:space="preserve">            10132 Orange County - 071</t>
  </si>
  <si>
    <t xml:space="preserve">            10133 Panama City</t>
  </si>
  <si>
    <t xml:space="preserve">            10134 Pittsburgh - Metro 3133</t>
  </si>
  <si>
    <t xml:space="preserve">            10138 Pittsburgh - 220(SWPA)</t>
  </si>
  <si>
    <t xml:space="preserve">            10139 Sacramento 5171</t>
  </si>
  <si>
    <t xml:space="preserve">            10140 St. Louis - 0123</t>
  </si>
  <si>
    <t xml:space="preserve">            10141 San Antonio 2317</t>
  </si>
  <si>
    <t xml:space="preserve">            10142 San Diego -068</t>
  </si>
  <si>
    <t xml:space="preserve">            10143 Tampa - 8376</t>
  </si>
  <si>
    <t xml:space="preserve">            10144 San Francisco - 107</t>
  </si>
  <si>
    <t xml:space="preserve">            10145 Dallas, Texas 8389</t>
  </si>
  <si>
    <t xml:space="preserve">            10146 Triangle - 4585</t>
  </si>
  <si>
    <t xml:space="preserve">            10147 Tri-Counties-Michigan 3090</t>
  </si>
  <si>
    <t xml:space="preserve">            10148 Tri-Cities - 181</t>
  </si>
  <si>
    <t xml:space="preserve">            10149 Toledo-8363</t>
  </si>
  <si>
    <t xml:space="preserve">         Total 10105 BofA Restricted Funds -055</t>
  </si>
  <si>
    <t xml:space="preserve">         10178 *US Bank-Ohio Restriced 4603</t>
  </si>
  <si>
    <t xml:space="preserve">            10210 National Ohio Restricted</t>
  </si>
  <si>
    <t xml:space="preserve">            10211 Columbus Restricted</t>
  </si>
  <si>
    <t xml:space="preserve">         Total 10178 *US Bank-Ohio Restriced 4603</t>
  </si>
  <si>
    <t xml:space="preserve">         10179 *US Bank Wisc Restr 4595</t>
  </si>
  <si>
    <t xml:space="preserve">            10201 Wisconsin Restricted</t>
  </si>
  <si>
    <t xml:space="preserve">            10202 Green Bay</t>
  </si>
  <si>
    <t xml:space="preserve">            10203 Northshore</t>
  </si>
  <si>
    <t xml:space="preserve">         Total 10179 *US Bank Wisc Restr 4595</t>
  </si>
  <si>
    <t xml:space="preserve">         10180 BofA Spec Spaces National 4695</t>
  </si>
  <si>
    <t xml:space="preserve">         10181 *US Bank National 5014</t>
  </si>
  <si>
    <t xml:space="preserve">         10190 Knoxville 1 Special Spaces 3604</t>
  </si>
  <si>
    <t xml:space="preserve">         10200 Ohio Special Spaces 0706</t>
  </si>
  <si>
    <t xml:space="preserve">         10250 Paypal account</t>
  </si>
  <si>
    <t xml:space="preserve">         10300 Special Spaces-Knoxville 0661</t>
  </si>
  <si>
    <t xml:space="preserve">         10310 BoA Columbia 4798</t>
  </si>
  <si>
    <t xml:space="preserve">         10340 BoA Delaware 5700</t>
  </si>
  <si>
    <t xml:space="preserve">         10350 Green Bay SpecialSpaces 6753</t>
  </si>
  <si>
    <t xml:space="preserve">         10352 * US Bank Green Bay 5006</t>
  </si>
  <si>
    <t xml:space="preserve">         10355 *US Bank- Dubuque-4021</t>
  </si>
  <si>
    <t xml:space="preserve">         10400 Nashville Special Spaces 6761</t>
  </si>
  <si>
    <t xml:space="preserve">         10401 BofA Nashville</t>
  </si>
  <si>
    <t xml:space="preserve">         10405 BoA Boston 3100</t>
  </si>
  <si>
    <t xml:space="preserve">         10410 Special Spaces Buffalo</t>
  </si>
  <si>
    <t xml:space="preserve">         10411 BofA Buffalo</t>
  </si>
  <si>
    <t xml:space="preserve">         10414 BoA Chicago 8350</t>
  </si>
  <si>
    <t xml:space="preserve">         10415 Special Spaces Columbus</t>
  </si>
  <si>
    <t xml:space="preserve">         10416 BofA Columbus</t>
  </si>
  <si>
    <t xml:space="preserve">         10417 *US Bank Columbus</t>
  </si>
  <si>
    <t xml:space="preserve">         10418 *US Bank Cincinnati</t>
  </si>
  <si>
    <t xml:space="preserve">         10420 Special Spaces Phoenix</t>
  </si>
  <si>
    <t xml:space="preserve">         10421 BofA Phoenix</t>
  </si>
  <si>
    <t xml:space="preserve">         10428 BoA Sacramento</t>
  </si>
  <si>
    <t xml:space="preserve">         10430 Special Spaces San Diego</t>
  </si>
  <si>
    <t xml:space="preserve">         10431 BofA San Diego</t>
  </si>
  <si>
    <t xml:space="preserve">         10435 BoA Miami-Mitchell</t>
  </si>
  <si>
    <t xml:space="preserve">         10440 Special Spaces Michigan</t>
  </si>
  <si>
    <t xml:space="preserve">         10441 BofA Michigan</t>
  </si>
  <si>
    <t xml:space="preserve">         10445 BoA Tri-Counties Michigan 3090</t>
  </si>
  <si>
    <t xml:space="preserve">         10450 Central Ohio Special Spaces6456</t>
  </si>
  <si>
    <t xml:space="preserve">         10451 BofA Central Ohio</t>
  </si>
  <si>
    <t xml:space="preserve">         10460 Special Spaces Saint Louis</t>
  </si>
  <si>
    <t xml:space="preserve">         10461 BofA St Louis</t>
  </si>
  <si>
    <t xml:space="preserve">         10465 BofA Minneapolis</t>
  </si>
  <si>
    <t xml:space="preserve">         10470 Special Spaces Albequerque</t>
  </si>
  <si>
    <t xml:space="preserve">         10471 BofA Albequerque</t>
  </si>
  <si>
    <t xml:space="preserve">         10480 Special Spaces Cincinnati</t>
  </si>
  <si>
    <t xml:space="preserve">         10481 BofA Cincinnati</t>
  </si>
  <si>
    <t xml:space="preserve">         10485 Special Spaces Chattanooga</t>
  </si>
  <si>
    <t xml:space="preserve">         10486 BofA Chattanooga</t>
  </si>
  <si>
    <t xml:space="preserve">         10488 Special Spaces Flat Head Valley</t>
  </si>
  <si>
    <t xml:space="preserve">         10489 BofA Flat Head Valley</t>
  </si>
  <si>
    <t xml:space="preserve">         10490 Special Spaces Philadelphia</t>
  </si>
  <si>
    <t xml:space="preserve">         10494 BoA Toledo 8363</t>
  </si>
  <si>
    <t xml:space="preserve">         10495 Special Spaces Tri Cities</t>
  </si>
  <si>
    <t xml:space="preserve">         10496 BofA Tri Cities</t>
  </si>
  <si>
    <t xml:space="preserve">         10497 BoA Tri Cities Restricted 0921</t>
  </si>
  <si>
    <t xml:space="preserve">         10500 Petty Cash-National</t>
  </si>
  <si>
    <t xml:space="preserve">         10510 Special Spaces Houston</t>
  </si>
  <si>
    <t xml:space="preserve">         10511 BofA Houston</t>
  </si>
  <si>
    <t xml:space="preserve">         10512 BofA Houston Resticted 0905</t>
  </si>
  <si>
    <t xml:space="preserve">         10515 Special Spaces New York</t>
  </si>
  <si>
    <t xml:space="preserve">         10516 BofA New York</t>
  </si>
  <si>
    <t xml:space="preserve">         10520 Special Spaces Milwaukee</t>
  </si>
  <si>
    <t xml:space="preserve">         10521 BofA Milwaukee</t>
  </si>
  <si>
    <t xml:space="preserve">         10522 *US Bank - Milwaukee</t>
  </si>
  <si>
    <t xml:space="preserve">         10525 Special Spaces Orange County</t>
  </si>
  <si>
    <t xml:space="preserve">         10526 BofA Orange County</t>
  </si>
  <si>
    <t xml:space="preserve">         10530 Special Spaces Knoxville 1</t>
  </si>
  <si>
    <t xml:space="preserve">         10531 BofA Knoxville</t>
  </si>
  <si>
    <t xml:space="preserve">         10535 BofA Scranton (NEPA) - 4608</t>
  </si>
  <si>
    <t xml:space="preserve">         10536 BoA San Antonio 2317</t>
  </si>
  <si>
    <t xml:space="preserve">         10540 Special Spaces San Francisco</t>
  </si>
  <si>
    <t xml:space="preserve">         10541 BofA San Francisco</t>
  </si>
  <si>
    <t xml:space="preserve">         10542 BofA San Fran Restricted 0918</t>
  </si>
  <si>
    <t xml:space="preserve">         10543 BoA Dallas, Texas 8389</t>
  </si>
  <si>
    <t xml:space="preserve">         10545 Special Spaces Las Vegas</t>
  </si>
  <si>
    <t xml:space="preserve">         10546 BofA Las Vegas</t>
  </si>
  <si>
    <t xml:space="preserve">         10549 BoA Tampa - 8376</t>
  </si>
  <si>
    <t xml:space="preserve">         10550 BofA Triangle Account</t>
  </si>
  <si>
    <t xml:space="preserve">         10700 Ft. Lauderdale Special Spaces</t>
  </si>
  <si>
    <t xml:space="preserve">         10750 BoA Panama City 7873</t>
  </si>
  <si>
    <t xml:space="preserve">         10800 Pittsburgh Special Spaces</t>
  </si>
  <si>
    <t xml:space="preserve">         10801 BofA Pittsburgh 0220(SWPA)</t>
  </si>
  <si>
    <t xml:space="preserve">         10850 BoA Pittsburgh 3133</t>
  </si>
  <si>
    <t xml:space="preserve">         10903 *US Bank Wisc-Northshore</t>
  </si>
  <si>
    <t xml:space="preserve">         10910 BoA NEPA 8719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</si>
  <si>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</si>
  <si>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</si>
  <si>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</si>
  <si>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</si>
  <si>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</si>
  <si>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</si>
  <si>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</si>
  <si>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</si>
  <si>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</si>
  <si>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15000 Equipment</t>
  </si>
  <si>
    <t xml:space="preserve">      15200 Fixed Assets - Furniture</t>
  </si>
  <si>
    <t xml:space="preserve">      17100 Accum Depr -  Equip</t>
  </si>
  <si>
    <t xml:space="preserve">      17500 Accumulated Depreciation - Furniture</t>
  </si>
  <si>
    <t xml:space="preserve">   Total Fixed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</si>
  <si>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</si>
  <si>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</si>
  <si>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</si>
  <si>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</si>
  <si>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</si>
  <si>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</si>
  <si>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</si>
  <si>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</si>
  <si>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24000 Payroll Liabilities</t>
  </si>
  <si>
    <t xml:space="preserve">               CA PIT / SDI</t>
  </si>
  <si>
    <t xml:space="preserve">               CA SUI / ETT</t>
  </si>
  <si>
    <t xml:space="preserve">               Federal Taxes (941/944)</t>
  </si>
  <si>
    <t xml:space="preserve">               NYS Income Tax</t>
  </si>
  <si>
    <t xml:space="preserve">               TN Quarterly Taxes</t>
  </si>
  <si>
    <t xml:space="preserve">            Total 24000 Payroll Liabilities</t>
  </si>
  <si>
    <t xml:space="preserve">            24100 Loan from Jennifer Swain</t>
  </si>
  <si>
    <t xml:space="preserve">            26000 Direct Deposit Payable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</si>
  <si>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</si>
  <si>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</si>
  <si>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</si>
  <si>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</si>
  <si>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31500 Temp. Restricted Net Assets</t>
  </si>
  <si>
    <t xml:space="preserve">      32000 Unrestricted Net Assets</t>
  </si>
  <si>
    <t xml:space="preserve">      Net Income</t>
  </si>
  <si>
    <t xml:space="preserve">   Total Equity</t>
  </si>
  <si>
    <t>TOTAL LIABILITIES AND EQUITY</t>
  </si>
  <si>
    <t>Monday, Jul 21, 2014 04:27:39 PM PDT GMT-4 - Accrual Basis</t>
  </si>
  <si>
    <t>Special Spaces, Inc</t>
  </si>
  <si>
    <t>Balance Sheet</t>
  </si>
  <si>
    <t>As of June 30, 2014</t>
  </si>
  <si>
    <t>-Split-</t>
  </si>
  <si>
    <t>Jennifer</t>
  </si>
  <si>
    <t>National</t>
  </si>
  <si>
    <t>Journal Entry</t>
  </si>
  <si>
    <t>05/31/2014</t>
  </si>
  <si>
    <t>Shelley</t>
  </si>
  <si>
    <t>26000 Direct Deposit Payable</t>
  </si>
  <si>
    <t>Gross Pay - This is not a legal pay stub</t>
  </si>
  <si>
    <t>Rachelle Ham</t>
  </si>
  <si>
    <t>DD</t>
  </si>
  <si>
    <t>Payroll Check</t>
  </si>
  <si>
    <t>05/30/2014</t>
  </si>
  <si>
    <t>Jennifer A. Swain</t>
  </si>
  <si>
    <t>05/16/2014</t>
  </si>
  <si>
    <t>05/01/2014</t>
  </si>
  <si>
    <t>Jennifer salary</t>
  </si>
  <si>
    <t>04/16/2014</t>
  </si>
  <si>
    <t>50%  Shelley pay</t>
  </si>
  <si>
    <t>10180 BofA Spec Spaces National 4695</t>
  </si>
  <si>
    <t>Hyatt</t>
  </si>
  <si>
    <t>Check</t>
  </si>
  <si>
    <t>04/21/2014</t>
  </si>
  <si>
    <t>10471 BofA Albequerque</t>
  </si>
  <si>
    <t>Golf Mart</t>
  </si>
  <si>
    <t>06/30/2014</t>
  </si>
  <si>
    <t>Tammy Johnson</t>
  </si>
  <si>
    <t>Zuna Corp</t>
  </si>
  <si>
    <t>06/27/2014</t>
  </si>
  <si>
    <t>Bed Race</t>
  </si>
  <si>
    <t>Direct Mail Services</t>
  </si>
  <si>
    <t>06/25/2014</t>
  </si>
  <si>
    <t>venue  (reimburse Kim Resnick)</t>
  </si>
  <si>
    <t>Delaware</t>
  </si>
  <si>
    <t>Kimberly Resnick</t>
  </si>
  <si>
    <t>06/16/2014</t>
  </si>
  <si>
    <t>Supplies for an auction</t>
  </si>
  <si>
    <t>Panama City</t>
  </si>
  <si>
    <t>Sherry Melton</t>
  </si>
  <si>
    <t>06/04/2014</t>
  </si>
  <si>
    <t>10750 BoA Panama City 7873</t>
  </si>
  <si>
    <t>Office Depot</t>
  </si>
  <si>
    <t>Expense</t>
  </si>
  <si>
    <t>06/02/2014</t>
  </si>
  <si>
    <t>dollar Tree</t>
  </si>
  <si>
    <t>05/21/2014</t>
  </si>
  <si>
    <t>10541 BofA San Francisco</t>
  </si>
  <si>
    <t>Team Breezy - printing </t>
  </si>
  <si>
    <t>San Francisco</t>
  </si>
  <si>
    <t>A Bird's Eye Graphics</t>
  </si>
  <si>
    <t>05/20/2014</t>
  </si>
  <si>
    <t>10549 BoA Tampa - 8376</t>
  </si>
  <si>
    <t>Tampa</t>
  </si>
  <si>
    <t>Direct Mail Campaign</t>
  </si>
  <si>
    <t>05/15/2014</t>
  </si>
  <si>
    <t>Staples</t>
  </si>
  <si>
    <t>05/14/2014</t>
  </si>
  <si>
    <t>10461 BofA St Louis</t>
  </si>
  <si>
    <t>St. Theodore KC Hall</t>
  </si>
  <si>
    <t>05/12/2014</t>
  </si>
  <si>
    <t>05/05/2014</t>
  </si>
  <si>
    <t>Team Breezy - Decorations</t>
  </si>
  <si>
    <t>Target</t>
  </si>
  <si>
    <t>Deposit</t>
  </si>
  <si>
    <t>OfficeMax</t>
  </si>
  <si>
    <t>Team Breezy Decorations</t>
  </si>
  <si>
    <t>10522 *US Bank - Milwaukee</t>
  </si>
  <si>
    <t>Gala</t>
  </si>
  <si>
    <t>Milwaukee</t>
  </si>
  <si>
    <t>Along the Road Arts</t>
  </si>
  <si>
    <t>05/02/2014</t>
  </si>
  <si>
    <t>10310 BoA Columbia 4798</t>
  </si>
  <si>
    <t>Columbia</t>
  </si>
  <si>
    <t>Jordans Modern Br</t>
  </si>
  <si>
    <t>04/29/2014</t>
  </si>
  <si>
    <t>Team Breezy  games</t>
  </si>
  <si>
    <t>Jump For Joy</t>
  </si>
  <si>
    <t>Sq Special Space</t>
  </si>
  <si>
    <t>04/28/2014</t>
  </si>
  <si>
    <t>10542 BofA San Fran Restricted 0918</t>
  </si>
  <si>
    <t>Square Inc Des</t>
  </si>
  <si>
    <t>10414 BoA Chicago 8350</t>
  </si>
  <si>
    <t>Chicago</t>
  </si>
  <si>
    <t>BP</t>
  </si>
  <si>
    <t>04/25/2014</t>
  </si>
  <si>
    <t>Team Breezy decorations</t>
  </si>
  <si>
    <t>Amazon</t>
  </si>
  <si>
    <t>04/24/2014</t>
  </si>
  <si>
    <t>04/23/2014</t>
  </si>
  <si>
    <t>Decorations</t>
  </si>
  <si>
    <t>Barbara Zabors</t>
  </si>
  <si>
    <t>04/22/2014</t>
  </si>
  <si>
    <t>Team Breezy - T shirts</t>
  </si>
  <si>
    <t>Canopies</t>
  </si>
  <si>
    <t>Team Breezy - tshirts</t>
  </si>
  <si>
    <t>Team Breezy - printing</t>
  </si>
  <si>
    <t>Dlx Ps Print</t>
  </si>
  <si>
    <t>Team Breezy</t>
  </si>
  <si>
    <t>10411 BofA Buffalo</t>
  </si>
  <si>
    <t>Buffalo</t>
  </si>
  <si>
    <t>Angie Amaro</t>
  </si>
  <si>
    <t>04/15/2014</t>
  </si>
  <si>
    <t>SaxMan Slim</t>
  </si>
  <si>
    <t>04/14/2014</t>
  </si>
  <si>
    <t>Salvatore's Italian Gardens</t>
  </si>
  <si>
    <t>04/09/2014</t>
  </si>
  <si>
    <t>printing/advertising for bed race</t>
  </si>
  <si>
    <t>Business Graphics</t>
  </si>
  <si>
    <t>04/08/2014</t>
  </si>
  <si>
    <t>Team Breezy - web</t>
  </si>
  <si>
    <t>Caspio Inc</t>
  </si>
  <si>
    <t>04/07/2014</t>
  </si>
  <si>
    <t>Mischler's Floris</t>
  </si>
  <si>
    <t>Connie Campbell</t>
  </si>
  <si>
    <t>04/03/2014</t>
  </si>
  <si>
    <t>10543 BoA Dallas, Texas 8389</t>
  </si>
  <si>
    <t>Dallas</t>
  </si>
  <si>
    <t>Mixed Bag Designs</t>
  </si>
  <si>
    <t>The UPS Store</t>
  </si>
  <si>
    <t>03/31/2014</t>
  </si>
  <si>
    <t>Spike It for Special Spaces printing</t>
  </si>
  <si>
    <t>Fedexoffice</t>
  </si>
  <si>
    <t>Patricia O'Brian</t>
  </si>
  <si>
    <t>03/27/2014</t>
  </si>
  <si>
    <t>Golf Tournament</t>
  </si>
  <si>
    <t>Tanoan Country Cl</t>
  </si>
  <si>
    <t>03/26/2014</t>
  </si>
  <si>
    <t>03/25/2014</t>
  </si>
  <si>
    <t>mailing</t>
  </si>
  <si>
    <t>03/24/2014</t>
  </si>
  <si>
    <t>printing</t>
  </si>
  <si>
    <t>confluence Graphics</t>
  </si>
  <si>
    <t>Levy Restaurant</t>
  </si>
  <si>
    <t>03/17/2014</t>
  </si>
  <si>
    <t>Stamps and postage</t>
  </si>
  <si>
    <t>Julie McBride</t>
  </si>
  <si>
    <t>03/11/2014</t>
  </si>
  <si>
    <t>Office expenses - auction</t>
  </si>
  <si>
    <t>White Eagle Country Club</t>
  </si>
  <si>
    <t>dreaming in color</t>
  </si>
  <si>
    <t>03/10/2014</t>
  </si>
  <si>
    <t>auction item</t>
  </si>
  <si>
    <t>Gifts for Volunteers</t>
  </si>
  <si>
    <t>Sendiks</t>
  </si>
  <si>
    <t>03/07/2014</t>
  </si>
  <si>
    <t>fees for greater giving</t>
  </si>
  <si>
    <t>Greater Giving</t>
  </si>
  <si>
    <t>Life Productions</t>
  </si>
  <si>
    <t>03/05/2014</t>
  </si>
  <si>
    <t>auctioneer</t>
  </si>
  <si>
    <t>California Coast Auctions</t>
  </si>
  <si>
    <t>03/04/2014</t>
  </si>
  <si>
    <t>Logan Productions</t>
  </si>
  <si>
    <t>Program gift bags</t>
  </si>
  <si>
    <t>Harley Davidson Museum</t>
  </si>
  <si>
    <t>03/03/2014</t>
  </si>
  <si>
    <t>Marriott</t>
  </si>
  <si>
    <t>US Bank</t>
  </si>
  <si>
    <t>Postage for Dreaming in Color</t>
  </si>
  <si>
    <t>USPS</t>
  </si>
  <si>
    <t>Larry's Market</t>
  </si>
  <si>
    <t>02/28/2014</t>
  </si>
  <si>
    <t>decorations</t>
  </si>
  <si>
    <t>Cathy Wotfla</t>
  </si>
  <si>
    <t>The Great Frame UP</t>
  </si>
  <si>
    <t>02/27/2014</t>
  </si>
  <si>
    <t>Ace Hardware</t>
  </si>
  <si>
    <t>Team Breezy deposit on inflatable games</t>
  </si>
  <si>
    <t>Dreaming in Color postage</t>
  </si>
  <si>
    <t>02/26/2014</t>
  </si>
  <si>
    <t>Printing</t>
  </si>
  <si>
    <t>Visa Confluence</t>
  </si>
  <si>
    <t>02/25/2014</t>
  </si>
  <si>
    <t>Jo-Ann Stores</t>
  </si>
  <si>
    <t>02/24/2014</t>
  </si>
  <si>
    <t>Dreaming in Color decorations</t>
  </si>
  <si>
    <t>michaels</t>
  </si>
  <si>
    <t>02/21/2014</t>
  </si>
  <si>
    <t>Dreaming in Color Invitations</t>
  </si>
  <si>
    <t>Printroc Inc Roch</t>
  </si>
  <si>
    <t>02/20/2014</t>
  </si>
  <si>
    <t>Rojahn and Malaney</t>
  </si>
  <si>
    <t>02/18/2014</t>
  </si>
  <si>
    <t>Fast Signs</t>
  </si>
  <si>
    <t>Printing invitations</t>
  </si>
  <si>
    <t>Elliots</t>
  </si>
  <si>
    <t>Volunteer hospitality for gala</t>
  </si>
  <si>
    <t>Cash</t>
  </si>
  <si>
    <t>02/14/2014</t>
  </si>
  <si>
    <t>Dreaming in Color sponsorship packages</t>
  </si>
  <si>
    <t>02/12/2014</t>
  </si>
  <si>
    <t>lunch meeting for Gala</t>
  </si>
  <si>
    <t>Milwaukee Athletic Club</t>
  </si>
  <si>
    <t>02/10/2014</t>
  </si>
  <si>
    <t>Dreaming in Color</t>
  </si>
  <si>
    <t>02/07/2014</t>
  </si>
  <si>
    <t>Events with Pizzaz</t>
  </si>
  <si>
    <t>02/06/2014</t>
  </si>
  <si>
    <t>02/04/2014</t>
  </si>
  <si>
    <t>Logo</t>
  </si>
  <si>
    <t>02/03/2014</t>
  </si>
  <si>
    <t>Eventbrite</t>
  </si>
  <si>
    <t>01/27/2014</t>
  </si>
  <si>
    <t>catering deposit</t>
  </si>
  <si>
    <t>01/24/2014</t>
  </si>
  <si>
    <t>01/21/2014</t>
  </si>
  <si>
    <t>postage</t>
  </si>
  <si>
    <t>Mgm Resorts Vacat</t>
  </si>
  <si>
    <t>confluene</t>
  </si>
  <si>
    <t>01/13/2014</t>
  </si>
  <si>
    <t>to accrue unrecorded payables at 12/31/13</t>
  </si>
  <si>
    <t>550R</t>
  </si>
  <si>
    <t>01/01/2014</t>
  </si>
  <si>
    <t>01/17/2014</t>
  </si>
  <si>
    <t>01/16/2014</t>
  </si>
  <si>
    <t>to accrue Jennifer's bonus at year end</t>
  </si>
  <si>
    <t>551R</t>
  </si>
  <si>
    <t>Sharon</t>
  </si>
  <si>
    <t>Sharon  Schultz</t>
  </si>
  <si>
    <t>to allocate jennifer's salary</t>
  </si>
  <si>
    <t>1/2 of Shelley's salary</t>
  </si>
  <si>
    <t>Shelley's salary</t>
  </si>
  <si>
    <t>Jennifer's salary</t>
  </si>
  <si>
    <t>Sharon Salary to Admin</t>
  </si>
  <si>
    <t>1/3 Jennifer salary</t>
  </si>
  <si>
    <t>1/3 Jennifer's salary</t>
  </si>
  <si>
    <t>1/2 of Shelley's salary to Programs</t>
  </si>
  <si>
    <t>04/01/2014</t>
  </si>
  <si>
    <t>03/16/2014</t>
  </si>
  <si>
    <t>03/01/2014</t>
  </si>
  <si>
    <t>02/16/2014</t>
  </si>
  <si>
    <t>02/01/2014</t>
  </si>
  <si>
    <t>Employer Taxes</t>
  </si>
  <si>
    <t>NY Worker's Comp</t>
  </si>
  <si>
    <t>Uninsured Employers Fund</t>
  </si>
  <si>
    <t>refund</t>
  </si>
  <si>
    <t>03/15/2014</t>
  </si>
  <si>
    <t>BCBS</t>
  </si>
  <si>
    <t>04/30/2014</t>
  </si>
  <si>
    <t>02/11/2014</t>
  </si>
  <si>
    <t>rack card design</t>
  </si>
  <si>
    <t>Exec Risk, umbrella and commercial</t>
  </si>
  <si>
    <t>Philadelphia Insurance</t>
  </si>
  <si>
    <t>Volunteer insurance</t>
  </si>
  <si>
    <t>CIMA</t>
  </si>
  <si>
    <t>Exec Risk</t>
  </si>
  <si>
    <t>paypal</t>
  </si>
  <si>
    <t>06/26/2014</t>
  </si>
  <si>
    <t>06/17/2014</t>
  </si>
  <si>
    <t>paypal deposit</t>
  </si>
  <si>
    <t>06/05/2014</t>
  </si>
  <si>
    <t>05/28/2014</t>
  </si>
  <si>
    <t>05/13/2014</t>
  </si>
  <si>
    <t>01/09/2014</t>
  </si>
  <si>
    <t>Robert Mason</t>
  </si>
  <si>
    <t>06/20/2014</t>
  </si>
  <si>
    <t>Bottle Your Brand</t>
  </si>
  <si>
    <t>Oriental Trading</t>
  </si>
  <si>
    <t>01/23/2014</t>
  </si>
  <si>
    <t>Sunoco</t>
  </si>
  <si>
    <t>trailer tag renewal reimbursement</t>
  </si>
  <si>
    <t>Columbus</t>
  </si>
  <si>
    <t>Dawn Gunoe</t>
  </si>
  <si>
    <t>05/29/2014</t>
  </si>
  <si>
    <t>10th room completion</t>
  </si>
  <si>
    <t>Danijohnsoncom</t>
  </si>
  <si>
    <t>10125 BofA Restricted Funds -055:National</t>
  </si>
  <si>
    <t>Bank Of America</t>
  </si>
  <si>
    <t>dbt</t>
  </si>
  <si>
    <t>01/31/2014</t>
  </si>
  <si>
    <t>01/02/2014</t>
  </si>
  <si>
    <t>Duvet cover and roman shade</t>
  </si>
  <si>
    <t>Minneapolis</t>
  </si>
  <si>
    <t>06/21/2014</t>
  </si>
  <si>
    <t>labor for duvet cover/sham and rock chair recovered for Dereck's room</t>
  </si>
  <si>
    <t>mural for Hudson</t>
  </si>
  <si>
    <t>06/07/2014</t>
  </si>
  <si>
    <t>Michelle's bedroom labor for drapery </t>
  </si>
  <si>
    <t>Built Toy Chest and molding</t>
  </si>
  <si>
    <t>Orange County</t>
  </si>
  <si>
    <t>General Contracting</t>
  </si>
  <si>
    <t>Design Services</t>
  </si>
  <si>
    <t>Placed carpet in Mikayla Onken's room</t>
  </si>
  <si>
    <t>Dubuque</t>
  </si>
  <si>
    <t>05/17/2014</t>
  </si>
  <si>
    <t>Painted Mikayla Onken's room</t>
  </si>
  <si>
    <t>Scotty's Room</t>
  </si>
  <si>
    <t>05/03/2014</t>
  </si>
  <si>
    <t>Samiayah room</t>
  </si>
  <si>
    <t>photographer Danis room</t>
  </si>
  <si>
    <t>Chattanooga</t>
  </si>
  <si>
    <t>03/08/2014</t>
  </si>
  <si>
    <t>muralist Danis room</t>
  </si>
  <si>
    <t>Jullissa room</t>
  </si>
  <si>
    <t>painting Joey Bartrum's room</t>
  </si>
  <si>
    <t>Joey's Bartrum's Room</t>
  </si>
  <si>
    <t>Mural</t>
  </si>
  <si>
    <t>floor installation</t>
  </si>
  <si>
    <t>01/25/2014</t>
  </si>
  <si>
    <t>Kobe's Room - Nashville Feld room</t>
  </si>
  <si>
    <t>01/18/2014</t>
  </si>
  <si>
    <t>labor</t>
  </si>
  <si>
    <t>Boston</t>
  </si>
  <si>
    <t>01/11/2014</t>
  </si>
  <si>
    <t>Closet system</t>
  </si>
  <si>
    <t>Flooring Materials</t>
  </si>
  <si>
    <t>dresser for Oliva Reed</t>
  </si>
  <si>
    <t>06/13/2014</t>
  </si>
  <si>
    <t>Pizza</t>
  </si>
  <si>
    <t>Doll House Furniture</t>
  </si>
  <si>
    <t>Food for volunteers/ costume for Raeleyn</t>
  </si>
  <si>
    <t>Shutter</t>
  </si>
  <si>
    <t>Paint and molding</t>
  </si>
  <si>
    <t>Dagim Yilak Room</t>
  </si>
  <si>
    <t>05/22/2014</t>
  </si>
  <si>
    <t>Flowers and mulch</t>
  </si>
  <si>
    <t>Carpet for Caden Hook's room</t>
  </si>
  <si>
    <t>05/09/2014</t>
  </si>
  <si>
    <t>2 twin mattresses</t>
  </si>
  <si>
    <t>Owen Fouts</t>
  </si>
  <si>
    <t>Northshore</t>
  </si>
  <si>
    <t>Alexis Room</t>
  </si>
  <si>
    <t>Riley's room</t>
  </si>
  <si>
    <t>Tri Cities</t>
  </si>
  <si>
    <t>04/11/2014</t>
  </si>
  <si>
    <t>Zacarias' Room</t>
  </si>
  <si>
    <t>03/29/2014</t>
  </si>
  <si>
    <t>Antonio Santos room</t>
  </si>
  <si>
    <t>03/22/2014</t>
  </si>
  <si>
    <t>building materials</t>
  </si>
  <si>
    <t>Knoxville</t>
  </si>
  <si>
    <t>Samiyah room</t>
  </si>
  <si>
    <t>03/12/2014</t>
  </si>
  <si>
    <t>lumber and paint Danis room</t>
  </si>
  <si>
    <t>Julissa room</t>
  </si>
  <si>
    <t>Joey Bartrum's room fat heads</t>
  </si>
  <si>
    <t>Ana Susko room</t>
  </si>
  <si>
    <t>02/22/2014</t>
  </si>
  <si>
    <t>Julissa Room</t>
  </si>
  <si>
    <t>02/17/2014</t>
  </si>
  <si>
    <t>Samuels room</t>
  </si>
  <si>
    <t>Claire Koreck's room - paint</t>
  </si>
  <si>
    <t>Claire Koreck's room - tree</t>
  </si>
  <si>
    <t>Claire Koreck's room - gift card and dinner for family and friends</t>
  </si>
  <si>
    <t>Claire Koreck's room - misc donations</t>
  </si>
  <si>
    <t>Claire Koreck's room   misc donations</t>
  </si>
  <si>
    <t>Claire Koreck's room - Jungle decals</t>
  </si>
  <si>
    <t>Claire Koreck's room - 3D wall art</t>
  </si>
  <si>
    <t>Claire Koreck's room - discount on price</t>
  </si>
  <si>
    <t>Samuels Room</t>
  </si>
  <si>
    <t>1100 books</t>
  </si>
  <si>
    <t>Canvas paintings</t>
  </si>
  <si>
    <t>Lunch for Volunteers</t>
  </si>
  <si>
    <t>Erin Culbertson's room</t>
  </si>
  <si>
    <t>Green Bay</t>
  </si>
  <si>
    <t>Connor Semenske room</t>
  </si>
  <si>
    <t>01/20/2014</t>
  </si>
  <si>
    <t>Caleb Jahn's room - book case</t>
  </si>
  <si>
    <t>food</t>
  </si>
  <si>
    <t>Materials</t>
  </si>
  <si>
    <t>paint and supplies</t>
  </si>
  <si>
    <t>Chest</t>
  </si>
  <si>
    <t>day out for the family</t>
  </si>
  <si>
    <t>tent and tables</t>
  </si>
  <si>
    <t>closet system</t>
  </si>
  <si>
    <t>Catharine's room</t>
  </si>
  <si>
    <t>01/03/2014</t>
  </si>
  <si>
    <t>Lowe's</t>
  </si>
  <si>
    <t>10417 *US Bank Columbus</t>
  </si>
  <si>
    <t>Wal-Mart</t>
  </si>
  <si>
    <t>Budget Truck</t>
  </si>
  <si>
    <t>Reimburse for Christopher Cruz room</t>
  </si>
  <si>
    <t>New York</t>
  </si>
  <si>
    <t>Maria Taylor</t>
  </si>
  <si>
    <t>Reimburse for Christopher Cruz Room</t>
  </si>
  <si>
    <t>Kathy Whelan</t>
  </si>
  <si>
    <t>Transaction credit</t>
  </si>
  <si>
    <t>RugsUSA.com</t>
  </si>
  <si>
    <t>10526 BofA Orange County</t>
  </si>
  <si>
    <t>10511 BofA Houston</t>
  </si>
  <si>
    <t>Houston</t>
  </si>
  <si>
    <t>Restored Home LLC</t>
  </si>
  <si>
    <t>10496 BofA Tri Cities</t>
  </si>
  <si>
    <t>Lamps Plus</t>
  </si>
  <si>
    <t>Overstock</t>
  </si>
  <si>
    <t>Home Depot</t>
  </si>
  <si>
    <t>10531 BofA Knoxville</t>
  </si>
  <si>
    <t>The Pontchartrain</t>
  </si>
  <si>
    <t>Ruthie Consiglio</t>
  </si>
  <si>
    <t>Bed Bath &amp; Beyond</t>
  </si>
  <si>
    <t>Etsy Com</t>
  </si>
  <si>
    <t>IKEA</t>
  </si>
  <si>
    <t>Best Buy</t>
  </si>
  <si>
    <t>10486 BofA Chattanooga</t>
  </si>
  <si>
    <t>Land of Nod</t>
  </si>
  <si>
    <t>Stein Mart</t>
  </si>
  <si>
    <t>Hancock Fabrics</t>
  </si>
  <si>
    <t>06/24/2014</t>
  </si>
  <si>
    <t>Goodwill</t>
  </si>
  <si>
    <t>TJ Maxx</t>
  </si>
  <si>
    <t>Garden Ridge</t>
  </si>
  <si>
    <t>Hearthsong</t>
  </si>
  <si>
    <t>Red Zone</t>
  </si>
  <si>
    <t>New Orleans room </t>
  </si>
  <si>
    <t>Michael Ramsay</t>
  </si>
  <si>
    <t>10465 BofA Minneapolis</t>
  </si>
  <si>
    <t>06/23/2014</t>
  </si>
  <si>
    <t>Mary Chesney</t>
  </si>
  <si>
    <t>Paula Oblen</t>
  </si>
  <si>
    <t>Jet Pep Besse</t>
  </si>
  <si>
    <t>Hobby Lobby</t>
  </si>
  <si>
    <t>Brookshire's</t>
  </si>
  <si>
    <t>Macy's</t>
  </si>
  <si>
    <t>Jyphant</t>
  </si>
  <si>
    <t>Ashley Furniture</t>
  </si>
  <si>
    <t>Cost Plus World Market</t>
  </si>
  <si>
    <t>Home Goods</t>
  </si>
  <si>
    <t>10910 BoA NEPA 8719</t>
  </si>
  <si>
    <t>Walgreens</t>
  </si>
  <si>
    <t>David Falgiano</t>
  </si>
  <si>
    <t>Casey's</t>
  </si>
  <si>
    <t>Hob Lob</t>
  </si>
  <si>
    <t>10352 * US Bank Green Bay 5006</t>
  </si>
  <si>
    <t>Goodwill Retail</t>
  </si>
  <si>
    <t>Act St Char</t>
  </si>
  <si>
    <t>Hechler Hardware</t>
  </si>
  <si>
    <t>Downtown Auto Parts</t>
  </si>
  <si>
    <t>The Home Depot</t>
  </si>
  <si>
    <t>Larry Morrison</t>
  </si>
  <si>
    <t>Monster Jam Store</t>
  </si>
  <si>
    <t>Lighting New York</t>
  </si>
  <si>
    <t>Spoonflower</t>
  </si>
  <si>
    <t>06/19/2014</t>
  </si>
  <si>
    <t>Zazzle</t>
  </si>
  <si>
    <t>Art</t>
  </si>
  <si>
    <t>Anna's Linens</t>
  </si>
  <si>
    <t>Savers</t>
  </si>
  <si>
    <t>WalMart</t>
  </si>
  <si>
    <t>06/18/2014</t>
  </si>
  <si>
    <t>Allen Carpet And</t>
  </si>
  <si>
    <t>Oriental Furniture</t>
  </si>
  <si>
    <t>Christmas Tree</t>
  </si>
  <si>
    <t>Online Fabric Store</t>
  </si>
  <si>
    <t>Caldwell Zoo</t>
  </si>
  <si>
    <t>Lauren Agustin</t>
  </si>
  <si>
    <t>Pottery Barn</t>
  </si>
  <si>
    <t>Big Lots</t>
  </si>
  <si>
    <t>Nob Hill</t>
  </si>
  <si>
    <t>Fine Art America</t>
  </si>
  <si>
    <t>Barbara Roth</t>
  </si>
  <si>
    <t>Savers Naper</t>
  </si>
  <si>
    <t>Rooms To Go</t>
  </si>
  <si>
    <t>10550 BofA Triangle Account</t>
  </si>
  <si>
    <t>Triangle</t>
  </si>
  <si>
    <t>Chelsey Green</t>
  </si>
  <si>
    <t>Party City</t>
  </si>
  <si>
    <t>Che Bella Interiors, LLC</t>
  </si>
  <si>
    <t>Amy Eiduke</t>
  </si>
  <si>
    <t>06/12/2014</t>
  </si>
  <si>
    <t>Jan DeMaggio</t>
  </si>
  <si>
    <t>06/11/2014</t>
  </si>
  <si>
    <t>Hob Lob Pu</t>
  </si>
  <si>
    <t>Savers Hoffm</t>
  </si>
  <si>
    <t>ACS of Texas</t>
  </si>
  <si>
    <t>June Bosworth</t>
  </si>
  <si>
    <t>Menard</t>
  </si>
  <si>
    <t>06/10/2014</t>
  </si>
  <si>
    <t>Wayfair L</t>
  </si>
  <si>
    <t>Litte Peoples</t>
  </si>
  <si>
    <t>Marshalls</t>
  </si>
  <si>
    <t>Austin Hardwoods</t>
  </si>
  <si>
    <t>06/09/2014</t>
  </si>
  <si>
    <t>Deb Malloy</t>
  </si>
  <si>
    <t>Dunn-Edwards Corp</t>
  </si>
  <si>
    <t>Decorative Fabric</t>
  </si>
  <si>
    <t>Martin's Hardware</t>
  </si>
  <si>
    <t>ShopKo</t>
  </si>
  <si>
    <t>Legoland California</t>
  </si>
  <si>
    <t>San Clemente Ball</t>
  </si>
  <si>
    <t>Sherwin Williams</t>
  </si>
  <si>
    <t>06/06/2014</t>
  </si>
  <si>
    <t>Alina Duega</t>
  </si>
  <si>
    <t>Delta Fair</t>
  </si>
  <si>
    <t>Little Luxuries</t>
  </si>
  <si>
    <t>Mike Bailey</t>
  </si>
  <si>
    <t>redeposit of funds</t>
  </si>
  <si>
    <t>Individual Donations</t>
  </si>
  <si>
    <t>CSI</t>
  </si>
  <si>
    <t>Northwestern University</t>
  </si>
  <si>
    <t>Basket Warehouse</t>
  </si>
  <si>
    <t>Mattress Firm</t>
  </si>
  <si>
    <t>Teresa Hutton</t>
  </si>
  <si>
    <t>Burlington Coat</t>
  </si>
  <si>
    <t>PPG Architect</t>
  </si>
  <si>
    <t>Gamestop</t>
  </si>
  <si>
    <t>Touchofclass Touc</t>
  </si>
  <si>
    <t>Tickethul</t>
  </si>
  <si>
    <t>06/03/2014</t>
  </si>
  <si>
    <t>Hayneedle</t>
  </si>
  <si>
    <t>Sign Hardware</t>
  </si>
  <si>
    <t>Jerry's Artarama</t>
  </si>
  <si>
    <t>Bargain Outlet</t>
  </si>
  <si>
    <t>Dirt Cheap TVs</t>
  </si>
  <si>
    <t>Mike Regan</t>
  </si>
  <si>
    <t>The Barn Nurse</t>
  </si>
  <si>
    <t>Fabric.com</t>
  </si>
  <si>
    <t>KEBM, Inc</t>
  </si>
  <si>
    <t>Hiddentree</t>
  </si>
  <si>
    <t>Captjimcs</t>
  </si>
  <si>
    <t>Look in the Attic</t>
  </si>
  <si>
    <t>CVS</t>
  </si>
  <si>
    <t>Corner Store</t>
  </si>
  <si>
    <t>99 Cents Only</t>
  </si>
  <si>
    <t>Daniel Garcia</t>
  </si>
  <si>
    <t>10445 BoA Tri-Counties Michigan 3090</t>
  </si>
  <si>
    <t>Southwest Futon</t>
  </si>
  <si>
    <t>Kristi Tankersley</t>
  </si>
  <si>
    <t>10355 *US Bank- Dubuque-4021</t>
  </si>
  <si>
    <t>Carlislerya</t>
  </si>
  <si>
    <t>05/27/2014</t>
  </si>
  <si>
    <t>Big Bobs Flooring</t>
  </si>
  <si>
    <t>Ruth Consiglio</t>
  </si>
  <si>
    <t>05/23/2014</t>
  </si>
  <si>
    <t>Antonio Santos Room</t>
  </si>
  <si>
    <t>Kim Resnick</t>
  </si>
  <si>
    <t>reimbursement</t>
  </si>
  <si>
    <t>Melanie Lamberson</t>
  </si>
  <si>
    <t>Meijer</t>
  </si>
  <si>
    <t>Rebecca Seelbinder</t>
  </si>
  <si>
    <t>Skype</t>
  </si>
  <si>
    <t>NNT Restore</t>
  </si>
  <si>
    <t>05/19/2014</t>
  </si>
  <si>
    <t>Minnesota Furniture</t>
  </si>
  <si>
    <t>American Flooring</t>
  </si>
  <si>
    <t>Menards</t>
  </si>
  <si>
    <t>PCR</t>
  </si>
  <si>
    <t>516 LLC</t>
  </si>
  <si>
    <t>Half Price Books</t>
  </si>
  <si>
    <t>Affordable Antiques</t>
  </si>
  <si>
    <t>Savers Saint</t>
  </si>
  <si>
    <t>George Tatara</t>
  </si>
  <si>
    <t>Sears</t>
  </si>
  <si>
    <t>Crate &amp; Barrel</t>
  </si>
  <si>
    <t>Wayfair Wayfair</t>
  </si>
  <si>
    <t>Nancy Tatara</t>
  </si>
  <si>
    <t>Interface Flooring</t>
  </si>
  <si>
    <t>Andersatt</t>
  </si>
  <si>
    <t>Petco</t>
  </si>
  <si>
    <t>Anderson Lumber</t>
  </si>
  <si>
    <t>Video Games Etc</t>
  </si>
  <si>
    <t>Claire's room and Ana's room</t>
  </si>
  <si>
    <t>Ken Markiewicz</t>
  </si>
  <si>
    <t>John Deere Lanscaping</t>
  </si>
  <si>
    <t>Levho</t>
  </si>
  <si>
    <t>Kim Carlos</t>
  </si>
  <si>
    <t>JCPenney</t>
  </si>
  <si>
    <t>Belvedere</t>
  </si>
  <si>
    <t>Dick's Clothing</t>
  </si>
  <si>
    <t>Cooper Supply</t>
  </si>
  <si>
    <t>Gordmans Inc Sto</t>
  </si>
  <si>
    <t>Traceydan</t>
  </si>
  <si>
    <t>Furniture Outlet</t>
  </si>
  <si>
    <t>Dollar General</t>
  </si>
  <si>
    <t>Music Doctors</t>
  </si>
  <si>
    <t>The Salvation Arm</t>
  </si>
  <si>
    <t>Anderson</t>
  </si>
  <si>
    <t>Culver's Garden</t>
  </si>
  <si>
    <t>Colonial Heights</t>
  </si>
  <si>
    <t>Giant</t>
  </si>
  <si>
    <t>The Disney Store</t>
  </si>
  <si>
    <t>05/08/2014</t>
  </si>
  <si>
    <t>10903 *US Bank Wisc-Northshore</t>
  </si>
  <si>
    <t>Kathy Schmidt</t>
  </si>
  <si>
    <t>Discovery Retail Shop</t>
  </si>
  <si>
    <t>Havefive</t>
  </si>
  <si>
    <t>Gracious Designs</t>
  </si>
  <si>
    <t>05/07/2014</t>
  </si>
  <si>
    <t>Sweet Retreat Kid</t>
  </si>
  <si>
    <t>Barnes &amp; Noble</t>
  </si>
  <si>
    <t>Banbury Fair, Inc</t>
  </si>
  <si>
    <t>05/06/2014</t>
  </si>
  <si>
    <t>Downeast</t>
  </si>
  <si>
    <t>Tennessee Venture</t>
  </si>
  <si>
    <t>Kelly's Wholesale</t>
  </si>
  <si>
    <t>Wegman's</t>
  </si>
  <si>
    <t>Apery 1216 Artistic Drive</t>
  </si>
  <si>
    <t>Beverly Olsen</t>
  </si>
  <si>
    <t>Tim Horton's</t>
  </si>
  <si>
    <t>Photo Art</t>
  </si>
  <si>
    <t>Barbara Rota</t>
  </si>
  <si>
    <t>Kohl's</t>
  </si>
  <si>
    <t>Toys R Us</t>
  </si>
  <si>
    <t>Pb Teen E</t>
  </si>
  <si>
    <t>Stacy Ruse</t>
  </si>
  <si>
    <t>Melanie Dianetti</t>
  </si>
  <si>
    <t>Ross</t>
  </si>
  <si>
    <t>Troy Carpet Inc</t>
  </si>
  <si>
    <t>Dash's Market</t>
  </si>
  <si>
    <t>Divine Consign</t>
  </si>
  <si>
    <t>Jewel</t>
  </si>
  <si>
    <t>Discount Mattress</t>
  </si>
  <si>
    <t>H.H. Gregg</t>
  </si>
  <si>
    <t>Scholastic</t>
  </si>
  <si>
    <t>Cacioffal</t>
  </si>
  <si>
    <t>Tamara Marshall</t>
  </si>
  <si>
    <t>Gourmet Com</t>
  </si>
  <si>
    <t>Sleep City Santa</t>
  </si>
  <si>
    <t>Mancini's Sleepwo</t>
  </si>
  <si>
    <t>Crossing The Jord</t>
  </si>
  <si>
    <t>04/18/2014</t>
  </si>
  <si>
    <t>10401 BofA Nashville</t>
  </si>
  <si>
    <t>Nashville</t>
  </si>
  <si>
    <t>Bass Pro Shops</t>
  </si>
  <si>
    <t>Westernbi</t>
  </si>
  <si>
    <t>Kmart</t>
  </si>
  <si>
    <t>04/17/2014</t>
  </si>
  <si>
    <t>Bcrafty</t>
  </si>
  <si>
    <t>Company Store</t>
  </si>
  <si>
    <t>Cv Linens</t>
  </si>
  <si>
    <t>Best Teacher S</t>
  </si>
  <si>
    <t>Communit</t>
  </si>
  <si>
    <t>Birdease Systems</t>
  </si>
  <si>
    <t>Visa Fort Rapids</t>
  </si>
  <si>
    <t>04/10/2014</t>
  </si>
  <si>
    <t>Visa Habitat For</t>
  </si>
  <si>
    <t>Flaghouse Inc</t>
  </si>
  <si>
    <t>Apple</t>
  </si>
  <si>
    <t>giftcards.com</t>
  </si>
  <si>
    <t>reimbursement for Joey's room Tri-Co michigan</t>
  </si>
  <si>
    <t>Childrens Fair Ch</t>
  </si>
  <si>
    <t>Tj Tj M</t>
  </si>
  <si>
    <t>Mpls Conv Ctr</t>
  </si>
  <si>
    <t>Becky Winks</t>
  </si>
  <si>
    <t>04/04/2014</t>
  </si>
  <si>
    <t>Builders First Source</t>
  </si>
  <si>
    <t>04/02/2014</t>
  </si>
  <si>
    <t>Taylorbre</t>
  </si>
  <si>
    <t>Plow &amp; Hearth</t>
  </si>
  <si>
    <t>Visa Cb One</t>
  </si>
  <si>
    <t>Kim Hafeman</t>
  </si>
  <si>
    <t>Consignment Furni</t>
  </si>
  <si>
    <t>Pole Position Rac</t>
  </si>
  <si>
    <t>Nktrading</t>
  </si>
  <si>
    <t>Mancini's Sleepw</t>
  </si>
  <si>
    <t>First Impression</t>
  </si>
  <si>
    <t>Spikedjos</t>
  </si>
  <si>
    <t>03/28/2014</t>
  </si>
  <si>
    <t>Tapebrothers Com</t>
  </si>
  <si>
    <t>Tap Plastics</t>
  </si>
  <si>
    <t>Yasong</t>
  </si>
  <si>
    <t>Smmrp</t>
  </si>
  <si>
    <t>Pureseaso</t>
  </si>
  <si>
    <t>Fashion Shop</t>
  </si>
  <si>
    <t>Wpy Tim Flannagan</t>
  </si>
  <si>
    <t>Colton</t>
  </si>
  <si>
    <t>Christina Kozemchok</t>
  </si>
  <si>
    <t>Fathead</t>
  </si>
  <si>
    <t>Earth Fare</t>
  </si>
  <si>
    <t>Brian VanKirk</t>
  </si>
  <si>
    <t>reimburse for Kathleen and Shelby room</t>
  </si>
  <si>
    <t>Melinda Cabanilla</t>
  </si>
  <si>
    <t>Richert Lumber An</t>
  </si>
  <si>
    <t>Tammy Granger</t>
  </si>
  <si>
    <t>10340 BoA Delaware 5700</t>
  </si>
  <si>
    <t>03/21/2014</t>
  </si>
  <si>
    <t>Kim Carolo</t>
  </si>
  <si>
    <t>03/20/2014</t>
  </si>
  <si>
    <t>The Home D</t>
  </si>
  <si>
    <t>Magicmurals Com</t>
  </si>
  <si>
    <t>Carol Scogna</t>
  </si>
  <si>
    <t>03/19/2014</t>
  </si>
  <si>
    <t>03/18/2014</t>
  </si>
  <si>
    <t>Brown Squirrel Fu</t>
  </si>
  <si>
    <t>Oogie Games Willi</t>
  </si>
  <si>
    <t>old time pottery</t>
  </si>
  <si>
    <t>Main Event Entert</t>
  </si>
  <si>
    <t>03/14/2014</t>
  </si>
  <si>
    <t>Ppg Architect P</t>
  </si>
  <si>
    <t>Matt Simmons</t>
  </si>
  <si>
    <t>03/13/2014</t>
  </si>
  <si>
    <t>Cheryl McConnell</t>
  </si>
  <si>
    <t>factory card outlet</t>
  </si>
  <si>
    <t>Hunter Tucker' room reimbursement</t>
  </si>
  <si>
    <t>Tammy Bradford</t>
  </si>
  <si>
    <t>Lori McSpadden</t>
  </si>
  <si>
    <t>Guild Craft Arts and Crafts</t>
  </si>
  <si>
    <t>Chris Lamberson</t>
  </si>
  <si>
    <t>Harris Te P</t>
  </si>
  <si>
    <t>Hughie And Louie</t>
  </si>
  <si>
    <t>03/06/2014</t>
  </si>
  <si>
    <t>Mattress Warehous</t>
  </si>
  <si>
    <t>Ncmodfurn</t>
  </si>
  <si>
    <t>Kroger</t>
  </si>
  <si>
    <t>Ashley Furnitu</t>
  </si>
  <si>
    <t>Costco</t>
  </si>
  <si>
    <t>10181 *US Bank National 5014</t>
  </si>
  <si>
    <t>Gianni reimbursement</t>
  </si>
  <si>
    <t>Chris Swain</t>
  </si>
  <si>
    <t>Ed Pardo</t>
  </si>
  <si>
    <t>Totallywi</t>
  </si>
  <si>
    <t>Quickone</t>
  </si>
  <si>
    <t>Bassett Furniture</t>
  </si>
  <si>
    <t>J.Crew</t>
  </si>
  <si>
    <t>Jm Screen</t>
  </si>
  <si>
    <t>Gardner White Fur</t>
  </si>
  <si>
    <t>Dave &amp; Buster's</t>
  </si>
  <si>
    <t>Shara Kirk</t>
  </si>
  <si>
    <t>Cheryl Snow</t>
  </si>
  <si>
    <t>Whole Foods</t>
  </si>
  <si>
    <t>Wcstock</t>
  </si>
  <si>
    <t>QuikTrip</t>
  </si>
  <si>
    <t>Metro</t>
  </si>
  <si>
    <t>Customized Teez A</t>
  </si>
  <si>
    <t>Cottleville Crafts</t>
  </si>
  <si>
    <t>Art.com</t>
  </si>
  <si>
    <t>Piggly Wiggly</t>
  </si>
  <si>
    <t>Visa Sherwin Wil</t>
  </si>
  <si>
    <t>Pier 1 Imports</t>
  </si>
  <si>
    <t>02/19/2014</t>
  </si>
  <si>
    <t>Cabinet</t>
  </si>
  <si>
    <t>Metro Court</t>
  </si>
  <si>
    <t>Marvin's Inc</t>
  </si>
  <si>
    <t>Kate Pringle</t>
  </si>
  <si>
    <t>Kelly Knox</t>
  </si>
  <si>
    <t>Diana Tuggle</t>
  </si>
  <si>
    <t>Thruway Hardwood</t>
  </si>
  <si>
    <t>Mattress Express</t>
  </si>
  <si>
    <t>tuesday morning</t>
  </si>
  <si>
    <t>02/13/2014</t>
  </si>
  <si>
    <t>Craft</t>
  </si>
  <si>
    <t>Castors Auto Amp</t>
  </si>
  <si>
    <t>Gui S Lumber</t>
  </si>
  <si>
    <t>Ag Boutique St</t>
  </si>
  <si>
    <t>U-Haul</t>
  </si>
  <si>
    <t>Essex Grassmere</t>
  </si>
  <si>
    <t>Visa Aci Fabric</t>
  </si>
  <si>
    <t>Epoch.com</t>
  </si>
  <si>
    <t>Value City</t>
  </si>
  <si>
    <t>10850 BoA Pittsburgh 3133</t>
  </si>
  <si>
    <t>That's Amore</t>
  </si>
  <si>
    <t>Vertical Blind Fa</t>
  </si>
  <si>
    <t>Visa Sports Plus</t>
  </si>
  <si>
    <t>Pioneer Ace Ha</t>
  </si>
  <si>
    <t>Jackmans Fabri</t>
  </si>
  <si>
    <t>Claire Koreck Room</t>
  </si>
  <si>
    <t>Einstein Bros</t>
  </si>
  <si>
    <t>Ann Swain</t>
  </si>
  <si>
    <t>02/05/2014</t>
  </si>
  <si>
    <t>Amy Bird</t>
  </si>
  <si>
    <t>Fabrics LLC</t>
  </si>
  <si>
    <t>Crayons Gone Wild</t>
  </si>
  <si>
    <t>Katie Ebbers</t>
  </si>
  <si>
    <t>10516 BofA New York</t>
  </si>
  <si>
    <t>01/30/2014</t>
  </si>
  <si>
    <t>Ruthie Rowsiglio</t>
  </si>
  <si>
    <t>Furniture.com</t>
  </si>
  <si>
    <t>Christine Williquette</t>
  </si>
  <si>
    <t>10536 BoA San Antonio 2317</t>
  </si>
  <si>
    <t>San Antonio</t>
  </si>
  <si>
    <t>Deanna Wilks</t>
  </si>
  <si>
    <t>01/29/2014</t>
  </si>
  <si>
    <t>HomeClick.com</t>
  </si>
  <si>
    <t>The Used Furnitur</t>
  </si>
  <si>
    <t>01/28/2014</t>
  </si>
  <si>
    <t>Danny Granger</t>
  </si>
  <si>
    <t>Hob Lob W</t>
  </si>
  <si>
    <t>Tu Transunion</t>
  </si>
  <si>
    <t>Ligon Flooring</t>
  </si>
  <si>
    <t>Jennifer Helms-San Francisco</t>
  </si>
  <si>
    <t>Jerry McGinnis</t>
  </si>
  <si>
    <t>Leader Board</t>
  </si>
  <si>
    <t>Carol Stream</t>
  </si>
  <si>
    <t>Stein  Mart</t>
  </si>
  <si>
    <t>01/22/2014</t>
  </si>
  <si>
    <t>Kellie Hansen</t>
  </si>
  <si>
    <t>Devin's room</t>
  </si>
  <si>
    <t>Mattfirm M</t>
  </si>
  <si>
    <t>The Party Corner</t>
  </si>
  <si>
    <t>Old Navy</t>
  </si>
  <si>
    <t>Petsmart</t>
  </si>
  <si>
    <t>Old Monroe Lumber</t>
  </si>
  <si>
    <t>Katie Martin</t>
  </si>
  <si>
    <t>Kobe Lowe's room Nashville gas reimbursement</t>
  </si>
  <si>
    <t>01/15/2014</t>
  </si>
  <si>
    <t>J C Licht</t>
  </si>
  <si>
    <t>Dcvwebstores</t>
  </si>
  <si>
    <t>01/14/2014</t>
  </si>
  <si>
    <t>Zonalee</t>
  </si>
  <si>
    <t>Sunbiz Org Fl</t>
  </si>
  <si>
    <t>Aquarium Purcha</t>
  </si>
  <si>
    <t>Viking Sewing</t>
  </si>
  <si>
    <t>Steinhafels Furniture</t>
  </si>
  <si>
    <t>10405 BoA Boston 3100</t>
  </si>
  <si>
    <t>Jordans Furniture</t>
  </si>
  <si>
    <t>Visa Mequon Copy</t>
  </si>
  <si>
    <t>Visa The Home</t>
  </si>
  <si>
    <t>Sweet Jack</t>
  </si>
  <si>
    <t>01/10/2014</t>
  </si>
  <si>
    <t>Visa Amys Hallma</t>
  </si>
  <si>
    <t>01/08/2014</t>
  </si>
  <si>
    <t>Light Mini In</t>
  </si>
  <si>
    <t>01/07/2014</t>
  </si>
  <si>
    <t>01/06/2014</t>
  </si>
  <si>
    <t>Embroidme Wentzvi</t>
  </si>
  <si>
    <t>Elsberry Hardware</t>
  </si>
  <si>
    <t>Linensource</t>
  </si>
  <si>
    <t>Visa Tuesday Mor</t>
  </si>
  <si>
    <t>Visa Mini Storag</t>
  </si>
  <si>
    <t>Store It Go</t>
  </si>
  <si>
    <t>Scott's Home</t>
  </si>
  <si>
    <t>Silhouettes</t>
  </si>
  <si>
    <t>Beard Growing web design</t>
  </si>
  <si>
    <t>Caspio Inc Santa</t>
  </si>
  <si>
    <t>10546 BofA Las Vegas</t>
  </si>
  <si>
    <t>Las Vegas</t>
  </si>
  <si>
    <t>Deb Gilbert</t>
  </si>
  <si>
    <t>Tony Champion</t>
  </si>
  <si>
    <t>Gray's Carpet</t>
  </si>
  <si>
    <t>Kirkland's</t>
  </si>
  <si>
    <t>Hy Vee</t>
  </si>
  <si>
    <t>Verizon</t>
  </si>
  <si>
    <t>Dri Kaspersky Com</t>
  </si>
  <si>
    <t>Verizon reimbursement</t>
  </si>
  <si>
    <t>A Zinn Storage</t>
  </si>
  <si>
    <t>Extra Space</t>
  </si>
  <si>
    <t>The Coming Wave</t>
  </si>
  <si>
    <t>Sew N Vac</t>
  </si>
  <si>
    <t>Techsoup</t>
  </si>
  <si>
    <t>Ryan S. Sewing</t>
  </si>
  <si>
    <t>Sam's Club</t>
  </si>
  <si>
    <t>Rotio's Pizzeria</t>
  </si>
  <si>
    <t>Panera Bread</t>
  </si>
  <si>
    <t>Domino's Pizza</t>
  </si>
  <si>
    <t>Dunkin Donuts</t>
  </si>
  <si>
    <t>The Chop House</t>
  </si>
  <si>
    <t>Mancini's pizza</t>
  </si>
  <si>
    <t>Papa John's</t>
  </si>
  <si>
    <t>Lou Malnati's Pizza</t>
  </si>
  <si>
    <t>McDonald's</t>
  </si>
  <si>
    <t>Brand Zilla</t>
  </si>
  <si>
    <t>Little Caesars</t>
  </si>
  <si>
    <t>Subway</t>
  </si>
  <si>
    <t>Luigi's Pizza</t>
  </si>
  <si>
    <t>Sarpinos Pizzeria</t>
  </si>
  <si>
    <t>Cory ASAP</t>
  </si>
  <si>
    <t>Hosanna Fellowship</t>
  </si>
  <si>
    <t>Outback</t>
  </si>
  <si>
    <t>Gallery Pizza Eri</t>
  </si>
  <si>
    <t>Rolls Deli Cafe</t>
  </si>
  <si>
    <t>Jimmy Johns</t>
  </si>
  <si>
    <t>Corner Bakery</t>
  </si>
  <si>
    <t>Lakeway Publisher</t>
  </si>
  <si>
    <t>Ann Swain,  Amy Eiduke, Jennifer Swain, Shelley Ham Business cards</t>
  </si>
  <si>
    <t>Anne Strunk bus cards</t>
  </si>
  <si>
    <t>Envelopes, letterhead,Katie Martin business cards</t>
  </si>
  <si>
    <t>Cindy Thota, Ann Decker, Sherry Melton, Kimberly Resnick</t>
  </si>
  <si>
    <t>Letter to Santa</t>
  </si>
  <si>
    <t>Vistaprint</t>
  </si>
  <si>
    <t>Dri Printing Serv</t>
  </si>
  <si>
    <t>10201 *US Bank Wisc Restr 4595:Wisconsin Restricted</t>
  </si>
  <si>
    <t>Wisconsin Restricted</t>
  </si>
  <si>
    <t>10428 BoA Sacramento</t>
  </si>
  <si>
    <t>10435 BoA Miami-Mitchell</t>
  </si>
  <si>
    <t>Miami</t>
  </si>
  <si>
    <t>U S Bank</t>
  </si>
  <si>
    <t>10535 BofA Scranton (NEPA) - 4608</t>
  </si>
  <si>
    <t>10497 BoA Tri Cities Restricted 0921</t>
  </si>
  <si>
    <t>Www Fax Com</t>
  </si>
  <si>
    <t>UPS</t>
  </si>
  <si>
    <t>Sue Devine</t>
  </si>
  <si>
    <t>Shell</t>
  </si>
  <si>
    <t>Exxon</t>
  </si>
  <si>
    <t>E Z Stop</t>
  </si>
  <si>
    <t>Pilot Travel Center</t>
  </si>
  <si>
    <t>Kangaroo Exp</t>
  </si>
  <si>
    <t>orbitz</t>
  </si>
  <si>
    <t>reimbursement for Kobe's room- Feld</t>
  </si>
  <si>
    <t>Delta</t>
  </si>
  <si>
    <t>Metropolitan Knox</t>
  </si>
  <si>
    <t>Travel to Nashville for Feld room</t>
  </si>
  <si>
    <t>Homewood Suites</t>
  </si>
  <si>
    <t>Renaissance Hotel</t>
  </si>
  <si>
    <t>United</t>
  </si>
  <si>
    <t>Wawa</t>
  </si>
  <si>
    <t>County Limo Fol</t>
  </si>
  <si>
    <t>Ingles Gas</t>
  </si>
  <si>
    <t>July monitoring</t>
  </si>
  <si>
    <t>Safe T</t>
  </si>
  <si>
    <t>Comcast</t>
  </si>
  <si>
    <t>Electricity</t>
  </si>
  <si>
    <t>LCUB</t>
  </si>
  <si>
    <t>water</t>
  </si>
  <si>
    <t>WKUD</t>
  </si>
  <si>
    <t>Esh Techprotect P</t>
  </si>
  <si>
    <t>June monitoring</t>
  </si>
  <si>
    <t>May monitoring</t>
  </si>
  <si>
    <t>April monitoring</t>
  </si>
  <si>
    <t>March Monitoring</t>
  </si>
  <si>
    <t>February Monitoring</t>
  </si>
  <si>
    <t>trash collection</t>
  </si>
  <si>
    <t>WCI of TN</t>
  </si>
  <si>
    <t>May</t>
  </si>
  <si>
    <t>Knoxville Leaf and Lawn</t>
  </si>
  <si>
    <t>March and April lawn maintenance</t>
  </si>
  <si>
    <t>Oct /Nov lawn care and mulch</t>
  </si>
  <si>
    <t>6 months of in kind rent of office</t>
  </si>
  <si>
    <t>Trend Micro</t>
  </si>
  <si>
    <t>Blu Specialspaces</t>
  </si>
  <si>
    <t>Domain Hosting</t>
  </si>
  <si>
    <t>Intuit</t>
  </si>
  <si>
    <t>inv # 1051 #1063</t>
  </si>
  <si>
    <t>Foundation Center</t>
  </si>
  <si>
    <t>Ctc Constantconta</t>
  </si>
  <si>
    <t>Donor Tools</t>
  </si>
  <si>
    <t>D H Leonard Consulting &amp; Grant Writing Services LLC</t>
  </si>
  <si>
    <t>Team Breezy photo booth rental</t>
  </si>
  <si>
    <t>Groupon</t>
  </si>
  <si>
    <t>Marlo Steinke</t>
  </si>
  <si>
    <t>Net Gain Corporation</t>
  </si>
  <si>
    <t>Cindy Thota and Ann Decker</t>
  </si>
  <si>
    <t>Oag Char Law Trust</t>
  </si>
  <si>
    <t>North Carolina Solicitation</t>
  </si>
  <si>
    <t>North Carolina Department of Secretary of State</t>
  </si>
  <si>
    <t>Illinois State Filing fee</t>
  </si>
  <si>
    <t>Illinois Charity Bureau Fund</t>
  </si>
  <si>
    <t>Office of NM</t>
  </si>
  <si>
    <t>WI dep of Finance</t>
  </si>
  <si>
    <t>NYS Department of Law</t>
  </si>
  <si>
    <t>Illinois</t>
  </si>
  <si>
    <t>Secretary Of State</t>
  </si>
  <si>
    <t>Office of the Secretary of State</t>
  </si>
  <si>
    <t>Iowa</t>
  </si>
  <si>
    <t>Corporation Service Company</t>
  </si>
  <si>
    <t>California</t>
  </si>
  <si>
    <t>Attorney General's Registry of Charitable Tr</t>
  </si>
  <si>
    <t>New mexico</t>
  </si>
  <si>
    <t>National Registered Agents</t>
  </si>
  <si>
    <t>Wisconsin Annual Report</t>
  </si>
  <si>
    <t>Department of Financial Institution</t>
  </si>
  <si>
    <t>Illinois Charitable Organization Solicitation permit</t>
  </si>
  <si>
    <t>Charitable Trust and Solicitations Bureau</t>
  </si>
  <si>
    <t>State of AR</t>
  </si>
  <si>
    <t>Aug Annual report</t>
  </si>
  <si>
    <t>CA</t>
  </si>
  <si>
    <t>10512 BofA Houston Resticted 0905</t>
  </si>
  <si>
    <t>10210 *US Bank-Ohio Restriced 4603:National Ohio Restricted</t>
  </si>
  <si>
    <t>Ohio Restricted</t>
  </si>
  <si>
    <t>Associate Director</t>
  </si>
  <si>
    <t>Associate Director Fee</t>
  </si>
  <si>
    <t>Morgan Stanley</t>
  </si>
  <si>
    <t>10106 BofA Restricted Funds -055:BofA Albequerque - 233</t>
  </si>
  <si>
    <t>Golf Tournament </t>
  </si>
  <si>
    <t>10144 BofA Restricted Funds -055:San Francisco - 107</t>
  </si>
  <si>
    <t>Birdies for Bedrooms</t>
  </si>
  <si>
    <t>Birdies for Beds</t>
  </si>
  <si>
    <t>Golf tournament registration</t>
  </si>
  <si>
    <t>Volleyball Tournament</t>
  </si>
  <si>
    <t>10133 BofA Restricted Funds -055:Panama City</t>
  </si>
  <si>
    <t>Maxim Integratged</t>
  </si>
  <si>
    <t>RED day</t>
  </si>
  <si>
    <t>paypal deposit - Golf tournament</t>
  </si>
  <si>
    <t>Charles Brown</t>
  </si>
  <si>
    <t>10108 BofA Restricted Funds -055:Buffalo - 259</t>
  </si>
  <si>
    <t>10145 BofA Restricted Funds -055:Dallas, Texas 8389</t>
  </si>
  <si>
    <t>Mixed Bag</t>
  </si>
  <si>
    <t>dreaming in color tickets</t>
  </si>
  <si>
    <t>red day</t>
  </si>
  <si>
    <t>Dreaming in color</t>
  </si>
  <si>
    <t>DIC tickets</t>
  </si>
  <si>
    <t>Christmas Campaign</t>
  </si>
  <si>
    <t>Returned Item From</t>
  </si>
  <si>
    <t>10111 BofA Restricted Funds -055:Chicago 8350</t>
  </si>
  <si>
    <t>Casino night</t>
  </si>
  <si>
    <t>doll house furniture</t>
  </si>
  <si>
    <t>lumber and paint</t>
  </si>
  <si>
    <t>Ana Susko Room</t>
  </si>
  <si>
    <t>Claire Koreck's room  misc</t>
  </si>
  <si>
    <t>Claire Koreck's room - disc on price</t>
  </si>
  <si>
    <t>Claire Koreck's room  paint</t>
  </si>
  <si>
    <t>Claire Koreck's room  - tree</t>
  </si>
  <si>
    <t>lunch for volunteers</t>
  </si>
  <si>
    <t>canvas painting</t>
  </si>
  <si>
    <t>Michelle's bedroom labor for drapery</t>
  </si>
  <si>
    <t>muralist</t>
  </si>
  <si>
    <t>photographer</t>
  </si>
  <si>
    <t>floor install</t>
  </si>
  <si>
    <t>11000 Accounts Receivable</t>
  </si>
  <si>
    <t>New Orleans Room </t>
  </si>
  <si>
    <t>Feld Entertainment, Inc</t>
  </si>
  <si>
    <t>Invoice</t>
  </si>
  <si>
    <t>Kings Ransom</t>
  </si>
  <si>
    <t>10138 BofA Restricted Funds -055:Pittsburgh - 220(SWPA)</t>
  </si>
  <si>
    <t>10146 BofA Restricted Funds -055:Triangle - 4585</t>
  </si>
  <si>
    <t>10143 BofA Restricted Funds -055:Tampa - 8376</t>
  </si>
  <si>
    <t>10122 BofA Restricted Funds -055:Las Vegas - 246</t>
  </si>
  <si>
    <t>Stripe</t>
  </si>
  <si>
    <t>10115 BofA Restricted Funds -055:Columbia, SC 4798</t>
  </si>
  <si>
    <t>10140 BofA Restricted Funds -055:St. Louis - 0123</t>
  </si>
  <si>
    <t>transfer from us bank national account</t>
  </si>
  <si>
    <t>Special Spaces</t>
  </si>
  <si>
    <t>10117 BofA Restricted Funds -055:Delaware</t>
  </si>
  <si>
    <t>10120 BofA Restricted Funds -055:Knoxville - 194</t>
  </si>
  <si>
    <t>10123 BofA Restricted Funds -055:Minneapolis - 4572</t>
  </si>
  <si>
    <t>Just Give</t>
  </si>
  <si>
    <t>JP Morgan</t>
  </si>
  <si>
    <t>10203 *US Bank Wisc Restr 4595:Northshore</t>
  </si>
  <si>
    <t>10202 *US Bank Wisc Restr 4595:Green Bay</t>
  </si>
  <si>
    <t>10110 BofA Restricted Funds -055:Chattanooga - 4598</t>
  </si>
  <si>
    <t>10211 *US Bank-Ohio Restriced 4603:Columbus Restricted</t>
  </si>
  <si>
    <t>San Ramon</t>
  </si>
  <si>
    <t>10134 BofA Restricted Funds -055:Pittsburgh - Metro 3133</t>
  </si>
  <si>
    <t>10147 BofA Restricted Funds -055:Tri-Counties-Michigan 3090</t>
  </si>
  <si>
    <t>10139 BofA Restricted Funds -055:Sacramento 5171</t>
  </si>
  <si>
    <t>10132 BofA Restricted Funds -055:Orange County - 071</t>
  </si>
  <si>
    <t>Fed Ex</t>
  </si>
  <si>
    <t>Detroit Room makeover</t>
  </si>
  <si>
    <t>Claire's room with our Newark/Philly Affiliate</t>
  </si>
  <si>
    <t>02/08/2014</t>
  </si>
  <si>
    <t>10129 BofA Restricted Funds -055:NEPA - 4608</t>
  </si>
  <si>
    <t>10109 BofA Restricted Funds -055:Boston-3100</t>
  </si>
  <si>
    <t>Schnickel room donations</t>
  </si>
  <si>
    <t>Products by PaulPaul</t>
  </si>
  <si>
    <t>Nashville Room Makeover for Coby</t>
  </si>
  <si>
    <t>cashier check to deposit to BoA</t>
  </si>
  <si>
    <t>Elelsior Orthopaedics, LLP</t>
  </si>
  <si>
    <t>10141 BofA Restricted Funds -055:San Antonio 2317</t>
  </si>
  <si>
    <t>10179 *US Bank Wisc Restr 4595</t>
  </si>
  <si>
    <t>Schaedler Insurance</t>
  </si>
  <si>
    <t>Toyota Motor Engineering</t>
  </si>
  <si>
    <t>Bank adjustment</t>
  </si>
  <si>
    <t>Health Care Service Corp</t>
  </si>
  <si>
    <t>BoA correction on deposit of 1/06</t>
  </si>
  <si>
    <t>to accrue receivables at year end</t>
  </si>
  <si>
    <t>546R</t>
  </si>
  <si>
    <t>Enterprise Holdings</t>
  </si>
  <si>
    <t>Balance</t>
  </si>
  <si>
    <t>Amount</t>
  </si>
  <si>
    <t>Split</t>
  </si>
  <si>
    <t>Memo/Description</t>
  </si>
  <si>
    <t>Class</t>
  </si>
  <si>
    <t>Name</t>
  </si>
  <si>
    <t>Num</t>
  </si>
  <si>
    <t>Transaction Type</t>
  </si>
  <si>
    <t>Date</t>
  </si>
  <si>
    <t>January - June, 2014</t>
  </si>
  <si>
    <t>Direct Public Support</t>
  </si>
  <si>
    <t>Foundation and Trust Grants</t>
  </si>
  <si>
    <t>Gifts in kind - Services</t>
  </si>
  <si>
    <t>Donated Prof Fees, Facilities</t>
  </si>
  <si>
    <t>Gifts in Kind - Goods</t>
  </si>
  <si>
    <t>Fund Raising Activities Income</t>
  </si>
  <si>
    <t>Local Government Grants</t>
  </si>
  <si>
    <t>Miscellaneous Revenue</t>
  </si>
  <si>
    <t>Affiliated Org. Contributions</t>
  </si>
  <si>
    <t xml:space="preserve"> Business Registration Fees</t>
  </si>
  <si>
    <t>Accounting Fees</t>
  </si>
  <si>
    <t xml:space="preserve"> Affiliate Background Checks</t>
  </si>
  <si>
    <t>Fundraising Fees</t>
  </si>
  <si>
    <t>Website Design</t>
  </si>
  <si>
    <t>Outside Contract Services</t>
  </si>
  <si>
    <t>Donated Facilities</t>
  </si>
  <si>
    <t>Office Maintenance</t>
  </si>
  <si>
    <t>Utilities</t>
  </si>
  <si>
    <t>Program Expenses</t>
  </si>
  <si>
    <t>Books, Subscriptions, Reference</t>
  </si>
  <si>
    <t>Travel Expense</t>
  </si>
  <si>
    <t>Postage, Mailing Service</t>
  </si>
  <si>
    <t>Bank Service Charges</t>
  </si>
  <si>
    <t>Printing and Copying</t>
  </si>
  <si>
    <t xml:space="preserve"> Meals Expense</t>
  </si>
  <si>
    <t>Volunteer Hospitality</t>
  </si>
  <si>
    <t>Supplies</t>
  </si>
  <si>
    <t>Rent</t>
  </si>
  <si>
    <t>Telephone, Telecommunications</t>
  </si>
  <si>
    <t>Material for Rooms Expense</t>
  </si>
  <si>
    <t>In-Kind Goods</t>
  </si>
  <si>
    <t>In-Kind Services</t>
  </si>
  <si>
    <t>Credit Card Processing Fee</t>
  </si>
  <si>
    <t>Automobile Expenses</t>
  </si>
  <si>
    <t>Advertising Expense</t>
  </si>
  <si>
    <t>Paypal Expense</t>
  </si>
  <si>
    <t>Insurance - Liability, D and O</t>
  </si>
  <si>
    <t>Advertising Expenses</t>
  </si>
  <si>
    <t>Employee Health Insurance</t>
  </si>
  <si>
    <t>Workers Compensation Insurance</t>
  </si>
  <si>
    <t>Wages - Admin</t>
  </si>
  <si>
    <t>Wages -  Fund Raising</t>
  </si>
  <si>
    <t>Wages - Programs</t>
  </si>
  <si>
    <t>Fund Raising Expenses Indirect</t>
  </si>
  <si>
    <t>Fundraising Expense -  Direct</t>
  </si>
  <si>
    <t>Conference, Convention, Meeting</t>
  </si>
  <si>
    <t>acct#</t>
  </si>
  <si>
    <t>Account Description</t>
  </si>
  <si>
    <t>Grand Total</t>
  </si>
  <si>
    <t>DrCr</t>
  </si>
  <si>
    <t>Sum of DrCr</t>
  </si>
  <si>
    <t>Monday, Jul 21, 2014 05:34:28 PM PDT GMT-4 - Accrual Basis</t>
  </si>
  <si>
    <t>Net Income</t>
  </si>
  <si>
    <t>Net Operating Income</t>
  </si>
  <si>
    <t>Total Expenses</t>
  </si>
  <si>
    <t xml:space="preserve">   Fund Raising Expenses</t>
  </si>
  <si>
    <t xml:space="preserve">   Total 68300 Travel and Meetings</t>
  </si>
  <si>
    <t xml:space="preserve">      68310 Conference, Convention, Meeting</t>
  </si>
  <si>
    <t xml:space="preserve">   68300 Travel and Meetings</t>
  </si>
  <si>
    <t xml:space="preserve">   67001 Fundraising Expense -  Direct</t>
  </si>
  <si>
    <t xml:space="preserve">   67000 Fund Raising Expenses Indirect</t>
  </si>
  <si>
    <t xml:space="preserve">   Total 66000 Payroll Expenses</t>
  </si>
  <si>
    <t xml:space="preserve">      Wages</t>
  </si>
  <si>
    <t xml:space="preserve">      66860 Wages - Programs</t>
  </si>
  <si>
    <t xml:space="preserve">      66855 Wages -  Fund Raising</t>
  </si>
  <si>
    <t xml:space="preserve">      66850 Wages - Admin</t>
  </si>
  <si>
    <t xml:space="preserve">      66800 Taxes</t>
  </si>
  <si>
    <t xml:space="preserve">      66600 Workers Compensation Insurance</t>
  </si>
  <si>
    <t xml:space="preserve">      66400 Employee Health Insurance</t>
  </si>
  <si>
    <t xml:space="preserve">   66000 Payroll Expenses</t>
  </si>
  <si>
    <t xml:space="preserve">   Total 65100 Other Types of Expenses</t>
  </si>
  <si>
    <t xml:space="preserve">      65110 Advertising Expenses</t>
  </si>
  <si>
    <t xml:space="preserve">   65100 Other Types of Expenses</t>
  </si>
  <si>
    <t xml:space="preserve">   Total 65000 Program Expenses</t>
  </si>
  <si>
    <t xml:space="preserve">      65120 Insurance - Liability, D and O</t>
  </si>
  <si>
    <t xml:space="preserve">      65095 Paypal Expense</t>
  </si>
  <si>
    <t xml:space="preserve">      65090 Advertising Expense</t>
  </si>
  <si>
    <t xml:space="preserve">      65080 Automobile Expenses</t>
  </si>
  <si>
    <t xml:space="preserve">      65075 Staff Development</t>
  </si>
  <si>
    <t xml:space="preserve">      65070 Credit Card Processing Fee</t>
  </si>
  <si>
    <t xml:space="preserve">      Total 65060 Material for Rooms Expense</t>
  </si>
  <si>
    <t xml:space="preserve">         65063 In-Kind Services</t>
  </si>
  <si>
    <t xml:space="preserve">         65062 In-Kind Goods</t>
  </si>
  <si>
    <t xml:space="preserve">         65061 Material for Rooms</t>
  </si>
  <si>
    <t xml:space="preserve">      65060 Material for Rooms Expense</t>
  </si>
  <si>
    <t xml:space="preserve">      65050 Telephone, Telecommunications</t>
  </si>
  <si>
    <t xml:space="preserve">      65045 Rent</t>
  </si>
  <si>
    <t xml:space="preserve">      65040 Supplies</t>
  </si>
  <si>
    <t xml:space="preserve">      65036 Volunteer Hospitality</t>
  </si>
  <si>
    <t xml:space="preserve">      65035 Meals Expense</t>
  </si>
  <si>
    <t xml:space="preserve">      65030 Printing and Copying</t>
  </si>
  <si>
    <t xml:space="preserve">      65025 Bank Service Charges</t>
  </si>
  <si>
    <t xml:space="preserve">      65020 Postage, Mailing Service</t>
  </si>
  <si>
    <t xml:space="preserve">      65015 Travel Expense</t>
  </si>
  <si>
    <t xml:space="preserve">      65010 Books, Subscriptions, Reference</t>
  </si>
  <si>
    <t xml:space="preserve">   65000 Program Expenses</t>
  </si>
  <si>
    <t xml:space="preserve">   Total 62800 Facilities and Equipment</t>
  </si>
  <si>
    <t xml:space="preserve">      62890 Utilities</t>
  </si>
  <si>
    <t xml:space="preserve">      62845 Office Maintenance</t>
  </si>
  <si>
    <t xml:space="preserve">      62830 Donated Facilities</t>
  </si>
  <si>
    <t xml:space="preserve">   62800 Facilities and Equipment</t>
  </si>
  <si>
    <t xml:space="preserve">   Total 62100 Contract Services</t>
  </si>
  <si>
    <t xml:space="preserve">      62150 Outside Contract Services</t>
  </si>
  <si>
    <t xml:space="preserve">      62145 Website Design</t>
  </si>
  <si>
    <t xml:space="preserve">      62130 Fundraising Fees</t>
  </si>
  <si>
    <t xml:space="preserve">      62115 Affiliate Background Checks</t>
  </si>
  <si>
    <t xml:space="preserve">      62110 Accounting Fees</t>
  </si>
  <si>
    <t xml:space="preserve">   62100 Contract Services</t>
  </si>
  <si>
    <t xml:space="preserve">   Total 60900 Business Expenses</t>
  </si>
  <si>
    <t xml:space="preserve">      60920 Business Registration Fees</t>
  </si>
  <si>
    <t xml:space="preserve">   60900 Business Expenses</t>
  </si>
  <si>
    <t>Expenses</t>
  </si>
  <si>
    <t>Gross Profit</t>
  </si>
  <si>
    <t>Total Income</t>
  </si>
  <si>
    <t xml:space="preserve">   Total 46400 Other Types of Income</t>
  </si>
  <si>
    <t xml:space="preserve">      46430 Miscellaneous Revenue</t>
  </si>
  <si>
    <t xml:space="preserve">   46400 Other Types of Income</t>
  </si>
  <si>
    <t xml:space="preserve">   Total 44800 Indirect Public Support</t>
  </si>
  <si>
    <t xml:space="preserve">      44810 Affiliated Org. Contributions</t>
  </si>
  <si>
    <t xml:space="preserve">   44800 Indirect Public Support</t>
  </si>
  <si>
    <t xml:space="preserve">   Total 44500 Government Grants</t>
  </si>
  <si>
    <t xml:space="preserve">      44530 Local Government Grants</t>
  </si>
  <si>
    <t xml:space="preserve">   44500 Government Grants</t>
  </si>
  <si>
    <t xml:space="preserve">   44000 Fund Raising Activities Income</t>
  </si>
  <si>
    <t xml:space="preserve">   Total 43400 Direct Public Support</t>
  </si>
  <si>
    <t xml:space="preserve">      43440 Gifts in Kind - Goods</t>
  </si>
  <si>
    <t xml:space="preserve">      43435 Donated Prof Fees, Facilities</t>
  </si>
  <si>
    <t xml:space="preserve">      43430 Gifts in kind - Services</t>
  </si>
  <si>
    <t xml:space="preserve">   43400 Direct Public Support</t>
  </si>
  <si>
    <t xml:space="preserve">   Total 43300 Direct Public Grants</t>
  </si>
  <si>
    <t xml:space="preserve">      43330 Foundation and Trust Grants</t>
  </si>
  <si>
    <t xml:space="preserve">   43300 Direct Public Grants</t>
  </si>
  <si>
    <t>Income</t>
  </si>
  <si>
    <t>Profit and Loss</t>
  </si>
  <si>
    <t>Column2</t>
  </si>
  <si>
    <t>Fundraising</t>
  </si>
  <si>
    <t>Fundraising - Inkind</t>
  </si>
  <si>
    <t>Administrative</t>
  </si>
  <si>
    <t>Program</t>
  </si>
  <si>
    <t>Admin Prog Fund</t>
  </si>
  <si>
    <t>Staff Development</t>
  </si>
  <si>
    <t>Wages - Taxes</t>
  </si>
  <si>
    <t>WAGES</t>
  </si>
  <si>
    <t>Row Labels</t>
  </si>
  <si>
    <t>Column Labels</t>
  </si>
  <si>
    <t>Fundraising - Expenses</t>
  </si>
  <si>
    <t>Accrual</t>
  </si>
  <si>
    <t>Austin</t>
  </si>
  <si>
    <t>Albequerque</t>
  </si>
  <si>
    <t>*US Bank-Ohio Restriced 4603</t>
  </si>
  <si>
    <t>National Ohio Restricted</t>
  </si>
  <si>
    <t>Columbus Restricted</t>
  </si>
  <si>
    <t>BofA Spec Spaces National 4695</t>
  </si>
  <si>
    <t>*US Bank National 5014</t>
  </si>
  <si>
    <t>Knoxville 1 Special Spaces 3604</t>
  </si>
  <si>
    <t>Ohio Special Spaces 0706</t>
  </si>
  <si>
    <t>Paypal account</t>
  </si>
  <si>
    <t>Special Spaces-Knoxville 0661</t>
  </si>
  <si>
    <t>BoA Columbia 4798</t>
  </si>
  <si>
    <t>BoA Delaware 5700</t>
  </si>
  <si>
    <t>Green Bay SpecialSpaces 6753</t>
  </si>
  <si>
    <t>* US Bank Green Bay 5006</t>
  </si>
  <si>
    <t>*US Bank- Dubuque-4021</t>
  </si>
  <si>
    <t>Nashville Special Spaces 6761</t>
  </si>
  <si>
    <t>BofA Nashville</t>
  </si>
  <si>
    <t>BoA Boston 3100</t>
  </si>
  <si>
    <t>Special Spaces Buffalo</t>
  </si>
  <si>
    <t>BofA Buffalo</t>
  </si>
  <si>
    <t>BoA Chicago 8350</t>
  </si>
  <si>
    <t>Special Spaces Columbus</t>
  </si>
  <si>
    <t>BofA Columbus</t>
  </si>
  <si>
    <t>*US Bank Columbus</t>
  </si>
  <si>
    <t>*US Bank Cincinnati</t>
  </si>
  <si>
    <t>Special Spaces Phoenix</t>
  </si>
  <si>
    <t>BofA Phoenix</t>
  </si>
  <si>
    <t>BoA Sacramento</t>
  </si>
  <si>
    <t>Special Spaces San Diego</t>
  </si>
  <si>
    <t>BofA San Diego</t>
  </si>
  <si>
    <t>BoA Miami-Mitchell</t>
  </si>
  <si>
    <t>Special Spaces Michigan</t>
  </si>
  <si>
    <t>BofA Michigan</t>
  </si>
  <si>
    <t>BoA Tri-Counties Michigan 3090</t>
  </si>
  <si>
    <t>Central Ohio Special Spaces6456</t>
  </si>
  <si>
    <t>BofA Central Ohio</t>
  </si>
  <si>
    <t>Special Spaces Saint Louis</t>
  </si>
  <si>
    <t>BofA St Louis</t>
  </si>
  <si>
    <t>BofA Minneapolis</t>
  </si>
  <si>
    <t>Feld</t>
  </si>
  <si>
    <t>Sunny Bear Funds</t>
  </si>
  <si>
    <t>BofA Albequerque - 233</t>
  </si>
  <si>
    <t>Buffalo - 259</t>
  </si>
  <si>
    <t>Boston-3100</t>
  </si>
  <si>
    <t>Chattanooga - 4598</t>
  </si>
  <si>
    <t>Chicago 8350</t>
  </si>
  <si>
    <t>Cincinnati - 097</t>
  </si>
  <si>
    <t>Columbus - 262</t>
  </si>
  <si>
    <t>Columbia, SC 4798</t>
  </si>
  <si>
    <t>Houston - 136</t>
  </si>
  <si>
    <t>Knox UT</t>
  </si>
  <si>
    <t>Knoxville - 194</t>
  </si>
  <si>
    <t>NEW</t>
  </si>
  <si>
    <t>Las Vegas - 246</t>
  </si>
  <si>
    <t>Minneapolis - 4572</t>
  </si>
  <si>
    <t>Michigan -110</t>
  </si>
  <si>
    <t>Milwaukee - 178</t>
  </si>
  <si>
    <t>Miami 6224</t>
  </si>
  <si>
    <t>Nashville - 149</t>
  </si>
  <si>
    <t>NEPA - 4608</t>
  </si>
  <si>
    <t>New York - 165</t>
  </si>
  <si>
    <t>Ohio - 152</t>
  </si>
  <si>
    <t>Orange County - 071</t>
  </si>
  <si>
    <t>Pittsburgh - Metro 3133</t>
  </si>
  <si>
    <t>Pittsburgh - 220(SWPA)</t>
  </si>
  <si>
    <t>Sacramento 5171</t>
  </si>
  <si>
    <t>St. Louis - 0123</t>
  </si>
  <si>
    <t>San Antonio 2317</t>
  </si>
  <si>
    <t>San Diego -068</t>
  </si>
  <si>
    <t>Tampa - 8376</t>
  </si>
  <si>
    <t>San Francisco - 107</t>
  </si>
  <si>
    <t>Dallas, Texas 8389</t>
  </si>
  <si>
    <t>Triangle - 4585</t>
  </si>
  <si>
    <t>Tri-Counties-Michigan 3090</t>
  </si>
  <si>
    <t>Tri-Cities - 181</t>
  </si>
  <si>
    <t>Toledo-8363</t>
  </si>
  <si>
    <t>Special Spaces Albequerque</t>
  </si>
  <si>
    <t>BofA Albequerque</t>
  </si>
  <si>
    <t>Special Spaces Cincinnati</t>
  </si>
  <si>
    <t>BofA Cincinnati</t>
  </si>
  <si>
    <t>Special Spaces Chattanooga</t>
  </si>
  <si>
    <t>BofA Chattanooga</t>
  </si>
  <si>
    <t>Special Spaces Flat Head Valley</t>
  </si>
  <si>
    <t>BofA Flat Head Valley</t>
  </si>
  <si>
    <t>Special Spaces Philadelphia</t>
  </si>
  <si>
    <t>BoA Toledo 8363</t>
  </si>
  <si>
    <t>Special Spaces Tri Cities</t>
  </si>
  <si>
    <t>BofA Tri Cities</t>
  </si>
  <si>
    <t>BoA Tri Cities Restricted 0921</t>
  </si>
  <si>
    <t>Petty Cash-National</t>
  </si>
  <si>
    <t>Special Spaces Houston</t>
  </si>
  <si>
    <t>BofA Houston</t>
  </si>
  <si>
    <t>BofA Houston Resticted 0905</t>
  </si>
  <si>
    <t>Special Spaces New York</t>
  </si>
  <si>
    <t>BofA New York</t>
  </si>
  <si>
    <t>Special Spaces Milwaukee</t>
  </si>
  <si>
    <t>BofA Milwaukee</t>
  </si>
  <si>
    <t>*US Bank - Milwaukee</t>
  </si>
  <si>
    <t>Special Spaces Orange County</t>
  </si>
  <si>
    <t>BofA Orange County</t>
  </si>
  <si>
    <t>Special Spaces Knoxville 1</t>
  </si>
  <si>
    <t>BofA Knoxville</t>
  </si>
  <si>
    <t>BofA Scranton (NEPA) - 4608</t>
  </si>
  <si>
    <t>BoA San Antonio 2317</t>
  </si>
  <si>
    <t>Special Spaces San Francisco</t>
  </si>
  <si>
    <t>BofA San Francisco</t>
  </si>
  <si>
    <t>BofA San Fran Restricted 0918</t>
  </si>
  <si>
    <t>BoA Dallas, Texas 8389</t>
  </si>
  <si>
    <t>Special Spaces Las Vegas</t>
  </si>
  <si>
    <t>BofA Las Vegas</t>
  </si>
  <si>
    <t>BoA Tampa - 8376</t>
  </si>
  <si>
    <t>BofA Triangle Account</t>
  </si>
  <si>
    <t>Ft. Lauderdale Special Spaces</t>
  </si>
  <si>
    <t>BoA Panama City 7873</t>
  </si>
  <si>
    <t>Pittsburgh Special Spaces</t>
  </si>
  <si>
    <t>BofA Pittsburgh 0220(SWPA)</t>
  </si>
  <si>
    <t>BoA Pittsburgh 3133</t>
  </si>
  <si>
    <t>*US Bank Wisc-Northshore</t>
  </si>
  <si>
    <t>BoA NEPA 8719</t>
  </si>
  <si>
    <t>Column1</t>
  </si>
  <si>
    <t>Column3</t>
  </si>
  <si>
    <t>Column22</t>
  </si>
  <si>
    <t>Cincinnati</t>
  </si>
  <si>
    <t>Ohio</t>
  </si>
  <si>
    <t>Pittsburgh</t>
  </si>
  <si>
    <t>Sacremento</t>
  </si>
  <si>
    <t>Tri Counties</t>
  </si>
  <si>
    <t>Scranton</t>
  </si>
  <si>
    <t>St Louis</t>
  </si>
  <si>
    <t>Knoxville UT</t>
  </si>
  <si>
    <t>Michigan</t>
  </si>
  <si>
    <t>Scramento</t>
  </si>
  <si>
    <t>Pittsburgh Metro</t>
  </si>
  <si>
    <t>San Diego</t>
  </si>
  <si>
    <t>Toledo</t>
  </si>
  <si>
    <t>Inkind</t>
  </si>
  <si>
    <t>Affliiate</t>
  </si>
  <si>
    <t>Revenue</t>
  </si>
  <si>
    <t>Affiliate</t>
  </si>
  <si>
    <t>(blank)</t>
  </si>
  <si>
    <t>Sum of Column3</t>
  </si>
  <si>
    <t>Special Spaces, Inc.</t>
  </si>
  <si>
    <t>Statement of Affiliate Activities</t>
  </si>
  <si>
    <t>Statement of Financial Position</t>
  </si>
  <si>
    <t>Assets</t>
  </si>
  <si>
    <t>Receivables</t>
  </si>
  <si>
    <t>Furniture and Equipment, Net</t>
  </si>
  <si>
    <t>Total Assets</t>
  </si>
  <si>
    <t>December 31,</t>
  </si>
  <si>
    <t>Liabilities</t>
  </si>
  <si>
    <t>Accrued Expenses</t>
  </si>
  <si>
    <t>Unrestricted Net Assets</t>
  </si>
  <si>
    <t>Total Liabilities and Net Assets</t>
  </si>
  <si>
    <t>Statement of Activities</t>
  </si>
  <si>
    <t>Support and Revenues</t>
  </si>
  <si>
    <t>Contributions</t>
  </si>
  <si>
    <t xml:space="preserve">   </t>
  </si>
  <si>
    <t xml:space="preserve">    Total Support and Revenues</t>
  </si>
  <si>
    <t>Program Services</t>
  </si>
  <si>
    <t>Management and General</t>
  </si>
  <si>
    <t>Statement of Functional Expenses</t>
  </si>
  <si>
    <t>Management</t>
  </si>
  <si>
    <t>and General</t>
  </si>
  <si>
    <t>Services</t>
  </si>
  <si>
    <t>Business Registration Fees</t>
  </si>
  <si>
    <t>Affiliate Background Checks</t>
  </si>
  <si>
    <t>Wages</t>
  </si>
  <si>
    <t xml:space="preserve">     Total Expenses</t>
  </si>
  <si>
    <t>Increase in Net Assets</t>
  </si>
  <si>
    <t>Total Functional Expenses</t>
  </si>
  <si>
    <t>Michigan - St Joe's</t>
  </si>
  <si>
    <t>09/16/2014</t>
  </si>
  <si>
    <t>Coldwell Banker Charitable Foundation</t>
  </si>
  <si>
    <t>Illinois-Chicago</t>
  </si>
  <si>
    <t>10/10/2014</t>
  </si>
  <si>
    <t>BoA Charitable Foundation</t>
  </si>
  <si>
    <t>Texas-Dallas</t>
  </si>
  <si>
    <t>VML Foundation</t>
  </si>
  <si>
    <t>10/24/2014</t>
  </si>
  <si>
    <t>Florida Medical Clinic Foundation</t>
  </si>
  <si>
    <t>Florida-Tampa</t>
  </si>
  <si>
    <t>08/05/2014</t>
  </si>
  <si>
    <t>Minnesota-Minneapolis</t>
  </si>
  <si>
    <t>08/11/2014</t>
  </si>
  <si>
    <t>07/01/2014</t>
  </si>
  <si>
    <t>New York-Long Island</t>
  </si>
  <si>
    <t>10130 BofA Restricted Funds -055:Long Island - 165</t>
  </si>
  <si>
    <t>07/07/2014</t>
  </si>
  <si>
    <t>Pennsylvania-NEPA</t>
  </si>
  <si>
    <t>NorthCarolina-Triangle</t>
  </si>
  <si>
    <t>07/14/2014</t>
  </si>
  <si>
    <t>Massachusetts-Boston</t>
  </si>
  <si>
    <t>Tennessee-Chattanooga</t>
  </si>
  <si>
    <t>07/15/2014</t>
  </si>
  <si>
    <t>Missouri-St. Louis</t>
  </si>
  <si>
    <t>07/17/2014</t>
  </si>
  <si>
    <t>California-San Francisco</t>
  </si>
  <si>
    <t>07/18/2014</t>
  </si>
  <si>
    <t>07/21/2014</t>
  </si>
  <si>
    <t>07/22/2014</t>
  </si>
  <si>
    <t>New Mexico- Albuquerque</t>
  </si>
  <si>
    <t>Delaware-Newark</t>
  </si>
  <si>
    <t>07/23/2014</t>
  </si>
  <si>
    <t>07/29/2014</t>
  </si>
  <si>
    <t>07/30/2014</t>
  </si>
  <si>
    <t>NewYork-Buffalo</t>
  </si>
  <si>
    <t>07/31/2014</t>
  </si>
  <si>
    <t>Ohio-Columbus</t>
  </si>
  <si>
    <t>10211 *US Bank-Ohio Restricted 4603:Columbus Restricted</t>
  </si>
  <si>
    <t>Texas-Houston</t>
  </si>
  <si>
    <t>10512 BofA Texas Resticted 0905</t>
  </si>
  <si>
    <t>08/04/2014</t>
  </si>
  <si>
    <t>Michigan-Tri Co Mich</t>
  </si>
  <si>
    <t>08/06/2014</t>
  </si>
  <si>
    <t>Florida-Panama City</t>
  </si>
  <si>
    <t>08/07/2014</t>
  </si>
  <si>
    <t>Madison's room</t>
  </si>
  <si>
    <t>08/13/2014</t>
  </si>
  <si>
    <t>Amazon Smile</t>
  </si>
  <si>
    <t>08/14/2014</t>
  </si>
  <si>
    <t>Tennessee-Tri Cities</t>
  </si>
  <si>
    <t>08/25/2014</t>
  </si>
  <si>
    <t>Hawaii</t>
  </si>
  <si>
    <t>Wear it and Share it</t>
  </si>
  <si>
    <t>08/27/2014</t>
  </si>
  <si>
    <t>Community Foundation</t>
  </si>
  <si>
    <t>Iowa-Dubuque</t>
  </si>
  <si>
    <t>10204 *US Bank Wisc Restr 4595:Dubuque</t>
  </si>
  <si>
    <t>09/08/2014</t>
  </si>
  <si>
    <t>Tennessee-Knox UT</t>
  </si>
  <si>
    <t>10119 BofA Restricted Funds -055:Knox UT</t>
  </si>
  <si>
    <t>09/09/2014</t>
  </si>
  <si>
    <t>Benicia Yact Club</t>
  </si>
  <si>
    <t>California-Sacramento</t>
  </si>
  <si>
    <t>Nevada-Las Vegas</t>
  </si>
  <si>
    <t>09/11/2014</t>
  </si>
  <si>
    <t>09/15/2014</t>
  </si>
  <si>
    <t>St. Louis Room Makeover</t>
  </si>
  <si>
    <t>Wisconsin-Milwaukee</t>
  </si>
  <si>
    <t>paypal deposits</t>
  </si>
  <si>
    <t>09/17/2014</t>
  </si>
  <si>
    <t>09/24/2014</t>
  </si>
  <si>
    <t>Texas</t>
  </si>
  <si>
    <t>10514 BofA Texas Resticted 0905:BoA Texas Restricted</t>
  </si>
  <si>
    <t>09/25/2014</t>
  </si>
  <si>
    <t>09/29/2014</t>
  </si>
  <si>
    <t>National's 15% of Design a dream - reclassify</t>
  </si>
  <si>
    <t>10/01/2014</t>
  </si>
  <si>
    <t>Pennsylvania-SW Pa</t>
  </si>
  <si>
    <t>Tennessee-Knoxville</t>
  </si>
  <si>
    <t>10/03/2014</t>
  </si>
  <si>
    <t>10513 BoA Texas 6541</t>
  </si>
  <si>
    <t>10/08/2014</t>
  </si>
  <si>
    <t>Square Inc.</t>
  </si>
  <si>
    <t>10/09/2014</t>
  </si>
  <si>
    <t>Tennessee-Nashville</t>
  </si>
  <si>
    <t>10128 BofA Restricted Funds -055:Nashville - 149</t>
  </si>
  <si>
    <t>10/13/2014</t>
  </si>
  <si>
    <t>Wisconsin-Green Bay</t>
  </si>
  <si>
    <t>10/14/2014</t>
  </si>
  <si>
    <t>US Bank National</t>
  </si>
  <si>
    <t>Anne Strunk</t>
  </si>
  <si>
    <t>donation for rental unit</t>
  </si>
  <si>
    <t>10/16/2014</t>
  </si>
  <si>
    <t>United HealthCare</t>
  </si>
  <si>
    <t>Pennsylvania-Pitt -Metro</t>
  </si>
  <si>
    <t>10/20/2014</t>
  </si>
  <si>
    <t>to national for bed race</t>
  </si>
  <si>
    <t>10/21/2014</t>
  </si>
  <si>
    <t>Texas-San Antonio</t>
  </si>
  <si>
    <t>make a wish amount to San Antonio</t>
  </si>
  <si>
    <t>Cypress Engine</t>
  </si>
  <si>
    <t>10/26/2014</t>
  </si>
  <si>
    <t>Cleveland Room</t>
  </si>
  <si>
    <t>10/28/2014</t>
  </si>
  <si>
    <t>10/29/2014</t>
  </si>
  <si>
    <t>10/30/2014</t>
  </si>
  <si>
    <t>07/10/2014</t>
  </si>
  <si>
    <t>wall mural for Tre's room</t>
  </si>
  <si>
    <t>tv installation</t>
  </si>
  <si>
    <t>07/25/2014</t>
  </si>
  <si>
    <t>5 hours of labor floor tile and firelplace tile</t>
  </si>
  <si>
    <t>4 men/ 2 days of work Riley's room</t>
  </si>
  <si>
    <t>hotel and carpenter to build secret bookcase</t>
  </si>
  <si>
    <t>carpet install</t>
  </si>
  <si>
    <t>photography for Riley's room</t>
  </si>
  <si>
    <t>08/29/2014</t>
  </si>
  <si>
    <t>106.1 radio for Bed Race</t>
  </si>
  <si>
    <t>discount on billboard for Bedrace</t>
  </si>
  <si>
    <t>to record in kind rent for office</t>
  </si>
  <si>
    <t>08/31/2014</t>
  </si>
  <si>
    <t>09/30/2014</t>
  </si>
  <si>
    <t>10/31/2014</t>
  </si>
  <si>
    <t>mattress for Allie's room</t>
  </si>
  <si>
    <t>sound system for Tre's room</t>
  </si>
  <si>
    <t>electrical items for Tre's room</t>
  </si>
  <si>
    <t>3 twin mattresses for Tre's room</t>
  </si>
  <si>
    <t>Canvas print</t>
  </si>
  <si>
    <t>donated 3 meals a day for 3 days for volunteers</t>
  </si>
  <si>
    <t>materials</t>
  </si>
  <si>
    <t>paint</t>
  </si>
  <si>
    <t>sectional sofa</t>
  </si>
  <si>
    <t>cake, legos</t>
  </si>
  <si>
    <t>cork tile and bunk bed</t>
  </si>
  <si>
    <t>wall decals</t>
  </si>
  <si>
    <t>Carpet tiles</t>
  </si>
  <si>
    <t>09/06/2014</t>
  </si>
  <si>
    <t>Destiny Carreon's Room</t>
  </si>
  <si>
    <t>10/15/2014</t>
  </si>
  <si>
    <t>mural for feld room in Cincinnati</t>
  </si>
  <si>
    <t>Dollywood tickets for bed race</t>
  </si>
  <si>
    <t>(2) $50.00 gift certificates for bed race</t>
  </si>
  <si>
    <t>4 steel welded Beds</t>
  </si>
  <si>
    <t>07/08/2014</t>
  </si>
  <si>
    <t>07/09/2014</t>
  </si>
  <si>
    <t>Dream Big Casino Night</t>
  </si>
  <si>
    <t>Wine walk</t>
  </si>
  <si>
    <t>Design a Dream</t>
  </si>
  <si>
    <t>design a dream</t>
  </si>
  <si>
    <t>golf tournament</t>
  </si>
  <si>
    <t>Rainbow Ice</t>
  </si>
  <si>
    <t>Vendor fee for Bed Race</t>
  </si>
  <si>
    <t>Design a Dream tickets</t>
  </si>
  <si>
    <t>09/04/2014</t>
  </si>
  <si>
    <t>09/12/2014</t>
  </si>
  <si>
    <t>Full Circle Tavern</t>
  </si>
  <si>
    <t>Design a Dream paypal ticket sales</t>
  </si>
  <si>
    <t>Bed Race entry fee</t>
  </si>
  <si>
    <t>Bed race sponsor SSN team</t>
  </si>
  <si>
    <t>Design a Dream paypal deposits</t>
  </si>
  <si>
    <t>NYR Organic Booth bed race</t>
  </si>
  <si>
    <t>09/22/2014</t>
  </si>
  <si>
    <t>09/23/2014</t>
  </si>
  <si>
    <t>Bed race</t>
  </si>
  <si>
    <t>Wine tasting event</t>
  </si>
  <si>
    <t>Kramer Rayson</t>
  </si>
  <si>
    <t>nemours</t>
  </si>
  <si>
    <t>10/02/2014</t>
  </si>
  <si>
    <t>bed race Team SSN</t>
  </si>
  <si>
    <t>wine tasting</t>
  </si>
  <si>
    <t>James Hutchison</t>
  </si>
  <si>
    <t>bed race  Team SSN</t>
  </si>
  <si>
    <t>Wine Tasting</t>
  </si>
  <si>
    <t>Wine Tasting paypal</t>
  </si>
  <si>
    <t>Texas 10 paypal</t>
  </si>
  <si>
    <t>Bed Race paypal</t>
  </si>
  <si>
    <t>Kimberly Trotter</t>
  </si>
  <si>
    <t>Bed Race Home Depot</t>
  </si>
  <si>
    <t>Texas 10</t>
  </si>
  <si>
    <t>Give Grande New Mexico Fundraiser</t>
  </si>
  <si>
    <t>10/23/2014</t>
  </si>
  <si>
    <t>Wine tasting</t>
  </si>
  <si>
    <t>Kendra Scott</t>
  </si>
  <si>
    <t>10/25/2014</t>
  </si>
  <si>
    <t>The Bed Store</t>
  </si>
  <si>
    <t>The Bed Race</t>
  </si>
  <si>
    <t>10/27/2014</t>
  </si>
  <si>
    <t>Octoberfest fundraiser</t>
  </si>
  <si>
    <t>Smokey Mountain Kona Ice</t>
  </si>
  <si>
    <t>Melani Dizon</t>
  </si>
  <si>
    <t>Melani Dizon affiliate fee</t>
  </si>
  <si>
    <t>Affiliate fee</t>
  </si>
  <si>
    <t>Wisconsin-Northshore</t>
  </si>
  <si>
    <t>10210 *US Bank-Ohio Restricted 4603:National Ohio Restricted</t>
  </si>
  <si>
    <t>10509 BofA Texas Resticted 0905:BoA Houston Restricted 0905</t>
  </si>
  <si>
    <t>07/02/2014</t>
  </si>
  <si>
    <t>L Gcharitable Sol</t>
  </si>
  <si>
    <t>State of Michigan</t>
  </si>
  <si>
    <t>Annual report</t>
  </si>
  <si>
    <t>MO Secretary of State</t>
  </si>
  <si>
    <t>08/20/2014</t>
  </si>
  <si>
    <t>Jesse White Secretary of State</t>
  </si>
  <si>
    <t>08/22/2014</t>
  </si>
  <si>
    <t>Late registration fee</t>
  </si>
  <si>
    <t>09/18/2014</t>
  </si>
  <si>
    <t>Cps of TN VOL</t>
  </si>
  <si>
    <t>Tennessee Secretary of State</t>
  </si>
  <si>
    <t>Delaware Secretary of State</t>
  </si>
  <si>
    <t>FDACS</t>
  </si>
  <si>
    <t>Solicitation fee florida</t>
  </si>
  <si>
    <t>Department of Commerce and Consumer Affairs</t>
  </si>
  <si>
    <t>Hawaii Foreign Corporation</t>
  </si>
  <si>
    <t>Commonwealth of Pennsylvania</t>
  </si>
  <si>
    <t>Penn Foreign Corp</t>
  </si>
  <si>
    <t>S.O.S. Registration</t>
  </si>
  <si>
    <t>WI dept of Revenue</t>
  </si>
  <si>
    <t>Ca, Mn, Oh, Fl, Mo, Tx, Io, NC, Wi, Il, NM, Mi, NY</t>
  </si>
  <si>
    <t>09/05/2014</t>
  </si>
  <si>
    <t>10/06/2014</t>
  </si>
  <si>
    <t>10/07/2014</t>
  </si>
  <si>
    <t>Lori Beth Lemmon</t>
  </si>
  <si>
    <t>Inv #181</t>
  </si>
  <si>
    <t>Invoice # 3423 Amy Gould</t>
  </si>
  <si>
    <t>07/28/2014</t>
  </si>
  <si>
    <t>Professional Fees</t>
  </si>
  <si>
    <t>Scribner Cohen</t>
  </si>
  <si>
    <t>June</t>
  </si>
  <si>
    <t>July</t>
  </si>
  <si>
    <t>August and 9/3</t>
  </si>
  <si>
    <t>September lawn</t>
  </si>
  <si>
    <t>07/03/2014</t>
  </si>
  <si>
    <t>Aug monitoring</t>
  </si>
  <si>
    <t>Sept monitoring</t>
  </si>
  <si>
    <t>09/03/2014</t>
  </si>
  <si>
    <t>Oct monitoring</t>
  </si>
  <si>
    <t>Nov monitoring</t>
  </si>
  <si>
    <t>Expedia</t>
  </si>
  <si>
    <t>us Airways</t>
  </si>
  <si>
    <t>08/18/2014</t>
  </si>
  <si>
    <t>08/26/2014</t>
  </si>
  <si>
    <t>Yellow cab company</t>
  </si>
  <si>
    <t>Travel to WI for room makeover</t>
  </si>
  <si>
    <t>09/10/2014</t>
  </si>
  <si>
    <t>Travel Insurance</t>
  </si>
  <si>
    <t>09/19/2014</t>
  </si>
  <si>
    <t>United Air</t>
  </si>
  <si>
    <t>Potawatomi Hotel</t>
  </si>
  <si>
    <t>10/17/2014</t>
  </si>
  <si>
    <t>10/22/2014</t>
  </si>
  <si>
    <t>UH Parking</t>
  </si>
  <si>
    <t>Kroger Fuel</t>
  </si>
  <si>
    <t>07/16/2014</t>
  </si>
  <si>
    <t>metered postage/ non profit</t>
  </si>
  <si>
    <t>08/12/2014</t>
  </si>
  <si>
    <t>08/15/2014</t>
  </si>
  <si>
    <t>08/21/2014</t>
  </si>
  <si>
    <t>08/28/2014</t>
  </si>
  <si>
    <t>Postage for Wear It post cards</t>
  </si>
  <si>
    <t>10516 BofA Long Island</t>
  </si>
  <si>
    <t>California-Orange County</t>
  </si>
  <si>
    <t>SouthCarolina-Columbia</t>
  </si>
  <si>
    <t>08/01/2014</t>
  </si>
  <si>
    <t>09/02/2014</t>
  </si>
  <si>
    <t>09/26/2014</t>
  </si>
  <si>
    <t>Krista Wharton, Marlo Steinke business cards</t>
  </si>
  <si>
    <t>Chromagraphics</t>
  </si>
  <si>
    <t>annual report</t>
  </si>
  <si>
    <t>tshirts for affiliates</t>
  </si>
  <si>
    <t>Business Cards Lori Beth Lemmon and Melani Dizon</t>
  </si>
  <si>
    <t>Deluxe Checks</t>
  </si>
  <si>
    <t>Asap Cory Graph</t>
  </si>
  <si>
    <t>Business cards for Annie Bangs,"Wear it" postcards and thank you notes, Buffalo Tshirts</t>
  </si>
  <si>
    <t>Buffalo Tshirts</t>
  </si>
  <si>
    <t>Business cards for Chris Lamberson</t>
  </si>
  <si>
    <t>Bexley Pizza</t>
  </si>
  <si>
    <t>Chick Fil A</t>
  </si>
  <si>
    <t>07/24/2014</t>
  </si>
  <si>
    <t>TGI Friday's</t>
  </si>
  <si>
    <t>Faith Glazer</t>
  </si>
  <si>
    <t>08/08/2014</t>
  </si>
  <si>
    <t>Country Inn N</t>
  </si>
  <si>
    <t>Aubreys Cedar Blu</t>
  </si>
  <si>
    <t>travel to Knoxville for interview</t>
  </si>
  <si>
    <t>Vanilla Sugar Bakers</t>
  </si>
  <si>
    <t>Allen Land</t>
  </si>
  <si>
    <t>Potawatomi Fire</t>
  </si>
  <si>
    <t>Cheesecake Factory</t>
  </si>
  <si>
    <t>Tree Guys Pizza</t>
  </si>
  <si>
    <t>Calhoun's</t>
  </si>
  <si>
    <t>Jimmy John's</t>
  </si>
  <si>
    <t>Chipolte</t>
  </si>
  <si>
    <t>Starbucks</t>
  </si>
  <si>
    <t>Safeway</t>
  </si>
  <si>
    <t>Brothers</t>
  </si>
  <si>
    <t>Supplies/Office Expense</t>
  </si>
  <si>
    <t>Norton</t>
  </si>
  <si>
    <t>stamps</t>
  </si>
  <si>
    <t>Jonathan Pendley</t>
  </si>
  <si>
    <t>Rent/Storage</t>
  </si>
  <si>
    <t>Orage Hami 1023 City Street</t>
  </si>
  <si>
    <t>Clinton Highway Self Storage</t>
  </si>
  <si>
    <t>storage unit</t>
  </si>
  <si>
    <t>Material for Rooms</t>
  </si>
  <si>
    <t>Naomie Wert</t>
  </si>
  <si>
    <t>Facebook</t>
  </si>
  <si>
    <t>Hayneedle Inc Htt</t>
  </si>
  <si>
    <t>Muraldire</t>
  </si>
  <si>
    <t>Orchard Supply</t>
  </si>
  <si>
    <t>Lowes</t>
  </si>
  <si>
    <t>Back to Bed</t>
  </si>
  <si>
    <t>Aldi</t>
  </si>
  <si>
    <t>Credit</t>
  </si>
  <si>
    <t>Rachelle Concepria</t>
  </si>
  <si>
    <t>Country yd</t>
  </si>
  <si>
    <t>07/11/2014</t>
  </si>
  <si>
    <t>Richard's</t>
  </si>
  <si>
    <t>Bay Books</t>
  </si>
  <si>
    <t>Richard's Alamo</t>
  </si>
  <si>
    <t>Round Table</t>
  </si>
  <si>
    <t>Pleasanton Glass</t>
  </si>
  <si>
    <t>Photos by Shutt</t>
  </si>
  <si>
    <t>Gordmans</t>
  </si>
  <si>
    <t>Sean Alexander</t>
  </si>
  <si>
    <t>Aaron Brothers</t>
  </si>
  <si>
    <t>Family Chr</t>
  </si>
  <si>
    <t>Troy Carpet</t>
  </si>
  <si>
    <t>Emilia Viveiros</t>
  </si>
  <si>
    <t>Mr. B's Resale LLC</t>
  </si>
  <si>
    <t>Naomie West</t>
  </si>
  <si>
    <t>Leslie Gail</t>
  </si>
  <si>
    <t>Niki Cardillo</t>
  </si>
  <si>
    <t>Pleasanton Rentals</t>
  </si>
  <si>
    <t>Cammie Cavros</t>
  </si>
  <si>
    <t>Strait Stuff</t>
  </si>
  <si>
    <t>Home Decor</t>
  </si>
  <si>
    <t>Sprouts Farmers</t>
  </si>
  <si>
    <t>317 W Montvale</t>
  </si>
  <si>
    <t>Enterprise Rent-A-Car</t>
  </si>
  <si>
    <t>Hannaford</t>
  </si>
  <si>
    <t>Used Book Superstore</t>
  </si>
  <si>
    <t>My Fairy</t>
  </si>
  <si>
    <t>Ocg LLC</t>
  </si>
  <si>
    <t>Wangg</t>
  </si>
  <si>
    <t>Nancy Garber</t>
  </si>
  <si>
    <t>Angelina's room reimbursement</t>
  </si>
  <si>
    <t>Urban Twiggs</t>
  </si>
  <si>
    <t>Stan Bochenek</t>
  </si>
  <si>
    <t>Pottery Barn Kids</t>
  </si>
  <si>
    <t>Boca Bargoons Tampa</t>
  </si>
  <si>
    <t>Karen McKinnon</t>
  </si>
  <si>
    <t>Tucsons</t>
  </si>
  <si>
    <t>Blizzard Entertainment</t>
  </si>
  <si>
    <t>Paul Whitmore</t>
  </si>
  <si>
    <t>Walters Loft</t>
  </si>
  <si>
    <t>Five Below B</t>
  </si>
  <si>
    <t>Paper Source</t>
  </si>
  <si>
    <t>Houzz</t>
  </si>
  <si>
    <t>Debbie Byers</t>
  </si>
  <si>
    <t>Legacy</t>
  </si>
  <si>
    <t>Wayfair</t>
  </si>
  <si>
    <t>American Freight</t>
  </si>
  <si>
    <t>Southeastern Salvage</t>
  </si>
  <si>
    <t>Holiday StnStore</t>
  </si>
  <si>
    <t>08/19/2014</t>
  </si>
  <si>
    <t>PB Teen</t>
  </si>
  <si>
    <t>Wilderness Hotel</t>
  </si>
  <si>
    <t>Party shop</t>
  </si>
  <si>
    <t>A. Fillinger</t>
  </si>
  <si>
    <t>Phoebe</t>
  </si>
  <si>
    <t>Paris Market</t>
  </si>
  <si>
    <t>Lovely pap</t>
  </si>
  <si>
    <t>Im Improvements</t>
  </si>
  <si>
    <t>Therese Daris</t>
  </si>
  <si>
    <t>Home Click</t>
  </si>
  <si>
    <t>Fast Spring Software</t>
  </si>
  <si>
    <t>Val-U Homes</t>
  </si>
  <si>
    <t>Kohls</t>
  </si>
  <si>
    <t>Jubilee</t>
  </si>
  <si>
    <t>Elizabeth Travers</t>
  </si>
  <si>
    <t>Walter E Smithe</t>
  </si>
  <si>
    <t>Grapevine</t>
  </si>
  <si>
    <t>Allegrofa</t>
  </si>
  <si>
    <t>Scott Bechen</t>
  </si>
  <si>
    <t>Woodland Lanes</t>
  </si>
  <si>
    <t>Stuffed Ark</t>
  </si>
  <si>
    <t>Warehouse</t>
  </si>
  <si>
    <t>Art Van Furniture</t>
  </si>
  <si>
    <t>Garnet Hill</t>
  </si>
  <si>
    <t>Lumber Liquidators</t>
  </si>
  <si>
    <t>DMITriyla</t>
  </si>
  <si>
    <t>Owl Hardwood Lumber</t>
  </si>
  <si>
    <t>Allegro Fabrics</t>
  </si>
  <si>
    <t>Fire Mountain Gems, Inc</t>
  </si>
  <si>
    <t>Bon-Ton, Inc</t>
  </si>
  <si>
    <t>Cabela's</t>
  </si>
  <si>
    <t>Blue Cotton</t>
  </si>
  <si>
    <t>Woodworker's</t>
  </si>
  <si>
    <t>Buikema's Ace</t>
  </si>
  <si>
    <t>Overstock.com</t>
  </si>
  <si>
    <t>West Elm</t>
  </si>
  <si>
    <t>Payless</t>
  </si>
  <si>
    <t>Pick 'n Save</t>
  </si>
  <si>
    <t>Pak n Post</t>
  </si>
  <si>
    <t>Campus Emporium</t>
  </si>
  <si>
    <t>Kate's room reimbursement</t>
  </si>
  <si>
    <t>Burke Decor</t>
  </si>
  <si>
    <t>A Plus Warehouse</t>
  </si>
  <si>
    <t>Troy Furniture</t>
  </si>
  <si>
    <t>Neiman Marcus</t>
  </si>
  <si>
    <t>Nugget Markets</t>
  </si>
  <si>
    <t>Tile Outlet</t>
  </si>
  <si>
    <t>Amazon.com</t>
  </si>
  <si>
    <t>Hershel's Custom Signs</t>
  </si>
  <si>
    <t>Driven</t>
  </si>
  <si>
    <t>paypal Maxbmw</t>
  </si>
  <si>
    <t>Lou's One Stop</t>
  </si>
  <si>
    <t>Mill's Fleet Farm</t>
  </si>
  <si>
    <t>Ruth Wharton</t>
  </si>
  <si>
    <t>Tlf Barbs Green</t>
  </si>
  <si>
    <t>Stein Gardens</t>
  </si>
  <si>
    <t>Nordstrom</t>
  </si>
  <si>
    <t>Cub Foods</t>
  </si>
  <si>
    <t>Multiple Solutions</t>
  </si>
  <si>
    <t>Pam Schuh</t>
  </si>
  <si>
    <t>Amazon Marketplace</t>
  </si>
  <si>
    <t>Memory Lane</t>
  </si>
  <si>
    <t>Eb Fall Fusion</t>
  </si>
  <si>
    <t>reimburse for expense on debit card</t>
  </si>
  <si>
    <t>Raegen Hardie</t>
  </si>
  <si>
    <t>Wilkeskin</t>
  </si>
  <si>
    <t>Valu Home Cnt</t>
  </si>
  <si>
    <t>DezignzwithAZ</t>
  </si>
  <si>
    <t>Simply Baby Furniture</t>
  </si>
  <si>
    <t>Wisconsin Building Supply</t>
  </si>
  <si>
    <t>JJJ Carpets and Cabinets</t>
  </si>
  <si>
    <t>Tim Morrissey</t>
  </si>
  <si>
    <t>Natl Biz Furniture</t>
  </si>
  <si>
    <t>SENN</t>
  </si>
  <si>
    <t>David Bognar</t>
  </si>
  <si>
    <t>ABT Electronics</t>
  </si>
  <si>
    <t>RHI Resto</t>
  </si>
  <si>
    <t>Marathon</t>
  </si>
  <si>
    <t>Chris Vasquez</t>
  </si>
  <si>
    <t>Laura Purcell</t>
  </si>
  <si>
    <t>Team Fan Shop</t>
  </si>
  <si>
    <t>Simply Seq</t>
  </si>
  <si>
    <t>Deny Designs</t>
  </si>
  <si>
    <t>Empire</t>
  </si>
  <si>
    <t>Chase Hardware</t>
  </si>
  <si>
    <t>Sound system for Tre's room</t>
  </si>
  <si>
    <t>Jobs That Serve</t>
  </si>
  <si>
    <t>Advertising/Publicity Expense</t>
  </si>
  <si>
    <t>The Chronicle of Philanthrophy</t>
  </si>
  <si>
    <t>Nu Vision Marketing</t>
  </si>
  <si>
    <t>AMA Luncheon</t>
  </si>
  <si>
    <t>State of Wisconsin</t>
  </si>
  <si>
    <t>Design a Dream paypal expense</t>
  </si>
  <si>
    <t>Bed Race paypal expense</t>
  </si>
  <si>
    <t>Wear it and Share it tshirts</t>
  </si>
  <si>
    <t>paypal expense</t>
  </si>
  <si>
    <t>paypal exp Bed race</t>
  </si>
  <si>
    <t>paypal design a dream</t>
  </si>
  <si>
    <t>bed race paypal</t>
  </si>
  <si>
    <t>wine tasting event</t>
  </si>
  <si>
    <t>knox bed race</t>
  </si>
  <si>
    <t>bed race</t>
  </si>
  <si>
    <t>texas 10</t>
  </si>
  <si>
    <t>Craigslist.org</t>
  </si>
  <si>
    <t>Achievement Productions</t>
  </si>
  <si>
    <t>Wisconsin Media</t>
  </si>
  <si>
    <t>Blue Cross</t>
  </si>
  <si>
    <t>Technology Assigned Risk</t>
  </si>
  <si>
    <t>Tennessee</t>
  </si>
  <si>
    <t>State Compensation Insurance Fund</t>
  </si>
  <si>
    <t>Texas Mutual Insurance</t>
  </si>
  <si>
    <t>Wisconsin Comp Rating Bureau</t>
  </si>
  <si>
    <t>Wisconsin Worker's Comp</t>
  </si>
  <si>
    <t>Willis Group</t>
  </si>
  <si>
    <t>Wisconsin Workman's comp</t>
  </si>
  <si>
    <t>Taxes</t>
  </si>
  <si>
    <t>Lori B. Lemmon</t>
  </si>
  <si>
    <t>Catherine J. Wolfla</t>
  </si>
  <si>
    <t>Chris L. Lamberson</t>
  </si>
  <si>
    <t>Cinnamon Cafe</t>
  </si>
  <si>
    <t>food for golf tournament</t>
  </si>
  <si>
    <t>Food for golf tournament   Breakfast and lunch for golfers</t>
  </si>
  <si>
    <t>Design a Dream - auction item</t>
  </si>
  <si>
    <t>penking</t>
  </si>
  <si>
    <t>Threshold</t>
  </si>
  <si>
    <t>Square Party Business</t>
  </si>
  <si>
    <t>Design a Dream DJ</t>
  </si>
  <si>
    <t>Xiaoyan</t>
  </si>
  <si>
    <t>Design a Dream - Decorations</t>
  </si>
  <si>
    <t>Sixstarsa</t>
  </si>
  <si>
    <t>Wholesale flooring</t>
  </si>
  <si>
    <t>Mellissa Meeks</t>
  </si>
  <si>
    <t>Dream Big - gifts</t>
  </si>
  <si>
    <t>Shindigzs</t>
  </si>
  <si>
    <t>Design a Dream - decorations</t>
  </si>
  <si>
    <t>Unique</t>
  </si>
  <si>
    <t>Design a Dream - Auction item</t>
  </si>
  <si>
    <t>Design a Dream - Auction Item (shipping)</t>
  </si>
  <si>
    <t>Heart and Home</t>
  </si>
  <si>
    <t>Design a Dream Auction item</t>
  </si>
  <si>
    <t>Old McMicky's Farm</t>
  </si>
  <si>
    <t>Sticks</t>
  </si>
  <si>
    <t>Monitosbo</t>
  </si>
  <si>
    <t>Design a Dream auction items</t>
  </si>
  <si>
    <t>Design a Dream Decorations</t>
  </si>
  <si>
    <t>Design a Dream Auction items</t>
  </si>
  <si>
    <t>Imprint</t>
  </si>
  <si>
    <t>Design a Dream   Square readers</t>
  </si>
  <si>
    <t>Design a dream paypal expenses</t>
  </si>
  <si>
    <t>Design a Dream decorations</t>
  </si>
  <si>
    <t>Fulton Paper</t>
  </si>
  <si>
    <t>city of Knoxville</t>
  </si>
  <si>
    <t>409 West Church</t>
  </si>
  <si>
    <t>wine tasting invitations</t>
  </si>
  <si>
    <t>Pamma Jewelry Too</t>
  </si>
  <si>
    <t>De Park Restaurant</t>
  </si>
  <si>
    <t>Trendz</t>
  </si>
  <si>
    <t>La Casa Pasta</t>
  </si>
  <si>
    <t>volunteer appreciation</t>
  </si>
  <si>
    <t>Lamar Company</t>
  </si>
  <si>
    <t>advertising for Bed Race</t>
  </si>
  <si>
    <t>Package Source</t>
  </si>
  <si>
    <t>The Public Building Authority</t>
  </si>
  <si>
    <t>wine tasting decorations</t>
  </si>
  <si>
    <t>wine tasting  decorations</t>
  </si>
  <si>
    <t>Prp Wine Intl</t>
  </si>
  <si>
    <t>Dead End BBQ</t>
  </si>
  <si>
    <t>Bed Race Food deposit</t>
  </si>
  <si>
    <t>wine tasting glasses</t>
  </si>
  <si>
    <t>Smoked hawgs</t>
  </si>
  <si>
    <t>Vanessa Wilkinson</t>
  </si>
  <si>
    <t>Reimbursement for Yard Signs</t>
  </si>
  <si>
    <t>Campbell Tent</t>
  </si>
  <si>
    <t>Pete Osborne</t>
  </si>
  <si>
    <t>Sport Seasons</t>
  </si>
  <si>
    <t>Debra Martin</t>
  </si>
  <si>
    <t>Bed Race food</t>
  </si>
  <si>
    <t>Travel</t>
  </si>
  <si>
    <t>I Duch</t>
  </si>
  <si>
    <t>Wednesday, Nov 05, 2014 12:08:49 PM PST GMT-5 - Accrual Basis</t>
  </si>
  <si>
    <t xml:space="preserve">      68320 Travel</t>
  </si>
  <si>
    <t xml:space="preserve">      65090 Advertising/Publicity Expense</t>
  </si>
  <si>
    <t xml:space="preserve">      65045 Rent/Storage</t>
  </si>
  <si>
    <t xml:space="preserve">      65040 Supplies/Office Expense</t>
  </si>
  <si>
    <t xml:space="preserve">      62140 Legal Fees</t>
  </si>
  <si>
    <t xml:space="preserve">      43310 Corporate and Business Grants</t>
  </si>
  <si>
    <t>January - October, 2014</t>
  </si>
  <si>
    <t>Wednesday, Nov 05, 2014 12:06:55 PM PST GMT-5 - Accrual Basis</t>
  </si>
  <si>
    <t xml:space="preserve">               WI SUI Employer</t>
  </si>
  <si>
    <t xml:space="preserve">               WI Income Tax</t>
  </si>
  <si>
    <t xml:space="preserve">         10516 BofA Long Island</t>
  </si>
  <si>
    <t xml:space="preserve">         10513 BoA Texas 6541</t>
  </si>
  <si>
    <t xml:space="preserve">         Total 10512 BofA Texas Resticted 0905</t>
  </si>
  <si>
    <t xml:space="preserve">            10514 BoA Texas Restricted</t>
  </si>
  <si>
    <t xml:space="preserve">            10509 BoA Houston Restricted 0905</t>
  </si>
  <si>
    <t xml:space="preserve">         10512 BofA Texas Resticted 0905</t>
  </si>
  <si>
    <t xml:space="preserve">         10182 *US Bank- Colorado, Boulder 4137</t>
  </si>
  <si>
    <t xml:space="preserve">            10204 Dubuque</t>
  </si>
  <si>
    <t xml:space="preserve">         Total 10178 *US Bank-Ohio Restricted 4603</t>
  </si>
  <si>
    <t xml:space="preserve">         10178 *US Bank-Ohio Restricted 4603</t>
  </si>
  <si>
    <t xml:space="preserve">            10150 Texas</t>
  </si>
  <si>
    <t xml:space="preserve">            10130 Long Island - 165</t>
  </si>
  <si>
    <t xml:space="preserve">            10107 Hawaii</t>
  </si>
  <si>
    <t>As of October 31, 2014</t>
  </si>
  <si>
    <t>Long Island - 165</t>
  </si>
  <si>
    <t>US Bank Wisc Restr 4595</t>
  </si>
  <si>
    <t>*US Bank- Colorado, Boulder 4137</t>
  </si>
  <si>
    <t>BofA Texas Resticted 0905</t>
  </si>
  <si>
    <t>BoA Houston Restricted 0905</t>
  </si>
  <si>
    <t>BoA Texas Restricted</t>
  </si>
  <si>
    <t>BoA Texas 6541</t>
  </si>
  <si>
    <t>BofA Long Island</t>
  </si>
  <si>
    <t>Greenbay</t>
  </si>
  <si>
    <t>Boulder</t>
  </si>
  <si>
    <t>Texas - State</t>
  </si>
  <si>
    <t>Long Island</t>
  </si>
  <si>
    <t>Wisconsion - State</t>
  </si>
  <si>
    <t>Sum of Balance</t>
  </si>
  <si>
    <t>October 31,</t>
  </si>
  <si>
    <t>As of October 31, 2014 and December 31, 2013</t>
  </si>
  <si>
    <t>For the Ten Month Period Ended October 31, 2014</t>
  </si>
  <si>
    <t>Fundraising Activities, Net of Direct Exp</t>
  </si>
  <si>
    <t>For the ten month period ended October 31, 2014</t>
  </si>
  <si>
    <t>Fundraising - Expenses Direct</t>
  </si>
  <si>
    <t>Florida - Miami</t>
  </si>
  <si>
    <t>Texas - Woodlands</t>
  </si>
  <si>
    <t>Wisconsin - State</t>
  </si>
  <si>
    <t>Tennessee - State</t>
  </si>
  <si>
    <t>Fund Raising Direct</t>
  </si>
  <si>
    <t>Fundraising In-Direct</t>
  </si>
  <si>
    <t>California-San Deigo</t>
  </si>
  <si>
    <t>Colorado - Boulder</t>
  </si>
  <si>
    <t>Texas - Austin</t>
  </si>
  <si>
    <t>Ohio - Cincinnati</t>
  </si>
  <si>
    <t>Affiliate Cash Balance</t>
  </si>
  <si>
    <t>Net Income (Loss)</t>
  </si>
  <si>
    <t>Rooms Completed</t>
  </si>
  <si>
    <t>Rooms Waiting</t>
  </si>
  <si>
    <t>Average Cash Per Room</t>
  </si>
  <si>
    <t>Room Potential With Existing Cash</t>
  </si>
  <si>
    <t>Potential vs Waiting</t>
  </si>
  <si>
    <t>New Director Fees</t>
  </si>
  <si>
    <t>Fundraisers</t>
  </si>
  <si>
    <t>Foundations</t>
  </si>
  <si>
    <t xml:space="preserve">National </t>
  </si>
  <si>
    <t>Direct Support</t>
  </si>
  <si>
    <t>Fundraising Expense</t>
  </si>
  <si>
    <t>Total Fundraising</t>
  </si>
  <si>
    <t>Net Fundraising</t>
  </si>
  <si>
    <t>Total Rooms</t>
  </si>
  <si>
    <t>Legal fees</t>
  </si>
  <si>
    <t>Accounting /Auditing Fees</t>
  </si>
  <si>
    <t>Membership and Dues</t>
  </si>
  <si>
    <t>Advertising Expense/Video</t>
  </si>
  <si>
    <t>Chapters</t>
  </si>
  <si>
    <t>Midwest Total</t>
  </si>
  <si>
    <t xml:space="preserve">     Room Sponsors/Donors</t>
  </si>
  <si>
    <t xml:space="preserve">     Individuals (Rooms)</t>
  </si>
  <si>
    <t xml:space="preserve">     Individuals (General)</t>
  </si>
  <si>
    <t xml:space="preserve">      In-Kind Services</t>
  </si>
  <si>
    <t xml:space="preserve">      In-Kind Goods</t>
  </si>
  <si>
    <t>Books, Subscriptions</t>
  </si>
  <si>
    <t>In-Kind Donations</t>
  </si>
  <si>
    <t>Items</t>
  </si>
  <si>
    <t xml:space="preserve">     General</t>
  </si>
  <si>
    <t>Less: National (15%)</t>
  </si>
  <si>
    <t>Website/Social Media</t>
  </si>
  <si>
    <t>Operating</t>
  </si>
  <si>
    <t>Cleveland</t>
  </si>
  <si>
    <t>Ohio Total</t>
  </si>
  <si>
    <t>Professional Fees &amp; Services</t>
  </si>
  <si>
    <t>Payroll Taxes</t>
  </si>
  <si>
    <t>Telephone</t>
  </si>
  <si>
    <t>Illinois Total</t>
  </si>
  <si>
    <t>REVENUE</t>
  </si>
  <si>
    <t>Mid-West Ops</t>
  </si>
  <si>
    <t>TN Total</t>
  </si>
  <si>
    <t>Boca Raton</t>
  </si>
  <si>
    <t>Palm Beach</t>
  </si>
  <si>
    <t>Florida Total</t>
  </si>
  <si>
    <t>MO</t>
  </si>
  <si>
    <t>MN</t>
  </si>
  <si>
    <t>Chatt</t>
  </si>
  <si>
    <t>NATIONAL</t>
  </si>
  <si>
    <t>NE</t>
  </si>
  <si>
    <t>Staff/Chapter Development</t>
  </si>
  <si>
    <t>Design Fees for Room/Ohio</t>
  </si>
  <si>
    <t>TOTAL</t>
  </si>
  <si>
    <t>NV</t>
  </si>
  <si>
    <t>TX</t>
  </si>
  <si>
    <t>DBQ</t>
  </si>
  <si>
    <t>WI/IA</t>
  </si>
  <si>
    <t>TN</t>
  </si>
  <si>
    <t>FL</t>
  </si>
  <si>
    <t>REST</t>
  </si>
  <si>
    <t xml:space="preserve"> Total</t>
  </si>
  <si>
    <t>Design Fees for Room</t>
  </si>
  <si>
    <t>Wages/Salaries</t>
  </si>
  <si>
    <t>Volunteer Hospitality (direct room)</t>
  </si>
  <si>
    <t>Staff/Chapter Training Development</t>
  </si>
  <si>
    <t>IND</t>
  </si>
  <si>
    <t>Donor Engagement (non room)</t>
  </si>
  <si>
    <t>Professional Fees &amp; Services*</t>
  </si>
  <si>
    <t>ACT/EST</t>
  </si>
  <si>
    <t>Note 1</t>
  </si>
  <si>
    <t xml:space="preserve">NOTE 1:  Nashville </t>
  </si>
  <si>
    <t>NOTE 1:  Indianapolis</t>
  </si>
  <si>
    <t>National to absorb startup cost.  $10K in room support for the new Indianpolis chapter. Cost of these expenses to show on the Chapter's budget, but funded with from National's reserves.</t>
  </si>
  <si>
    <t>National to absorb startup cost.  $12K for K. Knox as interim director for Nashville recruitment and development. Cost of these expenses to show on the Chapter's budget, but funded from National's reserves.</t>
  </si>
  <si>
    <t>Average Costs</t>
  </si>
  <si>
    <t>Room - Materials</t>
  </si>
  <si>
    <t>Room - In-Kind Goods</t>
  </si>
  <si>
    <t>Room - In-Kind Services</t>
  </si>
  <si>
    <t>Direct room - Total</t>
  </si>
  <si>
    <t>National Expense</t>
  </si>
  <si>
    <t>Room Total</t>
  </si>
  <si>
    <t>WI/DBQ</t>
  </si>
  <si>
    <t>2021 Budget Draft</t>
  </si>
  <si>
    <t>2021 Consolidated Budget (Draft)</t>
  </si>
  <si>
    <t>2020 ACTUAL/ESTIMATE</t>
  </si>
  <si>
    <t xml:space="preserve"> ACT/EST</t>
  </si>
  <si>
    <t xml:space="preserve"> Act/Est</t>
  </si>
  <si>
    <t>2021 Budget Draft-THE REST</t>
  </si>
  <si>
    <t>2021 Budget Draft-Florida</t>
  </si>
  <si>
    <t>2021 Budget Draft-Tennessee</t>
  </si>
  <si>
    <t>2021 Budget Draft-Minn</t>
  </si>
  <si>
    <t xml:space="preserve">Buffalo </t>
  </si>
  <si>
    <t>2021 Budget Draft-Buffalo</t>
  </si>
  <si>
    <t>2021 Budget Draft-Ohio</t>
  </si>
  <si>
    <t>2021 Budget Draft-Indianapolis</t>
  </si>
  <si>
    <t>2021 Budget Draft-Illinois</t>
  </si>
  <si>
    <t>2021 Budget Draft-Wisconsin</t>
  </si>
  <si>
    <t>2021 Budget Draft-National Office</t>
  </si>
  <si>
    <t>Chapter Apparel</t>
  </si>
  <si>
    <t>back out covid numbers</t>
  </si>
  <si>
    <t>landline number move to michelle's cell phone at $25/month</t>
  </si>
  <si>
    <t>mlilyusa</t>
  </si>
  <si>
    <t>covid supplies</t>
  </si>
  <si>
    <t>National to absorb startup cost.  $24K for Buffalo director (contract); and $10K in room support for the new Indianpolis chapter. Cost of these expenses to show on the Chapter's budget, but funded from National's reserves.</t>
  </si>
  <si>
    <t>NOTE 1:  Buffalo/Indianapolis</t>
  </si>
  <si>
    <t xml:space="preserve">$50K foglia on balance sheet </t>
  </si>
  <si>
    <t>EXPENSES</t>
  </si>
  <si>
    <t>OK</t>
  </si>
  <si>
    <t>MI</t>
  </si>
  <si>
    <t>Contracted Employees (1099)</t>
  </si>
  <si>
    <t>belle media $12K; web $2,400;</t>
  </si>
  <si>
    <t>cs acctg $10800</t>
  </si>
  <si>
    <t>$38,249 PPP bank loan 2020;</t>
  </si>
  <si>
    <t>$24K buffalo; cs acctg $5,400; $6K grant writer;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</si>
</sst>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</numFmts>
  <fonts count="2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44" fontId="2" fillId="0" borderId="1" xfId="1" applyFont="1" applyBorder="1" applyAlignment="1">
      <alignment horizontal="center" wrapText="1"/>
    </xf>
    <xf numFmtId="44" fontId="4" fillId="0" borderId="0" xfId="1" applyFont="1" applyAlignment="1">
      <alignment horizontal="left" wrapText="1"/>
    </xf>
    <xf numFmtId="44" fontId="0" fillId="0" borderId="0" xfId="1" applyFont="1"/>
    <xf numFmtId="44" fontId="4" fillId="0" borderId="0" xfId="1" applyFont="1" applyAlignment="1">
      <alignment horizontal="right" wrapText="1"/>
    </xf>
    <xf numFmtId="4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4" fontId="0" fillId="0" borderId="0" xfId="0" applyNumberFormat="1"/>
    <xf numFmtId="3" fontId="0" fillId="0" borderId="0" xfId="1" applyNumberFormat="1" applyFont="1"/>
    <xf numFmtId="0" fontId="7" fillId="0" borderId="0" xfId="0" applyFont="1"/>
    <xf numFmtId="0" fontId="10" fillId="0" borderId="3" xfId="0" applyFont="1" applyBorder="1"/>
    <xf numFmtId="0" fontId="7" fillId="0" borderId="3" xfId="0" applyFont="1" applyBorder="1"/>
    <xf numFmtId="0" fontId="9" fillId="0" borderId="0" xfId="0" applyFont="1" applyAlignment="1">
      <alignment horizontal="left"/>
    </xf>
    <xf numFmtId="44" fontId="8" fillId="0" borderId="0" xfId="1" applyFont="1" applyAlignment="1">
      <alignment horizontal="center"/>
    </xf>
    <xf numFmtId="165" fontId="0" fillId="0" borderId="0" xfId="1" applyNumberFormat="1" applyFont="1"/>
    <xf numFmtId="0" fontId="8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165" fontId="0" fillId="0" borderId="3" xfId="1" applyNumberFormat="1" applyFont="1" applyBorder="1"/>
    <xf numFmtId="0" fontId="5" fillId="0" borderId="0" xfId="0" applyFont="1"/>
    <xf numFmtId="165" fontId="0" fillId="0" borderId="0" xfId="0" applyNumberFormat="1"/>
    <xf numFmtId="43" fontId="0" fillId="0" borderId="0" xfId="0" applyNumberFormat="1"/>
    <xf numFmtId="165" fontId="0" fillId="0" borderId="3" xfId="0" applyNumberFormat="1" applyBorder="1"/>
    <xf numFmtId="165" fontId="0" fillId="0" borderId="7" xfId="0" applyNumberFormat="1" applyBorder="1"/>
    <xf numFmtId="166" fontId="0" fillId="0" borderId="7" xfId="2" applyNumberFormat="1" applyFont="1" applyBorder="1"/>
    <xf numFmtId="166" fontId="0" fillId="0" borderId="0" xfId="2" applyNumberFormat="1" applyFont="1"/>
    <xf numFmtId="0" fontId="6" fillId="0" borderId="3" xfId="0" applyFont="1" applyBorder="1" applyAlignment="1">
      <alignment horizontal="center"/>
    </xf>
    <xf numFmtId="41" fontId="0" fillId="0" borderId="0" xfId="1" applyNumberFormat="1" applyFont="1"/>
    <xf numFmtId="41" fontId="0" fillId="0" borderId="3" xfId="1" applyNumberFormat="1" applyFont="1" applyBorder="1"/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 wrapText="1"/>
    </xf>
    <xf numFmtId="44" fontId="12" fillId="0" borderId="0" xfId="1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0" fillId="0" borderId="8" xfId="0" pivotButton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2" xfId="0" applyBorder="1"/>
    <xf numFmtId="0" fontId="0" fillId="0" borderId="11" xfId="0" applyBorder="1"/>
    <xf numFmtId="44" fontId="0" fillId="0" borderId="8" xfId="0" applyNumberFormat="1" applyBorder="1"/>
    <xf numFmtId="44" fontId="0" fillId="0" borderId="2" xfId="0" applyNumberFormat="1" applyBorder="1"/>
    <xf numFmtId="44" fontId="0" fillId="0" borderId="11" xfId="0" applyNumberFormat="1" applyBorder="1"/>
    <xf numFmtId="0" fontId="0" fillId="0" borderId="12" xfId="0" applyBorder="1"/>
    <xf numFmtId="44" fontId="0" fillId="0" borderId="12" xfId="0" applyNumberFormat="1" applyBorder="1"/>
    <xf numFmtId="44" fontId="0" fillId="0" borderId="13" xfId="0" applyNumberFormat="1" applyBorder="1"/>
    <xf numFmtId="0" fontId="0" fillId="0" borderId="14" xfId="0" applyBorder="1"/>
    <xf numFmtId="44" fontId="0" fillId="0" borderId="14" xfId="0" applyNumberFormat="1" applyBorder="1"/>
    <xf numFmtId="44" fontId="0" fillId="0" borderId="15" xfId="0" applyNumberFormat="1" applyBorder="1"/>
    <xf numFmtId="44" fontId="0" fillId="0" borderId="16" xfId="0" applyNumberFormat="1" applyBorder="1"/>
    <xf numFmtId="0" fontId="1" fillId="0" borderId="0" xfId="3"/>
    <xf numFmtId="4" fontId="4" fillId="0" borderId="0" xfId="3" applyNumberFormat="1" applyFont="1" applyAlignment="1">
      <alignment wrapText="1"/>
    </xf>
    <xf numFmtId="0" fontId="3" fillId="0" borderId="0" xfId="3" applyFont="1" applyAlignment="1">
      <alignment horizontal="left" wrapText="1"/>
    </xf>
    <xf numFmtId="164" fontId="3" fillId="0" borderId="2" xfId="3" applyNumberFormat="1" applyFont="1" applyBorder="1" applyAlignment="1">
      <alignment horizontal="right" wrapText="1"/>
    </xf>
    <xf numFmtId="4" fontId="4" fillId="0" borderId="0" xfId="3" applyNumberFormat="1" applyFont="1" applyAlignment="1">
      <alignment horizontal="right" wrapText="1"/>
    </xf>
    <xf numFmtId="0" fontId="2" fillId="0" borderId="1" xfId="3" applyFont="1" applyBorder="1" applyAlignment="1">
      <alignment horizontal="center" wrapText="1"/>
    </xf>
    <xf numFmtId="0" fontId="1" fillId="0" borderId="0" xfId="3" applyAlignment="1">
      <alignment wrapText="1"/>
    </xf>
    <xf numFmtId="0" fontId="3" fillId="0" borderId="0" xfId="0" applyFont="1" applyAlignment="1">
      <alignment horizontal="left"/>
    </xf>
    <xf numFmtId="0" fontId="3" fillId="0" borderId="0" xfId="3" applyFont="1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166" fontId="0" fillId="0" borderId="0" xfId="0" applyNumberFormat="1"/>
    <xf numFmtId="0" fontId="7" fillId="0" borderId="3" xfId="0" applyFont="1" applyBorder="1" applyAlignment="1">
      <alignment horizontal="center" wrapText="1"/>
    </xf>
    <xf numFmtId="44" fontId="7" fillId="0" borderId="3" xfId="1" applyFont="1" applyBorder="1" applyAlignment="1">
      <alignment horizontal="center" wrapText="1"/>
    </xf>
    <xf numFmtId="44" fontId="0" fillId="0" borderId="0" xfId="2" applyFont="1"/>
    <xf numFmtId="0" fontId="14" fillId="0" borderId="0" xfId="0" applyFont="1" applyAlignment="1">
      <alignment horizontal="left" wrapText="1"/>
    </xf>
    <xf numFmtId="44" fontId="12" fillId="0" borderId="0" xfId="0" applyNumberFormat="1" applyFont="1" applyAlignment="1">
      <alignment horizontal="right" wrapText="1"/>
    </xf>
    <xf numFmtId="44" fontId="12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3" fontId="1" fillId="0" borderId="0" xfId="0" applyNumberFormat="1" applyFont="1"/>
    <xf numFmtId="165" fontId="1" fillId="0" borderId="0" xfId="1" applyNumberFormat="1" applyAlignment="1">
      <alignment horizontal="right" wrapText="1"/>
    </xf>
    <xf numFmtId="4" fontId="6" fillId="0" borderId="0" xfId="0" applyNumberFormat="1" applyFont="1" applyAlignment="1">
      <alignment horizontal="left" wrapText="1"/>
    </xf>
    <xf numFmtId="165" fontId="6" fillId="0" borderId="0" xfId="1" applyNumberFormat="1" applyFont="1" applyAlignment="1">
      <alignment horizontal="right" wrapText="1"/>
    </xf>
    <xf numFmtId="0" fontId="6" fillId="2" borderId="25" xfId="0" applyFont="1" applyFill="1" applyBorder="1" applyAlignment="1">
      <alignment horizontal="center" wrapText="1"/>
    </xf>
    <xf numFmtId="165" fontId="1" fillId="0" borderId="21" xfId="1" applyNumberFormat="1" applyBorder="1" applyAlignment="1">
      <alignment horizontal="right" wrapText="1"/>
    </xf>
    <xf numFmtId="165" fontId="1" fillId="0" borderId="20" xfId="1" applyNumberFormat="1" applyBorder="1" applyAlignment="1">
      <alignment horizontal="right" wrapText="1"/>
    </xf>
    <xf numFmtId="165" fontId="6" fillId="0" borderId="21" xfId="1" applyNumberFormat="1" applyFont="1" applyBorder="1" applyAlignment="1">
      <alignment horizontal="right" wrapText="1"/>
    </xf>
    <xf numFmtId="165" fontId="6" fillId="0" borderId="20" xfId="1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wrapText="1"/>
    </xf>
    <xf numFmtId="165" fontId="1" fillId="0" borderId="30" xfId="1" applyNumberFormat="1" applyBorder="1" applyAlignment="1">
      <alignment horizontal="right" wrapText="1"/>
    </xf>
    <xf numFmtId="165" fontId="6" fillId="0" borderId="30" xfId="1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wrapText="1"/>
    </xf>
    <xf numFmtId="4" fontId="6" fillId="0" borderId="28" xfId="0" applyNumberFormat="1" applyFont="1" applyBorder="1" applyAlignment="1">
      <alignment wrapText="1"/>
    </xf>
    <xf numFmtId="0" fontId="6" fillId="2" borderId="2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4" fontId="6" fillId="0" borderId="33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wrapText="1"/>
    </xf>
    <xf numFmtId="165" fontId="1" fillId="0" borderId="30" xfId="0" applyNumberFormat="1" applyFont="1" applyBorder="1"/>
    <xf numFmtId="0" fontId="1" fillId="0" borderId="18" xfId="0" applyFont="1" applyBorder="1" applyAlignment="1">
      <alignment horizontal="left" wrapText="1"/>
    </xf>
    <xf numFmtId="165" fontId="1" fillId="0" borderId="18" xfId="1" applyNumberFormat="1" applyBorder="1" applyAlignment="1">
      <alignment horizontal="right" wrapText="1"/>
    </xf>
    <xf numFmtId="4" fontId="6" fillId="0" borderId="20" xfId="0" applyNumberFormat="1" applyFont="1" applyBorder="1" applyAlignment="1">
      <alignment horizontal="center" vertical="center" wrapText="1"/>
    </xf>
    <xf numFmtId="37" fontId="6" fillId="3" borderId="21" xfId="1" applyNumberFormat="1" applyFont="1" applyFill="1" applyBorder="1" applyAlignment="1">
      <alignment horizontal="right" wrapText="1"/>
    </xf>
    <xf numFmtId="37" fontId="6" fillId="3" borderId="0" xfId="1" applyNumberFormat="1" applyFont="1" applyFill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165" fontId="6" fillId="3" borderId="20" xfId="1" applyNumberFormat="1" applyFont="1" applyFill="1" applyBorder="1" applyAlignment="1">
      <alignment horizontal="right" wrapText="1"/>
    </xf>
    <xf numFmtId="165" fontId="6" fillId="3" borderId="29" xfId="1" applyNumberFormat="1" applyFont="1" applyFill="1" applyBorder="1" applyAlignment="1">
      <alignment horizontal="right" wrapText="1"/>
    </xf>
    <xf numFmtId="165" fontId="6" fillId="3" borderId="30" xfId="1" applyNumberFormat="1" applyFont="1" applyFill="1" applyBorder="1" applyAlignment="1">
      <alignment horizontal="right" wrapText="1"/>
    </xf>
    <xf numFmtId="0" fontId="6" fillId="3" borderId="0" xfId="0" applyFont="1" applyFill="1"/>
    <xf numFmtId="0" fontId="6" fillId="3" borderId="0" xfId="0" applyFont="1" applyFill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0" borderId="21" xfId="0" applyNumberFormat="1" applyFont="1" applyBorder="1" applyAlignment="1">
      <alignment horizontal="center" wrapText="1"/>
    </xf>
    <xf numFmtId="9" fontId="1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18" xfId="0" applyNumberFormat="1" applyFont="1" applyBorder="1" applyAlignment="1">
      <alignment wrapText="1"/>
    </xf>
    <xf numFmtId="165" fontId="1" fillId="2" borderId="21" xfId="1" applyNumberFormat="1" applyFill="1" applyBorder="1" applyAlignment="1">
      <alignment horizontal="right" wrapText="1"/>
    </xf>
    <xf numFmtId="165" fontId="6" fillId="2" borderId="20" xfId="1" applyNumberFormat="1" applyFont="1" applyFill="1" applyBorder="1" applyAlignment="1">
      <alignment horizontal="right" wrapText="1"/>
    </xf>
    <xf numFmtId="165" fontId="6" fillId="0" borderId="17" xfId="1" applyNumberFormat="1" applyFont="1" applyBorder="1" applyAlignment="1">
      <alignment horizontal="right" wrapText="1"/>
    </xf>
    <xf numFmtId="165" fontId="1" fillId="0" borderId="19" xfId="1" applyNumberFormat="1" applyBorder="1" applyAlignment="1">
      <alignment horizontal="right" wrapText="1"/>
    </xf>
    <xf numFmtId="0" fontId="6" fillId="2" borderId="29" xfId="0" applyFont="1" applyFill="1" applyBorder="1" applyAlignment="1">
      <alignment horizontal="center" wrapText="1"/>
    </xf>
    <xf numFmtId="165" fontId="6" fillId="0" borderId="24" xfId="1" applyNumberFormat="1" applyFont="1" applyBorder="1" applyAlignment="1">
      <alignment horizontal="right" wrapText="1"/>
    </xf>
    <xf numFmtId="165" fontId="6" fillId="0" borderId="23" xfId="1" applyNumberFormat="1" applyFont="1" applyBorder="1" applyAlignment="1">
      <alignment horizontal="right" wrapText="1"/>
    </xf>
    <xf numFmtId="165" fontId="6" fillId="0" borderId="22" xfId="1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3" fontId="6" fillId="0" borderId="6" xfId="0" quotePrefix="1" applyNumberFormat="1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wrapText="1"/>
    </xf>
    <xf numFmtId="165" fontId="6" fillId="4" borderId="24" xfId="1" applyNumberFormat="1" applyFont="1" applyFill="1" applyBorder="1" applyAlignment="1">
      <alignment horizontal="center" wrapText="1"/>
    </xf>
    <xf numFmtId="165" fontId="1" fillId="4" borderId="23" xfId="1" applyNumberFormat="1" applyFill="1" applyBorder="1" applyAlignment="1">
      <alignment horizontal="right" wrapText="1"/>
    </xf>
    <xf numFmtId="0" fontId="6" fillId="0" borderId="24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165" fontId="1" fillId="0" borderId="0" xfId="1" applyNumberFormat="1" applyBorder="1" applyAlignment="1">
      <alignment horizontal="right" wrapText="1"/>
    </xf>
    <xf numFmtId="9" fontId="6" fillId="0" borderId="24" xfId="0" applyNumberFormat="1" applyFont="1" applyBorder="1" applyAlignment="1">
      <alignment horizontal="center" wrapText="1"/>
    </xf>
    <xf numFmtId="9" fontId="6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0" fontId="6" fillId="0" borderId="0" xfId="0" applyFont="1" applyBorder="1" applyAlignment="1">
      <alignment horizontal="left" wrapText="1"/>
    </xf>
    <xf numFmtId="37" fontId="6" fillId="0" borderId="0" xfId="1" applyNumberFormat="1" applyFont="1" applyBorder="1"/>
    <xf numFmtId="0" fontId="6" fillId="0" borderId="0" xfId="0" applyFont="1" applyBorder="1"/>
    <xf numFmtId="4" fontId="1" fillId="0" borderId="0" xfId="0" applyNumberFormat="1" applyFont="1" applyBorder="1" applyAlignment="1">
      <alignment horizontal="left" wrapText="1"/>
    </xf>
    <xf numFmtId="37" fontId="1" fillId="0" borderId="0" xfId="1" applyNumberFormat="1" applyBorder="1"/>
    <xf numFmtId="9" fontId="1" fillId="0" borderId="0" xfId="4" applyFont="1" applyBorder="1"/>
    <xf numFmtId="166" fontId="6" fillId="3" borderId="0" xfId="2" applyNumberFormat="1" applyFont="1" applyFill="1" applyBorder="1" applyAlignment="1">
      <alignment horizontal="right" wrapText="1"/>
    </xf>
    <xf numFmtId="165" fontId="19" fillId="0" borderId="20" xfId="1" applyNumberFormat="1" applyFont="1" applyBorder="1" applyAlignment="1">
      <alignment horizontal="right" wrapText="1"/>
    </xf>
    <xf numFmtId="165" fontId="19" fillId="0" borderId="21" xfId="1" applyNumberFormat="1" applyFont="1" applyBorder="1" applyAlignment="1">
      <alignment horizontal="right" wrapText="1"/>
    </xf>
    <xf numFmtId="165" fontId="19" fillId="0" borderId="0" xfId="1" applyNumberFormat="1" applyFont="1" applyAlignment="1">
      <alignment horizontal="right" wrapText="1"/>
    </xf>
    <xf numFmtId="165" fontId="6" fillId="0" borderId="0" xfId="1" applyNumberFormat="1" applyFont="1" applyBorder="1" applyAlignment="1">
      <alignment horizontal="right" wrapText="1"/>
    </xf>
    <xf numFmtId="165" fontId="19" fillId="0" borderId="30" xfId="1" applyNumberFormat="1" applyFont="1" applyBorder="1" applyAlignment="1">
      <alignment horizontal="right" wrapText="1"/>
    </xf>
    <xf numFmtId="9" fontId="6" fillId="0" borderId="0" xfId="4" applyFont="1" applyBorder="1"/>
    <xf numFmtId="37" fontId="1" fillId="0" borderId="0" xfId="2" applyNumberFormat="1" applyFont="1" applyBorder="1" applyAlignment="1">
      <alignment horizontal="right" wrapText="1"/>
    </xf>
    <xf numFmtId="166" fontId="1" fillId="0" borderId="0" xfId="2" applyNumberFormat="1" applyFont="1" applyBorder="1" applyAlignment="1">
      <alignment horizontal="right" wrapText="1"/>
    </xf>
    <xf numFmtId="4" fontId="1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right" wrapText="1"/>
    </xf>
    <xf numFmtId="3" fontId="6" fillId="4" borderId="6" xfId="0" applyNumberFormat="1" applyFont="1" applyFill="1" applyBorder="1" applyAlignment="1">
      <alignment horizontal="center"/>
    </xf>
    <xf numFmtId="165" fontId="1" fillId="0" borderId="21" xfId="1" applyNumberFormat="1" applyFill="1" applyBorder="1" applyAlignment="1">
      <alignment horizontal="right" wrapText="1"/>
    </xf>
    <xf numFmtId="0" fontId="6" fillId="0" borderId="0" xfId="0" applyFont="1" applyFill="1"/>
    <xf numFmtId="0" fontId="1" fillId="0" borderId="0" xfId="0" applyFont="1" applyFill="1"/>
    <xf numFmtId="0" fontId="6" fillId="5" borderId="0" xfId="0" applyFont="1" applyFill="1" applyAlignment="1">
      <alignment horizontal="left" wrapText="1"/>
    </xf>
    <xf numFmtId="4" fontId="6" fillId="5" borderId="0" xfId="0" applyNumberFormat="1" applyFont="1" applyFill="1" applyAlignment="1">
      <alignment horizontal="left" wrapText="1"/>
    </xf>
    <xf numFmtId="165" fontId="6" fillId="5" borderId="20" xfId="1" applyNumberFormat="1" applyFont="1" applyFill="1" applyBorder="1" applyAlignment="1">
      <alignment horizontal="right" wrapText="1"/>
    </xf>
    <xf numFmtId="165" fontId="6" fillId="5" borderId="21" xfId="1" applyNumberFormat="1" applyFont="1" applyFill="1" applyBorder="1" applyAlignment="1">
      <alignment horizontal="right" wrapText="1"/>
    </xf>
    <xf numFmtId="4" fontId="1" fillId="5" borderId="0" xfId="0" applyNumberFormat="1" applyFont="1" applyFill="1" applyAlignment="1">
      <alignment wrapText="1"/>
    </xf>
    <xf numFmtId="4" fontId="1" fillId="5" borderId="19" xfId="0" applyNumberFormat="1" applyFont="1" applyFill="1" applyBorder="1" applyAlignment="1">
      <alignment wrapText="1"/>
    </xf>
    <xf numFmtId="4" fontId="1" fillId="5" borderId="18" xfId="0" applyNumberFormat="1" applyFont="1" applyFill="1" applyBorder="1" applyAlignment="1">
      <alignment wrapText="1"/>
    </xf>
    <xf numFmtId="166" fontId="6" fillId="5" borderId="21" xfId="2" applyNumberFormat="1" applyFont="1" applyFill="1" applyBorder="1" applyAlignment="1">
      <alignment horizontal="right" wrapText="1"/>
    </xf>
    <xf numFmtId="4" fontId="1" fillId="5" borderId="17" xfId="0" applyNumberFormat="1" applyFont="1" applyFill="1" applyBorder="1" applyAlignment="1">
      <alignment wrapText="1"/>
    </xf>
    <xf numFmtId="165" fontId="1" fillId="0" borderId="0" xfId="1" applyNumberFormat="1" applyFill="1" applyBorder="1" applyAlignment="1">
      <alignment horizontal="right" wrapText="1"/>
    </xf>
    <xf numFmtId="165" fontId="6" fillId="0" borderId="0" xfId="1" applyNumberFormat="1" applyFont="1" applyFill="1" applyBorder="1" applyAlignment="1">
      <alignment horizontal="right" wrapText="1"/>
    </xf>
    <xf numFmtId="165" fontId="6" fillId="0" borderId="34" xfId="1" applyNumberFormat="1" applyFont="1" applyBorder="1" applyAlignment="1">
      <alignment horizontal="right" wrapText="1"/>
    </xf>
    <xf numFmtId="9" fontId="6" fillId="0" borderId="23" xfId="1" applyNumberFormat="1" applyFont="1" applyBorder="1" applyAlignment="1">
      <alignment horizontal="center" wrapText="1"/>
    </xf>
    <xf numFmtId="9" fontId="6" fillId="0" borderId="0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4" fontId="1" fillId="0" borderId="18" xfId="0" applyNumberFormat="1" applyFont="1" applyFill="1" applyBorder="1" applyAlignment="1">
      <alignment wrapText="1"/>
    </xf>
    <xf numFmtId="9" fontId="6" fillId="0" borderId="23" xfId="0" applyNumberFormat="1" applyFont="1" applyFill="1" applyBorder="1" applyAlignment="1">
      <alignment horizontal="center"/>
    </xf>
    <xf numFmtId="0" fontId="1" fillId="0" borderId="0" xfId="0" applyFont="1" applyFill="1" applyBorder="1"/>
    <xf numFmtId="37" fontId="6" fillId="0" borderId="0" xfId="1" applyNumberFormat="1" applyFont="1" applyFill="1" applyBorder="1"/>
    <xf numFmtId="37" fontId="1" fillId="0" borderId="0" xfId="1" applyNumberFormat="1" applyFill="1" applyBorder="1"/>
    <xf numFmtId="9" fontId="1" fillId="0" borderId="0" xfId="4" applyFont="1" applyFill="1" applyBorder="1"/>
    <xf numFmtId="0" fontId="6" fillId="2" borderId="2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wrapText="1"/>
    </xf>
    <xf numFmtId="4" fontId="6" fillId="5" borderId="0" xfId="0" applyNumberFormat="1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41" fontId="6" fillId="0" borderId="0" xfId="1" applyNumberFormat="1" applyFont="1" applyBorder="1" applyAlignment="1">
      <alignment horizontal="right" wrapText="1"/>
    </xf>
    <xf numFmtId="41" fontId="21" fillId="0" borderId="0" xfId="0" applyNumberFormat="1" applyFont="1" applyBorder="1" applyAlignment="1">
      <alignment horizontal="left" wrapText="1"/>
    </xf>
    <xf numFmtId="41" fontId="20" fillId="0" borderId="0" xfId="0" applyNumberFormat="1" applyFont="1" applyBorder="1" applyAlignment="1">
      <alignment horizontal="left" wrapText="1"/>
    </xf>
    <xf numFmtId="41" fontId="21" fillId="0" borderId="0" xfId="0" applyNumberFormat="1" applyFont="1" applyBorder="1"/>
    <xf numFmtId="41" fontId="21" fillId="0" borderId="0" xfId="0" applyNumberFormat="1" applyFont="1" applyBorder="1" applyAlignment="1">
      <alignment horizontal="right" wrapText="1"/>
    </xf>
    <xf numFmtId="41" fontId="2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41" fontId="6" fillId="0" borderId="0" xfId="1" applyNumberFormat="1" applyFont="1" applyBorder="1"/>
    <xf numFmtId="37" fontId="20" fillId="0" borderId="0" xfId="1" applyNumberFormat="1" applyFont="1" applyBorder="1"/>
    <xf numFmtId="37" fontId="21" fillId="0" borderId="0" xfId="1" applyNumberFormat="1" applyFont="1" applyBorder="1"/>
    <xf numFmtId="41" fontId="21" fillId="0" borderId="0" xfId="1" applyNumberFormat="1" applyFont="1" applyBorder="1"/>
    <xf numFmtId="41" fontId="20" fillId="0" borderId="21" xfId="0" applyNumberFormat="1" applyFont="1" applyBorder="1" applyAlignment="1">
      <alignment horizontal="right" wrapText="1"/>
    </xf>
    <xf numFmtId="41" fontId="20" fillId="0" borderId="21" xfId="1" applyNumberFormat="1" applyFont="1" applyBorder="1" applyAlignment="1">
      <alignment horizontal="right" wrapText="1"/>
    </xf>
    <xf numFmtId="41" fontId="21" fillId="0" borderId="21" xfId="0" applyNumberFormat="1" applyFont="1" applyBorder="1" applyAlignment="1">
      <alignment horizontal="right" wrapText="1"/>
    </xf>
    <xf numFmtId="165" fontId="20" fillId="0" borderId="21" xfId="1" applyNumberFormat="1" applyFont="1" applyBorder="1" applyAlignment="1">
      <alignment horizontal="right" wrapText="1"/>
    </xf>
    <xf numFmtId="41" fontId="20" fillId="5" borderId="21" xfId="1" applyNumberFormat="1" applyFont="1" applyFill="1" applyBorder="1" applyAlignment="1">
      <alignment horizontal="right" wrapText="1"/>
    </xf>
    <xf numFmtId="41" fontId="21" fillId="0" borderId="21" xfId="0" applyNumberFormat="1" applyFont="1" applyFill="1" applyBorder="1" applyAlignment="1">
      <alignment horizontal="right" wrapText="1"/>
    </xf>
    <xf numFmtId="165" fontId="1" fillId="2" borderId="20" xfId="1" applyNumberFormat="1" applyFill="1" applyBorder="1" applyAlignment="1">
      <alignment horizontal="right" wrapText="1"/>
    </xf>
    <xf numFmtId="165" fontId="1" fillId="0" borderId="20" xfId="1" applyNumberFormat="1" applyFill="1" applyBorder="1" applyAlignment="1">
      <alignment horizontal="right" wrapText="1"/>
    </xf>
    <xf numFmtId="41" fontId="21" fillId="0" borderId="19" xfId="0" applyNumberFormat="1" applyFont="1" applyBorder="1" applyAlignment="1">
      <alignment horizontal="right" wrapText="1"/>
    </xf>
    <xf numFmtId="165" fontId="1" fillId="0" borderId="17" xfId="1" applyNumberFormat="1" applyBorder="1" applyAlignment="1">
      <alignment horizontal="right" wrapText="1"/>
    </xf>
    <xf numFmtId="37" fontId="6" fillId="5" borderId="24" xfId="1" applyNumberFormat="1" applyFont="1" applyFill="1" applyBorder="1" applyAlignment="1">
      <alignment horizontal="right" wrapText="1"/>
    </xf>
    <xf numFmtId="37" fontId="6" fillId="5" borderId="22" xfId="1" applyNumberFormat="1" applyFont="1" applyFill="1" applyBorder="1" applyAlignment="1">
      <alignment horizontal="right" wrapText="1"/>
    </xf>
    <xf numFmtId="41" fontId="21" fillId="5" borderId="19" xfId="0" applyNumberFormat="1" applyFont="1" applyFill="1" applyBorder="1" applyAlignment="1">
      <alignment horizontal="right" wrapText="1"/>
    </xf>
    <xf numFmtId="41" fontId="20" fillId="0" borderId="4" xfId="0" applyNumberFormat="1" applyFont="1" applyBorder="1" applyAlignment="1">
      <alignment wrapText="1"/>
    </xf>
    <xf numFmtId="9" fontId="6" fillId="0" borderId="4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37" fontId="21" fillId="0" borderId="20" xfId="1" applyNumberFormat="1" applyFont="1" applyBorder="1"/>
    <xf numFmtId="41" fontId="20" fillId="0" borderId="19" xfId="0" applyNumberFormat="1" applyFont="1" applyBorder="1" applyAlignment="1">
      <alignment horizontal="right" wrapText="1"/>
    </xf>
    <xf numFmtId="4" fontId="20" fillId="0" borderId="21" xfId="0" applyNumberFormat="1" applyFont="1" applyBorder="1" applyAlignment="1">
      <alignment horizontal="center" wrapText="1"/>
    </xf>
    <xf numFmtId="41" fontId="21" fillId="0" borderId="21" xfId="1" applyNumberFormat="1" applyFont="1" applyBorder="1"/>
    <xf numFmtId="37" fontId="6" fillId="0" borderId="0" xfId="1" applyNumberFormat="1" applyFont="1" applyFill="1" applyBorder="1" applyAlignment="1">
      <alignment horizontal="right" wrapText="1"/>
    </xf>
    <xf numFmtId="166" fontId="6" fillId="0" borderId="0" xfId="2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9" fontId="6" fillId="0" borderId="35" xfId="0" applyNumberFormat="1" applyFont="1" applyBorder="1" applyAlignment="1">
      <alignment horizontal="center"/>
    </xf>
    <xf numFmtId="165" fontId="6" fillId="5" borderId="22" xfId="1" applyNumberFormat="1" applyFont="1" applyFill="1" applyBorder="1" applyAlignment="1">
      <alignment horizontal="right" wrapText="1"/>
    </xf>
    <xf numFmtId="165" fontId="6" fillId="5" borderId="17" xfId="1" applyNumberFormat="1" applyFont="1" applyFill="1" applyBorder="1" applyAlignment="1">
      <alignment horizontal="right" wrapText="1"/>
    </xf>
    <xf numFmtId="165" fontId="6" fillId="5" borderId="24" xfId="1" applyNumberFormat="1" applyFont="1" applyFill="1" applyBorder="1" applyAlignment="1">
      <alignment horizontal="right" wrapText="1"/>
    </xf>
    <xf numFmtId="165" fontId="6" fillId="0" borderId="31" xfId="1" applyNumberFormat="1" applyFont="1" applyBorder="1" applyAlignment="1">
      <alignment wrapText="1"/>
    </xf>
    <xf numFmtId="165" fontId="6" fillId="0" borderId="17" xfId="1" applyNumberFormat="1" applyFont="1" applyBorder="1" applyAlignment="1">
      <alignment wrapText="1"/>
    </xf>
    <xf numFmtId="41" fontId="23" fillId="0" borderId="21" xfId="0" applyNumberFormat="1" applyFont="1" applyBorder="1" applyAlignment="1">
      <alignment horizontal="right" wrapText="1"/>
    </xf>
    <xf numFmtId="166" fontId="19" fillId="3" borderId="0" xfId="2" applyNumberFormat="1" applyFont="1" applyFill="1" applyBorder="1" applyAlignment="1">
      <alignment horizontal="right" wrapText="1"/>
    </xf>
    <xf numFmtId="0" fontId="6" fillId="0" borderId="0" xfId="0" applyFont="1" applyFill="1" applyBorder="1"/>
    <xf numFmtId="43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41" fontId="1" fillId="0" borderId="0" xfId="1" applyNumberFormat="1" applyBorder="1" applyAlignment="1">
      <alignment horizontal="right" wrapText="1"/>
    </xf>
    <xf numFmtId="41" fontId="1" fillId="0" borderId="0" xfId="1" applyNumberFormat="1" applyFill="1" applyBorder="1" applyAlignment="1">
      <alignment horizontal="right" wrapText="1"/>
    </xf>
    <xf numFmtId="41" fontId="6" fillId="0" borderId="0" xfId="1" applyNumberFormat="1" applyFont="1" applyFill="1" applyBorder="1" applyAlignment="1">
      <alignment horizontal="right" wrapText="1"/>
    </xf>
    <xf numFmtId="41" fontId="18" fillId="0" borderId="0" xfId="1" applyNumberFormat="1" applyFont="1" applyBorder="1" applyAlignment="1">
      <alignment horizontal="right" wrapText="1"/>
    </xf>
    <xf numFmtId="41" fontId="18" fillId="0" borderId="0" xfId="1" applyNumberFormat="1" applyFont="1" applyFill="1" applyBorder="1" applyAlignment="1">
      <alignment horizontal="right" wrapText="1"/>
    </xf>
    <xf numFmtId="41" fontId="6" fillId="0" borderId="0" xfId="2" applyNumberFormat="1" applyFont="1" applyFill="1" applyBorder="1" applyAlignment="1">
      <alignment horizontal="right" wrapText="1"/>
    </xf>
    <xf numFmtId="41" fontId="1" fillId="0" borderId="18" xfId="0" applyNumberFormat="1" applyFont="1" applyFill="1" applyBorder="1" applyAlignment="1">
      <alignment wrapText="1"/>
    </xf>
    <xf numFmtId="41" fontId="6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41" fontId="1" fillId="0" borderId="0" xfId="1" applyNumberFormat="1" applyBorder="1"/>
    <xf numFmtId="41" fontId="1" fillId="0" borderId="0" xfId="4" applyNumberFormat="1" applyFont="1" applyBorder="1"/>
    <xf numFmtId="41" fontId="6" fillId="0" borderId="0" xfId="0" applyNumberFormat="1" applyFont="1" applyBorder="1"/>
    <xf numFmtId="41" fontId="1" fillId="0" borderId="0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1" fontId="1" fillId="0" borderId="18" xfId="1" applyNumberFormat="1" applyBorder="1" applyAlignment="1">
      <alignment horizontal="right" wrapText="1"/>
    </xf>
    <xf numFmtId="41" fontId="6" fillId="0" borderId="17" xfId="1" applyNumberFormat="1" applyFont="1" applyBorder="1" applyAlignment="1">
      <alignment horizontal="right" wrapText="1"/>
    </xf>
    <xf numFmtId="41" fontId="6" fillId="0" borderId="20" xfId="1" applyNumberFormat="1" applyFont="1" applyBorder="1" applyAlignment="1">
      <alignment horizontal="right" wrapText="1"/>
    </xf>
    <xf numFmtId="41" fontId="21" fillId="0" borderId="21" xfId="1" applyNumberFormat="1" applyFont="1" applyBorder="1" applyAlignment="1">
      <alignment horizontal="right" wrapText="1"/>
    </xf>
    <xf numFmtId="41" fontId="1" fillId="0" borderId="20" xfId="1" applyNumberFormat="1" applyBorder="1" applyAlignment="1">
      <alignment horizontal="right" wrapText="1"/>
    </xf>
    <xf numFmtId="41" fontId="24" fillId="0" borderId="21" xfId="1" applyNumberFormat="1" applyFont="1" applyBorder="1" applyAlignment="1">
      <alignment horizontal="right" wrapText="1"/>
    </xf>
    <xf numFmtId="41" fontId="18" fillId="0" borderId="20" xfId="1" applyNumberFormat="1" applyFont="1" applyBorder="1" applyAlignment="1">
      <alignment horizontal="right" wrapText="1"/>
    </xf>
    <xf numFmtId="41" fontId="6" fillId="5" borderId="20" xfId="1" applyNumberFormat="1" applyFont="1" applyFill="1" applyBorder="1" applyAlignment="1">
      <alignment horizontal="right" wrapText="1"/>
    </xf>
    <xf numFmtId="41" fontId="1" fillId="2" borderId="20" xfId="1" applyNumberFormat="1" applyFill="1" applyBorder="1" applyAlignment="1">
      <alignment horizontal="right" wrapText="1"/>
    </xf>
    <xf numFmtId="41" fontId="21" fillId="0" borderId="19" xfId="1" applyNumberFormat="1" applyFont="1" applyBorder="1" applyAlignment="1">
      <alignment horizontal="right" wrapText="1"/>
    </xf>
    <xf numFmtId="41" fontId="1" fillId="0" borderId="17" xfId="1" applyNumberFormat="1" applyBorder="1" applyAlignment="1">
      <alignment horizontal="right" wrapText="1"/>
    </xf>
    <xf numFmtId="41" fontId="6" fillId="0" borderId="22" xfId="1" applyNumberFormat="1" applyFont="1" applyFill="1" applyBorder="1" applyAlignment="1">
      <alignment horizontal="right" wrapText="1"/>
    </xf>
    <xf numFmtId="41" fontId="20" fillId="0" borderId="24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9" fontId="20" fillId="0" borderId="19" xfId="0" applyNumberFormat="1" applyFont="1" applyFill="1" applyBorder="1" applyAlignment="1">
      <alignment horizontal="center"/>
    </xf>
    <xf numFmtId="9" fontId="6" fillId="0" borderId="17" xfId="0" applyNumberFormat="1" applyFont="1" applyFill="1" applyBorder="1" applyAlignment="1">
      <alignment horizontal="center"/>
    </xf>
    <xf numFmtId="41" fontId="21" fillId="0" borderId="21" xfId="0" applyNumberFormat="1" applyFont="1" applyBorder="1" applyAlignment="1">
      <alignment horizontal="left" wrapText="1"/>
    </xf>
    <xf numFmtId="41" fontId="20" fillId="0" borderId="19" xfId="0" applyNumberFormat="1" applyFont="1" applyBorder="1" applyAlignment="1">
      <alignment horizontal="left" wrapText="1"/>
    </xf>
    <xf numFmtId="41" fontId="6" fillId="0" borderId="20" xfId="0" applyNumberFormat="1" applyFont="1" applyBorder="1" applyAlignment="1">
      <alignment horizontal="center" vertical="center" wrapText="1"/>
    </xf>
    <xf numFmtId="41" fontId="21" fillId="0" borderId="0" xfId="4" applyNumberFormat="1" applyFont="1" applyBorder="1"/>
    <xf numFmtId="41" fontId="6" fillId="0" borderId="21" xfId="1" applyNumberFormat="1" applyFont="1" applyBorder="1" applyAlignment="1">
      <alignment horizontal="right" wrapText="1"/>
    </xf>
    <xf numFmtId="41" fontId="1" fillId="0" borderId="21" xfId="0" applyNumberFormat="1" applyFont="1" applyBorder="1" applyAlignment="1">
      <alignment horizontal="left" wrapText="1"/>
    </xf>
    <xf numFmtId="41" fontId="6" fillId="0" borderId="21" xfId="0" applyNumberFormat="1" applyFont="1" applyBorder="1" applyAlignment="1">
      <alignment horizontal="left" wrapText="1"/>
    </xf>
    <xf numFmtId="41" fontId="19" fillId="0" borderId="21" xfId="0" applyNumberFormat="1" applyFont="1" applyBorder="1" applyAlignment="1">
      <alignment horizontal="left" wrapText="1"/>
    </xf>
    <xf numFmtId="41" fontId="6" fillId="5" borderId="21" xfId="1" applyNumberFormat="1" applyFont="1" applyFill="1" applyBorder="1" applyAlignment="1">
      <alignment horizontal="right" wrapText="1"/>
    </xf>
    <xf numFmtId="41" fontId="1" fillId="0" borderId="19" xfId="0" applyNumberFormat="1" applyFont="1" applyBorder="1" applyAlignment="1">
      <alignment horizontal="left" wrapText="1"/>
    </xf>
    <xf numFmtId="41" fontId="6" fillId="5" borderId="24" xfId="1" applyNumberFormat="1" applyFont="1" applyFill="1" applyBorder="1" applyAlignment="1">
      <alignment horizontal="right" wrapText="1"/>
    </xf>
    <xf numFmtId="41" fontId="6" fillId="5" borderId="22" xfId="1" applyNumberFormat="1" applyFont="1" applyFill="1" applyBorder="1" applyAlignment="1">
      <alignment horizontal="right" wrapText="1"/>
    </xf>
    <xf numFmtId="41" fontId="6" fillId="5" borderId="21" xfId="2" applyNumberFormat="1" applyFont="1" applyFill="1" applyBorder="1" applyAlignment="1">
      <alignment horizontal="right" wrapText="1"/>
    </xf>
    <xf numFmtId="41" fontId="6" fillId="5" borderId="20" xfId="2" applyNumberFormat="1" applyFont="1" applyFill="1" applyBorder="1" applyAlignment="1">
      <alignment horizontal="right" wrapText="1"/>
    </xf>
    <xf numFmtId="41" fontId="6" fillId="0" borderId="24" xfId="0" applyNumberFormat="1" applyFont="1" applyBorder="1" applyAlignment="1">
      <alignment horizontal="center" wrapText="1"/>
    </xf>
    <xf numFmtId="9" fontId="6" fillId="0" borderId="17" xfId="0" applyNumberFormat="1" applyFont="1" applyBorder="1" applyAlignment="1">
      <alignment horizontal="center"/>
    </xf>
    <xf numFmtId="41" fontId="1" fillId="5" borderId="21" xfId="0" applyNumberFormat="1" applyFont="1" applyFill="1" applyBorder="1" applyAlignment="1">
      <alignment wrapText="1"/>
    </xf>
    <xf numFmtId="41" fontId="1" fillId="5" borderId="20" xfId="0" applyNumberFormat="1" applyFont="1" applyFill="1" applyBorder="1" applyAlignment="1">
      <alignment wrapText="1"/>
    </xf>
    <xf numFmtId="9" fontId="6" fillId="0" borderId="19" xfId="0" applyNumberFormat="1" applyFont="1" applyBorder="1" applyAlignment="1">
      <alignment horizontal="center"/>
    </xf>
    <xf numFmtId="167" fontId="6" fillId="2" borderId="24" xfId="0" applyNumberFormat="1" applyFont="1" applyFill="1" applyBorder="1" applyAlignment="1">
      <alignment horizontal="center" wrapText="1"/>
    </xf>
    <xf numFmtId="167" fontId="6" fillId="2" borderId="22" xfId="0" applyNumberFormat="1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horizontal="center" wrapText="1"/>
    </xf>
    <xf numFmtId="41" fontId="19" fillId="5" borderId="21" xfId="1" applyNumberFormat="1" applyFont="1" applyFill="1" applyBorder="1" applyAlignment="1">
      <alignment horizontal="right" wrapText="1"/>
    </xf>
    <xf numFmtId="41" fontId="19" fillId="5" borderId="20" xfId="1" applyNumberFormat="1" applyFont="1" applyFill="1" applyBorder="1" applyAlignment="1">
      <alignment horizontal="right" wrapText="1"/>
    </xf>
    <xf numFmtId="41" fontId="19" fillId="0" borderId="0" xfId="1" applyNumberFormat="1" applyFont="1" applyFill="1" applyBorder="1" applyAlignment="1">
      <alignment horizontal="right" wrapText="1"/>
    </xf>
    <xf numFmtId="41" fontId="23" fillId="5" borderId="21" xfId="1" applyNumberFormat="1" applyFont="1" applyFill="1" applyBorder="1" applyAlignment="1">
      <alignment horizontal="right" wrapText="1"/>
    </xf>
    <xf numFmtId="41" fontId="1" fillId="0" borderId="20" xfId="1" applyNumberFormat="1" applyBorder="1"/>
    <xf numFmtId="41" fontId="1" fillId="0" borderId="20" xfId="1" applyNumberFormat="1" applyFill="1" applyBorder="1" applyAlignment="1">
      <alignment horizontal="right" wrapText="1"/>
    </xf>
    <xf numFmtId="41" fontId="6" fillId="0" borderId="20" xfId="1" applyNumberFormat="1" applyFont="1" applyFill="1" applyBorder="1" applyAlignment="1">
      <alignment horizontal="right" wrapText="1"/>
    </xf>
    <xf numFmtId="41" fontId="18" fillId="0" borderId="20" xfId="1" applyNumberFormat="1" applyFont="1" applyFill="1" applyBorder="1" applyAlignment="1">
      <alignment horizontal="right" wrapText="1"/>
    </xf>
    <xf numFmtId="41" fontId="6" fillId="0" borderId="20" xfId="0" applyNumberFormat="1" applyFont="1" applyFill="1" applyBorder="1" applyAlignment="1">
      <alignment horizontal="center" vertical="center" wrapText="1"/>
    </xf>
    <xf numFmtId="9" fontId="6" fillId="0" borderId="17" xfId="1" applyNumberFormat="1" applyFont="1" applyBorder="1" applyAlignment="1">
      <alignment horizontal="right" wrapText="1"/>
    </xf>
    <xf numFmtId="41" fontId="6" fillId="0" borderId="22" xfId="1" applyNumberFormat="1" applyFont="1" applyBorder="1" applyAlignment="1">
      <alignment horizontal="right" wrapText="1"/>
    </xf>
    <xf numFmtId="41" fontId="21" fillId="0" borderId="21" xfId="1" applyNumberFormat="1" applyFont="1" applyFill="1" applyBorder="1" applyAlignment="1">
      <alignment horizontal="right" wrapText="1"/>
    </xf>
    <xf numFmtId="41" fontId="24" fillId="0" borderId="21" xfId="1" applyNumberFormat="1" applyFont="1" applyFill="1" applyBorder="1" applyAlignment="1">
      <alignment horizontal="right" wrapText="1"/>
    </xf>
    <xf numFmtId="41" fontId="21" fillId="0" borderId="0" xfId="0" applyNumberFormat="1" applyFont="1" applyFill="1" applyBorder="1"/>
    <xf numFmtId="41" fontId="21" fillId="0" borderId="0" xfId="1" applyNumberFormat="1" applyFont="1" applyFill="1" applyBorder="1"/>
    <xf numFmtId="41" fontId="21" fillId="0" borderId="0" xfId="4" applyNumberFormat="1" applyFont="1" applyFill="1" applyBorder="1"/>
    <xf numFmtId="41" fontId="20" fillId="0" borderId="21" xfId="1" applyNumberFormat="1" applyFont="1" applyFill="1" applyBorder="1" applyAlignment="1">
      <alignment horizontal="right" wrapText="1"/>
    </xf>
    <xf numFmtId="41" fontId="20" fillId="0" borderId="19" xfId="1" applyNumberFormat="1" applyFont="1" applyBorder="1"/>
    <xf numFmtId="4" fontId="19" fillId="5" borderId="0" xfId="0" applyNumberFormat="1" applyFont="1" applyFill="1" applyBorder="1" applyAlignment="1">
      <alignment horizontal="left" wrapText="1"/>
    </xf>
    <xf numFmtId="0" fontId="19" fillId="0" borderId="0" xfId="0" applyFont="1" applyFill="1" applyBorder="1"/>
    <xf numFmtId="41" fontId="6" fillId="0" borderId="20" xfId="1" applyNumberFormat="1" applyFont="1" applyBorder="1" applyAlignment="1">
      <alignment horizontal="center" wrapText="1"/>
    </xf>
    <xf numFmtId="165" fontId="6" fillId="2" borderId="0" xfId="1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left" wrapText="1"/>
    </xf>
    <xf numFmtId="41" fontId="6" fillId="0" borderId="0" xfId="0" applyNumberFormat="1" applyFont="1" applyBorder="1" applyAlignment="1">
      <alignment horizontal="left" wrapText="1"/>
    </xf>
    <xf numFmtId="41" fontId="6" fillId="5" borderId="0" xfId="1" applyNumberFormat="1" applyFont="1" applyFill="1" applyBorder="1" applyAlignment="1">
      <alignment horizontal="right" wrapText="1"/>
    </xf>
    <xf numFmtId="41" fontId="6" fillId="5" borderId="0" xfId="2" applyNumberFormat="1" applyFont="1" applyFill="1" applyBorder="1" applyAlignment="1">
      <alignment horizontal="right" wrapText="1"/>
    </xf>
    <xf numFmtId="41" fontId="1" fillId="5" borderId="18" xfId="0" applyNumberFormat="1" applyFont="1" applyFill="1" applyBorder="1" applyAlignment="1">
      <alignment wrapText="1"/>
    </xf>
    <xf numFmtId="41" fontId="6" fillId="0" borderId="19" xfId="0" applyNumberFormat="1" applyFont="1" applyBorder="1" applyAlignment="1">
      <alignment horizontal="left" wrapText="1"/>
    </xf>
    <xf numFmtId="41" fontId="1" fillId="5" borderId="19" xfId="0" applyNumberFormat="1" applyFont="1" applyFill="1" applyBorder="1" applyAlignment="1">
      <alignment wrapText="1"/>
    </xf>
    <xf numFmtId="41" fontId="1" fillId="5" borderId="17" xfId="0" applyNumberFormat="1" applyFont="1" applyFill="1" applyBorder="1" applyAlignment="1">
      <alignment wrapText="1"/>
    </xf>
    <xf numFmtId="4" fontId="6" fillId="0" borderId="22" xfId="0" applyNumberFormat="1" applyFont="1" applyBorder="1" applyAlignment="1">
      <alignment horizontal="center" vertical="center" wrapText="1"/>
    </xf>
    <xf numFmtId="41" fontId="1" fillId="0" borderId="21" xfId="1" applyNumberFormat="1" applyBorder="1"/>
    <xf numFmtId="41" fontId="6" fillId="0" borderId="19" xfId="1" applyNumberFormat="1" applyFont="1" applyBorder="1"/>
    <xf numFmtId="41" fontId="6" fillId="0" borderId="24" xfId="0" applyNumberFormat="1" applyFont="1" applyBorder="1" applyAlignment="1">
      <alignment horizontal="center"/>
    </xf>
    <xf numFmtId="41" fontId="1" fillId="0" borderId="21" xfId="1" applyNumberFormat="1" applyBorder="1" applyAlignment="1">
      <alignment horizontal="right" wrapText="1"/>
    </xf>
    <xf numFmtId="41" fontId="1" fillId="0" borderId="21" xfId="1" applyNumberFormat="1" applyFill="1" applyBorder="1" applyAlignment="1">
      <alignment horizontal="right" wrapText="1"/>
    </xf>
    <xf numFmtId="41" fontId="1" fillId="0" borderId="19" xfId="1" applyNumberFormat="1" applyBorder="1" applyAlignment="1">
      <alignment horizontal="right" wrapText="1"/>
    </xf>
    <xf numFmtId="41" fontId="6" fillId="0" borderId="24" xfId="1" applyNumberFormat="1" applyFont="1" applyFill="1" applyBorder="1" applyAlignment="1">
      <alignment horizontal="right" wrapText="1"/>
    </xf>
    <xf numFmtId="41" fontId="19" fillId="0" borderId="20" xfId="1" applyNumberFormat="1" applyFont="1" applyBorder="1" applyAlignment="1">
      <alignment horizontal="right" wrapText="1"/>
    </xf>
    <xf numFmtId="41" fontId="19" fillId="0" borderId="0" xfId="1" applyNumberFormat="1" applyFont="1" applyBorder="1" applyAlignment="1">
      <alignment horizontal="right" wrapText="1"/>
    </xf>
    <xf numFmtId="41" fontId="19" fillId="0" borderId="21" xfId="1" applyNumberFormat="1" applyFont="1" applyBorder="1" applyAlignment="1">
      <alignment horizontal="right" wrapText="1"/>
    </xf>
    <xf numFmtId="9" fontId="6" fillId="0" borderId="23" xfId="0" applyNumberFormat="1" applyFont="1" applyBorder="1" applyAlignment="1">
      <alignment horizontal="center" wrapText="1"/>
    </xf>
    <xf numFmtId="41" fontId="1" fillId="0" borderId="18" xfId="1" applyNumberFormat="1" applyFill="1" applyBorder="1" applyAlignment="1">
      <alignment horizontal="right" wrapText="1"/>
    </xf>
    <xf numFmtId="0" fontId="1" fillId="3" borderId="0" xfId="0" applyFont="1" applyFill="1" applyAlignment="1">
      <alignment horizontal="left" wrapText="1"/>
    </xf>
    <xf numFmtId="41" fontId="6" fillId="0" borderId="0" xfId="1" applyNumberFormat="1" applyFont="1" applyFill="1" applyBorder="1"/>
    <xf numFmtId="41" fontId="1" fillId="0" borderId="0" xfId="1" applyNumberFormat="1" applyFill="1" applyBorder="1"/>
    <xf numFmtId="4" fontId="19" fillId="5" borderId="0" xfId="0" applyNumberFormat="1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4" fontId="6" fillId="0" borderId="19" xfId="0" applyNumberFormat="1" applyFont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1" fontId="6" fillId="0" borderId="21" xfId="1" applyNumberFormat="1" applyFont="1" applyFill="1" applyBorder="1" applyAlignment="1">
      <alignment horizontal="right" wrapText="1"/>
    </xf>
    <xf numFmtId="41" fontId="19" fillId="0" borderId="21" xfId="1" applyNumberFormat="1" applyFont="1" applyFill="1" applyBorder="1" applyAlignment="1">
      <alignment horizontal="right" wrapText="1"/>
    </xf>
    <xf numFmtId="41" fontId="19" fillId="0" borderId="20" xfId="1" applyNumberFormat="1" applyFont="1" applyFill="1" applyBorder="1" applyAlignment="1">
      <alignment horizontal="right" wrapText="1"/>
    </xf>
    <xf numFmtId="41" fontId="1" fillId="0" borderId="17" xfId="1" applyNumberFormat="1" applyFill="1" applyBorder="1" applyAlignment="1">
      <alignment horizontal="right" wrapText="1"/>
    </xf>
    <xf numFmtId="41" fontId="6" fillId="0" borderId="4" xfId="0" applyNumberFormat="1" applyFont="1" applyBorder="1" applyAlignment="1">
      <alignment horizontal="center" wrapText="1"/>
    </xf>
    <xf numFmtId="41" fontId="6" fillId="0" borderId="6" xfId="0" applyNumberFormat="1" applyFont="1" applyFill="1" applyBorder="1" applyAlignment="1">
      <alignment horizontal="center"/>
    </xf>
    <xf numFmtId="41" fontId="6" fillId="0" borderId="6" xfId="0" applyNumberFormat="1" applyFont="1" applyBorder="1" applyAlignment="1">
      <alignment horizontal="center"/>
    </xf>
    <xf numFmtId="0" fontId="20" fillId="2" borderId="24" xfId="0" applyFont="1" applyFill="1" applyBorder="1" applyAlignment="1">
      <alignment horizontal="center" wrapText="1"/>
    </xf>
    <xf numFmtId="4" fontId="20" fillId="0" borderId="32" xfId="0" applyNumberFormat="1" applyFont="1" applyBorder="1" applyAlignment="1">
      <alignment horizontal="center" vertical="center" wrapText="1"/>
    </xf>
    <xf numFmtId="41" fontId="20" fillId="5" borderId="21" xfId="2" applyNumberFormat="1" applyFont="1" applyFill="1" applyBorder="1" applyAlignment="1">
      <alignment horizontal="right" wrapText="1"/>
    </xf>
    <xf numFmtId="41" fontId="21" fillId="5" borderId="19" xfId="0" applyNumberFormat="1" applyFont="1" applyFill="1" applyBorder="1" applyAlignment="1">
      <alignment wrapText="1"/>
    </xf>
    <xf numFmtId="41" fontId="20" fillId="0" borderId="4" xfId="0" applyNumberFormat="1" applyFont="1" applyBorder="1" applyAlignment="1">
      <alignment horizontal="center"/>
    </xf>
    <xf numFmtId="41" fontId="21" fillId="0" borderId="0" xfId="0" quotePrefix="1" applyNumberFormat="1" applyFont="1" applyBorder="1" applyAlignment="1">
      <alignment horizontal="left" wrapText="1"/>
    </xf>
    <xf numFmtId="9" fontId="21" fillId="0" borderId="0" xfId="4" applyFont="1" applyBorder="1"/>
    <xf numFmtId="0" fontId="21" fillId="0" borderId="0" xfId="0" applyFont="1" applyBorder="1"/>
    <xf numFmtId="0" fontId="21" fillId="0" borderId="0" xfId="0" applyFont="1"/>
    <xf numFmtId="41" fontId="21" fillId="0" borderId="4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41" fontId="23" fillId="0" borderId="21" xfId="1" applyNumberFormat="1" applyFont="1" applyBorder="1" applyAlignment="1">
      <alignment horizontal="right" wrapText="1"/>
    </xf>
    <xf numFmtId="0" fontId="19" fillId="0" borderId="0" xfId="0" applyFont="1" applyFill="1"/>
    <xf numFmtId="0" fontId="19" fillId="0" borderId="0" xfId="0" applyFont="1" applyBorder="1"/>
    <xf numFmtId="4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wrapText="1"/>
    </xf>
    <xf numFmtId="41" fontId="19" fillId="5" borderId="21" xfId="2" applyNumberFormat="1" applyFont="1" applyFill="1" applyBorder="1" applyAlignment="1">
      <alignment horizontal="right" wrapText="1"/>
    </xf>
    <xf numFmtId="41" fontId="19" fillId="5" borderId="20" xfId="2" applyNumberFormat="1" applyFont="1" applyFill="1" applyBorder="1" applyAlignment="1">
      <alignment horizontal="right" wrapText="1"/>
    </xf>
    <xf numFmtId="166" fontId="19" fillId="5" borderId="21" xfId="2" applyNumberFormat="1" applyFont="1" applyFill="1" applyBorder="1" applyAlignment="1">
      <alignment horizontal="right" wrapText="1"/>
    </xf>
    <xf numFmtId="166" fontId="19" fillId="5" borderId="20" xfId="2" applyNumberFormat="1" applyFont="1" applyFill="1" applyBorder="1" applyAlignment="1">
      <alignment horizontal="right" wrapText="1"/>
    </xf>
    <xf numFmtId="165" fontId="19" fillId="5" borderId="21" xfId="1" applyNumberFormat="1" applyFont="1" applyFill="1" applyBorder="1" applyAlignment="1">
      <alignment horizontal="right" wrapText="1"/>
    </xf>
    <xf numFmtId="165" fontId="19" fillId="5" borderId="20" xfId="1" applyNumberFormat="1" applyFont="1" applyFill="1" applyBorder="1" applyAlignment="1">
      <alignment horizontal="right" wrapText="1"/>
    </xf>
    <xf numFmtId="4" fontId="6" fillId="0" borderId="36" xfId="0" applyNumberFormat="1" applyFont="1" applyBorder="1" applyAlignment="1">
      <alignment wrapText="1"/>
    </xf>
    <xf numFmtId="165" fontId="19" fillId="0" borderId="0" xfId="1" applyNumberFormat="1" applyFont="1" applyFill="1" applyBorder="1" applyAlignment="1">
      <alignment horizontal="right" wrapText="1"/>
    </xf>
    <xf numFmtId="0" fontId="19" fillId="0" borderId="0" xfId="0" applyFont="1"/>
    <xf numFmtId="0" fontId="6" fillId="0" borderId="17" xfId="0" applyFont="1" applyFill="1" applyBorder="1" applyAlignment="1">
      <alignment horizontal="center"/>
    </xf>
    <xf numFmtId="41" fontId="6" fillId="0" borderId="0" xfId="0" applyNumberFormat="1" applyFont="1" applyFill="1" applyBorder="1"/>
    <xf numFmtId="41" fontId="1" fillId="0" borderId="0" xfId="0" applyNumberFormat="1" applyFont="1" applyBorder="1" applyAlignment="1">
      <alignment horizontal="center"/>
    </xf>
    <xf numFmtId="41" fontId="19" fillId="0" borderId="0" xfId="0" applyNumberFormat="1" applyFont="1" applyBorder="1"/>
    <xf numFmtId="41" fontId="19" fillId="0" borderId="0" xfId="0" applyNumberFormat="1" applyFont="1" applyFill="1" applyBorder="1"/>
    <xf numFmtId="0" fontId="21" fillId="0" borderId="0" xfId="0" applyFont="1" applyBorder="1" applyAlignment="1">
      <alignment horizontal="left" wrapText="1"/>
    </xf>
    <xf numFmtId="41" fontId="20" fillId="0" borderId="24" xfId="0" applyNumberFormat="1" applyFont="1" applyBorder="1" applyAlignment="1">
      <alignment horizontal="center" wrapText="1"/>
    </xf>
    <xf numFmtId="41" fontId="6" fillId="0" borderId="23" xfId="0" applyNumberFormat="1" applyFont="1" applyBorder="1" applyAlignment="1">
      <alignment horizontal="center"/>
    </xf>
    <xf numFmtId="41" fontId="20" fillId="0" borderId="19" xfId="0" applyNumberFormat="1" applyFont="1" applyBorder="1" applyAlignment="1">
      <alignment horizontal="center" wrapText="1"/>
    </xf>
    <xf numFmtId="41" fontId="1" fillId="0" borderId="18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 horizontal="center"/>
    </xf>
    <xf numFmtId="41" fontId="20" fillId="5" borderId="24" xfId="1" applyNumberFormat="1" applyFont="1" applyFill="1" applyBorder="1" applyAlignment="1">
      <alignment horizontal="right" wrapText="1"/>
    </xf>
    <xf numFmtId="41" fontId="6" fillId="5" borderId="23" xfId="1" applyNumberFormat="1" applyFont="1" applyFill="1" applyBorder="1" applyAlignment="1">
      <alignment horizontal="right" wrapText="1"/>
    </xf>
    <xf numFmtId="41" fontId="20" fillId="0" borderId="21" xfId="0" applyNumberFormat="1" applyFont="1" applyBorder="1" applyAlignment="1">
      <alignment horizontal="left" wrapText="1"/>
    </xf>
    <xf numFmtId="41" fontId="23" fillId="0" borderId="21" xfId="0" applyNumberFormat="1" applyFont="1" applyBorder="1" applyAlignment="1">
      <alignment horizontal="left" wrapText="1"/>
    </xf>
    <xf numFmtId="41" fontId="21" fillId="0" borderId="19" xfId="0" applyNumberFormat="1" applyFont="1" applyBorder="1" applyAlignment="1">
      <alignment horizontal="left" wrapText="1"/>
    </xf>
    <xf numFmtId="41" fontId="19" fillId="5" borderId="0" xfId="2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8" fillId="0" borderId="0" xfId="0" applyNumberFormat="1" applyFont="1" applyBorder="1" applyAlignment="1">
      <alignment horizontal="left" wrapText="1"/>
    </xf>
    <xf numFmtId="0" fontId="18" fillId="0" borderId="0" xfId="0" applyFont="1" applyBorder="1"/>
    <xf numFmtId="41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center" wrapText="1"/>
    </xf>
    <xf numFmtId="41" fontId="6" fillId="5" borderId="17" xfId="0" applyNumberFormat="1" applyFont="1" applyFill="1" applyBorder="1" applyAlignment="1">
      <alignment wrapText="1"/>
    </xf>
    <xf numFmtId="41" fontId="21" fillId="0" borderId="21" xfId="0" applyNumberFormat="1" applyFont="1" applyFill="1" applyBorder="1" applyAlignment="1">
      <alignment horizontal="left" wrapText="1"/>
    </xf>
    <xf numFmtId="9" fontId="20" fillId="0" borderId="19" xfId="0" applyNumberFormat="1" applyFont="1" applyBorder="1" applyAlignment="1">
      <alignment horizontal="center"/>
    </xf>
    <xf numFmtId="41" fontId="20" fillId="0" borderId="24" xfId="0" applyNumberFormat="1" applyFont="1" applyFill="1" applyBorder="1" applyAlignment="1">
      <alignment horizontal="center"/>
    </xf>
    <xf numFmtId="41" fontId="20" fillId="0" borderId="24" xfId="1" applyNumberFormat="1" applyFont="1" applyBorder="1" applyAlignment="1">
      <alignment horizontal="right" wrapText="1"/>
    </xf>
    <xf numFmtId="41" fontId="23" fillId="5" borderId="21" xfId="2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left" wrapText="1"/>
    </xf>
    <xf numFmtId="0" fontId="15" fillId="0" borderId="0" xfId="0" applyFont="1" applyBorder="1" applyAlignment="1"/>
    <xf numFmtId="4" fontId="1" fillId="0" borderId="0" xfId="0" applyNumberFormat="1" applyFont="1" applyBorder="1" applyAlignment="1">
      <alignment wrapText="1"/>
    </xf>
    <xf numFmtId="4" fontId="6" fillId="6" borderId="0" xfId="0" applyNumberFormat="1" applyFont="1" applyFill="1" applyBorder="1" applyAlignment="1">
      <alignment horizontal="left" wrapText="1"/>
    </xf>
    <xf numFmtId="41" fontId="1" fillId="0" borderId="0" xfId="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41" fontId="6" fillId="0" borderId="0" xfId="0" applyNumberFormat="1" applyFont="1"/>
    <xf numFmtId="41" fontId="1" fillId="0" borderId="0" xfId="0" applyNumberFormat="1" applyFont="1"/>
    <xf numFmtId="41" fontId="6" fillId="3" borderId="0" xfId="0" applyNumberFormat="1" applyFont="1" applyFill="1"/>
    <xf numFmtId="41" fontId="1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1" fillId="0" borderId="18" xfId="0" applyNumberFormat="1" applyFont="1" applyBorder="1"/>
    <xf numFmtId="41" fontId="6" fillId="0" borderId="0" xfId="0" applyNumberFormat="1" applyFont="1" applyFill="1"/>
    <xf numFmtId="4" fontId="6" fillId="2" borderId="0" xfId="0" applyNumberFormat="1" applyFont="1" applyFill="1" applyAlignment="1">
      <alignment horizontal="left" wrapText="1"/>
    </xf>
    <xf numFmtId="165" fontId="6" fillId="2" borderId="21" xfId="1" applyNumberFormat="1" applyFont="1" applyFill="1" applyBorder="1" applyAlignment="1">
      <alignment horizontal="right" wrapText="1"/>
    </xf>
    <xf numFmtId="165" fontId="6" fillId="2" borderId="0" xfId="1" applyNumberFormat="1" applyFont="1" applyFill="1" applyAlignment="1">
      <alignment horizontal="right" wrapText="1"/>
    </xf>
    <xf numFmtId="165" fontId="6" fillId="2" borderId="30" xfId="1" applyNumberFormat="1" applyFont="1" applyFill="1" applyBorder="1" applyAlignment="1">
      <alignment horizontal="right" wrapText="1"/>
    </xf>
    <xf numFmtId="165" fontId="19" fillId="2" borderId="21" xfId="1" applyNumberFormat="1" applyFont="1" applyFill="1" applyBorder="1" applyAlignment="1">
      <alignment horizontal="right" wrapText="1"/>
    </xf>
    <xf numFmtId="165" fontId="19" fillId="2" borderId="0" xfId="1" applyNumberFormat="1" applyFont="1" applyFill="1" applyBorder="1" applyAlignment="1">
      <alignment horizontal="right" wrapText="1"/>
    </xf>
    <xf numFmtId="165" fontId="19" fillId="2" borderId="20" xfId="1" applyNumberFormat="1" applyFont="1" applyFill="1" applyBorder="1" applyAlignment="1">
      <alignment horizontal="right" wrapText="1"/>
    </xf>
    <xf numFmtId="41" fontId="19" fillId="0" borderId="0" xfId="0" applyNumberFormat="1" applyFont="1"/>
    <xf numFmtId="41" fontId="19" fillId="0" borderId="0" xfId="2" applyNumberFormat="1" applyFont="1" applyFill="1" applyBorder="1" applyAlignment="1">
      <alignment horizontal="right" wrapText="1"/>
    </xf>
    <xf numFmtId="166" fontId="6" fillId="3" borderId="19" xfId="0" applyNumberFormat="1" applyFont="1" applyFill="1" applyBorder="1"/>
    <xf numFmtId="166" fontId="6" fillId="3" borderId="17" xfId="0" applyNumberFormat="1" applyFont="1" applyFill="1" applyBorder="1"/>
    <xf numFmtId="41" fontId="6" fillId="0" borderId="21" xfId="0" applyNumberFormat="1" applyFont="1" applyBorder="1"/>
    <xf numFmtId="41" fontId="6" fillId="0" borderId="20" xfId="0" applyNumberFormat="1" applyFont="1" applyBorder="1"/>
    <xf numFmtId="41" fontId="1" fillId="0" borderId="21" xfId="0" applyNumberFormat="1" applyFont="1" applyBorder="1"/>
    <xf numFmtId="41" fontId="1" fillId="0" borderId="20" xfId="0" applyNumberFormat="1" applyFont="1" applyBorder="1"/>
    <xf numFmtId="41" fontId="19" fillId="0" borderId="21" xfId="0" applyNumberFormat="1" applyFont="1" applyBorder="1"/>
    <xf numFmtId="41" fontId="19" fillId="0" borderId="20" xfId="0" applyNumberFormat="1" applyFont="1" applyBorder="1"/>
    <xf numFmtId="165" fontId="6" fillId="2" borderId="21" xfId="0" applyNumberFormat="1" applyFont="1" applyFill="1" applyBorder="1"/>
    <xf numFmtId="165" fontId="6" fillId="2" borderId="0" xfId="0" applyNumberFormat="1" applyFont="1" applyFill="1" applyBorder="1"/>
    <xf numFmtId="165" fontId="6" fillId="2" borderId="20" xfId="0" applyNumberFormat="1" applyFont="1" applyFill="1" applyBorder="1"/>
    <xf numFmtId="41" fontId="1" fillId="0" borderId="19" xfId="0" applyNumberFormat="1" applyFont="1" applyBorder="1"/>
    <xf numFmtId="41" fontId="1" fillId="0" borderId="17" xfId="0" applyNumberFormat="1" applyFont="1" applyBorder="1"/>
    <xf numFmtId="0" fontId="6" fillId="5" borderId="24" xfId="0" applyFont="1" applyFill="1" applyBorder="1" applyAlignment="1">
      <alignment horizontal="left" wrapText="1"/>
    </xf>
    <xf numFmtId="0" fontId="6" fillId="5" borderId="19" xfId="0" applyFont="1" applyFill="1" applyBorder="1" applyAlignment="1">
      <alignment horizontal="left" wrapText="1"/>
    </xf>
    <xf numFmtId="41" fontId="6" fillId="5" borderId="18" xfId="2" applyNumberFormat="1" applyFont="1" applyFill="1" applyBorder="1" applyAlignment="1">
      <alignment horizontal="right" wrapText="1"/>
    </xf>
    <xf numFmtId="41" fontId="6" fillId="5" borderId="17" xfId="2" applyNumberFormat="1" applyFont="1" applyFill="1" applyBorder="1" applyAlignment="1">
      <alignment horizontal="right" wrapText="1"/>
    </xf>
    <xf numFmtId="41" fontId="1" fillId="0" borderId="21" xfId="0" applyNumberFormat="1" applyFont="1" applyBorder="1" applyAlignment="1">
      <alignment horizontal="right" wrapText="1"/>
    </xf>
    <xf numFmtId="41" fontId="18" fillId="0" borderId="21" xfId="0" applyNumberFormat="1" applyFont="1" applyBorder="1" applyAlignment="1">
      <alignment horizontal="right" wrapText="1"/>
    </xf>
    <xf numFmtId="41" fontId="6" fillId="6" borderId="21" xfId="1" applyNumberFormat="1" applyFont="1" applyFill="1" applyBorder="1" applyAlignment="1">
      <alignment horizontal="right" wrapText="1"/>
    </xf>
    <xf numFmtId="41" fontId="6" fillId="6" borderId="20" xfId="1" applyNumberFormat="1" applyFont="1" applyFill="1" applyBorder="1" applyAlignment="1">
      <alignment horizontal="right" wrapText="1"/>
    </xf>
    <xf numFmtId="41" fontId="1" fillId="0" borderId="20" xfId="0" applyNumberFormat="1" applyFont="1" applyBorder="1" applyAlignment="1">
      <alignment horizontal="right" wrapText="1"/>
    </xf>
    <xf numFmtId="41" fontId="1" fillId="0" borderId="21" xfId="0" applyNumberFormat="1" applyFont="1" applyFill="1" applyBorder="1" applyAlignment="1">
      <alignment horizontal="right" wrapText="1"/>
    </xf>
    <xf numFmtId="41" fontId="1" fillId="2" borderId="21" xfId="0" applyNumberFormat="1" applyFont="1" applyFill="1" applyBorder="1" applyAlignment="1">
      <alignment horizontal="right" wrapText="1"/>
    </xf>
    <xf numFmtId="41" fontId="1" fillId="0" borderId="19" xfId="0" applyNumberFormat="1" applyFont="1" applyBorder="1" applyAlignment="1">
      <alignment horizontal="right" wrapText="1"/>
    </xf>
    <xf numFmtId="41" fontId="6" fillId="0" borderId="5" xfId="0" applyNumberFormat="1" applyFont="1" applyBorder="1" applyAlignment="1">
      <alignment horizontal="right" wrapText="1"/>
    </xf>
    <xf numFmtId="41" fontId="6" fillId="0" borderId="6" xfId="1" applyNumberFormat="1" applyFont="1" applyBorder="1" applyAlignment="1">
      <alignment horizontal="right" wrapText="1"/>
    </xf>
    <xf numFmtId="41" fontId="6" fillId="4" borderId="4" xfId="0" applyNumberFormat="1" applyFont="1" applyFill="1" applyBorder="1" applyAlignment="1">
      <alignment horizontal="center"/>
    </xf>
    <xf numFmtId="41" fontId="6" fillId="4" borderId="5" xfId="0" applyNumberFormat="1" applyFont="1" applyFill="1" applyBorder="1" applyAlignment="1">
      <alignment horizontal="center"/>
    </xf>
    <xf numFmtId="41" fontId="6" fillId="4" borderId="6" xfId="0" applyNumberFormat="1" applyFont="1" applyFill="1" applyBorder="1" applyAlignment="1">
      <alignment horizontal="center"/>
    </xf>
    <xf numFmtId="165" fontId="1" fillId="4" borderId="21" xfId="1" applyNumberFormat="1" applyFill="1" applyBorder="1" applyAlignment="1">
      <alignment horizontal="right" wrapText="1"/>
    </xf>
    <xf numFmtId="165" fontId="1" fillId="4" borderId="0" xfId="1" applyNumberFormat="1" applyFill="1" applyBorder="1" applyAlignment="1">
      <alignment horizontal="right" wrapText="1"/>
    </xf>
    <xf numFmtId="165" fontId="6" fillId="4" borderId="20" xfId="1" applyNumberFormat="1" applyFont="1" applyFill="1" applyBorder="1" applyAlignment="1">
      <alignment horizontal="right" wrapText="1"/>
    </xf>
    <xf numFmtId="165" fontId="1" fillId="4" borderId="0" xfId="1" applyNumberFormat="1" applyFill="1" applyAlignment="1">
      <alignment horizontal="right" wrapText="1"/>
    </xf>
    <xf numFmtId="165" fontId="6" fillId="4" borderId="30" xfId="1" applyNumberFormat="1" applyFont="1" applyFill="1" applyBorder="1" applyAlignment="1">
      <alignment horizontal="right" wrapText="1"/>
    </xf>
    <xf numFmtId="41" fontId="1" fillId="4" borderId="21" xfId="0" applyNumberFormat="1" applyFont="1" applyFill="1" applyBorder="1"/>
    <xf numFmtId="41" fontId="1" fillId="4" borderId="0" xfId="0" applyNumberFormat="1" applyFont="1" applyFill="1" applyBorder="1"/>
    <xf numFmtId="41" fontId="1" fillId="4" borderId="20" xfId="0" applyNumberFormat="1" applyFont="1" applyFill="1" applyBorder="1"/>
    <xf numFmtId="41" fontId="21" fillId="5" borderId="24" xfId="1" applyNumberFormat="1" applyFont="1" applyFill="1" applyBorder="1" applyAlignment="1">
      <alignment horizontal="right" wrapText="1"/>
    </xf>
    <xf numFmtId="41" fontId="21" fillId="5" borderId="19" xfId="1" applyNumberFormat="1" applyFont="1" applyFill="1" applyBorder="1" applyAlignment="1">
      <alignment horizontal="right" wrapText="1"/>
    </xf>
    <xf numFmtId="41" fontId="6" fillId="5" borderId="17" xfId="1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41" fontId="1" fillId="0" borderId="0" xfId="1" applyNumberFormat="1" applyFont="1" applyBorder="1"/>
    <xf numFmtId="41" fontId="1" fillId="0" borderId="22" xfId="1" applyNumberFormat="1" applyFont="1" applyBorder="1"/>
    <xf numFmtId="41" fontId="1" fillId="0" borderId="24" xfId="0" applyNumberFormat="1" applyFont="1" applyBorder="1" applyAlignment="1">
      <alignment horizontal="left" wrapText="1"/>
    </xf>
    <xf numFmtId="41" fontId="1" fillId="0" borderId="0" xfId="1" applyNumberFormat="1" applyFont="1" applyFill="1" applyBorder="1"/>
    <xf numFmtId="41" fontId="21" fillId="0" borderId="20" xfId="1" applyNumberFormat="1" applyFont="1" applyBorder="1"/>
    <xf numFmtId="41" fontId="1" fillId="0" borderId="20" xfId="0" applyNumberFormat="1" applyFont="1" applyBorder="1" applyAlignment="1">
      <alignment horizontal="left" wrapText="1"/>
    </xf>
    <xf numFmtId="41" fontId="1" fillId="0" borderId="21" xfId="1" applyNumberFormat="1" applyFont="1" applyBorder="1"/>
    <xf numFmtId="41" fontId="1" fillId="0" borderId="20" xfId="1" applyNumberFormat="1" applyFont="1" applyBorder="1"/>
    <xf numFmtId="41" fontId="6" fillId="0" borderId="17" xfId="0" applyNumberFormat="1" applyFont="1" applyBorder="1" applyAlignment="1">
      <alignment horizontal="left" wrapText="1"/>
    </xf>
    <xf numFmtId="41" fontId="6" fillId="0" borderId="17" xfId="1" applyNumberFormat="1" applyFont="1" applyBorder="1"/>
    <xf numFmtId="41" fontId="20" fillId="0" borderId="0" xfId="1" applyNumberFormat="1" applyFont="1" applyBorder="1"/>
    <xf numFmtId="0" fontId="6" fillId="0" borderId="18" xfId="0" applyFont="1" applyBorder="1" applyAlignment="1">
      <alignment horizontal="left" wrapText="1"/>
    </xf>
    <xf numFmtId="41" fontId="6" fillId="0" borderId="18" xfId="0" applyNumberFormat="1" applyFont="1" applyBorder="1"/>
    <xf numFmtId="41" fontId="1" fillId="0" borderId="21" xfId="1" applyNumberFormat="1" applyFont="1" applyFill="1" applyBorder="1"/>
    <xf numFmtId="41" fontId="20" fillId="0" borderId="19" xfId="1" applyNumberFormat="1" applyFont="1" applyFill="1" applyBorder="1"/>
    <xf numFmtId="41" fontId="20" fillId="0" borderId="0" xfId="0" applyNumberFormat="1" applyFont="1" applyBorder="1" applyAlignment="1">
      <alignment horizontal="right" wrapText="1"/>
    </xf>
    <xf numFmtId="0" fontId="6" fillId="0" borderId="18" xfId="0" applyFont="1" applyBorder="1"/>
    <xf numFmtId="37" fontId="20" fillId="0" borderId="20" xfId="1" applyNumberFormat="1" applyFont="1" applyBorder="1"/>
    <xf numFmtId="41" fontId="20" fillId="0" borderId="21" xfId="1" applyNumberFormat="1" applyFont="1" applyBorder="1"/>
    <xf numFmtId="37" fontId="21" fillId="0" borderId="21" xfId="1" applyNumberFormat="1" applyFont="1" applyBorder="1"/>
    <xf numFmtId="41" fontId="21" fillId="0" borderId="24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41" fontId="6" fillId="0" borderId="20" xfId="1" applyNumberFormat="1" applyFont="1" applyBorder="1"/>
    <xf numFmtId="41" fontId="6" fillId="0" borderId="21" xfId="1" applyNumberFormat="1" applyFont="1" applyBorder="1"/>
    <xf numFmtId="41" fontId="6" fillId="0" borderId="20" xfId="0" applyNumberFormat="1" applyFont="1" applyBorder="1" applyAlignment="1">
      <alignment horizontal="left" wrapText="1"/>
    </xf>
    <xf numFmtId="41" fontId="20" fillId="0" borderId="20" xfId="0" applyNumberFormat="1" applyFont="1" applyBorder="1" applyAlignment="1">
      <alignment horizontal="right" wrapText="1"/>
    </xf>
    <xf numFmtId="41" fontId="20" fillId="0" borderId="20" xfId="1" applyNumberFormat="1" applyFont="1" applyBorder="1"/>
    <xf numFmtId="41" fontId="6" fillId="0" borderId="21" xfId="1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1" fontId="1" fillId="0" borderId="20" xfId="1" applyNumberFormat="1" applyFill="1" applyBorder="1"/>
    <xf numFmtId="0" fontId="1" fillId="0" borderId="21" xfId="0" applyFont="1" applyBorder="1" applyAlignment="1">
      <alignment horizontal="left" wrapText="1"/>
    </xf>
    <xf numFmtId="37" fontId="1" fillId="0" borderId="20" xfId="1" applyNumberFormat="1" applyFill="1" applyBorder="1"/>
    <xf numFmtId="41" fontId="6" fillId="0" borderId="21" xfId="0" quotePrefix="1" applyNumberFormat="1" applyFont="1" applyBorder="1" applyAlignment="1">
      <alignment horizontal="left" wrapText="1"/>
    </xf>
    <xf numFmtId="41" fontId="6" fillId="0" borderId="20" xfId="0" quotePrefix="1" applyNumberFormat="1" applyFont="1" applyBorder="1" applyAlignment="1">
      <alignment horizontal="left" wrapText="1"/>
    </xf>
    <xf numFmtId="41" fontId="1" fillId="0" borderId="20" xfId="0" applyNumberFormat="1" applyFont="1" applyFill="1" applyBorder="1"/>
    <xf numFmtId="41" fontId="21" fillId="0" borderId="21" xfId="0" quotePrefix="1" applyNumberFormat="1" applyFont="1" applyBorder="1" applyAlignment="1">
      <alignment horizontal="left" wrapText="1"/>
    </xf>
    <xf numFmtId="41" fontId="21" fillId="0" borderId="20" xfId="0" quotePrefix="1" applyNumberFormat="1" applyFont="1" applyBorder="1" applyAlignment="1">
      <alignment horizontal="left" wrapText="1"/>
    </xf>
    <xf numFmtId="41" fontId="20" fillId="0" borderId="0" xfId="0" applyNumberFormat="1" applyFont="1" applyBorder="1" applyAlignment="1">
      <alignment horizontal="center" wrapText="1"/>
    </xf>
    <xf numFmtId="37" fontId="1" fillId="0" borderId="0" xfId="1" applyNumberFormat="1" applyFont="1" applyBorder="1"/>
    <xf numFmtId="37" fontId="1" fillId="0" borderId="0" xfId="1" applyNumberFormat="1" applyFont="1" applyFill="1" applyBorder="1"/>
    <xf numFmtId="37" fontId="1" fillId="0" borderId="20" xfId="1" applyNumberFormat="1" applyFont="1" applyBorder="1"/>
    <xf numFmtId="0" fontId="20" fillId="0" borderId="18" xfId="0" applyFont="1" applyBorder="1" applyAlignment="1">
      <alignment horizontal="center"/>
    </xf>
    <xf numFmtId="37" fontId="1" fillId="0" borderId="21" xfId="1" applyNumberFormat="1" applyFont="1" applyBorder="1"/>
    <xf numFmtId="37" fontId="6" fillId="0" borderId="20" xfId="1" applyNumberFormat="1" applyFont="1" applyBorder="1"/>
    <xf numFmtId="37" fontId="6" fillId="0" borderId="17" xfId="1" applyNumberFormat="1" applyFont="1" applyBorder="1"/>
    <xf numFmtId="165" fontId="6" fillId="4" borderId="0" xfId="1" applyNumberFormat="1" applyFont="1" applyFill="1" applyBorder="1" applyAlignment="1">
      <alignment vertical="center" wrapText="1"/>
    </xf>
    <xf numFmtId="0" fontId="15" fillId="0" borderId="0" xfId="0" applyFont="1" applyAlignment="1"/>
    <xf numFmtId="0" fontId="1" fillId="0" borderId="21" xfId="1" applyNumberFormat="1" applyFont="1" applyBorder="1"/>
    <xf numFmtId="0" fontId="20" fillId="0" borderId="18" xfId="0" applyFont="1" applyBorder="1" applyAlignment="1">
      <alignment horizontal="left" wrapText="1"/>
    </xf>
    <xf numFmtId="37" fontId="20" fillId="0" borderId="18" xfId="1" applyNumberFormat="1" applyFont="1" applyBorder="1"/>
    <xf numFmtId="0" fontId="21" fillId="0" borderId="24" xfId="0" applyFont="1" applyBorder="1" applyAlignment="1">
      <alignment horizontal="left" wrapText="1"/>
    </xf>
    <xf numFmtId="37" fontId="21" fillId="0" borderId="23" xfId="1" applyNumberFormat="1" applyFont="1" applyBorder="1"/>
    <xf numFmtId="165" fontId="20" fillId="0" borderId="22" xfId="1" applyNumberFormat="1" applyFont="1" applyBorder="1"/>
    <xf numFmtId="165" fontId="20" fillId="0" borderId="20" xfId="1" applyNumberFormat="1" applyFont="1" applyBorder="1"/>
    <xf numFmtId="4" fontId="20" fillId="0" borderId="21" xfId="0" applyNumberFormat="1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41" fontId="20" fillId="0" borderId="17" xfId="1" applyNumberFormat="1" applyFont="1" applyBorder="1"/>
    <xf numFmtId="41" fontId="20" fillId="0" borderId="19" xfId="0" quotePrefix="1" applyNumberFormat="1" applyFont="1" applyBorder="1" applyAlignment="1">
      <alignment horizontal="left" wrapText="1"/>
    </xf>
    <xf numFmtId="41" fontId="20" fillId="0" borderId="17" xfId="0" quotePrefix="1" applyNumberFormat="1" applyFont="1" applyBorder="1" applyAlignment="1">
      <alignment horizontal="left" wrapText="1"/>
    </xf>
    <xf numFmtId="41" fontId="6" fillId="0" borderId="17" xfId="1" applyNumberFormat="1" applyFont="1" applyFill="1" applyBorder="1"/>
    <xf numFmtId="37" fontId="6" fillId="0" borderId="19" xfId="1" applyNumberFormat="1" applyFont="1" applyBorder="1"/>
    <xf numFmtId="165" fontId="20" fillId="0" borderId="17" xfId="1" applyNumberFormat="1" applyFont="1" applyBorder="1"/>
    <xf numFmtId="0" fontId="6" fillId="2" borderId="2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Border="1" applyAlignment="1">
      <alignment horizontal="left" wrapText="1"/>
    </xf>
    <xf numFmtId="41" fontId="6" fillId="0" borderId="21" xfId="0" applyNumberFormat="1" applyFont="1" applyBorder="1" applyAlignment="1">
      <alignment horizontal="center" vertical="center" wrapText="1"/>
    </xf>
    <xf numFmtId="41" fontId="20" fillId="0" borderId="21" xfId="0" applyNumberFormat="1" applyFont="1" applyBorder="1" applyAlignment="1">
      <alignment horizontal="center" vertical="center" wrapText="1"/>
    </xf>
    <xf numFmtId="41" fontId="20" fillId="0" borderId="21" xfId="0" applyNumberFormat="1" applyFont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" fontId="6" fillId="0" borderId="24" xfId="0" applyNumberFormat="1" applyFont="1" applyBorder="1" applyAlignment="1">
      <alignment horizontal="center" vertical="center" wrapText="1"/>
    </xf>
    <xf numFmtId="167" fontId="6" fillId="0" borderId="24" xfId="0" applyNumberFormat="1" applyFont="1" applyBorder="1" applyAlignment="1">
      <alignment horizontal="center"/>
    </xf>
    <xf numFmtId="167" fontId="6" fillId="0" borderId="22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center" wrapText="1"/>
    </xf>
    <xf numFmtId="41" fontId="23" fillId="5" borderId="0" xfId="1" applyNumberFormat="1" applyFont="1" applyFill="1" applyBorder="1" applyAlignment="1">
      <alignment horizontal="right" wrapText="1"/>
    </xf>
    <xf numFmtId="4" fontId="20" fillId="0" borderId="21" xfId="0" applyNumberFormat="1" applyFont="1" applyBorder="1" applyAlignment="1">
      <alignment horizontal="center" vertical="center" wrapText="1"/>
    </xf>
    <xf numFmtId="41" fontId="6" fillId="7" borderId="21" xfId="0" applyNumberFormat="1" applyFont="1" applyFill="1" applyBorder="1" applyAlignment="1">
      <alignment horizontal="right" wrapText="1"/>
    </xf>
    <xf numFmtId="41" fontId="6" fillId="7" borderId="20" xfId="1" applyNumberFormat="1" applyFont="1" applyFill="1" applyBorder="1" applyAlignment="1">
      <alignment horizontal="right" wrapText="1"/>
    </xf>
    <xf numFmtId="0" fontId="6" fillId="2" borderId="2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left" wrapText="1"/>
    </xf>
    <xf numFmtId="41" fontId="1" fillId="7" borderId="20" xfId="1" applyNumberFormat="1" applyFill="1" applyBorder="1" applyAlignment="1">
      <alignment horizontal="right" wrapText="1"/>
    </xf>
    <xf numFmtId="41" fontId="1" fillId="0" borderId="20" xfId="1" applyNumberFormat="1" applyFont="1" applyBorder="1" applyAlignment="1">
      <alignment horizontal="right" wrapText="1"/>
    </xf>
    <xf numFmtId="41" fontId="1" fillId="0" borderId="22" xfId="0" applyNumberFormat="1" applyFont="1" applyBorder="1" applyAlignment="1">
      <alignment horizontal="left" wrapText="1"/>
    </xf>
    <xf numFmtId="41" fontId="1" fillId="0" borderId="20" xfId="1" applyNumberFormat="1" applyFont="1" applyFill="1" applyBorder="1" applyAlignment="1">
      <alignment horizontal="right" wrapText="1"/>
    </xf>
    <xf numFmtId="41" fontId="1" fillId="0" borderId="17" xfId="1" applyNumberFormat="1" applyFont="1" applyBorder="1" applyAlignment="1">
      <alignment horizontal="right" wrapText="1"/>
    </xf>
    <xf numFmtId="41" fontId="21" fillId="0" borderId="22" xfId="0" applyNumberFormat="1" applyFont="1" applyBorder="1" applyAlignment="1">
      <alignment horizontal="right" wrapText="1"/>
    </xf>
    <xf numFmtId="41" fontId="21" fillId="0" borderId="20" xfId="0" applyNumberFormat="1" applyFont="1" applyBorder="1" applyAlignment="1">
      <alignment horizontal="right" wrapText="1"/>
    </xf>
    <xf numFmtId="41" fontId="1" fillId="0" borderId="24" xfId="1" applyNumberFormat="1" applyFont="1" applyBorder="1"/>
    <xf numFmtId="6" fontId="1" fillId="0" borderId="0" xfId="0" applyNumberFormat="1" applyFont="1" applyBorder="1"/>
    <xf numFmtId="41" fontId="1" fillId="7" borderId="21" xfId="0" applyNumberFormat="1" applyFont="1" applyFill="1" applyBorder="1" applyAlignment="1">
      <alignment horizontal="right" wrapText="1"/>
    </xf>
    <xf numFmtId="41" fontId="1" fillId="0" borderId="21" xfId="0" applyNumberFormat="1" applyFont="1" applyFill="1" applyBorder="1" applyAlignment="1">
      <alignment horizontal="left" wrapText="1"/>
    </xf>
    <xf numFmtId="41" fontId="6" fillId="7" borderId="22" xfId="0" applyNumberFormat="1" applyFont="1" applyFill="1" applyBorder="1" applyAlignment="1">
      <alignment horizontal="center"/>
    </xf>
    <xf numFmtId="41" fontId="6" fillId="7" borderId="6" xfId="0" applyNumberFormat="1" applyFont="1" applyFill="1" applyBorder="1" applyAlignment="1">
      <alignment horizontal="center"/>
    </xf>
    <xf numFmtId="41" fontId="19" fillId="7" borderId="20" xfId="1" applyNumberFormat="1" applyFont="1" applyFill="1" applyBorder="1" applyAlignment="1">
      <alignment horizontal="right" wrapText="1"/>
    </xf>
    <xf numFmtId="167" fontId="20" fillId="0" borderId="24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4" fontId="1" fillId="0" borderId="38" xfId="0" applyNumberFormat="1" applyFont="1" applyBorder="1" applyAlignment="1">
      <alignment horizontal="left" wrapText="1"/>
    </xf>
    <xf numFmtId="4" fontId="6" fillId="0" borderId="38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/>
    </xf>
    <xf numFmtId="165" fontId="19" fillId="3" borderId="20" xfId="1" applyNumberFormat="1" applyFont="1" applyFill="1" applyBorder="1" applyAlignment="1">
      <alignment horizontal="right" wrapText="1"/>
    </xf>
    <xf numFmtId="165" fontId="19" fillId="3" borderId="29" xfId="1" applyNumberFormat="1" applyFont="1" applyFill="1" applyBorder="1" applyAlignment="1">
      <alignment horizontal="right" wrapText="1"/>
    </xf>
    <xf numFmtId="165" fontId="19" fillId="3" borderId="30" xfId="1" applyNumberFormat="1" applyFont="1" applyFill="1" applyBorder="1" applyAlignment="1">
      <alignment horizontal="right" wrapText="1"/>
    </xf>
    <xf numFmtId="165" fontId="1" fillId="4" borderId="0" xfId="0" applyNumberFormat="1" applyFont="1" applyFill="1" applyAlignment="1">
      <alignment wrapText="1"/>
    </xf>
    <xf numFmtId="165" fontId="1" fillId="4" borderId="30" xfId="1" applyNumberFormat="1" applyFill="1" applyBorder="1" applyAlignment="1">
      <alignment horizontal="right" wrapText="1"/>
    </xf>
    <xf numFmtId="4" fontId="6" fillId="4" borderId="0" xfId="0" applyNumberFormat="1" applyFont="1" applyFill="1" applyAlignment="1">
      <alignment horizontal="left" wrapText="1"/>
    </xf>
    <xf numFmtId="41" fontId="1" fillId="0" borderId="0" xfId="1" applyNumberFormat="1" applyFont="1" applyFill="1" applyBorder="1" applyAlignment="1">
      <alignment horizontal="right" wrapText="1"/>
    </xf>
    <xf numFmtId="41" fontId="19" fillId="2" borderId="21" xfId="0" applyNumberFormat="1" applyFont="1" applyFill="1" applyBorder="1"/>
    <xf numFmtId="166" fontId="6" fillId="3" borderId="18" xfId="0" applyNumberFormat="1" applyFont="1" applyFill="1" applyBorder="1"/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22" xfId="0" quotePrefix="1" applyNumberFormat="1" applyFont="1" applyBorder="1" applyAlignment="1">
      <alignment horizontal="center" vertical="center" wrapText="1"/>
    </xf>
    <xf numFmtId="37" fontId="6" fillId="3" borderId="21" xfId="0" applyNumberFormat="1" applyFont="1" applyFill="1" applyBorder="1"/>
    <xf numFmtId="37" fontId="6" fillId="3" borderId="0" xfId="0" applyNumberFormat="1" applyFont="1" applyFill="1" applyBorder="1"/>
    <xf numFmtId="37" fontId="6" fillId="3" borderId="20" xfId="0" applyNumberFormat="1" applyFont="1" applyFill="1" applyBorder="1"/>
    <xf numFmtId="41" fontId="6" fillId="0" borderId="24" xfId="0" applyNumberFormat="1" applyFont="1" applyBorder="1"/>
    <xf numFmtId="41" fontId="6" fillId="0" borderId="23" xfId="0" applyNumberFormat="1" applyFont="1" applyBorder="1"/>
    <xf numFmtId="41" fontId="6" fillId="0" borderId="22" xfId="0" applyNumberFormat="1" applyFont="1" applyBorder="1"/>
    <xf numFmtId="41" fontId="1" fillId="4" borderId="20" xfId="1" applyNumberFormat="1" applyFill="1" applyBorder="1" applyAlignment="1">
      <alignment horizontal="right" wrapText="1"/>
    </xf>
    <xf numFmtId="41" fontId="21" fillId="4" borderId="21" xfId="0" applyNumberFormat="1" applyFont="1" applyFill="1" applyBorder="1" applyAlignment="1">
      <alignment horizontal="left" wrapText="1"/>
    </xf>
    <xf numFmtId="41" fontId="1" fillId="4" borderId="0" xfId="1" applyNumberFormat="1" applyFill="1" applyBorder="1" applyAlignment="1">
      <alignment horizontal="right" wrapText="1"/>
    </xf>
    <xf numFmtId="41" fontId="6" fillId="4" borderId="20" xfId="1" applyNumberFormat="1" applyFont="1" applyFill="1" applyBorder="1" applyAlignment="1">
      <alignment horizontal="right" wrapText="1"/>
    </xf>
    <xf numFmtId="41" fontId="21" fillId="4" borderId="21" xfId="1" applyNumberFormat="1" applyFont="1" applyFill="1" applyBorder="1" applyAlignment="1">
      <alignment horizontal="right" wrapText="1"/>
    </xf>
    <xf numFmtId="41" fontId="1" fillId="4" borderId="21" xfId="0" applyNumberFormat="1" applyFont="1" applyFill="1" applyBorder="1" applyAlignment="1">
      <alignment horizontal="left" wrapText="1"/>
    </xf>
    <xf numFmtId="41" fontId="1" fillId="4" borderId="21" xfId="1" applyNumberFormat="1" applyFill="1" applyBorder="1" applyAlignment="1">
      <alignment horizontal="right" wrapText="1"/>
    </xf>
    <xf numFmtId="41" fontId="1" fillId="4" borderId="20" xfId="1" applyNumberFormat="1" applyFont="1" applyFill="1" applyBorder="1" applyAlignment="1">
      <alignment horizontal="right" wrapText="1"/>
    </xf>
    <xf numFmtId="165" fontId="1" fillId="4" borderId="20" xfId="1" applyNumberFormat="1" applyFill="1" applyBorder="1" applyAlignment="1">
      <alignment horizontal="right" wrapText="1"/>
    </xf>
    <xf numFmtId="41" fontId="6" fillId="4" borderId="0" xfId="1" applyNumberFormat="1" applyFont="1" applyFill="1" applyBorder="1" applyAlignment="1">
      <alignment horizontal="right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0" fillId="0" borderId="0" xfId="0"/>
    <xf numFmtId="41" fontId="1" fillId="7" borderId="21" xfId="0" applyNumberFormat="1" applyFont="1" applyFill="1" applyBorder="1" applyAlignment="1">
      <alignment horizontal="left" wrapText="1"/>
    </xf>
    <xf numFmtId="41" fontId="1" fillId="0" borderId="0" xfId="0" applyNumberFormat="1" applyFont="1" applyFill="1" applyBorder="1"/>
    <xf numFmtId="167" fontId="20" fillId="0" borderId="18" xfId="1" applyNumberFormat="1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6" xr:uid="{00000000-0005-0000-0000-000003000000}"/>
    <cellStyle name="Normal" xfId="0" builtinId="0"/>
    <cellStyle name="Normal 2" xfId="3" xr:uid="{00000000-0005-0000-0000-000005000000}"/>
    <cellStyle name="Percent" xfId="4" builtinId="5"/>
  </cellStyles>
  <dxfs count="40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0" justifyLastLine="0" shrinkToFit="0" readingOrder="0"/>
    </dxf>
    <dxf>
      <alignment wrapTex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hompson" refreshedDate="41842.46940671296" createdVersion="4" refreshedVersion="4" minRefreshableVersion="3" recordCount="125" xr:uid="{00000000-000A-0000-FFFF-FFFF00000000}">
  <cacheSource type="worksheet">
    <worksheetSource name="Table2"/>
  </cacheSource>
  <cacheFields count="4">
    <cacheField name="Column1" numFmtId="0">
      <sharedItems containsSemiMixedTypes="0" containsString="0" containsNumber="1" containsInteger="1" minValue="10101" maxValue="10910"/>
    </cacheField>
    <cacheField name="Column2" numFmtId="0">
      <sharedItems/>
    </cacheField>
    <cacheField name="Column22" numFmtId="0">
      <sharedItems containsBlank="1" count="43">
        <s v="Green Bay"/>
        <s v="Milwaukee"/>
        <s v="Cincinnati"/>
        <s v="Columbus"/>
        <s v="Dubuque"/>
        <s v="National"/>
        <s v="Northshore"/>
        <s v="Ohio"/>
        <s v="Austin"/>
        <s v="Boston"/>
        <s v="Chicago"/>
        <s v="Columbia"/>
        <s v="Dallas"/>
        <s v="Delaware"/>
        <m/>
        <s v="Scranton"/>
        <s v="Panama City"/>
        <s v="Pittsburgh"/>
        <s v="Sacremento"/>
        <s v="San Antonio"/>
        <s v="Tampa"/>
        <s v="Tri Cities"/>
        <s v="Tri Counties"/>
        <s v="Albequerque"/>
        <s v="Buffalo"/>
        <s v="Chattanooga"/>
        <s v="Houston"/>
        <s v="Knoxville"/>
        <s v="Las Vegas"/>
        <s v="Minneapolis"/>
        <s v="Nashville"/>
        <s v="New York"/>
        <s v="Orange County"/>
        <s v="San Francisco"/>
        <s v="St Louis"/>
        <s v="Triangle"/>
        <s v="Knoxville UT"/>
        <s v="Miami"/>
        <s v="Michigan"/>
        <s v="Pittsburgh Metro"/>
        <s v="Scramento"/>
        <s v="San Diego"/>
        <s v="Toledo"/>
      </sharedItems>
    </cacheField>
    <cacheField name="Column3" numFmtId="4">
      <sharedItems containsSemiMixedTypes="0" containsString="0" containsNumber="1" minValue="-1308.44" maxValue="113887.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hompson" refreshedDate="41948.573829513887" createdVersion="4" refreshedVersion="4" minRefreshableVersion="3" recordCount="83" xr:uid="{00000000-000A-0000-FFFF-FFFF01000000}">
  <cacheSource type="worksheet">
    <worksheetSource name="Table3"/>
  </cacheSource>
  <cacheFields count="4">
    <cacheField name="Column1" numFmtId="0">
      <sharedItems containsSemiMixedTypes="0" containsString="0" containsNumber="1" containsInteger="1" minValue="10101" maxValue="10910"/>
    </cacheField>
    <cacheField name="Column2" numFmtId="0">
      <sharedItems/>
    </cacheField>
    <cacheField name="Affiliate" numFmtId="0">
      <sharedItems count="40">
        <s v="Greenbay"/>
        <s v="Milwaukee"/>
        <s v="Cincinnati"/>
        <s v="Boulder"/>
        <s v="Columbus"/>
        <s v="Dubuque"/>
        <s v="National"/>
        <s v="Northshore"/>
        <s v="Austin"/>
        <s v="Chicago"/>
        <s v="Columbia"/>
        <s v="Dallas"/>
        <s v="Delaware"/>
        <s v="Houston"/>
        <s v="Scranton"/>
        <s v="Panama City"/>
        <s v="Pittsburgh"/>
        <s v="Sacremento"/>
        <s v="San Antonio"/>
        <s v="Tampa"/>
        <s v="Texas - State"/>
        <s v="Tri Cities"/>
        <s v="Tri Counties"/>
        <s v="Albequerque"/>
        <s v="Buffalo"/>
        <s v="Chattanooga"/>
        <s v="Knoxville"/>
        <s v="Las Vegas"/>
        <s v="Long Island"/>
        <s v="Minneapolis"/>
        <s v="Nashville"/>
        <s v="Orange County"/>
        <s v="San Francisco"/>
        <s v="St Louis"/>
        <s v="Triangle"/>
        <s v="Boston"/>
        <s v="Hawaii"/>
        <s v="Knoxville UT"/>
        <s v="San Diego"/>
        <s v="Wisconsion - State"/>
      </sharedItems>
    </cacheField>
    <cacheField name="Balance" numFmtId="4">
      <sharedItems containsSemiMixedTypes="0" containsString="0" containsNumber="1" minValue="-15" maxValue="93488.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Thompson" refreshedDate="41953.372257523151" createdVersion="4" refreshedVersion="4" recordCount="4581" xr:uid="{00000000-000A-0000-FFFF-FFFF02000000}">
  <cacheSource type="worksheet">
    <worksheetSource name="Table1"/>
  </cacheSource>
  <cacheFields count="14">
    <cacheField name="acct#" numFmtId="0">
      <sharedItems containsSemiMixedTypes="0" containsString="0" containsNumber="1" containsInteger="1" minValue="43300" maxValue="68320"/>
    </cacheField>
    <cacheField name="Account Description" numFmtId="0">
      <sharedItems/>
    </cacheField>
    <cacheField name="Date" numFmtId="0">
      <sharedItems containsDate="1" containsMixedTypes="1" minDate="2014-06-30T00:00:00" maxDate="2014-07-01T00:00:00"/>
    </cacheField>
    <cacheField name="Transaction Type" numFmtId="0">
      <sharedItems/>
    </cacheField>
    <cacheField name="Num" numFmtId="0">
      <sharedItems containsBlank="1" containsMixedTypes="1" containsNumber="1" containsInteger="1" minValue="1" maxValue="1238"/>
    </cacheField>
    <cacheField name="Name" numFmtId="0">
      <sharedItems containsBlank="1" count="806">
        <m/>
        <s v="Marlo Steinke"/>
        <s v="Melani Dizon"/>
        <s v="Individual Donations"/>
        <s v="Health Care Service Corp"/>
        <s v="Techsoup"/>
        <s v="USPS"/>
        <s v="Fedexoffice"/>
        <s v="OfficeMax"/>
        <s v="Staples"/>
        <s v="Ryan S. Sewing"/>
        <s v="paypal"/>
        <s v="Jan DeMaggio"/>
        <s v="Tammy Johnson"/>
        <s v="Walgreens"/>
        <s v="Katie Ebbers"/>
        <s v="Lowe's"/>
        <s v="Einstein Bros"/>
        <s v="Pioneer Ace Ha"/>
        <s v="Target"/>
        <s v="Diana Tuggle"/>
        <s v="Metro Court"/>
        <s v="First Impression"/>
        <s v="Best Buy"/>
        <s v="Birdease Systems"/>
        <s v="Communit"/>
        <s v="michaels"/>
        <s v="Cash"/>
        <s v="Hob Lob"/>
        <s v="Wal-Mart"/>
        <s v="Big Lots"/>
        <s v="Wayfair Wayfair"/>
        <s v="Southwest Futon"/>
        <s v="Amazon"/>
        <s v="Bottle Your Brand"/>
        <s v="Tanoan Country Cl"/>
        <s v="Zuna Corp"/>
        <s v="Golf Mart"/>
        <s v="Elelsior Orthopaedics, LLP"/>
        <s v="Home Goods"/>
        <s v="Jordans Furniture"/>
        <s v="Jo-Ann Stores"/>
        <s v="Melinda Cabanilla"/>
        <s v="Benicia Yact Club"/>
        <s v="Eventbrite"/>
        <s v="Fed Ex"/>
        <s v="Ed Pardo"/>
        <s v="Domain Hosting"/>
        <s v="Subway"/>
        <s v="Dunkin Donuts"/>
        <s v="Guild Craft Arts and Crafts"/>
        <s v="The Coming Wave"/>
        <s v="Light Mini In"/>
        <s v="Home Depot"/>
        <s v="Sweet Jack"/>
        <s v="Burlington Coat"/>
        <s v="Bed Bath &amp; Beyond"/>
        <s v="Ruthie Rowsiglio"/>
        <s v="Hobby Lobby"/>
        <s v="Dirt Cheap TVs"/>
        <s v="Thruway Hardwood"/>
        <s v="Gui S Lumber"/>
        <s v="Sears"/>
        <s v="Tim Horton's"/>
        <s v="Wegman's"/>
        <s v="Skype"/>
        <s v="Pottery Barn"/>
        <s v="Overstock"/>
        <s v="The Home Depot"/>
        <s v="Oogie Games Willi"/>
        <s v="Kohl's"/>
        <s v="Pole Position Rac"/>
        <s v="Ruthie Consiglio"/>
        <s v="IKEA"/>
        <s v="Cv Linens"/>
        <s v="Dash's Market"/>
        <s v="Christmas Tree"/>
        <s v="Melanie Dianetti"/>
        <s v="Beverly Olsen"/>
        <s v="Rebecca Seelbinder"/>
        <s v="Ruth Consiglio"/>
        <s v="Mike Regan"/>
        <s v="Bargain Outlet"/>
        <s v="June Bosworth"/>
        <s v="David Falgiano"/>
        <s v="Mary Chesney"/>
        <s v="Printroc Inc Roch"/>
        <s v="SaxMan Slim"/>
        <s v="dollar Tree"/>
        <s v="Mischler's Floris"/>
        <s v="Salvatore's Italian Gardens"/>
        <s v="Angie Amaro"/>
        <s v="Bank Of America"/>
        <s v="Chipolte"/>
        <s v="Pak n Post"/>
        <s v="Aaron Brothers"/>
        <s v="Toys R Us"/>
        <s v="Nugget Markets"/>
        <s v="Round Table"/>
        <s v="Tile Outlet"/>
        <s v="Lowes"/>
        <s v="Shell"/>
        <s v="Extra Space"/>
        <s v="Verizon"/>
        <s v="Naomie Wert"/>
        <s v="Muraldire"/>
        <s v="Orchard Supply"/>
        <s v="Credit"/>
        <s v="Rachelle Concepria"/>
        <s v="Mancini's Sleepw"/>
        <s v="Nob Hill"/>
        <s v="CVS"/>
        <s v="Tap Plastics"/>
        <s v="Richard's"/>
        <s v="Party City"/>
        <s v="Bay Books"/>
        <s v="Richard's Alamo"/>
        <s v="Petco"/>
        <s v="Marshalls"/>
        <s v="Pleasanton Glass"/>
        <s v="Sean Alexander"/>
        <s v="Kim Carolo"/>
        <s v="Corner Store"/>
        <s v="Nancy Tatara"/>
        <s v="Emilia Viveiros"/>
        <s v="Naomie West"/>
        <s v="Niki Cardillo"/>
        <s v="Pleasanton Rentals"/>
        <s v="Cammie Cavros"/>
        <s v="Stan Bochenek"/>
        <s v="Bassett Furniture"/>
        <s v="Ashley Furnitu"/>
        <s v="Kmart"/>
        <s v="factory card outlet"/>
        <s v="Becky Winks"/>
        <s v="Childrens Fair Ch"/>
        <s v="Westernbi"/>
        <s v="Etsy Com"/>
        <s v="The Disney Store"/>
        <s v="Garden Ridge"/>
        <s v="Dick's Clothing"/>
        <s v="The Barn Nurse"/>
        <s v="Cost Plus World Market"/>
        <s v="Mattress Firm"/>
        <s v="Products by PaulPaul"/>
        <s v="Feld Entertainment, Inc"/>
        <s v="Blu Specialspaces"/>
        <s v="Vistaprint"/>
        <s v="Macy's"/>
        <s v="McDonald's"/>
        <s v="Lori McSpadden"/>
        <s v="Sarpinos Pizzeria"/>
        <s v="Panera Bread"/>
        <s v="Lou Malnati's Pizza"/>
        <s v="Mancini's pizza"/>
        <s v="Kirkland's"/>
        <s v="Office Depot"/>
        <s v="Tony Champion"/>
        <s v="Deb Gilbert"/>
        <s v="Lamps Plus"/>
        <s v="Land of Nod"/>
        <s v="TJ Maxx"/>
        <s v="Savers Hoffm"/>
        <s v="Zonalee"/>
        <s v="Fabric.com"/>
        <s v="J C Licht"/>
        <s v="Goodwill Retail"/>
        <s v="Kellie Hansen"/>
        <s v="Gordmans Inc Sto"/>
        <s v="Stein  Mart"/>
        <s v="Savers Saint"/>
        <s v="Carol Stream"/>
        <s v="Leader Board"/>
        <s v="Kelly Knox"/>
        <s v="Stein Mart"/>
        <s v="Pb Teen E"/>
        <s v="Jewel"/>
        <s v="Discount Mattress"/>
        <s v="old time pottery"/>
        <s v="Carol Scogna"/>
        <s v="giftcards.com"/>
        <s v="Bcrafty"/>
        <s v="Cacioffal"/>
        <s v="H.H. Gregg"/>
        <s v="Traceydan"/>
        <s v="Savers Naper"/>
        <s v="Meijer"/>
        <s v="Barbara Rota"/>
        <s v="Downeast"/>
        <s v="Banbury Fair, Inc"/>
        <s v="Havefive"/>
        <s v="Discovery Retail Shop"/>
        <s v="The Salvation Arm"/>
        <s v="Menard"/>
        <s v="JCPenney"/>
        <s v="Crate &amp; Barrel"/>
        <s v="Affordable Antiques"/>
        <s v="Half Price Books"/>
        <s v="Northwestern University"/>
        <s v="Little Luxuries"/>
        <s v="Savers"/>
        <s v="Amy Eiduke"/>
        <s v="Barbara Roth"/>
        <s v="Jyphant"/>
        <s v="Goodwill"/>
        <s v="Events with Pizzaz"/>
        <s v="White Eagle Country Club"/>
        <s v="BP"/>
        <s v="Fashion Shop"/>
        <s v="Pureseaso"/>
        <s v="Smmrp"/>
        <s v="Yasong"/>
        <s v="Spikedjos"/>
        <s v="Nktrading"/>
        <s v="Taylorbre"/>
        <s v="Divine Consign"/>
        <s v="Jordans Modern Br"/>
        <s v="Sunoco"/>
        <s v="Visa Mini Storag"/>
        <s v="Visa Cb One"/>
        <s v="Visa Habitat For"/>
        <s v="Visa Fort Rapids"/>
        <s v="Kelly's Wholesale"/>
        <s v="Giant"/>
        <s v="PPG Architect"/>
        <s v="RugsUSA.com"/>
        <s v="Dawn Gunoe"/>
        <s v="Community Foundation"/>
        <s v="The Home D"/>
        <s v="tuesday morning"/>
        <s v="Hob Lob Pu"/>
        <s v="Pier 1 Imports"/>
        <s v="Art.com"/>
        <s v="Costco"/>
        <s v="Ross"/>
        <s v="Main Event Entert"/>
        <s v="99 Cents Only"/>
        <s v="Caldwell Zoo"/>
        <s v="Anna's Linens"/>
        <s v="Brookshire's"/>
        <s v="Transaction credit"/>
        <s v="Mixed Bag Designs"/>
        <s v="Wawa"/>
        <s v="UPS"/>
        <s v="Gallery Pizza Eri"/>
        <s v="Luigi's Pizza"/>
        <s v="Sweet Retreat Kid"/>
        <s v="Kim Resnick"/>
        <s v="Vertical Blind Fa"/>
        <s v="U-Haul"/>
        <s v="Castors Auto Amp"/>
        <s v="Jm Screen"/>
        <s v="Quickone"/>
        <s v="Totallywi"/>
        <s v="Magicmurals Com"/>
        <s v="Ken Markiewicz"/>
        <s v="Kimberly Resnick"/>
        <s v="US Bank"/>
        <s v="Expedia"/>
        <s v="us Airways"/>
        <s v="Safeway"/>
        <s v="Campus Emporium"/>
        <s v="penking"/>
        <s v="Threshold"/>
        <s v="Square Party Business"/>
        <s v="Xiaoyan"/>
        <s v="Sixstarsa"/>
        <s v="Wholesale flooring"/>
        <s v="Mellissa Meeks"/>
        <s v="Shindigzs"/>
        <s v="Unique"/>
        <s v="Heart and Home"/>
        <s v="Sticks"/>
        <s v="Monitosbo"/>
        <s v="Square Inc Des"/>
        <s v="Imprint"/>
        <s v="Amazon Marketplace"/>
        <s v="Fulton Paper"/>
        <s v="Pamma Jewelry Too"/>
        <s v="De Park Restaurant"/>
        <s v="Trendz"/>
        <s v="La Casa Pasta"/>
        <s v="WalMart"/>
        <s v="Photo Art"/>
        <s v="Culver's Garden"/>
        <s v="Anderson"/>
        <s v="Video Games Etc"/>
        <s v="Anderson Lumber"/>
        <s v="American Flooring"/>
        <s v="Minnesota Furniture"/>
        <s v="Carlislerya"/>
        <s v="Just Give"/>
        <s v="Special Spaces"/>
        <s v="Urban Twiggs"/>
        <s v="Boca Bargoons Tampa"/>
        <s v="Phoebe"/>
        <s v="Paris Market"/>
        <s v="Lovely pap"/>
        <s v="Im Improvements"/>
        <s v="Home Click"/>
        <s v="Allegrofa"/>
        <s v="Warehouse"/>
        <s v="Online Fabric Store"/>
        <s v="Allegro Fabrics"/>
        <s v="Old McMicky's Farm"/>
        <s v="Prp Wine Intl"/>
        <s v="Sam's Club"/>
        <s v="Debra Martin"/>
        <s v="Steinhafels Furniture"/>
        <s v="Viking Sewing"/>
        <s v="ShopKo"/>
        <s v="Sherwin Williams"/>
        <s v="Christine Williquette"/>
        <s v="Mike Bailey"/>
        <s v="Kate Pringle"/>
        <s v="Belvedere"/>
        <s v="PCR"/>
        <s v="Menards"/>
        <s v="NNT Restore"/>
        <s v="Gamestop"/>
        <s v="Martin's Hardware"/>
        <s v="Stripe"/>
        <s v="Kings Ransom"/>
        <s v="A Zinn Storage"/>
        <s v="Kristi Tankersley"/>
        <s v="Amy Bird"/>
        <s v="ACS of Texas"/>
        <s v="Restored Home LLC"/>
        <s v="Amazon Smile"/>
        <s v="Asap Cory Graph"/>
        <s v="Vanilla Sugar Bakers"/>
        <s v="Tree Guys Pizza"/>
        <s v="Jimmy John's"/>
        <s v="Norton"/>
        <s v="Hayneedle Inc Htt"/>
        <s v="Back to Bed"/>
        <s v="Photos by Shutt"/>
        <s v="Leslie Gail"/>
        <s v="Ace Hardware"/>
        <s v="Pottery Barn Kids"/>
        <s v="Legacy"/>
        <s v="Therese Daris"/>
        <s v="Fast Spring Software"/>
        <s v="Jubilee"/>
        <s v="Elizabeth Travers"/>
        <s v="Walter E Smithe"/>
        <s v="Art Van Furniture"/>
        <s v="Lumber Liquidators"/>
        <s v="Five Below B"/>
        <s v="DMITriyla"/>
        <s v="Owl Hardwood Lumber"/>
        <s v="Bon-Ton, Inc"/>
        <s v="Blue Cotton"/>
        <s v="Buikema's Ace"/>
        <s v="Driven"/>
        <s v="Nordstrom"/>
        <s v="ABT Electronics"/>
        <s v="Country yd"/>
        <s v="Gordmans"/>
        <s v="Scott Bechen"/>
        <s v="Company Store"/>
        <s v="US Bank National"/>
        <s v="Ingles Gas"/>
        <s v="Exxon"/>
        <s v="Pilot Travel Center"/>
        <s v="Papa John's"/>
        <s v="Rotio's Pizzeria"/>
        <s v="Aquarium Purcha"/>
        <s v="Chris Lamberson"/>
        <s v="Marvin's Inc"/>
        <s v="Melanie Lamberson"/>
        <s v="Brown Squirrel Fu"/>
        <s v="Crossing The Jord"/>
        <s v="Mancini's Sleepwo"/>
        <s v="Sleep City Santa"/>
        <s v="Tennessee Venture"/>
        <s v="Dollar General"/>
        <s v="Furniture Outlet"/>
        <s v="Cooper Supply"/>
        <s v="John Deere Lanscaping"/>
        <s v="Jet Pep Besse"/>
        <s v="The Pontchartrain"/>
        <s v="TGI Friday's"/>
        <s v="317 W Montvale"/>
        <s v="Enterprise Rent-A-Car"/>
        <s v="Hannaford"/>
        <s v="Used Book Superstore"/>
        <s v="Woodland Lanes"/>
        <s v="Along the Road Arts"/>
        <s v="The UPS Store"/>
        <s v="Visa Mequon Copy"/>
        <s v="confluence Graphics"/>
        <s v="Jimmy Johns"/>
        <s v="Cory ASAP"/>
        <s v="Hy Vee"/>
        <s v="Visa Sherwin Wil"/>
        <s v="Elliots"/>
        <s v="Sendiks"/>
        <s v="Crayons Gone Wild"/>
        <s v="Chris Swain"/>
        <s v="Kim Hafeman"/>
        <s v="Kathy Schmidt"/>
        <s v="Oriental Trading"/>
        <s v="confluene"/>
        <s v="Milwaukee Athletic Club"/>
        <s v="Harley Davidson Museum"/>
        <s v="Fast Signs"/>
        <s v="Rojahn and Malaney"/>
        <s v="Julie McBride"/>
        <s v="Visa Confluence"/>
        <s v="The Great Frame UP"/>
        <s v="Cathy Wotfla"/>
        <s v="Larry's Market"/>
        <s v="Marriott"/>
        <s v="Logan Productions"/>
        <s v="California Coast Auctions"/>
        <s v="Life Productions"/>
        <s v="Greater Giving"/>
        <s v="Levy Restaurant"/>
        <s v="Patricia O'Brian"/>
        <s v="Connie Campbell"/>
        <s v="Canopies"/>
        <s v="Barbara Zabors"/>
        <s v="Domino's Pizza"/>
        <s v="Furniture.com"/>
        <s v="Spoonflower"/>
        <s v="Chelsey Green"/>
        <s v="Mpls Conv Ctr"/>
        <s v="Interface Flooring"/>
        <s v="Che Bella Interiors, LLC"/>
        <s v="Downtown Auto Parts"/>
        <s v="Casey's"/>
        <s v="United HealthCare"/>
        <s v="Strait Stuff"/>
        <s v="My Fairy"/>
        <s v="Ocg LLC"/>
        <s v="Wangg"/>
        <s v="Paper Source"/>
        <s v="Houzz"/>
        <s v="Holiday StnStore"/>
        <s v="Kohls"/>
        <s v="Cub Foods"/>
        <s v="Laura Purcell"/>
        <s v="Simply Seq"/>
        <s v="Deny Designs"/>
        <s v="Www Fax Com"/>
        <s v="Allen Land"/>
        <s v="Store It Go"/>
        <s v="Cheryl Snow"/>
        <s v="Troy Carpet Inc"/>
        <s v="Family Chr"/>
        <s v="Troy Carpet"/>
        <s v="Mr. B's Resale LLC"/>
        <s v="Gray's Carpet"/>
        <s v="Troy Furniture"/>
        <s v="Amazon.com"/>
        <s v="Hershel's Custom Signs"/>
        <s v="Memory Lane"/>
        <s v="Kroger"/>
        <s v="Bass Pro Shops"/>
        <s v="Fabrics LLC"/>
        <s v="Essex Grassmere"/>
        <s v="Mattress Express"/>
        <s v="Tammy Bradford"/>
        <s v="Schaedler Insurance"/>
        <s v="Toyota Motor Engineering"/>
        <s v="Anne Strunk"/>
        <s v="Square Inc."/>
        <s v="Cypress Engine"/>
        <s v="Enterprise Holdings"/>
        <s v="Florida Medical Clinic Foundation"/>
        <s v="Coldwell Banker Charitable Foundation"/>
        <s v="Secretary Of State"/>
        <s v="Corporation Service Company"/>
        <s v="State of AR"/>
        <s v="Charitable Trust and Solicitations Bureau"/>
        <s v="Department of Financial Institution"/>
        <s v="National Registered Agents"/>
        <s v="Attorney General's Registry of Charitable Tr"/>
        <s v="Office of the Secretary of State"/>
        <s v="NYS Department of Law"/>
        <s v="WI dep of Finance"/>
        <s v="Office of NM"/>
        <s v="Illinois Charity Bureau Fund"/>
        <s v="North Carolina Department of Secretary of State"/>
        <s v="Oag Char Law Trust"/>
        <s v="L Gcharitable Sol"/>
        <s v="State of Michigan"/>
        <s v="MO Secretary of State"/>
        <s v="Jesse White Secretary of State"/>
        <s v="Cps of TN VOL"/>
        <s v="Tennessee Secretary of State"/>
        <s v="Delaware Secretary of State"/>
        <s v="FDACS"/>
        <s v="Department of Commerce and Consumer Affairs"/>
        <s v="Commonwealth of Pennsylvania"/>
        <s v="S.O.S. Registration"/>
        <s v="WI dept of Revenue"/>
        <s v="Intuit"/>
        <s v="Net Gain Corporation"/>
        <s v="Donor Tools"/>
        <s v="Ctc Constantconta"/>
        <s v="Foundation Center"/>
        <s v="D H Leonard Consulting &amp; Grant Writing Services LLC"/>
        <s v="Scribner Cohen"/>
        <s v="Trend Micro"/>
        <s v="Knoxville Leaf and Lawn"/>
        <s v="WCI of TN"/>
        <s v="Esh Techprotect P"/>
        <s v="WKUD"/>
        <s v="LCUB"/>
        <s v="Comcast"/>
        <s v="Safe T"/>
        <s v="Delta"/>
        <s v="County Limo Fol"/>
        <s v="United"/>
        <s v="Metropolitan Knox"/>
        <s v="Renaissance Hotel"/>
        <s v="orbitz"/>
        <s v="Kangaroo Exp"/>
        <s v="E Z Stop"/>
        <s v="Yellow cab company"/>
        <s v="Budget Truck"/>
        <s v="Direct Mail Services"/>
        <s v="Dri Printing Serv"/>
        <s v="Business Graphics"/>
        <s v="Chromagraphics"/>
        <s v="Dlx Ps Print"/>
        <s v="Corner Bakery"/>
        <s v="Faith Glazer"/>
        <s v="Country Inn N"/>
        <s v="Aubreys Cedar Blu"/>
        <s v="Lori Beth Lemmon"/>
        <s v="Potawatomi Fire"/>
        <s v="Calhoun's"/>
        <s v="Sew N Vac"/>
        <s v="Clinton Highway Self Storage"/>
        <s v="Jennifer A. Swain"/>
        <s v="Sunbiz Org Fl"/>
        <s v="Dcvwebstores"/>
        <s v="Petsmart"/>
        <s v="Mattfirm M"/>
        <s v="Christina Kozemchok"/>
        <s v="Litte Peoples"/>
        <s v="Michael Ramsay"/>
        <s v="Red Zone"/>
        <s v="Rooms To Go"/>
        <s v="Danijohnsoncom"/>
        <s v="Hyatt"/>
        <s v="Jobs That Serve"/>
        <s v="The Chronicle of Philanthrophy"/>
        <s v="Craigslist.org"/>
        <s v="Philadelphia Insurance"/>
        <s v="CIMA"/>
        <s v="BCBS"/>
        <s v="Blue Cross"/>
        <s v="Uninsured Employers Fund"/>
        <s v="Technology Assigned Risk"/>
        <s v="State Compensation Insurance Fund"/>
        <s v="Texas Mutual Insurance"/>
        <s v="Wisconsin Comp Rating Bureau"/>
        <s v="Willis Group"/>
        <s v="Sharon  Schultz"/>
        <s v="Rachelle Ham"/>
        <s v="Chris L. Lamberson"/>
        <s v="city of Knoxville"/>
        <s v="409 West Church"/>
        <s v="Lamar Company"/>
        <s v="Package Source"/>
        <s v="The Public Building Authority"/>
        <s v="Dead End BBQ"/>
        <s v="Smoked hawgs"/>
        <s v="Vanessa Wilkinson"/>
        <s v="Campbell Tent"/>
        <s v="Pete Osborne"/>
        <s v="Sport Seasons"/>
        <s v="VML Foundation"/>
        <s v="BoA Charitable Foundation"/>
        <s v="Jonathan Pendley"/>
        <s v="Sprouts Farmers"/>
        <s v="Nancy Garber"/>
        <s v="Chris Vasquez"/>
        <s v="Chase Hardware"/>
        <s v="Cinnamon Cafe"/>
        <s v="Kathy Whelan"/>
        <s v="Maria Taylor"/>
        <s v="Paul Whitmore"/>
        <s v="Val-U Homes"/>
        <s v="Fire Mountain Gems, Inc"/>
        <s v="Multiple Solutions"/>
        <s v="Raegen Hardie"/>
        <s v="Valu Home Cnt"/>
        <s v="Cheesecake Factory"/>
        <s v="Home Decor"/>
        <s v="Party shop"/>
        <s v="Stacy Ruse"/>
        <s v="Tammy Granger"/>
        <s v="Sue Devine"/>
        <s v="Visa Tuesday Mor"/>
        <s v="Visa Amys Hallma"/>
        <s v="Visa The Home"/>
        <s v="Jerry McGinnis"/>
        <s v="Hob Lob W"/>
        <s v="Ann Swain"/>
        <s v="Visa Sports Plus"/>
        <s v="Visa Aci Fabric"/>
        <s v="Cabinet"/>
        <s v="Piggly Wiggly"/>
        <s v="Metro"/>
        <s v="Bexley Pizza"/>
        <s v="Aldi"/>
        <s v="paypal Maxbmw"/>
        <s v="Dunn-Edwards Corp"/>
        <s v="San Clemente Ball"/>
        <s v="Legoland California"/>
        <s v="Deb Malloy"/>
        <s v="Austin Hardwoods"/>
        <s v="Paula Oblen"/>
        <s v="Sherry Melton"/>
        <s v="nemours"/>
        <s v="Wilkeskin"/>
        <s v="The Used Furnitur"/>
        <s v="That's Amore"/>
        <s v="Deanna Wilks"/>
        <s v="Returned Item From"/>
        <s v="Charles Brown"/>
        <s v="Groupon"/>
        <s v="Homewood Suites"/>
        <s v="Rolls Deli Cafe"/>
        <s v="Outback"/>
        <s v="Dri Kaspersky Com"/>
        <s v="Caspio Inc Santa"/>
        <s v="George Tatara"/>
        <s v="Whole Foods"/>
        <s v="Jennifer Helms-San Francisco"/>
        <s v="Tu Transunion"/>
        <s v="A Bird's Eye Graphics"/>
        <s v="Epoch.com"/>
        <s v="Wcstock"/>
        <s v="Alina Duega"/>
        <s v="Caspio Inc"/>
        <s v="Apple"/>
        <s v="Richert Lumber An"/>
        <s v="Fathead"/>
        <s v="Tapebrothers Com"/>
        <s v="Consignment Furni"/>
        <s v="Kim Carlos"/>
        <s v="Levho"/>
        <s v="Andersatt"/>
        <s v="516 LLC"/>
        <s v="Big Bobs Flooring"/>
        <s v="Daniel Garcia"/>
        <s v="CSI"/>
        <s v="Delta Fair"/>
        <s v="Lauren Agustin"/>
        <s v="Art"/>
        <s v="Zazzle"/>
        <s v="Lighting New York"/>
        <s v="Monster Jam Store"/>
        <s v="Larry Morrison"/>
        <s v="Robert Mason"/>
        <s v="Mgm Resorts Vacat"/>
        <s v="Jump For Joy"/>
        <s v="Sq Special Space"/>
        <s v="Rainbow Ice"/>
        <s v="Kramer Rayson"/>
        <s v="James Hutchison"/>
        <s v="Lakeway Publisher"/>
        <s v="Scott's Home"/>
        <s v="Elsberry Hardware"/>
        <s v="Embroidme Wentzvi"/>
        <s v="Tj Tj M"/>
        <s v="Old Monroe Lumber"/>
        <s v="Ligon Flooring"/>
        <s v="Jackmans Fabri"/>
        <s v="Value City"/>
        <s v="Ag Boutique St"/>
        <s v="Craft"/>
        <s v="Cottleville Crafts"/>
        <s v="Hancock Fabrics"/>
        <s v="QuikTrip"/>
        <s v="Dave &amp; Buster's"/>
        <s v="Ppg Architect P"/>
        <s v="Flaghouse Inc"/>
        <s v="Best Teacher S"/>
        <s v="Scholastic"/>
        <s v="Apery 1216 Artistic Drive"/>
        <s v="Barnes &amp; Noble"/>
        <s v="Teresa Hutton"/>
        <s v="Act St Char"/>
        <s v="Hechler Hardware"/>
        <s v="St. Theodore KC Hall"/>
        <s v="Kimberly Trotter"/>
        <s v="Brian VanKirk"/>
        <s v="The Bed Store"/>
        <s v="Silhouettes"/>
        <s v="Linensource"/>
        <s v="HomeClick.com"/>
        <s v="Look in the Attic"/>
        <s v="Captjimcs"/>
        <s v="Hiddentree"/>
        <s v="Wayfair L"/>
        <s v="KEBM, Inc"/>
        <s v="Sign Hardware"/>
        <s v="Hayneedle"/>
        <s v="Tickethul"/>
        <s v="Touchofclass Touc"/>
        <s v="Basket Warehouse"/>
        <s v="Decorative Fabric"/>
        <s v="Smokey Mountain Kona Ice"/>
        <s v="Orage Hami 1023 City Street"/>
        <s v="Wayfair"/>
        <s v="American Freight"/>
        <s v="Southeastern Salvage"/>
        <s v="RHI Resto"/>
        <s v="Kroger Fuel"/>
        <s v="Travel Insurance"/>
        <s v="Brothers"/>
        <s v="Marathon"/>
        <s v="I Duch"/>
        <s v="Maxim Integratged"/>
        <s v="Chick Fil A"/>
        <s v="Ashley Furniture"/>
        <s v="Shara Kirk"/>
        <s v="Karen McKinnon"/>
        <s v="Blizzard Entertainment"/>
        <s v="West Elm"/>
        <s v="Burke Decor"/>
        <s v="A Plus Warehouse"/>
        <s v="Ruth Wharton"/>
        <s v="Eb Fall Fusion"/>
        <s v="Team Fan Shop"/>
        <s v="Nu Vision Marketing"/>
        <s v="Morgan Stanley"/>
        <s v="UH Parking"/>
        <s v="DezignzwithAZ"/>
        <s v="Simply Baby Furniture"/>
        <s v="Natl Biz Furniture"/>
        <s v="Empire"/>
        <s v="Achievement Productions"/>
        <s v="Lori B. Lemmon"/>
        <s v="Debbie Byers"/>
        <s v="Grapevine"/>
        <s v="Garnet Hill"/>
        <s v="Payless"/>
        <s v="Deluxe Checks"/>
        <s v="Hosanna Fellowship"/>
        <s v="Little Caesars"/>
        <s v="The Chop House"/>
        <s v="Old Navy"/>
        <s v="The Party Corner"/>
        <s v="Earth Fare"/>
        <s v="Wpy Tim Flannagan"/>
        <s v="Plow &amp; Hearth"/>
        <s v="Builders First Source"/>
        <s v="Gourmet Com"/>
        <s v="Tamara Marshall"/>
        <s v="Gracious Designs"/>
        <s v="Colonial Heights"/>
        <s v="Music Doctors"/>
        <s v="Fine Art America"/>
        <s v="Oriental Furniture"/>
        <s v="Allen Carpet And"/>
        <s v="Hearthsong"/>
        <s v="Gardner White Fur"/>
        <s v="Customized Teez A"/>
        <s v="J.Crew"/>
        <s v="Brand Zilla"/>
        <s v="Katie Martin"/>
        <s v="Danny Granger"/>
        <s v="Ncmodfurn"/>
        <s v="Mattress Warehous"/>
        <s v="Hughie And Louie"/>
        <s v="Harris Te P"/>
        <s v="Cheryl McConnell"/>
        <s v="Matt Simmons"/>
        <s v="Jerry's Artarama"/>
        <s v="U S Bank"/>
        <s v="United Air"/>
        <s v="Starbucks"/>
        <s v="Facebook"/>
        <s v="Tucsons"/>
        <s v="PB Teen"/>
        <s v="Stuffed Ark"/>
        <s v="Cabela's"/>
        <s v="Woodworker's"/>
        <s v="Lou's One Stop"/>
        <s v="Mill's Fleet Farm"/>
        <s v="Stein Gardens"/>
        <s v="Potawatomi Hotel"/>
        <s v="Walters Loft"/>
        <s v="Wilderness Hotel"/>
        <s v="A. Fillinger"/>
        <s v="Overstock.com"/>
        <s v="Neiman Marcus"/>
        <s v="Tlf Barbs Green"/>
        <s v="Pam Schuh"/>
        <s v="State of Wisconsin"/>
        <s v="Wisconsin Media"/>
        <s v="Catherine J. Wolfla"/>
        <s v="Pick 'n Save"/>
        <s v="Wisconsin Building Supply"/>
        <s v="JJJ Carpets and Cabinets"/>
        <s v="Tim Morrissey"/>
        <s v="SENN"/>
        <s v="David Bognar"/>
      </sharedItems>
    </cacheField>
    <cacheField name="Class" numFmtId="0">
      <sharedItems count="78">
        <s v="National"/>
        <s v="New Mexico- Albuquerque"/>
        <s v="Massachusetts-Boston"/>
        <s v="NewYork-Buffalo"/>
        <s v="California-Sacramento"/>
        <s v="California-San Francisco"/>
        <s v="Tennessee-Chattanooga"/>
        <s v="Illinois-Chicago"/>
        <s v="California-Orange County"/>
        <s v="SouthCarolina-Columbia"/>
        <s v="Ohio-Columbus"/>
        <s v="Texas-Dallas"/>
        <s v="Delaware-Newark"/>
        <s v="Florida-Panama City"/>
        <s v="Florida-Tampa"/>
        <s v="Wisconsin-Green Bay"/>
        <s v="Hawaii"/>
        <s v="Texas-Houston"/>
        <s v="Iowa-Dubuque"/>
        <s v="Tennessee-Knoxville"/>
        <s v="Nevada-Las Vegas"/>
        <s v="Michigan-Tri Co Mich"/>
        <s v="Wisconsin-Milwaukee"/>
        <s v="Minnesota-Minneapolis"/>
        <s v="Missouri-St. Louis"/>
        <s v="Florida - Miami"/>
        <s v="Pennsylvania-NEPA"/>
        <s v="New York-Long Island"/>
        <s v="NorthCarolina-Triangle"/>
        <s v="Wisconsin-Northshore"/>
        <s v="Pennsylvania-Pitt -Metro"/>
        <s v="Pennsylvania-SW Pa"/>
        <s v="Tennessee-Nashville"/>
        <s v="Texas-San Antonio"/>
        <s v="Tennessee-Knox UT"/>
        <s v="Tennessee - State"/>
        <s v="Tennessee-Tri Cities"/>
        <s v="Texas - State"/>
        <s v="Wisconsin Restricted"/>
        <s v="Wisconsin - State"/>
        <s v="Texas - Woodlands"/>
        <s v="Ohio Restricted" u="1"/>
        <s v="Milwaukee" u="1"/>
        <s v="Tri Counties Mich" u="1"/>
        <s v="Tri Cities" u="1"/>
        <s v="Pitt -Metro" u="1"/>
        <s v="Minneapolis" u="1"/>
        <s v="Sacramento" u="1"/>
        <s v="Green Bay" u="1"/>
        <s v="Boston" u="1"/>
        <s v="Albuquerque" u="1"/>
        <s v="Orange County" u="1"/>
        <s v="Columbia" u="1"/>
        <s v="Las Vegas" u="1"/>
        <s v="SW Pa" u="1"/>
        <s v="Dubuque" u="1"/>
        <s v="Northshore" u="1"/>
        <s v="Miami" u="1"/>
        <s v="Triangle" u="1"/>
        <s v="San Antonio" u="1"/>
        <s v="St. Louis" u="1"/>
        <s v="San Francisco" u="1"/>
        <s v="Houston" u="1"/>
        <s v="Columbus" u="1"/>
        <s v="Tampa" u="1"/>
        <s v="Knoxville" u="1"/>
        <s v="Texas" u="1"/>
        <s v="Panama City" u="1"/>
        <s v="Chicago" u="1"/>
        <s v="Dallas" u="1"/>
        <s v="NEPA" u="1"/>
        <s v="Delaware" u="1"/>
        <s v="Woodlands" u="1"/>
        <s v="New York" u="1"/>
        <s v="Nashville" u="1"/>
        <s v="Chattanooga" u="1"/>
        <s v="Buffalo" u="1"/>
        <s v="New Mexico" u="1"/>
      </sharedItems>
    </cacheField>
    <cacheField name="Admin Prog Fund" numFmtId="0">
      <sharedItems count="7">
        <s v="Fundraising"/>
        <s v="Program"/>
        <s v="Fundraising - Expenses Direct"/>
        <s v="Fundraising - Inkind"/>
        <s v="Administrative"/>
        <s v="Fundraising - Expenses"/>
        <s v="Pro" u="1"/>
      </sharedItems>
    </cacheField>
    <cacheField name="Column2" numFmtId="0">
      <sharedItems containsBlank="1" count="56">
        <s v="New Director Fees"/>
        <s v="Direct Public Support"/>
        <s v="Books, Subscriptions, Reference"/>
        <s v="Postage, Mailing Service"/>
        <s v="Supplies"/>
        <s v="Material for Rooms Expense"/>
        <s v="Advertising Expense"/>
        <s v="Fundraising Expense -  Direct"/>
        <s v="Gifts in kind - Services"/>
        <s v="Gifts in Kind - Goods"/>
        <s v="In-Kind Goods"/>
        <s v="In-Kind Services"/>
        <s v="Website Design"/>
        <s v="Volunteer Hospitality"/>
        <s v="Bank Service Charges"/>
        <s v="Travel Expense"/>
        <s v="Rent"/>
        <s v="Telephone, Telecommunications"/>
        <s v="Staff Development"/>
        <s v="Paypal Expense"/>
        <s v="Printing and Copying"/>
        <s v="Donated Prof Fees, Facilities"/>
        <s v="Foundation and Trust Grants"/>
        <s v="Business Registration Fees"/>
        <s v="Accounting Fees"/>
        <s v="Affiliate Background Checks"/>
        <s v="Fundraising Fees"/>
        <s v="Professional Fees"/>
        <s v="Outside Contract Services"/>
        <s v="Office Maintenance"/>
        <s v="Utilities"/>
        <s v="Program Expenses"/>
        <s v=" Meals Expense"/>
        <s v="Insurance - Liability, D and O"/>
        <s v="Employee Health Insurance"/>
        <s v="Workers Compensation Insurance"/>
        <s v="WAGES"/>
        <s v="Conference, Convention, Meeting"/>
        <s v="Fundraisers"/>
        <s v="Miscellaneous Revenue"/>
        <m u="1"/>
        <s v="Fund Raising Expenses Indirect" u="1"/>
        <s v=" Affiliate Background Checks" u="1"/>
        <s v="Affiliated Org. Contributions" u="1"/>
        <s v="Travel" u="1"/>
        <s v="Advertising Expenses" u="1"/>
        <s v="Donated Facilities" u="1"/>
        <s v="Fund Raising Activities Income" u="1"/>
        <s v=" Business Registration Fees" u="1"/>
        <s v="Local Government Grants" u="1"/>
        <s v="Credit Card Processing Fee" u="1"/>
        <s v="Supplies/Office Expense" u="1"/>
        <s v="Material for Rooms" u="1"/>
        <s v="Advertising/Publicity Expense" u="1"/>
        <s v="Rent/Storage" u="1"/>
        <s v="Automobile Expenses" u="1"/>
      </sharedItems>
    </cacheField>
    <cacheField name="Memo/Description" numFmtId="0">
      <sharedItems containsBlank="1"/>
    </cacheField>
    <cacheField name="Split" numFmtId="0">
      <sharedItems/>
    </cacheField>
    <cacheField name="Amount" numFmtId="0">
      <sharedItems containsSemiMixedTypes="0" containsString="0" containsNumber="1" minValue="-44781.26" maxValue="90720"/>
    </cacheField>
    <cacheField name="Balance" numFmtId="0">
      <sharedItems containsString="0" containsBlank="1" containsNumber="1" minValue="-44781.26" maxValue="313543.61"/>
    </cacheField>
    <cacheField name="DrCr" numFmtId="0">
      <sharedItems containsSemiMixedTypes="0" containsString="0" containsNumber="1" minValue="-90720" maxValue="44781.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n v="10352"/>
    <s v="* US Bank Green Bay 5006"/>
    <x v="0"/>
    <n v="467.01"/>
  </r>
  <r>
    <n v="10522"/>
    <s v="*US Bank - Milwaukee"/>
    <x v="1"/>
    <n v="113887.89"/>
  </r>
  <r>
    <n v="10418"/>
    <s v="*US Bank Cincinnati"/>
    <x v="2"/>
    <n v="332.33"/>
  </r>
  <r>
    <n v="10417"/>
    <s v="*US Bank Columbus"/>
    <x v="3"/>
    <n v="2381.7199999999998"/>
  </r>
  <r>
    <n v="10355"/>
    <s v="*US Bank- Dubuque-4021"/>
    <x v="4"/>
    <n v="531.16999999999996"/>
  </r>
  <r>
    <n v="10181"/>
    <s v="*US Bank National 5014"/>
    <x v="5"/>
    <n v="7220.76"/>
  </r>
  <r>
    <n v="10903"/>
    <s v="*US Bank Wisc-Northshore"/>
    <x v="6"/>
    <n v="4415.0200000000004"/>
  </r>
  <r>
    <n v="10178"/>
    <s v="*US Bank-Ohio Restriced 4603"/>
    <x v="7"/>
    <n v="49.71"/>
  </r>
  <r>
    <n v="10103"/>
    <s v="Austin"/>
    <x v="8"/>
    <n v="125.88"/>
  </r>
  <r>
    <n v="10405"/>
    <s v="BoA Boston 3100"/>
    <x v="9"/>
    <n v="1930.83"/>
  </r>
  <r>
    <n v="10414"/>
    <s v="BoA Chicago 8350"/>
    <x v="10"/>
    <n v="3869.32"/>
  </r>
  <r>
    <n v="10310"/>
    <s v="BoA Columbia 4798"/>
    <x v="11"/>
    <n v="1077.08"/>
  </r>
  <r>
    <n v="10543"/>
    <s v="BoA Dallas, Texas 8389"/>
    <x v="12"/>
    <n v="528.63"/>
  </r>
  <r>
    <n v="10340"/>
    <s v="BoA Delaware 5700"/>
    <x v="13"/>
    <n v="1981.52"/>
  </r>
  <r>
    <n v="10435"/>
    <s v="BoA Miami-Mitchell"/>
    <x v="14"/>
    <n v="0"/>
  </r>
  <r>
    <n v="10910"/>
    <s v="BoA NEPA 8719"/>
    <x v="15"/>
    <n v="623.85"/>
  </r>
  <r>
    <n v="10750"/>
    <s v="BoA Panama City 7873"/>
    <x v="16"/>
    <n v="32.64"/>
  </r>
  <r>
    <n v="10850"/>
    <s v="BoA Pittsburgh 3133"/>
    <x v="17"/>
    <n v="32.19"/>
  </r>
  <r>
    <n v="10428"/>
    <s v="BoA Sacramento"/>
    <x v="18"/>
    <n v="174"/>
  </r>
  <r>
    <n v="10536"/>
    <s v="BoA San Antonio 2317"/>
    <x v="19"/>
    <n v="163.18"/>
  </r>
  <r>
    <n v="10549"/>
    <s v="BoA Tampa - 8376"/>
    <x v="20"/>
    <n v="319.93"/>
  </r>
  <r>
    <n v="10494"/>
    <s v="BoA Toledo 8363"/>
    <x v="14"/>
    <n v="0"/>
  </r>
  <r>
    <n v="10497"/>
    <s v="BoA Tri Cities Restricted 0921"/>
    <x v="21"/>
    <n v="13251.88"/>
  </r>
  <r>
    <n v="10445"/>
    <s v="BoA Tri-Counties Michigan 3090"/>
    <x v="22"/>
    <n v="124.04"/>
  </r>
  <r>
    <n v="10471"/>
    <s v="BofA Albequerque"/>
    <x v="23"/>
    <n v="3881.85"/>
  </r>
  <r>
    <n v="10106"/>
    <s v="BofA Albequerque - 233"/>
    <x v="23"/>
    <n v="1955.89"/>
  </r>
  <r>
    <n v="10411"/>
    <s v="BofA Buffalo"/>
    <x v="24"/>
    <n v="281.57"/>
  </r>
  <r>
    <n v="10451"/>
    <s v="BofA Central Ohio"/>
    <x v="14"/>
    <n v="0"/>
  </r>
  <r>
    <n v="10486"/>
    <s v="BofA Chattanooga"/>
    <x v="25"/>
    <n v="286.47000000000003"/>
  </r>
  <r>
    <n v="10481"/>
    <s v="BofA Cincinnati"/>
    <x v="14"/>
    <n v="0"/>
  </r>
  <r>
    <n v="10416"/>
    <s v="BofA Columbus"/>
    <x v="14"/>
    <n v="0"/>
  </r>
  <r>
    <n v="10489"/>
    <s v="BofA Flat Head Valley"/>
    <x v="14"/>
    <n v="0"/>
  </r>
  <r>
    <n v="10511"/>
    <s v="BofA Houston"/>
    <x v="26"/>
    <n v="6574.62"/>
  </r>
  <r>
    <n v="10512"/>
    <s v="BofA Houston Resticted 0905"/>
    <x v="26"/>
    <n v="82801.55"/>
  </r>
  <r>
    <n v="10531"/>
    <s v="BofA Knoxville"/>
    <x v="27"/>
    <n v="-224.23"/>
  </r>
  <r>
    <n v="10546"/>
    <s v="BofA Las Vegas"/>
    <x v="28"/>
    <n v="-14.14"/>
  </r>
  <r>
    <n v="10441"/>
    <s v="BofA Michigan"/>
    <x v="14"/>
    <n v="0"/>
  </r>
  <r>
    <n v="10521"/>
    <s v="BofA Milwaukee"/>
    <x v="14"/>
    <n v="0"/>
  </r>
  <r>
    <n v="10465"/>
    <s v="BofA Minneapolis"/>
    <x v="29"/>
    <n v="148.38999999999999"/>
  </r>
  <r>
    <n v="10401"/>
    <s v="BofA Nashville"/>
    <x v="30"/>
    <n v="335.32"/>
  </r>
  <r>
    <n v="10516"/>
    <s v="BofA New York"/>
    <x v="31"/>
    <n v="1304.8699999999999"/>
  </r>
  <r>
    <n v="10526"/>
    <s v="BofA Orange County"/>
    <x v="32"/>
    <n v="117.28"/>
  </r>
  <r>
    <n v="10421"/>
    <s v="BofA Phoenix"/>
    <x v="14"/>
    <n v="0"/>
  </r>
  <r>
    <n v="10801"/>
    <s v="BofA Pittsburgh 0220(SWPA)"/>
    <x v="14"/>
    <n v="0"/>
  </r>
  <r>
    <n v="10431"/>
    <s v="BofA San Diego"/>
    <x v="14"/>
    <n v="0"/>
  </r>
  <r>
    <n v="10542"/>
    <s v="BofA San Fran Restricted 0918"/>
    <x v="33"/>
    <n v="21261.27"/>
  </r>
  <r>
    <n v="10541"/>
    <s v="BofA San Francisco"/>
    <x v="33"/>
    <n v="9580.8799999999992"/>
  </r>
  <r>
    <n v="10535"/>
    <s v="BofA Scranton (NEPA) - 4608"/>
    <x v="15"/>
    <n v="-15"/>
  </r>
  <r>
    <n v="10180"/>
    <s v="BofA Spec Spaces National 4695"/>
    <x v="5"/>
    <n v="1479.01"/>
  </r>
  <r>
    <n v="10461"/>
    <s v="BofA St Louis"/>
    <x v="34"/>
    <n v="2031.82"/>
  </r>
  <r>
    <n v="10496"/>
    <s v="BofA Tri Cities"/>
    <x v="21"/>
    <n v="3627.1"/>
  </r>
  <r>
    <n v="10550"/>
    <s v="BofA Triangle Account"/>
    <x v="35"/>
    <n v="49.6"/>
  </r>
  <r>
    <n v="10109"/>
    <s v="Boston-3100"/>
    <x v="9"/>
    <n v="2588.08"/>
  </r>
  <r>
    <n v="10108"/>
    <s v="Buffalo - 259"/>
    <x v="24"/>
    <n v="30393.279999999999"/>
  </r>
  <r>
    <n v="10450"/>
    <s v="Central Ohio Special Spaces6456"/>
    <x v="14"/>
    <n v="0"/>
  </r>
  <r>
    <n v="10110"/>
    <s v="Chattanooga - 4598"/>
    <x v="25"/>
    <n v="3864.51"/>
  </r>
  <r>
    <n v="10111"/>
    <s v="Chicago 8350"/>
    <x v="10"/>
    <n v="17327.900000000001"/>
  </r>
  <r>
    <n v="10112"/>
    <s v="Cincinnati - 097"/>
    <x v="2"/>
    <n v="130.84"/>
  </r>
  <r>
    <n v="10115"/>
    <s v="Columbia, SC 4798"/>
    <x v="11"/>
    <n v="350.05"/>
  </r>
  <r>
    <n v="10114"/>
    <s v="Columbus - 262"/>
    <x v="3"/>
    <n v="55.71"/>
  </r>
  <r>
    <n v="10211"/>
    <s v="Columbus Restricted"/>
    <x v="3"/>
    <n v="-603.97"/>
  </r>
  <r>
    <n v="10145"/>
    <s v="Dallas, Texas 8389"/>
    <x v="12"/>
    <n v="416.62"/>
  </r>
  <r>
    <n v="10117"/>
    <s v="Delaware"/>
    <x v="13"/>
    <n v="2353.83"/>
  </r>
  <r>
    <n v="10101"/>
    <s v="Feld"/>
    <x v="5"/>
    <n v="6200"/>
  </r>
  <r>
    <n v="10700"/>
    <s v="Ft. Lauderdale Special Spaces"/>
    <x v="14"/>
    <n v="0"/>
  </r>
  <r>
    <n v="10202"/>
    <s v="Green Bay"/>
    <x v="0"/>
    <n v="3282.29"/>
  </r>
  <r>
    <n v="10350"/>
    <s v="Green Bay SpecialSpaces 6753"/>
    <x v="14"/>
    <n v="0"/>
  </r>
  <r>
    <n v="10118"/>
    <s v="Houston - 136"/>
    <x v="26"/>
    <n v="852.12"/>
  </r>
  <r>
    <n v="10119"/>
    <s v="Knox UT"/>
    <x v="36"/>
    <n v="83.64"/>
  </r>
  <r>
    <n v="10120"/>
    <s v="Knoxville - 194"/>
    <x v="27"/>
    <n v="8879.75"/>
  </r>
  <r>
    <n v="10190"/>
    <s v="Knoxville 1 Special Spaces 3604"/>
    <x v="14"/>
    <n v="0"/>
  </r>
  <r>
    <n v="10122"/>
    <s v="Las Vegas - 246"/>
    <x v="28"/>
    <n v="43.95"/>
  </r>
  <r>
    <n v="10127"/>
    <s v="Miami 6224"/>
    <x v="37"/>
    <n v="773.37"/>
  </r>
  <r>
    <n v="10124"/>
    <s v="Michigan -110"/>
    <x v="38"/>
    <n v="2816.69"/>
  </r>
  <r>
    <n v="10126"/>
    <s v="Milwaukee - 178"/>
    <x v="14"/>
    <n v="0"/>
  </r>
  <r>
    <n v="10123"/>
    <s v="Minneapolis - 4572"/>
    <x v="29"/>
    <n v="717.84"/>
  </r>
  <r>
    <n v="10128"/>
    <s v="Nashville - 149"/>
    <x v="30"/>
    <n v="19"/>
  </r>
  <r>
    <n v="10400"/>
    <s v="Nashville Special Spaces 6761"/>
    <x v="14"/>
    <n v="0"/>
  </r>
  <r>
    <n v="10125"/>
    <s v="National"/>
    <x v="5"/>
    <n v="3223.56"/>
  </r>
  <r>
    <n v="10210"/>
    <s v="National Ohio Restricted"/>
    <x v="5"/>
    <n v="2058.58"/>
  </r>
  <r>
    <n v="10129"/>
    <s v="NEPA - 4608"/>
    <x v="15"/>
    <n v="2143"/>
  </r>
  <r>
    <n v="10121"/>
    <s v="NEW"/>
    <x v="5"/>
    <n v="297.99"/>
  </r>
  <r>
    <n v="10130"/>
    <s v="New York - 165"/>
    <x v="31"/>
    <n v="-1308.44"/>
  </r>
  <r>
    <n v="10203"/>
    <s v="Northshore"/>
    <x v="6"/>
    <n v="-798.27"/>
  </r>
  <r>
    <n v="10131"/>
    <s v="Ohio - 152"/>
    <x v="7"/>
    <n v="53.23"/>
  </r>
  <r>
    <n v="10200"/>
    <s v="Ohio Special Spaces 0706"/>
    <x v="14"/>
    <n v="0"/>
  </r>
  <r>
    <n v="10132"/>
    <s v="Orange County - 071"/>
    <x v="32"/>
    <n v="934.93"/>
  </r>
  <r>
    <n v="10133"/>
    <s v="Panama City"/>
    <x v="16"/>
    <n v="467.5"/>
  </r>
  <r>
    <n v="10250"/>
    <s v="Paypal account"/>
    <x v="14"/>
    <n v="0"/>
  </r>
  <r>
    <n v="10500"/>
    <s v="Petty Cash-National"/>
    <x v="5"/>
    <n v="124.05"/>
  </r>
  <r>
    <n v="10138"/>
    <s v="Pittsburgh - 220(SWPA)"/>
    <x v="17"/>
    <n v="1018.19"/>
  </r>
  <r>
    <n v="10134"/>
    <s v="Pittsburgh - Metro 3133"/>
    <x v="39"/>
    <n v="823.28"/>
  </r>
  <r>
    <n v="10800"/>
    <s v="Pittsburgh Special Spaces"/>
    <x v="14"/>
    <n v="0"/>
  </r>
  <r>
    <n v="10139"/>
    <s v="Sacramento 5171"/>
    <x v="40"/>
    <n v="978.54"/>
  </r>
  <r>
    <n v="10141"/>
    <s v="San Antonio 2317"/>
    <x v="19"/>
    <n v="626.20000000000005"/>
  </r>
  <r>
    <n v="10142"/>
    <s v="San Diego -068"/>
    <x v="41"/>
    <n v="2457.5700000000002"/>
  </r>
  <r>
    <n v="10144"/>
    <s v="San Francisco - 107"/>
    <x v="33"/>
    <n v="351.49"/>
  </r>
  <r>
    <n v="10470"/>
    <s v="Special Spaces Albequerque"/>
    <x v="14"/>
    <n v="0"/>
  </r>
  <r>
    <n v="10410"/>
    <s v="Special Spaces Buffalo"/>
    <x v="14"/>
    <n v="0"/>
  </r>
  <r>
    <n v="10485"/>
    <s v="Special Spaces Chattanooga"/>
    <x v="14"/>
    <n v="0"/>
  </r>
  <r>
    <n v="10480"/>
    <s v="Special Spaces Cincinnati"/>
    <x v="14"/>
    <n v="0"/>
  </r>
  <r>
    <n v="10415"/>
    <s v="Special Spaces Columbus"/>
    <x v="14"/>
    <n v="0"/>
  </r>
  <r>
    <n v="10488"/>
    <s v="Special Spaces Flat Head Valley"/>
    <x v="14"/>
    <n v="0"/>
  </r>
  <r>
    <n v="10510"/>
    <s v="Special Spaces Houston"/>
    <x v="14"/>
    <n v="0"/>
  </r>
  <r>
    <n v="10530"/>
    <s v="Special Spaces Knoxville 1"/>
    <x v="14"/>
    <n v="0"/>
  </r>
  <r>
    <n v="10545"/>
    <s v="Special Spaces Las Vegas"/>
    <x v="14"/>
    <n v="0"/>
  </r>
  <r>
    <n v="10440"/>
    <s v="Special Spaces Michigan"/>
    <x v="14"/>
    <n v="0"/>
  </r>
  <r>
    <n v="10520"/>
    <s v="Special Spaces Milwaukee"/>
    <x v="14"/>
    <n v="0"/>
  </r>
  <r>
    <n v="10515"/>
    <s v="Special Spaces New York"/>
    <x v="14"/>
    <n v="0"/>
  </r>
  <r>
    <n v="10525"/>
    <s v="Special Spaces Orange County"/>
    <x v="14"/>
    <n v="0"/>
  </r>
  <r>
    <n v="10490"/>
    <s v="Special Spaces Philadelphia"/>
    <x v="14"/>
    <n v="0"/>
  </r>
  <r>
    <n v="10420"/>
    <s v="Special Spaces Phoenix"/>
    <x v="14"/>
    <n v="0"/>
  </r>
  <r>
    <n v="10460"/>
    <s v="Special Spaces Saint Louis"/>
    <x v="14"/>
    <n v="0"/>
  </r>
  <r>
    <n v="10430"/>
    <s v="Special Spaces San Diego"/>
    <x v="14"/>
    <n v="0"/>
  </r>
  <r>
    <n v="10540"/>
    <s v="Special Spaces San Francisco"/>
    <x v="14"/>
    <n v="0"/>
  </r>
  <r>
    <n v="10495"/>
    <s v="Special Spaces Tri Cities"/>
    <x v="14"/>
    <n v="0"/>
  </r>
  <r>
    <n v="10300"/>
    <s v="Special Spaces-Knoxville 0661"/>
    <x v="14"/>
    <n v="0"/>
  </r>
  <r>
    <n v="10140"/>
    <s v="St. Louis - 0123"/>
    <x v="34"/>
    <n v="2457.89"/>
  </r>
  <r>
    <n v="10102"/>
    <s v="Sunny Bear Funds"/>
    <x v="5"/>
    <n v="353.8"/>
  </r>
  <r>
    <n v="10143"/>
    <s v="Tampa - 8376"/>
    <x v="20"/>
    <n v="3497.45"/>
  </r>
  <r>
    <n v="10149"/>
    <s v="Toledo-8363"/>
    <x v="42"/>
    <n v="116.25"/>
  </r>
  <r>
    <n v="10146"/>
    <s v="Triangle - 4585"/>
    <x v="35"/>
    <n v="855.99"/>
  </r>
  <r>
    <n v="10148"/>
    <s v="Tri-Cities - 181"/>
    <x v="14"/>
    <n v="0"/>
  </r>
  <r>
    <n v="10147"/>
    <s v="Tri-Counties-Michigan 3090"/>
    <x v="22"/>
    <n v="127.5"/>
  </r>
  <r>
    <n v="10201"/>
    <s v="Wisconsin Restricted"/>
    <x v="1"/>
    <n v="63364.4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">
  <r>
    <n v="10352"/>
    <s v="* US Bank Green Bay 5006"/>
    <x v="0"/>
    <n v="1286.56"/>
  </r>
  <r>
    <n v="10522"/>
    <s v="*US Bank - Milwaukee"/>
    <x v="1"/>
    <n v="10125.290000000001"/>
  </r>
  <r>
    <n v="10418"/>
    <s v="*US Bank Cincinnati"/>
    <x v="2"/>
    <n v="332.33"/>
  </r>
  <r>
    <n v="10182"/>
    <s v="*US Bank- Colorado, Boulder 4137"/>
    <x v="3"/>
    <n v="100"/>
  </r>
  <r>
    <n v="10417"/>
    <s v="*US Bank Columbus"/>
    <x v="4"/>
    <n v="138.29"/>
  </r>
  <r>
    <n v="10355"/>
    <s v="*US Bank- Dubuque-4021"/>
    <x v="5"/>
    <n v="753.94"/>
  </r>
  <r>
    <n v="10181"/>
    <s v="*US Bank National 5014"/>
    <x v="6"/>
    <n v="4997.63"/>
  </r>
  <r>
    <n v="10903"/>
    <s v="*US Bank Wisc-Northshore"/>
    <x v="7"/>
    <n v="8357.25"/>
  </r>
  <r>
    <n v="10103"/>
    <s v="Austin"/>
    <x v="8"/>
    <n v="125.88"/>
  </r>
  <r>
    <n v="10414"/>
    <s v="BoA Chicago 8350"/>
    <x v="9"/>
    <n v="4543.84"/>
  </r>
  <r>
    <n v="10310"/>
    <s v="BoA Columbia 4798"/>
    <x v="10"/>
    <n v="1021.08"/>
  </r>
  <r>
    <n v="10543"/>
    <s v="BoA Dallas, Texas 8389"/>
    <x v="11"/>
    <n v="295.95999999999998"/>
  </r>
  <r>
    <n v="10340"/>
    <s v="BoA Delaware 5700"/>
    <x v="12"/>
    <n v="2350.98"/>
  </r>
  <r>
    <n v="10509"/>
    <s v="BoA Houston Restricted 0905"/>
    <x v="13"/>
    <n v="79559.37"/>
  </r>
  <r>
    <n v="10910"/>
    <s v="BoA NEPA 8719"/>
    <x v="14"/>
    <n v="1074.6300000000001"/>
  </r>
  <r>
    <n v="10750"/>
    <s v="BoA Panama City 7873"/>
    <x v="15"/>
    <n v="102.64"/>
  </r>
  <r>
    <n v="10850"/>
    <s v="BoA Pittsburgh 3133"/>
    <x v="16"/>
    <n v="2425.4699999999998"/>
  </r>
  <r>
    <n v="10428"/>
    <s v="BoA Sacramento"/>
    <x v="17"/>
    <n v="186.22"/>
  </r>
  <r>
    <n v="10536"/>
    <s v="BoA San Antonio 2317"/>
    <x v="18"/>
    <n v="2899.18"/>
  </r>
  <r>
    <n v="10549"/>
    <s v="BoA Tampa - 8376"/>
    <x v="19"/>
    <n v="3257.74"/>
  </r>
  <r>
    <n v="10513"/>
    <s v="BoA Texas 6541"/>
    <x v="20"/>
    <n v="2604.58"/>
  </r>
  <r>
    <n v="10514"/>
    <s v="BoA Texas Restricted"/>
    <x v="20"/>
    <n v="5561.63"/>
  </r>
  <r>
    <n v="10497"/>
    <s v="BoA Tri Cities Restricted 0921"/>
    <x v="21"/>
    <n v="8500.2900000000009"/>
  </r>
  <r>
    <n v="10445"/>
    <s v="BoA Tri-Counties Michigan 3090"/>
    <x v="22"/>
    <n v="42.25"/>
  </r>
  <r>
    <n v="10471"/>
    <s v="BofA Albequerque"/>
    <x v="23"/>
    <n v="320.31"/>
  </r>
  <r>
    <n v="10106"/>
    <s v="BofA Albequerque - 233"/>
    <x v="23"/>
    <n v="572.86"/>
  </r>
  <r>
    <n v="10411"/>
    <s v="BofA Buffalo"/>
    <x v="24"/>
    <n v="2120.7199999999998"/>
  </r>
  <r>
    <n v="10486"/>
    <s v="BofA Chattanooga"/>
    <x v="25"/>
    <n v="1126"/>
  </r>
  <r>
    <n v="10511"/>
    <s v="BofA Houston"/>
    <x v="13"/>
    <n v="3374.81"/>
  </r>
  <r>
    <n v="10531"/>
    <s v="BofA Knoxville"/>
    <x v="26"/>
    <n v="178.27"/>
  </r>
  <r>
    <n v="10546"/>
    <s v="BofA Las Vegas"/>
    <x v="27"/>
    <n v="15.86"/>
  </r>
  <r>
    <n v="10516"/>
    <s v="BofA Long Island"/>
    <x v="28"/>
    <n v="2606.48"/>
  </r>
  <r>
    <n v="10465"/>
    <s v="BofA Minneapolis"/>
    <x v="29"/>
    <n v="2256.33"/>
  </r>
  <r>
    <n v="10401"/>
    <s v="BofA Nashville"/>
    <x v="30"/>
    <n v="275.32"/>
  </r>
  <r>
    <n v="10526"/>
    <s v="BofA Orange County"/>
    <x v="31"/>
    <n v="69.28"/>
  </r>
  <r>
    <n v="10542"/>
    <s v="BofA San Fran Restricted 0918"/>
    <x v="32"/>
    <n v="4921.7700000000004"/>
  </r>
  <r>
    <n v="10535"/>
    <s v="BofA Scranton (NEPA) - 4608"/>
    <x v="14"/>
    <n v="-15"/>
  </r>
  <r>
    <n v="10180"/>
    <s v="BofA Spec Spaces National 4695"/>
    <x v="6"/>
    <n v="1556.92"/>
  </r>
  <r>
    <n v="10461"/>
    <s v="BofA St Louis"/>
    <x v="33"/>
    <n v="3462.14"/>
  </r>
  <r>
    <n v="10512"/>
    <s v="BofA Texas Resticted 0905"/>
    <x v="20"/>
    <n v="0"/>
  </r>
  <r>
    <n v="10496"/>
    <s v="BofA Tri Cities"/>
    <x v="21"/>
    <n v="428.75"/>
  </r>
  <r>
    <n v="10550"/>
    <s v="BofA Triangle Account"/>
    <x v="34"/>
    <n v="820.52"/>
  </r>
  <r>
    <n v="10109"/>
    <s v="Boston-3100"/>
    <x v="35"/>
    <n v="3919.97"/>
  </r>
  <r>
    <n v="10108"/>
    <s v="Buffalo - 259"/>
    <x v="24"/>
    <n v="23757.86"/>
  </r>
  <r>
    <n v="10110"/>
    <s v="Chattanooga - 4598"/>
    <x v="25"/>
    <n v="838.38"/>
  </r>
  <r>
    <n v="10111"/>
    <s v="Chicago 8350"/>
    <x v="9"/>
    <n v="11901.09"/>
  </r>
  <r>
    <n v="10115"/>
    <s v="Columbia, SC 4798"/>
    <x v="10"/>
    <n v="350.05"/>
  </r>
  <r>
    <n v="10211"/>
    <s v="Columbus Restricted"/>
    <x v="4"/>
    <n v="277.12"/>
  </r>
  <r>
    <n v="10145"/>
    <s v="Dallas, Texas 8389"/>
    <x v="11"/>
    <n v="2037.03"/>
  </r>
  <r>
    <n v="10117"/>
    <s v="Delaware"/>
    <x v="12"/>
    <n v="21638.01"/>
  </r>
  <r>
    <n v="10204"/>
    <s v="Dubuque"/>
    <x v="5"/>
    <n v="4120.58"/>
  </r>
  <r>
    <n v="10101"/>
    <s v="Feld"/>
    <x v="6"/>
    <n v="5200"/>
  </r>
  <r>
    <n v="10202"/>
    <s v="Green Bay"/>
    <x v="0"/>
    <n v="8282.2900000000009"/>
  </r>
  <r>
    <n v="10107"/>
    <s v="Hawaii"/>
    <x v="36"/>
    <n v="166"/>
  </r>
  <r>
    <n v="10118"/>
    <s v="Houston - 136"/>
    <x v="13"/>
    <n v="1171.92"/>
  </r>
  <r>
    <n v="10119"/>
    <s v="Knox UT"/>
    <x v="37"/>
    <n v="3129.6"/>
  </r>
  <r>
    <n v="10120"/>
    <s v="Knoxville - 194"/>
    <x v="26"/>
    <n v="7535.64"/>
  </r>
  <r>
    <n v="10122"/>
    <s v="Las Vegas - 246"/>
    <x v="27"/>
    <n v="195.35"/>
  </r>
  <r>
    <n v="10130"/>
    <s v="Long Island - 165"/>
    <x v="28"/>
    <n v="473.56"/>
  </r>
  <r>
    <n v="10126"/>
    <s v="Milwaukee - 178"/>
    <x v="1"/>
    <n v="86.78"/>
  </r>
  <r>
    <n v="10123"/>
    <s v="Minneapolis - 4572"/>
    <x v="29"/>
    <n v="2218.31"/>
  </r>
  <r>
    <n v="10128"/>
    <s v="Nashville - 149"/>
    <x v="30"/>
    <n v="5119"/>
  </r>
  <r>
    <n v="10125"/>
    <s v="National"/>
    <x v="6"/>
    <n v="4443.26"/>
  </r>
  <r>
    <n v="10210"/>
    <s v="National Ohio Restricted"/>
    <x v="6"/>
    <n v="2161.75"/>
  </r>
  <r>
    <n v="10129"/>
    <s v="NEPA - 4608"/>
    <x v="14"/>
    <n v="1435.8"/>
  </r>
  <r>
    <n v="10121"/>
    <s v="NEW"/>
    <x v="6"/>
    <n v="297.99"/>
  </r>
  <r>
    <n v="10203"/>
    <s v="Northshore"/>
    <x v="7"/>
    <n v="13909.66"/>
  </r>
  <r>
    <n v="10132"/>
    <s v="Orange County - 071"/>
    <x v="31"/>
    <n v="934.93"/>
  </r>
  <r>
    <n v="10133"/>
    <s v="Panama City"/>
    <x v="15"/>
    <n v="329.8"/>
  </r>
  <r>
    <n v="10500"/>
    <s v="Petty Cash-National"/>
    <x v="6"/>
    <n v="124.05"/>
  </r>
  <r>
    <n v="10138"/>
    <s v="Pittsburgh - 220(SWPA)"/>
    <x v="16"/>
    <n v="2293.19"/>
  </r>
  <r>
    <n v="10134"/>
    <s v="Pittsburgh - Metro 3133"/>
    <x v="16"/>
    <n v="98.66"/>
  </r>
  <r>
    <n v="10139"/>
    <s v="Sacramento 5171"/>
    <x v="17"/>
    <n v="2429.2399999999998"/>
  </r>
  <r>
    <n v="10141"/>
    <s v="San Antonio 2317"/>
    <x v="18"/>
    <n v="343.2"/>
  </r>
  <r>
    <n v="10142"/>
    <s v="San Diego -068"/>
    <x v="38"/>
    <n v="2457.5700000000002"/>
  </r>
  <r>
    <n v="10140"/>
    <s v="St. Louis - 0123"/>
    <x v="33"/>
    <n v="964.22"/>
  </r>
  <r>
    <n v="10102"/>
    <s v="Sunny Bear Funds"/>
    <x v="6"/>
    <n v="353.8"/>
  </r>
  <r>
    <n v="10143"/>
    <s v="Tampa - 8376"/>
    <x v="19"/>
    <n v="7603.91"/>
  </r>
  <r>
    <n v="10150"/>
    <s v="Texas"/>
    <x v="20"/>
    <n v="720.47"/>
  </r>
  <r>
    <n v="10146"/>
    <s v="Triangle - 4585"/>
    <x v="34"/>
    <n v="5001.13"/>
  </r>
  <r>
    <n v="10147"/>
    <s v="Tri-Counties-Michigan 3090"/>
    <x v="22"/>
    <n v="1249.5"/>
  </r>
  <r>
    <n v="10179"/>
    <s v="US Bank Wisc Restr 4595"/>
    <x v="39"/>
    <n v="0"/>
  </r>
  <r>
    <n v="10201"/>
    <s v="Wisconsin Restricted"/>
    <x v="39"/>
    <n v="93488.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581">
  <r>
    <n v="44810"/>
    <s v="Affiliated Org. Contributions"/>
    <s v="03/15/2014"/>
    <s v="Deposit"/>
    <m/>
    <x v="0"/>
    <x v="0"/>
    <x v="0"/>
    <x v="0"/>
    <s v="Associate Director Fee"/>
    <s v="10180 BofA Spec Spaces National 4695"/>
    <n v="500"/>
    <n v="500"/>
    <n v="-500"/>
  </r>
  <r>
    <n v="44810"/>
    <s v="Affiliated Org. Contributions"/>
    <s v="05/19/2014"/>
    <s v="Deposit"/>
    <m/>
    <x v="1"/>
    <x v="0"/>
    <x v="0"/>
    <x v="0"/>
    <s v="Associate Director"/>
    <s v="10180 BofA Spec Spaces National 4695"/>
    <n v="250"/>
    <n v="750"/>
    <n v="-250"/>
  </r>
  <r>
    <n v="44810"/>
    <s v="Affiliated Org. Contributions"/>
    <s v="07/29/2014"/>
    <s v="Deposit"/>
    <m/>
    <x v="2"/>
    <x v="0"/>
    <x v="0"/>
    <x v="0"/>
    <s v="Melani Dizon affiliate fee"/>
    <s v="10180 BofA Spec Spaces National 4695"/>
    <n v="1500"/>
    <n v="2250"/>
    <n v="-1500"/>
  </r>
  <r>
    <n v="44810"/>
    <s v="Affiliated Org. Contributions"/>
    <s v="08/05/2014"/>
    <s v="Deposit"/>
    <m/>
    <x v="0"/>
    <x v="0"/>
    <x v="0"/>
    <x v="0"/>
    <s v="Affiliate fee"/>
    <s v="10180 BofA Spec Spaces National 4695"/>
    <n v="2000"/>
    <n v="4250"/>
    <n v="-2000"/>
  </r>
  <r>
    <n v="43400"/>
    <s v="Direct Public Support"/>
    <s v="01/07/2014"/>
    <s v="Deposit"/>
    <m/>
    <x v="3"/>
    <x v="1"/>
    <x v="0"/>
    <x v="1"/>
    <m/>
    <s v="10106 BofA Restricted Funds -055:BofA Albequerque - 233"/>
    <n v="2000"/>
    <n v="-29554.89"/>
    <n v="-2000"/>
  </r>
  <r>
    <n v="43400"/>
    <s v="Direct Public Support"/>
    <s v="01/07/2014"/>
    <s v="Deposit"/>
    <m/>
    <x v="4"/>
    <x v="1"/>
    <x v="0"/>
    <x v="1"/>
    <m/>
    <s v="10106 BofA Restricted Funds -055:BofA Albequerque - 233"/>
    <n v="1000"/>
    <n v="-28554.89"/>
    <n v="-1000"/>
  </r>
  <r>
    <n v="43400"/>
    <s v="Direct Public Support"/>
    <s v="02/19/2014"/>
    <s v="Deposit"/>
    <m/>
    <x v="3"/>
    <x v="1"/>
    <x v="0"/>
    <x v="1"/>
    <m/>
    <s v="10471 BofA Albequerque"/>
    <n v="4.79"/>
    <n v="54730.16"/>
    <n v="-4.79"/>
  </r>
  <r>
    <n v="43400"/>
    <s v="Direct Public Support"/>
    <s v="02/19/2014"/>
    <s v="Deposit"/>
    <m/>
    <x v="3"/>
    <x v="1"/>
    <x v="0"/>
    <x v="1"/>
    <m/>
    <s v="10106 BofA Restricted Funds -055:BofA Albequerque - 233"/>
    <n v="1257.26"/>
    <n v="60037.42"/>
    <n v="-1257.26"/>
  </r>
  <r>
    <n v="43400"/>
    <s v="Direct Public Support"/>
    <s v="04/30/2014"/>
    <s v="Deposit"/>
    <m/>
    <x v="3"/>
    <x v="1"/>
    <x v="0"/>
    <x v="1"/>
    <m/>
    <s v="10106 BofA Restricted Funds -055:BofA Albequerque - 233"/>
    <n v="3060"/>
    <n v="128349.41"/>
    <n v="-3060"/>
  </r>
  <r>
    <n v="43400"/>
    <s v="Direct Public Support"/>
    <s v="05/02/2014"/>
    <s v="Deposit"/>
    <m/>
    <x v="3"/>
    <x v="1"/>
    <x v="0"/>
    <x v="1"/>
    <m/>
    <s v="10106 BofA Restricted Funds -055:BofA Albequerque - 233"/>
    <n v="450"/>
    <n v="128924.41"/>
    <n v="-450"/>
  </r>
  <r>
    <n v="43400"/>
    <s v="Direct Public Support"/>
    <s v="06/05/2014"/>
    <s v="Deposit"/>
    <m/>
    <x v="3"/>
    <x v="1"/>
    <x v="0"/>
    <x v="1"/>
    <m/>
    <s v="10106 BofA Restricted Funds -055:BofA Albequerque - 233"/>
    <n v="40.299999999999997"/>
    <n v="188763.61"/>
    <n v="-40.299999999999997"/>
  </r>
  <r>
    <n v="43400"/>
    <s v="Direct Public Support"/>
    <s v="06/05/2014"/>
    <s v="Deposit"/>
    <m/>
    <x v="3"/>
    <x v="1"/>
    <x v="0"/>
    <x v="1"/>
    <m/>
    <s v="10106 BofA Restricted Funds -055:BofA Albequerque - 233"/>
    <n v="88"/>
    <n v="189636.61"/>
    <n v="-88"/>
  </r>
  <r>
    <n v="43400"/>
    <s v="Direct Public Support"/>
    <s v="06/05/2014"/>
    <s v="Deposit"/>
    <m/>
    <x v="3"/>
    <x v="1"/>
    <x v="0"/>
    <x v="1"/>
    <m/>
    <s v="10106 BofA Restricted Funds -055:BofA Albequerque - 233"/>
    <n v="250"/>
    <n v="189886.61"/>
    <n v="-250"/>
  </r>
  <r>
    <n v="43400"/>
    <s v="Direct Public Support"/>
    <s v="06/11/2014"/>
    <s v="Deposit"/>
    <m/>
    <x v="3"/>
    <x v="1"/>
    <x v="0"/>
    <x v="1"/>
    <m/>
    <s v="10106 BofA Restricted Funds -055:BofA Albequerque - 233"/>
    <n v="1387.5"/>
    <n v="193284.11"/>
    <n v="-1387.5"/>
  </r>
  <r>
    <n v="43400"/>
    <s v="Direct Public Support"/>
    <s v="01/22/2014"/>
    <s v="Deposit"/>
    <m/>
    <x v="3"/>
    <x v="2"/>
    <x v="0"/>
    <x v="1"/>
    <s v="Schnickel room donations"/>
    <s v="10109 BofA Restricted Funds -055:Boston-3100"/>
    <n v="820"/>
    <n v="4003.43"/>
    <n v="-820"/>
  </r>
  <r>
    <n v="43400"/>
    <s v="Direct Public Support"/>
    <s v="05/13/2014"/>
    <s v="Journal Entry"/>
    <n v="524"/>
    <x v="0"/>
    <x v="2"/>
    <x v="0"/>
    <x v="1"/>
    <s v="paypal"/>
    <s v="-Split-"/>
    <n v="50"/>
    <n v="157658.07999999999"/>
    <n v="-50"/>
  </r>
  <r>
    <n v="43400"/>
    <s v="Direct Public Support"/>
    <s v="01/08/2014"/>
    <s v="Deposit"/>
    <m/>
    <x v="3"/>
    <x v="3"/>
    <x v="0"/>
    <x v="1"/>
    <m/>
    <s v="10108 BofA Restricted Funds -055:Buffalo - 259"/>
    <n v="1300"/>
    <n v="-26754.89"/>
    <n v="-1300"/>
  </r>
  <r>
    <n v="43400"/>
    <s v="Direct Public Support"/>
    <s v="01/08/2014"/>
    <s v="Journal Entry"/>
    <n v="406"/>
    <x v="0"/>
    <x v="3"/>
    <x v="0"/>
    <x v="1"/>
    <s v="Bank adjustment"/>
    <s v="-Split-"/>
    <n v="10"/>
    <n v="-26744.89"/>
    <n v="-10"/>
  </r>
  <r>
    <n v="65010"/>
    <s v="Books, Subscriptions, Reference"/>
    <s v="03/26/2014"/>
    <s v="Check"/>
    <m/>
    <x v="5"/>
    <x v="1"/>
    <x v="1"/>
    <x v="2"/>
    <m/>
    <s v="10471 BofA Albequerque"/>
    <n v="32"/>
    <n v="32"/>
    <n v="32"/>
  </r>
  <r>
    <n v="65020"/>
    <s v="Postage, Mailing Service"/>
    <s v="02/18/2014"/>
    <s v="Check"/>
    <m/>
    <x v="6"/>
    <x v="1"/>
    <x v="1"/>
    <x v="3"/>
    <m/>
    <s v="10471 BofA Albequerque"/>
    <n v="49"/>
    <n v="634.46"/>
    <n v="49"/>
  </r>
  <r>
    <n v="65020"/>
    <s v="Postage, Mailing Service"/>
    <s v="04/17/2014"/>
    <s v="Check"/>
    <m/>
    <x v="7"/>
    <x v="1"/>
    <x v="1"/>
    <x v="3"/>
    <m/>
    <s v="10471 BofA Albequerque"/>
    <n v="22.69"/>
    <n v="1021.31"/>
    <n v="22.69"/>
  </r>
  <r>
    <n v="65020"/>
    <s v="Postage, Mailing Service"/>
    <s v="04/30/2014"/>
    <s v="Check"/>
    <m/>
    <x v="7"/>
    <x v="1"/>
    <x v="1"/>
    <x v="3"/>
    <m/>
    <s v="10471 BofA Albequerque"/>
    <n v="85.07"/>
    <n v="1293.5899999999999"/>
    <n v="85.07"/>
  </r>
  <r>
    <n v="65040"/>
    <s v="Supplies"/>
    <s v="02/14/2014"/>
    <s v="Check"/>
    <m/>
    <x v="8"/>
    <x v="1"/>
    <x v="1"/>
    <x v="4"/>
    <m/>
    <s v="10471 BofA Albequerque"/>
    <n v="7.99"/>
    <n v="695.34"/>
    <n v="7.99"/>
  </r>
  <r>
    <n v="65040"/>
    <s v="Supplies"/>
    <s v="06/12/2014"/>
    <s v="Expense"/>
    <m/>
    <x v="9"/>
    <x v="1"/>
    <x v="1"/>
    <x v="4"/>
    <m/>
    <s v="10471 BofA Albequerque"/>
    <n v="12.6"/>
    <n v="1653.45"/>
    <n v="12.6"/>
  </r>
  <r>
    <n v="65040"/>
    <s v="Supplies"/>
    <s v="06/12/2014"/>
    <s v="Expense"/>
    <m/>
    <x v="10"/>
    <x v="1"/>
    <x v="1"/>
    <x v="4"/>
    <m/>
    <s v="10471 BofA Albequerque"/>
    <n v="5.89"/>
    <n v="1659.34"/>
    <n v="5.89"/>
  </r>
  <r>
    <n v="65061"/>
    <s v="Material for Rooms Expense"/>
    <s v="01/02/2014"/>
    <s v="Check"/>
    <m/>
    <x v="11"/>
    <x v="1"/>
    <x v="1"/>
    <x v="5"/>
    <m/>
    <s v="10471 BofA Albequerque"/>
    <n v="37"/>
    <n v="-9124.64"/>
    <n v="37"/>
  </r>
  <r>
    <n v="65061"/>
    <s v="Material for Rooms Expense"/>
    <s v="01/07/2014"/>
    <s v="Check"/>
    <m/>
    <x v="11"/>
    <x v="1"/>
    <x v="1"/>
    <x v="5"/>
    <m/>
    <s v="10471 BofA Albequerque"/>
    <n v="113.97"/>
    <n v="-6252.13"/>
    <n v="113.97"/>
  </r>
  <r>
    <n v="65061"/>
    <s v="Material for Rooms Expense"/>
    <s v="01/10/2014"/>
    <s v="Check"/>
    <n v="1052"/>
    <x v="12"/>
    <x v="1"/>
    <x v="1"/>
    <x v="5"/>
    <m/>
    <s v="10471 BofA Albequerque"/>
    <n v="455.88"/>
    <n v="-3681.57"/>
    <n v="455.88"/>
  </r>
  <r>
    <n v="65061"/>
    <s v="Material for Rooms Expense"/>
    <s v="01/10/2014"/>
    <s v="Check"/>
    <n v="1056"/>
    <x v="13"/>
    <x v="1"/>
    <x v="1"/>
    <x v="5"/>
    <m/>
    <s v="10471 BofA Albequerque"/>
    <n v="1000"/>
    <n v="-646.75"/>
    <n v="1000"/>
  </r>
  <r>
    <n v="65061"/>
    <s v="Material for Rooms Expense"/>
    <s v="01/13/2014"/>
    <s v="Check"/>
    <m/>
    <x v="14"/>
    <x v="1"/>
    <x v="1"/>
    <x v="5"/>
    <m/>
    <s v="10471 BofA Albequerque"/>
    <n v="47.04"/>
    <n v="2449.16"/>
    <n v="47.04"/>
  </r>
  <r>
    <n v="65061"/>
    <s v="Material for Rooms Expense"/>
    <s v="01/13/2014"/>
    <s v="Check"/>
    <m/>
    <x v="11"/>
    <x v="1"/>
    <x v="1"/>
    <x v="5"/>
    <m/>
    <s v="10471 BofA Albequerque"/>
    <n v="23.24"/>
    <n v="2472.4"/>
    <n v="23.24"/>
  </r>
  <r>
    <n v="65061"/>
    <s v="Material for Rooms Expense"/>
    <s v="01/14/2014"/>
    <s v="Check"/>
    <m/>
    <x v="11"/>
    <x v="1"/>
    <x v="1"/>
    <x v="5"/>
    <m/>
    <s v="10471 BofA Albequerque"/>
    <n v="5.05"/>
    <n v="4341.5200000000004"/>
    <n v="5.05"/>
  </r>
  <r>
    <n v="65061"/>
    <s v="Material for Rooms Expense"/>
    <s v="01/15/2014"/>
    <s v="Check"/>
    <m/>
    <x v="11"/>
    <x v="1"/>
    <x v="1"/>
    <x v="5"/>
    <m/>
    <s v="10471 BofA Albequerque"/>
    <n v="10.16"/>
    <n v="4671.62"/>
    <n v="10.16"/>
  </r>
  <r>
    <n v="65061"/>
    <s v="Material for Rooms Expense"/>
    <s v="01/15/2014"/>
    <s v="Check"/>
    <m/>
    <x v="11"/>
    <x v="1"/>
    <x v="1"/>
    <x v="5"/>
    <m/>
    <s v="10471 BofA Albequerque"/>
    <n v="10.16"/>
    <n v="4681.78"/>
    <n v="10.16"/>
  </r>
  <r>
    <n v="65061"/>
    <s v="Material for Rooms Expense"/>
    <s v="01/15/2014"/>
    <s v="Check"/>
    <m/>
    <x v="11"/>
    <x v="1"/>
    <x v="1"/>
    <x v="5"/>
    <m/>
    <s v="10471 BofA Albequerque"/>
    <n v="10.16"/>
    <n v="4691.9399999999996"/>
    <n v="10.16"/>
  </r>
  <r>
    <n v="65061"/>
    <s v="Material for Rooms Expense"/>
    <s v="01/21/2014"/>
    <s v="Check"/>
    <m/>
    <x v="11"/>
    <x v="1"/>
    <x v="1"/>
    <x v="5"/>
    <m/>
    <s v="10471 BofA Albequerque"/>
    <n v="67"/>
    <n v="10070.43"/>
    <n v="67"/>
  </r>
  <r>
    <n v="65061"/>
    <s v="Material for Rooms Expense"/>
    <s v="01/27/2014"/>
    <s v="Check"/>
    <m/>
    <x v="11"/>
    <x v="1"/>
    <x v="1"/>
    <x v="5"/>
    <m/>
    <s v="10471 BofA Albequerque"/>
    <n v="12.97"/>
    <n v="20358.080000000002"/>
    <n v="12.97"/>
  </r>
  <r>
    <n v="65061"/>
    <s v="Material for Rooms Expense"/>
    <s v="02/03/2014"/>
    <s v="Check"/>
    <n v="1057"/>
    <x v="15"/>
    <x v="1"/>
    <x v="1"/>
    <x v="5"/>
    <m/>
    <s v="10471 BofA Albequerque"/>
    <n v="500"/>
    <n v="27363.38"/>
    <n v="500"/>
  </r>
  <r>
    <n v="65061"/>
    <s v="Material for Rooms Expense"/>
    <s v="02/04/2014"/>
    <s v="Check"/>
    <m/>
    <x v="16"/>
    <x v="1"/>
    <x v="1"/>
    <x v="5"/>
    <m/>
    <s v="10471 BofA Albequerque"/>
    <n v="131.1"/>
    <n v="29324.5"/>
    <n v="131.1"/>
  </r>
  <r>
    <n v="65061"/>
    <s v="Material for Rooms Expense"/>
    <s v="02/06/2014"/>
    <s v="Check"/>
    <m/>
    <x v="16"/>
    <x v="1"/>
    <x v="1"/>
    <x v="5"/>
    <m/>
    <s v="10471 BofA Albequerque"/>
    <n v="37.630000000000003"/>
    <n v="31756.52"/>
    <n v="37.630000000000003"/>
  </r>
  <r>
    <n v="65061"/>
    <s v="Material for Rooms Expense"/>
    <s v="02/07/2014"/>
    <s v="Check"/>
    <m/>
    <x v="14"/>
    <x v="1"/>
    <x v="1"/>
    <x v="5"/>
    <m/>
    <s v="10471 BofA Albequerque"/>
    <n v="2.39"/>
    <n v="32328.54"/>
    <n v="2.39"/>
  </r>
  <r>
    <n v="65061"/>
    <s v="Material for Rooms Expense"/>
    <s v="02/10/2014"/>
    <s v="Check"/>
    <m/>
    <x v="17"/>
    <x v="1"/>
    <x v="1"/>
    <x v="5"/>
    <m/>
    <s v="10471 BofA Albequerque"/>
    <n v="32.08"/>
    <n v="33392.76"/>
    <n v="32.08"/>
  </r>
  <r>
    <n v="65061"/>
    <s v="Material for Rooms Expense"/>
    <s v="02/10/2014"/>
    <s v="Check"/>
    <m/>
    <x v="16"/>
    <x v="1"/>
    <x v="1"/>
    <x v="5"/>
    <m/>
    <s v="10471 BofA Albequerque"/>
    <n v="64.33"/>
    <n v="36342.06"/>
    <n v="64.33"/>
  </r>
  <r>
    <n v="65061"/>
    <s v="Material for Rooms Expense"/>
    <s v="02/10/2014"/>
    <s v="Check"/>
    <m/>
    <x v="16"/>
    <x v="1"/>
    <x v="1"/>
    <x v="5"/>
    <m/>
    <s v="10471 BofA Albequerque"/>
    <n v="5.01"/>
    <n v="36347.07"/>
    <n v="5.01"/>
  </r>
  <r>
    <n v="65061"/>
    <s v="Material for Rooms Expense"/>
    <s v="02/10/2014"/>
    <s v="Check"/>
    <m/>
    <x v="18"/>
    <x v="1"/>
    <x v="1"/>
    <x v="5"/>
    <m/>
    <s v="10471 BofA Albequerque"/>
    <n v="86.99"/>
    <n v="36693"/>
    <n v="86.99"/>
  </r>
  <r>
    <n v="65061"/>
    <s v="Material for Rooms Expense"/>
    <s v="02/10/2014"/>
    <s v="Check"/>
    <m/>
    <x v="19"/>
    <x v="1"/>
    <x v="1"/>
    <x v="5"/>
    <m/>
    <s v="10471 BofA Albequerque"/>
    <n v="42.93"/>
    <n v="37225.269999999997"/>
    <n v="42.93"/>
  </r>
  <r>
    <n v="65061"/>
    <s v="Material for Rooms Expense"/>
    <s v="02/10/2014"/>
    <s v="Check"/>
    <m/>
    <x v="19"/>
    <x v="1"/>
    <x v="1"/>
    <x v="5"/>
    <m/>
    <s v="10471 BofA Albequerque"/>
    <n v="29"/>
    <n v="37544.239999999998"/>
    <n v="29"/>
  </r>
  <r>
    <n v="65061"/>
    <s v="Material for Rooms Expense"/>
    <s v="02/18/2014"/>
    <s v="Check"/>
    <m/>
    <x v="11"/>
    <x v="1"/>
    <x v="1"/>
    <x v="5"/>
    <m/>
    <s v="10471 BofA Albequerque"/>
    <n v="35.590000000000003"/>
    <n v="43493.75"/>
    <n v="35.590000000000003"/>
  </r>
  <r>
    <n v="65061"/>
    <s v="Material for Rooms Expense"/>
    <s v="02/18/2014"/>
    <s v="Check"/>
    <n v="1058"/>
    <x v="20"/>
    <x v="1"/>
    <x v="1"/>
    <x v="5"/>
    <m/>
    <s v="10471 BofA Albequerque"/>
    <n v="220.98"/>
    <n v="44596.47"/>
    <n v="220.98"/>
  </r>
  <r>
    <n v="65061"/>
    <s v="Material for Rooms Expense"/>
    <s v="02/19/2014"/>
    <s v="Check"/>
    <m/>
    <x v="21"/>
    <x v="1"/>
    <x v="1"/>
    <x v="5"/>
    <m/>
    <s v="10471 BofA Albequerque"/>
    <n v="75"/>
    <n v="44962.62"/>
    <n v="75"/>
  </r>
  <r>
    <n v="65061"/>
    <s v="Material for Rooms Expense"/>
    <s v="02/19/2014"/>
    <s v="Check"/>
    <m/>
    <x v="11"/>
    <x v="1"/>
    <x v="1"/>
    <x v="5"/>
    <m/>
    <s v="10471 BofA Albequerque"/>
    <n v="20"/>
    <n v="45281.72"/>
    <n v="20"/>
  </r>
  <r>
    <n v="65061"/>
    <s v="Material for Rooms Expense"/>
    <s v="02/25/2014"/>
    <s v="Check"/>
    <m/>
    <x v="11"/>
    <x v="1"/>
    <x v="1"/>
    <x v="5"/>
    <m/>
    <s v="10471 BofA Albequerque"/>
    <n v="48.56"/>
    <n v="54543.19"/>
    <n v="48.56"/>
  </r>
  <r>
    <n v="65061"/>
    <s v="Material for Rooms Expense"/>
    <s v="03/10/2014"/>
    <s v="Check"/>
    <n v="1059"/>
    <x v="13"/>
    <x v="1"/>
    <x v="1"/>
    <x v="5"/>
    <m/>
    <s v="10471 BofA Albequerque"/>
    <n v="56.36"/>
    <n v="67528.039999999994"/>
    <n v="56.36"/>
  </r>
  <r>
    <n v="65061"/>
    <s v="Material for Rooms Expense"/>
    <s v="03/18/2014"/>
    <s v="Check"/>
    <m/>
    <x v="11"/>
    <x v="1"/>
    <x v="1"/>
    <x v="5"/>
    <m/>
    <s v="10471 BofA Albequerque"/>
    <n v="12.06"/>
    <n v="73019.27"/>
    <n v="12.06"/>
  </r>
  <r>
    <n v="65061"/>
    <s v="Material for Rooms Expense"/>
    <s v="03/31/2014"/>
    <s v="Check"/>
    <m/>
    <x v="22"/>
    <x v="1"/>
    <x v="1"/>
    <x v="5"/>
    <m/>
    <s v="10471 BofA Albequerque"/>
    <n v="42.8"/>
    <n v="80997.14"/>
    <n v="42.8"/>
  </r>
  <r>
    <n v="65061"/>
    <s v="Material for Rooms Expense"/>
    <s v="03/31/2014"/>
    <s v="Check"/>
    <m/>
    <x v="23"/>
    <x v="1"/>
    <x v="1"/>
    <x v="5"/>
    <m/>
    <s v="10471 BofA Albequerque"/>
    <n v="233.24"/>
    <n v="81640.03"/>
    <n v="233.24"/>
  </r>
  <r>
    <n v="65061"/>
    <s v="Material for Rooms Expense"/>
    <s v="04/14/2014"/>
    <s v="Check"/>
    <m/>
    <x v="24"/>
    <x v="1"/>
    <x v="1"/>
    <x v="5"/>
    <m/>
    <s v="10471 BofA Albequerque"/>
    <n v="299"/>
    <n v="93459.13"/>
    <n v="299"/>
  </r>
  <r>
    <n v="65061"/>
    <s v="Material for Rooms Expense"/>
    <s v="04/14/2014"/>
    <s v="Check"/>
    <m/>
    <x v="25"/>
    <x v="1"/>
    <x v="1"/>
    <x v="5"/>
    <m/>
    <s v="10471 BofA Albequerque"/>
    <n v="50"/>
    <n v="93509.13"/>
    <n v="50"/>
  </r>
  <r>
    <n v="65061"/>
    <s v="Material for Rooms Expense"/>
    <s v="04/17/2014"/>
    <s v="Check"/>
    <m/>
    <x v="11"/>
    <x v="1"/>
    <x v="1"/>
    <x v="5"/>
    <m/>
    <s v="10471 BofA Albequerque"/>
    <n v="10"/>
    <n v="98290.48"/>
    <n v="10"/>
  </r>
  <r>
    <n v="65061"/>
    <s v="Material for Rooms Expense"/>
    <s v="04/17/2014"/>
    <s v="Check"/>
    <m/>
    <x v="11"/>
    <x v="1"/>
    <x v="1"/>
    <x v="5"/>
    <m/>
    <s v="10471 BofA Albequerque"/>
    <n v="10"/>
    <n v="98300.479999999996"/>
    <n v="10"/>
  </r>
  <r>
    <n v="65061"/>
    <s v="Material for Rooms Expense"/>
    <s v="04/18/2014"/>
    <s v="Check"/>
    <m/>
    <x v="11"/>
    <x v="1"/>
    <x v="1"/>
    <x v="5"/>
    <m/>
    <s v="10471 BofA Albequerque"/>
    <n v="25"/>
    <n v="98658.87"/>
    <n v="25"/>
  </r>
  <r>
    <n v="65061"/>
    <s v="Material for Rooms Expense"/>
    <s v="04/24/2014"/>
    <s v="Deposit"/>
    <m/>
    <x v="12"/>
    <x v="1"/>
    <x v="1"/>
    <x v="5"/>
    <m/>
    <s v="10471 BofA Albequerque"/>
    <n v="-113.97"/>
    <n v="103630.14"/>
    <n v="-113.97"/>
  </r>
  <r>
    <n v="65061"/>
    <s v="Material for Rooms Expense"/>
    <s v="04/29/2014"/>
    <s v="Check"/>
    <m/>
    <x v="26"/>
    <x v="1"/>
    <x v="1"/>
    <x v="5"/>
    <m/>
    <s v="10471 BofA Albequerque"/>
    <n v="42.66"/>
    <n v="109345.59"/>
    <n v="42.66"/>
  </r>
  <r>
    <n v="65061"/>
    <s v="Material for Rooms Expense"/>
    <s v="04/30/2014"/>
    <s v="Check"/>
    <m/>
    <x v="11"/>
    <x v="1"/>
    <x v="1"/>
    <x v="5"/>
    <m/>
    <s v="10471 BofA Albequerque"/>
    <n v="10"/>
    <n v="109787.61"/>
    <n v="10"/>
  </r>
  <r>
    <n v="65061"/>
    <s v="Material for Rooms Expense"/>
    <s v="05/02/2014"/>
    <s v="Expense"/>
    <m/>
    <x v="27"/>
    <x v="1"/>
    <x v="1"/>
    <x v="5"/>
    <m/>
    <s v="10471 BofA Albequerque"/>
    <n v="100"/>
    <n v="115969.71"/>
    <n v="100"/>
  </r>
  <r>
    <n v="65061"/>
    <s v="Material for Rooms Expense"/>
    <s v="05/15/2014"/>
    <s v="Expense"/>
    <m/>
    <x v="19"/>
    <x v="1"/>
    <x v="1"/>
    <x v="5"/>
    <m/>
    <s v="10471 BofA Albequerque"/>
    <n v="569.39"/>
    <n v="135810.94"/>
    <n v="569.39"/>
  </r>
  <r>
    <n v="65061"/>
    <s v="Material for Rooms Expense"/>
    <s v="05/15/2014"/>
    <s v="Expense"/>
    <m/>
    <x v="28"/>
    <x v="1"/>
    <x v="1"/>
    <x v="5"/>
    <m/>
    <s v="10471 BofA Albequerque"/>
    <n v="4.78"/>
    <n v="135815.72"/>
    <n v="4.78"/>
  </r>
  <r>
    <n v="65061"/>
    <s v="Material for Rooms Expense"/>
    <s v="05/15/2014"/>
    <s v="Expense"/>
    <m/>
    <x v="29"/>
    <x v="1"/>
    <x v="1"/>
    <x v="5"/>
    <m/>
    <s v="10471 BofA Albequerque"/>
    <n v="34.92"/>
    <n v="135850.64000000001"/>
    <n v="34.92"/>
  </r>
  <r>
    <n v="65061"/>
    <s v="Material for Rooms Expense"/>
    <s v="05/15/2014"/>
    <s v="Expense"/>
    <m/>
    <x v="30"/>
    <x v="1"/>
    <x v="1"/>
    <x v="5"/>
    <m/>
    <s v="10471 BofA Albequerque"/>
    <n v="91.95"/>
    <n v="135942.59"/>
    <n v="91.95"/>
  </r>
  <r>
    <n v="65061"/>
    <s v="Material for Rooms Expense"/>
    <s v="05/16/2014"/>
    <s v="Expense"/>
    <m/>
    <x v="31"/>
    <x v="1"/>
    <x v="1"/>
    <x v="5"/>
    <m/>
    <s v="10471 BofA Albequerque"/>
    <n v="49.99"/>
    <n v="136112.79999999999"/>
    <n v="49.99"/>
  </r>
  <r>
    <n v="65061"/>
    <s v="Material for Rooms Expense"/>
    <s v="05/27/2014"/>
    <s v="Expense"/>
    <m/>
    <x v="16"/>
    <x v="1"/>
    <x v="1"/>
    <x v="5"/>
    <m/>
    <s v="10471 BofA Albequerque"/>
    <n v="12.56"/>
    <n v="144612.76"/>
    <n v="12.56"/>
  </r>
  <r>
    <n v="65061"/>
    <s v="Material for Rooms Expense"/>
    <s v="05/27/2014"/>
    <s v="Expense"/>
    <m/>
    <x v="23"/>
    <x v="1"/>
    <x v="1"/>
    <x v="5"/>
    <m/>
    <s v="10471 BofA Albequerque"/>
    <n v="139.09"/>
    <n v="144751.85"/>
    <n v="139.09"/>
  </r>
  <r>
    <n v="65061"/>
    <s v="Material for Rooms Expense"/>
    <s v="05/28/2014"/>
    <s v="Expense"/>
    <m/>
    <x v="32"/>
    <x v="1"/>
    <x v="1"/>
    <x v="5"/>
    <m/>
    <s v="10471 BofA Albequerque"/>
    <n v="42.75"/>
    <n v="146569.10999999999"/>
    <n v="42.75"/>
  </r>
  <r>
    <n v="65061"/>
    <s v="Material for Rooms Expense"/>
    <s v="05/29/2014"/>
    <s v="Expense"/>
    <m/>
    <x v="33"/>
    <x v="1"/>
    <x v="1"/>
    <x v="5"/>
    <m/>
    <s v="10471 BofA Albequerque"/>
    <n v="54.49"/>
    <n v="147175.24"/>
    <n v="54.49"/>
  </r>
  <r>
    <n v="65061"/>
    <s v="Material for Rooms Expense"/>
    <s v="05/29/2014"/>
    <s v="Expense"/>
    <m/>
    <x v="14"/>
    <x v="1"/>
    <x v="1"/>
    <x v="5"/>
    <m/>
    <s v="10471 BofA Albequerque"/>
    <n v="2.99"/>
    <n v="147216.26"/>
    <n v="2.99"/>
  </r>
  <r>
    <n v="65061"/>
    <s v="Material for Rooms Expense"/>
    <s v="06/04/2014"/>
    <s v="Expense"/>
    <m/>
    <x v="11"/>
    <x v="1"/>
    <x v="1"/>
    <x v="5"/>
    <m/>
    <s v="10471 BofA Albequerque"/>
    <n v="10.199999999999999"/>
    <n v="154046.60999999999"/>
    <n v="10.199999999999999"/>
  </r>
  <r>
    <n v="65061"/>
    <s v="Material for Rooms Expense"/>
    <s v="06/05/2014"/>
    <s v="Deposit"/>
    <m/>
    <x v="3"/>
    <x v="1"/>
    <x v="1"/>
    <x v="5"/>
    <s v="redeposit of funds"/>
    <s v="10471 BofA Albequerque"/>
    <n v="-100"/>
    <n v="155740.07"/>
    <n v="-100"/>
  </r>
  <r>
    <n v="65061"/>
    <s v="Material for Rooms Expense"/>
    <s v="06/12/2014"/>
    <s v="Deposit"/>
    <m/>
    <x v="12"/>
    <x v="1"/>
    <x v="1"/>
    <x v="5"/>
    <m/>
    <s v="10471 BofA Albequerque"/>
    <n v="-25"/>
    <n v="169126.65"/>
    <n v="-25"/>
  </r>
  <r>
    <n v="65061"/>
    <s v="Material for Rooms Expense"/>
    <s v="06/13/2014"/>
    <s v="Expense"/>
    <m/>
    <x v="33"/>
    <x v="1"/>
    <x v="1"/>
    <x v="5"/>
    <m/>
    <s v="10471 BofA Albequerque"/>
    <n v="13.45"/>
    <n v="169526.88"/>
    <n v="13.45"/>
  </r>
  <r>
    <n v="65061"/>
    <s v="Material for Rooms Expense"/>
    <s v="06/23/2014"/>
    <s v="Expense"/>
    <m/>
    <x v="27"/>
    <x v="1"/>
    <x v="1"/>
    <x v="5"/>
    <m/>
    <s v="10471 BofA Albequerque"/>
    <n v="200"/>
    <n v="181810.08"/>
    <n v="200"/>
  </r>
  <r>
    <n v="65061"/>
    <s v="Material for Rooms Expense"/>
    <s v="06/26/2014"/>
    <s v="Deposit"/>
    <m/>
    <x v="23"/>
    <x v="1"/>
    <x v="1"/>
    <x v="5"/>
    <m/>
    <s v="10471 BofA Albequerque"/>
    <n v="-139.09"/>
    <n v="189744.55"/>
    <n v="-139.09"/>
  </r>
  <r>
    <n v="65090"/>
    <s v="Advertising Expense"/>
    <s v="03/24/2014"/>
    <s v="Check"/>
    <m/>
    <x v="34"/>
    <x v="1"/>
    <x v="1"/>
    <x v="6"/>
    <m/>
    <s v="10471 BofA Albequerque"/>
    <n v="61.62"/>
    <n v="166.11"/>
    <n v="61.62"/>
  </r>
  <r>
    <n v="65090"/>
    <s v="Advertising Expense"/>
    <s v="03/24/2014"/>
    <s v="Check"/>
    <m/>
    <x v="34"/>
    <x v="1"/>
    <x v="1"/>
    <x v="6"/>
    <m/>
    <s v="10471 BofA Albequerque"/>
    <n v="67.22"/>
    <n v="233.33"/>
    <n v="67.22"/>
  </r>
  <r>
    <n v="67001"/>
    <s v="Fundraising Expense -  Direct"/>
    <s v="03/26/2014"/>
    <s v="Check"/>
    <m/>
    <x v="35"/>
    <x v="1"/>
    <x v="2"/>
    <x v="7"/>
    <s v="Golf Tournament"/>
    <s v="10471 BofA Albequerque"/>
    <n v="250"/>
    <n v="46441.42"/>
    <n v="250"/>
  </r>
  <r>
    <n v="67001"/>
    <s v="Fundraising Expense -  Direct"/>
    <s v="03/31/2014"/>
    <s v="Check"/>
    <m/>
    <x v="7"/>
    <x v="1"/>
    <x v="2"/>
    <x v="7"/>
    <s v="Spike It for Special Spaces printing"/>
    <s v="10471 BofA Albequerque"/>
    <n v="36.92"/>
    <n v="46523.34"/>
    <n v="36.92"/>
  </r>
  <r>
    <n v="67001"/>
    <s v="Fundraising Expense -  Direct"/>
    <s v="05/01/2014"/>
    <s v="Check"/>
    <n v="1060"/>
    <x v="13"/>
    <x v="1"/>
    <x v="2"/>
    <x v="7"/>
    <m/>
    <s v="10471 BofA Albequerque"/>
    <n v="400"/>
    <n v="54596.11"/>
    <n v="400"/>
  </r>
  <r>
    <n v="67001"/>
    <s v="Fundraising Expense -  Direct"/>
    <s v="05/21/2014"/>
    <s v="Check"/>
    <n v="1061"/>
    <x v="13"/>
    <x v="1"/>
    <x v="2"/>
    <x v="7"/>
    <m/>
    <s v="10471 BofA Albequerque"/>
    <n v="500"/>
    <n v="56962.25"/>
    <n v="500"/>
  </r>
  <r>
    <n v="67001"/>
    <s v="Fundraising Expense -  Direct"/>
    <s v="06/27/2014"/>
    <s v="Check"/>
    <n v="1062"/>
    <x v="36"/>
    <x v="1"/>
    <x v="2"/>
    <x v="7"/>
    <m/>
    <s v="10471 BofA Albequerque"/>
    <n v="1546.46"/>
    <n v="59213.33"/>
    <n v="1546.46"/>
  </r>
  <r>
    <n v="67001"/>
    <s v="Fundraising Expense -  Direct"/>
    <s v="06/30/2014"/>
    <s v="Check"/>
    <n v="1064"/>
    <x v="13"/>
    <x v="1"/>
    <x v="2"/>
    <x v="7"/>
    <m/>
    <s v="10471 BofA Albequerque"/>
    <n v="300"/>
    <n v="59513.33"/>
    <n v="300"/>
  </r>
  <r>
    <n v="67001"/>
    <s v="Fundraising Expense -  Direct"/>
    <s v="06/30/2014"/>
    <s v="Check"/>
    <n v="1063"/>
    <x v="37"/>
    <x v="1"/>
    <x v="2"/>
    <x v="7"/>
    <m/>
    <s v="10471 BofA Albequerque"/>
    <n v="700"/>
    <n v="60213.33"/>
    <n v="700"/>
  </r>
  <r>
    <n v="43400"/>
    <s v="Direct Public Support"/>
    <s v="01/14/2014"/>
    <s v="Deposit"/>
    <m/>
    <x v="38"/>
    <x v="3"/>
    <x v="0"/>
    <x v="1"/>
    <m/>
    <s v="10108 BofA Restricted Funds -055:Buffalo - 259"/>
    <n v="1000"/>
    <n v="-19834.89"/>
    <n v="-1000"/>
  </r>
  <r>
    <n v="43400"/>
    <s v="Direct Public Support"/>
    <s v="01/30/2014"/>
    <s v="Deposit"/>
    <m/>
    <x v="3"/>
    <x v="3"/>
    <x v="0"/>
    <x v="1"/>
    <m/>
    <s v="10108 BofA Restricted Funds -055:Buffalo - 259"/>
    <n v="5211.05"/>
    <n v="35564.14"/>
    <n v="-5211.05"/>
  </r>
  <r>
    <n v="43430"/>
    <s v="Gifts in kind - Services"/>
    <s v="01/11/2014"/>
    <s v="Journal Entry"/>
    <n v="469"/>
    <x v="0"/>
    <x v="2"/>
    <x v="3"/>
    <x v="8"/>
    <s v="labor"/>
    <s v="-Split-"/>
    <n v="6277"/>
    <n v="6277"/>
    <n v="-6277"/>
  </r>
  <r>
    <n v="43440"/>
    <s v="Gifts in Kind - Goods"/>
    <s v="01/11/2014"/>
    <s v="Journal Entry"/>
    <n v="469"/>
    <x v="0"/>
    <x v="2"/>
    <x v="3"/>
    <x v="9"/>
    <s v="tent and tables"/>
    <s v="-Split-"/>
    <n v="350"/>
    <n v="975"/>
    <n v="-350"/>
  </r>
  <r>
    <n v="43440"/>
    <s v="Gifts in Kind - Goods"/>
    <s v="01/11/2014"/>
    <s v="Journal Entry"/>
    <n v="469"/>
    <x v="0"/>
    <x v="2"/>
    <x v="3"/>
    <x v="9"/>
    <s v="day out for the family"/>
    <s v="-Split-"/>
    <n v="600"/>
    <n v="1575"/>
    <n v="-600"/>
  </r>
  <r>
    <n v="43440"/>
    <s v="Gifts in Kind - Goods"/>
    <s v="01/11/2014"/>
    <s v="Journal Entry"/>
    <n v="469"/>
    <x v="0"/>
    <x v="2"/>
    <x v="3"/>
    <x v="9"/>
    <s v="Chest"/>
    <s v="-Split-"/>
    <n v="450"/>
    <n v="2025"/>
    <n v="-450"/>
  </r>
  <r>
    <n v="43440"/>
    <s v="Gifts in Kind - Goods"/>
    <s v="01/11/2014"/>
    <s v="Journal Entry"/>
    <n v="469"/>
    <x v="0"/>
    <x v="2"/>
    <x v="3"/>
    <x v="9"/>
    <s v="Materials"/>
    <s v="-Split-"/>
    <n v="365.98"/>
    <n v="2390.98"/>
    <n v="-365.98"/>
  </r>
  <r>
    <n v="43440"/>
    <s v="Gifts in Kind - Goods"/>
    <s v="01/11/2014"/>
    <s v="Journal Entry"/>
    <n v="469"/>
    <x v="0"/>
    <x v="2"/>
    <x v="3"/>
    <x v="9"/>
    <s v="closet system"/>
    <s v="-Split-"/>
    <n v="295.38"/>
    <n v="2686.36"/>
    <n v="-295.38"/>
  </r>
  <r>
    <n v="43440"/>
    <s v="Gifts in Kind - Goods"/>
    <s v="01/11/2014"/>
    <s v="Journal Entry"/>
    <n v="469"/>
    <x v="0"/>
    <x v="2"/>
    <x v="3"/>
    <x v="9"/>
    <s v="paint and supplies"/>
    <s v="-Split-"/>
    <n v="700"/>
    <n v="3386.36"/>
    <n v="-700"/>
  </r>
  <r>
    <n v="43440"/>
    <s v="Gifts in Kind - Goods"/>
    <s v="01/11/2014"/>
    <s v="Journal Entry"/>
    <n v="469"/>
    <x v="0"/>
    <x v="2"/>
    <x v="3"/>
    <x v="9"/>
    <s v="food"/>
    <s v="-Split-"/>
    <n v="400"/>
    <n v="3786.36"/>
    <n v="-400"/>
  </r>
  <r>
    <n v="65020"/>
    <s v="Postage, Mailing Service"/>
    <s v="01/31/2014"/>
    <s v="Check"/>
    <m/>
    <x v="6"/>
    <x v="2"/>
    <x v="1"/>
    <x v="3"/>
    <m/>
    <s v="10405 BoA Boston 3100"/>
    <n v="17.64"/>
    <n v="496.4"/>
    <n v="17.64"/>
  </r>
  <r>
    <n v="65061"/>
    <s v="Material for Rooms Expense"/>
    <s v="01/08/2014"/>
    <s v="Check"/>
    <m/>
    <x v="33"/>
    <x v="2"/>
    <x v="1"/>
    <x v="5"/>
    <m/>
    <s v="10405 BoA Boston 3100"/>
    <n v="36"/>
    <n v="-6213.83"/>
    <n v="36"/>
  </r>
  <r>
    <n v="65061"/>
    <s v="Material for Rooms Expense"/>
    <s v="01/09/2014"/>
    <s v="Check"/>
    <m/>
    <x v="39"/>
    <x v="2"/>
    <x v="1"/>
    <x v="5"/>
    <m/>
    <s v="10405 BoA Boston 3100"/>
    <n v="613.9"/>
    <n v="-4820.84"/>
    <n v="613.9"/>
  </r>
  <r>
    <n v="65061"/>
    <s v="Material for Rooms Expense"/>
    <s v="01/13/2014"/>
    <s v="Check"/>
    <m/>
    <x v="19"/>
    <x v="2"/>
    <x v="1"/>
    <x v="5"/>
    <m/>
    <s v="10405 BoA Boston 3100"/>
    <n v="9.5"/>
    <n v="1967.23"/>
    <n v="9.5"/>
  </r>
  <r>
    <n v="65061"/>
    <s v="Material for Rooms Expense"/>
    <s v="01/13/2014"/>
    <s v="Check"/>
    <m/>
    <x v="40"/>
    <x v="2"/>
    <x v="1"/>
    <x v="5"/>
    <m/>
    <s v="10405 BoA Boston 3100"/>
    <n v="215.38"/>
    <n v="2182.61"/>
    <n v="215.38"/>
  </r>
  <r>
    <n v="65061"/>
    <s v="Material for Rooms Expense"/>
    <s v="01/13/2014"/>
    <s v="Check"/>
    <m/>
    <x v="41"/>
    <x v="2"/>
    <x v="1"/>
    <x v="5"/>
    <m/>
    <s v="10405 BoA Boston 3100"/>
    <n v="155.77000000000001"/>
    <n v="2338.38"/>
    <n v="155.77000000000001"/>
  </r>
  <r>
    <n v="65061"/>
    <s v="Material for Rooms Expense"/>
    <s v="01/13/2014"/>
    <s v="Deposit"/>
    <m/>
    <x v="0"/>
    <x v="2"/>
    <x v="1"/>
    <x v="5"/>
    <m/>
    <s v="10405 BoA Boston 3100"/>
    <n v="-190.19"/>
    <n v="2148.19"/>
    <n v="-190.19"/>
  </r>
  <r>
    <n v="65061"/>
    <s v="Material for Rooms Expense"/>
    <s v="01/13/2014"/>
    <s v="Deposit"/>
    <m/>
    <x v="39"/>
    <x v="2"/>
    <x v="1"/>
    <x v="5"/>
    <m/>
    <s v="10405 BoA Boston 3100"/>
    <n v="-21.24"/>
    <n v="2126.9499999999998"/>
    <n v="-21.24"/>
  </r>
  <r>
    <n v="65061"/>
    <s v="Material for Rooms Expense"/>
    <s v="01/13/2014"/>
    <s v="Check"/>
    <m/>
    <x v="39"/>
    <x v="2"/>
    <x v="1"/>
    <x v="5"/>
    <m/>
    <s v="10405 BoA Boston 3100"/>
    <n v="66.86"/>
    <n v="2193.81"/>
    <n v="66.86"/>
  </r>
  <r>
    <n v="65061"/>
    <s v="Material for Rooms Expense"/>
    <s v="01/13/2014"/>
    <s v="Check"/>
    <m/>
    <x v="19"/>
    <x v="2"/>
    <x v="1"/>
    <x v="5"/>
    <m/>
    <s v="10405 BoA Boston 3100"/>
    <n v="92.48"/>
    <n v="2286.29"/>
    <n v="92.48"/>
  </r>
  <r>
    <n v="65061"/>
    <s v="Material for Rooms Expense"/>
    <s v="01/13/2014"/>
    <s v="Check"/>
    <m/>
    <x v="9"/>
    <x v="2"/>
    <x v="1"/>
    <x v="5"/>
    <m/>
    <s v="10405 BoA Boston 3100"/>
    <n v="79.73"/>
    <n v="2366.02"/>
    <n v="79.73"/>
  </r>
  <r>
    <n v="65061"/>
    <s v="Material for Rooms Expense"/>
    <s v="01/13/2014"/>
    <s v="Check"/>
    <m/>
    <x v="39"/>
    <x v="2"/>
    <x v="1"/>
    <x v="5"/>
    <m/>
    <s v="10405 BoA Boston 3100"/>
    <n v="36.1"/>
    <n v="2402.12"/>
    <n v="36.1"/>
  </r>
  <r>
    <n v="65061"/>
    <s v="Material for Rooms Expense"/>
    <s v="03/25/2014"/>
    <s v="Check"/>
    <n v="429"/>
    <x v="42"/>
    <x v="2"/>
    <x v="1"/>
    <x v="5"/>
    <s v="reimburse for Kathleen and Shelby room"/>
    <s v="10180 BofA Spec Spaces National 4695"/>
    <n v="1166.47"/>
    <n v="76930.649999999994"/>
    <n v="1166.47"/>
  </r>
  <r>
    <n v="65062"/>
    <s v="In-Kind Goods"/>
    <s v="01/11/2014"/>
    <s v="Journal Entry"/>
    <n v="469"/>
    <x v="0"/>
    <x v="2"/>
    <x v="1"/>
    <x v="10"/>
    <s v="closet system"/>
    <s v="-Split-"/>
    <n v="295.38"/>
    <n v="920.38"/>
    <n v="295.38"/>
  </r>
  <r>
    <n v="65062"/>
    <s v="In-Kind Goods"/>
    <s v="01/11/2014"/>
    <s v="Journal Entry"/>
    <n v="469"/>
    <x v="0"/>
    <x v="2"/>
    <x v="1"/>
    <x v="10"/>
    <s v="tent and tables"/>
    <s v="-Split-"/>
    <n v="350"/>
    <n v="1270.3800000000001"/>
    <n v="350"/>
  </r>
  <r>
    <n v="65062"/>
    <s v="In-Kind Goods"/>
    <s v="01/11/2014"/>
    <s v="Journal Entry"/>
    <n v="469"/>
    <x v="0"/>
    <x v="2"/>
    <x v="1"/>
    <x v="10"/>
    <s v="day out for the family"/>
    <s v="-Split-"/>
    <n v="600"/>
    <n v="1870.38"/>
    <n v="600"/>
  </r>
  <r>
    <n v="65062"/>
    <s v="In-Kind Goods"/>
    <s v="01/11/2014"/>
    <s v="Journal Entry"/>
    <n v="469"/>
    <x v="0"/>
    <x v="2"/>
    <x v="1"/>
    <x v="10"/>
    <s v="Chest"/>
    <s v="-Split-"/>
    <n v="450"/>
    <n v="2320.38"/>
    <n v="450"/>
  </r>
  <r>
    <n v="65062"/>
    <s v="In-Kind Goods"/>
    <s v="01/11/2014"/>
    <s v="Journal Entry"/>
    <n v="469"/>
    <x v="0"/>
    <x v="2"/>
    <x v="1"/>
    <x v="10"/>
    <s v="paint and supplies"/>
    <s v="-Split-"/>
    <n v="700"/>
    <n v="3020.38"/>
    <n v="700"/>
  </r>
  <r>
    <n v="65062"/>
    <s v="In-Kind Goods"/>
    <s v="01/11/2014"/>
    <s v="Journal Entry"/>
    <n v="469"/>
    <x v="0"/>
    <x v="2"/>
    <x v="1"/>
    <x v="10"/>
    <s v="Materials"/>
    <s v="-Split-"/>
    <n v="365.98"/>
    <n v="3386.36"/>
    <n v="365.98"/>
  </r>
  <r>
    <n v="65062"/>
    <s v="In-Kind Goods"/>
    <s v="01/11/2014"/>
    <s v="Journal Entry"/>
    <n v="469"/>
    <x v="0"/>
    <x v="2"/>
    <x v="1"/>
    <x v="10"/>
    <s v="food"/>
    <s v="-Split-"/>
    <n v="400"/>
    <n v="3786.36"/>
    <n v="400"/>
  </r>
  <r>
    <n v="65063"/>
    <s v="In-Kind Services"/>
    <s v="01/11/2014"/>
    <s v="Journal Entry"/>
    <n v="469"/>
    <x v="0"/>
    <x v="2"/>
    <x v="1"/>
    <x v="11"/>
    <s v="labor"/>
    <s v="-Split-"/>
    <n v="6277"/>
    <n v="6277"/>
    <n v="6277"/>
  </r>
  <r>
    <n v="43400"/>
    <s v="Direct Public Support"/>
    <s v="02/28/2014"/>
    <s v="Deposit"/>
    <m/>
    <x v="3"/>
    <x v="3"/>
    <x v="0"/>
    <x v="1"/>
    <m/>
    <s v="10108 BofA Restricted Funds -055:Buffalo - 259"/>
    <n v="3550"/>
    <n v="76704.399999999994"/>
    <n v="-3550"/>
  </r>
  <r>
    <n v="43400"/>
    <s v="Direct Public Support"/>
    <s v="03/11/2014"/>
    <s v="Journal Entry"/>
    <n v="446"/>
    <x v="0"/>
    <x v="3"/>
    <x v="0"/>
    <x v="1"/>
    <s v="paypal"/>
    <s v="-Split-"/>
    <n v="225"/>
    <n v="89174.21"/>
    <n v="-225"/>
  </r>
  <r>
    <n v="43400"/>
    <s v="Direct Public Support"/>
    <s v="03/14/2014"/>
    <s v="Deposit"/>
    <m/>
    <x v="3"/>
    <x v="3"/>
    <x v="0"/>
    <x v="1"/>
    <m/>
    <s v="10108 BofA Restricted Funds -055:Buffalo - 259"/>
    <n v="783.5"/>
    <n v="92104.75"/>
    <n v="-783.5"/>
  </r>
  <r>
    <n v="43400"/>
    <s v="Direct Public Support"/>
    <s v="03/26/2014"/>
    <s v="Deposit"/>
    <m/>
    <x v="3"/>
    <x v="3"/>
    <x v="0"/>
    <x v="1"/>
    <m/>
    <s v="10108 BofA Restricted Funds -055:Buffalo - 259"/>
    <n v="1640"/>
    <n v="104948.59"/>
    <n v="-1640"/>
  </r>
  <r>
    <n v="43400"/>
    <s v="Direct Public Support"/>
    <s v="04/30/2014"/>
    <s v="Deposit"/>
    <m/>
    <x v="3"/>
    <x v="3"/>
    <x v="0"/>
    <x v="1"/>
    <m/>
    <s v="10108 BofA Restricted Funds -055:Buffalo - 259"/>
    <n v="300.3"/>
    <n v="125289.41"/>
    <n v="-300.3"/>
  </r>
  <r>
    <n v="43400"/>
    <s v="Direct Public Support"/>
    <s v="05/20/2014"/>
    <s v="Deposit"/>
    <m/>
    <x v="3"/>
    <x v="3"/>
    <x v="0"/>
    <x v="1"/>
    <m/>
    <s v="10108 BofA Restricted Funds -055:Buffalo - 259"/>
    <n v="322"/>
    <n v="162211.01"/>
    <n v="-322"/>
  </r>
  <r>
    <n v="43400"/>
    <s v="Direct Public Support"/>
    <s v="06/13/2014"/>
    <s v="Deposit"/>
    <m/>
    <x v="3"/>
    <x v="3"/>
    <x v="0"/>
    <x v="1"/>
    <m/>
    <s v="10108 BofA Restricted Funds -055:Buffalo - 259"/>
    <n v="215.91"/>
    <n v="193500.02"/>
    <n v="-215.91"/>
  </r>
  <r>
    <n v="43400"/>
    <s v="Direct Public Support"/>
    <s v="06/30/2014"/>
    <s v="Deposit"/>
    <m/>
    <x v="3"/>
    <x v="3"/>
    <x v="0"/>
    <x v="1"/>
    <m/>
    <s v="10108 BofA Restricted Funds -055:Buffalo - 259"/>
    <n v="1350"/>
    <n v="207532.07"/>
    <n v="-1350"/>
  </r>
  <r>
    <n v="43400"/>
    <s v="Direct Public Support"/>
    <s v="09/09/2014"/>
    <s v="Deposit"/>
    <m/>
    <x v="43"/>
    <x v="4"/>
    <x v="0"/>
    <x v="1"/>
    <m/>
    <s v="10139 BofA Restricted Funds -055:Sacramento 5171"/>
    <n v="6334.05"/>
    <n v="249078.42"/>
    <n v="-6334.05"/>
  </r>
  <r>
    <n v="43400"/>
    <s v="Direct Public Support"/>
    <s v="09/16/2014"/>
    <s v="Deposit"/>
    <m/>
    <x v="3"/>
    <x v="4"/>
    <x v="0"/>
    <x v="1"/>
    <m/>
    <s v="10139 BofA Restricted Funds -055:Sacramento 5171"/>
    <n v="100"/>
    <n v="256217.42"/>
    <n v="-100"/>
  </r>
  <r>
    <n v="43400"/>
    <s v="Direct Public Support"/>
    <s v="07/17/2014"/>
    <s v="Deposit"/>
    <m/>
    <x v="0"/>
    <x v="5"/>
    <x v="0"/>
    <x v="1"/>
    <m/>
    <s v="10542 BofA San Fran Restricted 0918"/>
    <n v="60"/>
    <n v="223527.57"/>
    <n v="-60"/>
  </r>
  <r>
    <n v="43400"/>
    <s v="Direct Public Support"/>
    <s v="04/01/2014"/>
    <s v="Deposit"/>
    <m/>
    <x v="3"/>
    <x v="6"/>
    <x v="0"/>
    <x v="1"/>
    <m/>
    <s v="10110 BofA Restricted Funds -055:Chattanooga - 4598"/>
    <n v="1000"/>
    <n v="107526.64"/>
    <n v="-1000"/>
  </r>
  <r>
    <n v="43400"/>
    <s v="Direct Public Support"/>
    <s v="05/02/2014"/>
    <s v="Deposit"/>
    <m/>
    <x v="3"/>
    <x v="6"/>
    <x v="0"/>
    <x v="1"/>
    <m/>
    <s v="10110 BofA Restricted Funds -055:Chattanooga - 4598"/>
    <n v="100"/>
    <n v="128474.41"/>
    <n v="-100"/>
  </r>
  <r>
    <n v="43430"/>
    <s v="Gifts in kind - Services"/>
    <s v="05/03/2014"/>
    <s v="Journal Entry"/>
    <n v="574"/>
    <x v="0"/>
    <x v="3"/>
    <x v="3"/>
    <x v="8"/>
    <s v="Scotty's Room"/>
    <s v="-Split-"/>
    <n v="1040"/>
    <n v="12367.5"/>
    <n v="-1040"/>
  </r>
  <r>
    <n v="43430"/>
    <s v="Gifts in kind - Services"/>
    <s v="06/07/2014"/>
    <s v="Journal Entry"/>
    <n v="609"/>
    <x v="0"/>
    <x v="3"/>
    <x v="3"/>
    <x v="8"/>
    <s v="Michelle's bedroom labor for drapery"/>
    <s v="-Split-"/>
    <n v="205"/>
    <n v="15472.5"/>
    <n v="-205"/>
  </r>
  <r>
    <n v="43430"/>
    <s v="Gifts in kind - Services"/>
    <s v="06/21/2014"/>
    <s v="Journal Entry"/>
    <n v="610"/>
    <x v="0"/>
    <x v="3"/>
    <x v="3"/>
    <x v="8"/>
    <s v="labor for duvet cover/sham and rock chair recovered for Dereck's room"/>
    <s v="-Split-"/>
    <n v="650"/>
    <n v="18522.5"/>
    <n v="-650"/>
  </r>
  <r>
    <n v="43440"/>
    <s v="Gifts in Kind - Goods"/>
    <s v="03/29/2014"/>
    <s v="Journal Entry"/>
    <n v="573"/>
    <x v="0"/>
    <x v="3"/>
    <x v="3"/>
    <x v="9"/>
    <s v="Zacarias' Room"/>
    <s v="-Split-"/>
    <n v="1000"/>
    <n v="20371.63"/>
    <n v="-1000"/>
  </r>
  <r>
    <n v="43440"/>
    <s v="Gifts in Kind - Goods"/>
    <s v="03/29/2014"/>
    <s v="Journal Entry"/>
    <n v="573"/>
    <x v="0"/>
    <x v="3"/>
    <x v="3"/>
    <x v="9"/>
    <s v="Zacarias' Room"/>
    <s v="-Split-"/>
    <n v="150"/>
    <n v="20521.63"/>
    <n v="-150"/>
  </r>
  <r>
    <n v="43440"/>
    <s v="Gifts in Kind - Goods"/>
    <s v="03/29/2014"/>
    <s v="Journal Entry"/>
    <n v="573"/>
    <x v="0"/>
    <x v="3"/>
    <x v="3"/>
    <x v="9"/>
    <s v="Zacarias' Room"/>
    <s v="-Split-"/>
    <n v="545"/>
    <n v="21066.63"/>
    <n v="-545"/>
  </r>
  <r>
    <n v="43440"/>
    <s v="Gifts in Kind - Goods"/>
    <s v="03/29/2014"/>
    <s v="Journal Entry"/>
    <n v="573"/>
    <x v="0"/>
    <x v="3"/>
    <x v="3"/>
    <x v="9"/>
    <s v="Zacarias' Room"/>
    <s v="-Split-"/>
    <n v="325"/>
    <n v="21391.63"/>
    <n v="-325"/>
  </r>
  <r>
    <n v="43440"/>
    <s v="Gifts in Kind - Goods"/>
    <s v="04/16/2014"/>
    <s v="Journal Entry"/>
    <n v="572"/>
    <x v="0"/>
    <x v="3"/>
    <x v="3"/>
    <x v="9"/>
    <s v="Alexis Room"/>
    <s v="-Split-"/>
    <n v="850"/>
    <n v="22991.63"/>
    <n v="-850"/>
  </r>
  <r>
    <n v="43440"/>
    <s v="Gifts in Kind - Goods"/>
    <s v="04/16/2014"/>
    <s v="Journal Entry"/>
    <n v="572"/>
    <x v="0"/>
    <x v="3"/>
    <x v="3"/>
    <x v="9"/>
    <s v="Alexis Room"/>
    <s v="-Split-"/>
    <n v="1500"/>
    <n v="24491.63"/>
    <n v="-1500"/>
  </r>
  <r>
    <n v="43440"/>
    <s v="Gifts in Kind - Goods"/>
    <s v="06/07/2014"/>
    <s v="Journal Entry"/>
    <n v="609"/>
    <x v="0"/>
    <x v="3"/>
    <x v="3"/>
    <x v="9"/>
    <s v="Pizza"/>
    <s v="-Split-"/>
    <n v="33"/>
    <n v="28110.17"/>
    <n v="-33"/>
  </r>
  <r>
    <n v="43400"/>
    <s v="Direct Public Support"/>
    <s v="01/15/2014"/>
    <s v="Deposit"/>
    <m/>
    <x v="3"/>
    <x v="7"/>
    <x v="0"/>
    <x v="1"/>
    <m/>
    <s v="10111 BofA Restricted Funds -055:Chicago 8350"/>
    <n v="4977"/>
    <n v="-10337.89"/>
    <n v="-4977"/>
  </r>
  <r>
    <n v="43400"/>
    <s v="Direct Public Support"/>
    <s v="02/10/2014"/>
    <s v="Deposit"/>
    <m/>
    <x v="44"/>
    <x v="7"/>
    <x v="0"/>
    <x v="1"/>
    <m/>
    <s v="10111 BofA Restricted Funds -055:Chicago 8350"/>
    <n v="819.65"/>
    <n v="41645.54"/>
    <n v="-819.65"/>
  </r>
  <r>
    <n v="43400"/>
    <s v="Direct Public Support"/>
    <s v="02/10/2014"/>
    <s v="Deposit"/>
    <m/>
    <x v="44"/>
    <x v="7"/>
    <x v="0"/>
    <x v="1"/>
    <m/>
    <s v="10111 BofA Restricted Funds -055:Chicago 8350"/>
    <n v="5048.26"/>
    <n v="46693.8"/>
    <n v="-5048.26"/>
  </r>
  <r>
    <n v="43400"/>
    <s v="Direct Public Support"/>
    <s v="02/13/2014"/>
    <s v="Deposit"/>
    <m/>
    <x v="3"/>
    <x v="7"/>
    <x v="0"/>
    <x v="1"/>
    <m/>
    <s v="10111 BofA Restricted Funds -055:Chicago 8350"/>
    <n v="2040"/>
    <n v="48733.8"/>
    <n v="-2040"/>
  </r>
  <r>
    <n v="43400"/>
    <s v="Direct Public Support"/>
    <s v="02/13/2014"/>
    <s v="Deposit"/>
    <m/>
    <x v="3"/>
    <x v="7"/>
    <x v="0"/>
    <x v="1"/>
    <m/>
    <s v="10111 BofA Restricted Funds -055:Chicago 8350"/>
    <n v="2040"/>
    <n v="50773.8"/>
    <n v="-2040"/>
  </r>
  <r>
    <n v="43400"/>
    <s v="Direct Public Support"/>
    <s v="03/10/2014"/>
    <s v="Deposit"/>
    <m/>
    <x v="45"/>
    <x v="7"/>
    <x v="0"/>
    <x v="1"/>
    <m/>
    <s v="10111 BofA Restricted Funds -055:Chicago 8350"/>
    <n v="3500"/>
    <n v="88713.21"/>
    <n v="-3500"/>
  </r>
  <r>
    <n v="43400"/>
    <s v="Direct Public Support"/>
    <s v="03/11/2014"/>
    <s v="Journal Entry"/>
    <n v="446"/>
    <x v="0"/>
    <x v="7"/>
    <x v="0"/>
    <x v="1"/>
    <s v="paypal"/>
    <s v="-Split-"/>
    <n v="35"/>
    <n v="88949.21"/>
    <n v="-35"/>
  </r>
  <r>
    <n v="43400"/>
    <s v="Direct Public Support"/>
    <s v="03/25/2014"/>
    <s v="Deposit"/>
    <m/>
    <x v="3"/>
    <x v="7"/>
    <x v="0"/>
    <x v="1"/>
    <m/>
    <s v="10111 BofA Restricted Funds -055:Chicago 8350"/>
    <n v="634.26"/>
    <n v="101780.72"/>
    <n v="-634.26"/>
  </r>
  <r>
    <n v="43400"/>
    <s v="Direct Public Support"/>
    <s v="05/02/2014"/>
    <s v="Deposit"/>
    <m/>
    <x v="3"/>
    <x v="7"/>
    <x v="0"/>
    <x v="1"/>
    <m/>
    <s v="10111 BofA Restricted Funds -055:Chicago 8350"/>
    <n v="3000"/>
    <n v="131924.41"/>
    <n v="-3000"/>
  </r>
  <r>
    <n v="43400"/>
    <s v="Direct Public Support"/>
    <s v="05/28/2014"/>
    <s v="Deposit"/>
    <m/>
    <x v="0"/>
    <x v="7"/>
    <x v="0"/>
    <x v="1"/>
    <m/>
    <s v="10111 BofA Restricted Funds -055:Chicago 8350"/>
    <n v="1940"/>
    <n v="162945.95000000001"/>
    <n v="-1940"/>
  </r>
  <r>
    <n v="62145"/>
    <s v="Website Design"/>
    <s v="04/30/2014"/>
    <s v="Check"/>
    <n v="1221"/>
    <x v="46"/>
    <x v="3"/>
    <x v="1"/>
    <x v="12"/>
    <m/>
    <s v="10411 BofA Buffalo"/>
    <n v="361.41"/>
    <n v="1123.9100000000001"/>
    <n v="361.41"/>
  </r>
  <r>
    <n v="62145"/>
    <s v="Website Design"/>
    <s v="05/07/2014"/>
    <s v="Expense"/>
    <m/>
    <x v="47"/>
    <x v="3"/>
    <x v="1"/>
    <x v="12"/>
    <m/>
    <s v="10411 BofA Buffalo"/>
    <n v="139.52000000000001"/>
    <n v="1324.07"/>
    <n v="139.52000000000001"/>
  </r>
  <r>
    <n v="65020"/>
    <s v="Postage, Mailing Service"/>
    <s v="01/31/2014"/>
    <s v="Check"/>
    <m/>
    <x v="6"/>
    <x v="3"/>
    <x v="1"/>
    <x v="3"/>
    <m/>
    <s v="10411 BofA Buffalo"/>
    <n v="49"/>
    <n v="545.4"/>
    <n v="49"/>
  </r>
  <r>
    <n v="65020"/>
    <s v="Postage, Mailing Service"/>
    <s v="03/04/2014"/>
    <s v="Check"/>
    <m/>
    <x v="6"/>
    <x v="3"/>
    <x v="1"/>
    <x v="3"/>
    <m/>
    <s v="10411 BofA Buffalo"/>
    <n v="2.66"/>
    <n v="722.06"/>
    <n v="2.66"/>
  </r>
  <r>
    <n v="65020"/>
    <s v="Postage, Mailing Service"/>
    <s v="03/10/2014"/>
    <s v="Check"/>
    <m/>
    <x v="6"/>
    <x v="3"/>
    <x v="1"/>
    <x v="3"/>
    <m/>
    <s v="10411 BofA Buffalo"/>
    <n v="19.600000000000001"/>
    <n v="741.66"/>
    <n v="19.600000000000001"/>
  </r>
  <r>
    <n v="65020"/>
    <s v="Postage, Mailing Service"/>
    <s v="04/21/2014"/>
    <s v="Check"/>
    <m/>
    <x v="6"/>
    <x v="3"/>
    <x v="1"/>
    <x v="3"/>
    <m/>
    <s v="10411 BofA Buffalo"/>
    <n v="2.87"/>
    <n v="1062.55"/>
    <n v="2.87"/>
  </r>
  <r>
    <n v="65020"/>
    <s v="Postage, Mailing Service"/>
    <s v="06/06/2014"/>
    <s v="Expense"/>
    <m/>
    <x v="6"/>
    <x v="3"/>
    <x v="1"/>
    <x v="3"/>
    <m/>
    <s v="10411 BofA Buffalo"/>
    <n v="6.85"/>
    <n v="1566.28"/>
    <n v="6.85"/>
  </r>
  <r>
    <n v="65036"/>
    <s v="Volunteer Hospitality"/>
    <s v="02/13/2014"/>
    <s v="Check"/>
    <m/>
    <x v="48"/>
    <x v="3"/>
    <x v="1"/>
    <x v="13"/>
    <m/>
    <s v="10411 BofA Buffalo"/>
    <n v="38.28"/>
    <n v="622.91"/>
    <n v="38.28"/>
  </r>
  <r>
    <n v="65036"/>
    <s v="Volunteer Hospitality"/>
    <s v="02/13/2014"/>
    <s v="Check"/>
    <m/>
    <x v="49"/>
    <x v="3"/>
    <x v="1"/>
    <x v="13"/>
    <m/>
    <s v="10411 BofA Buffalo"/>
    <n v="15.07"/>
    <n v="672.98"/>
    <n v="15.07"/>
  </r>
  <r>
    <n v="65036"/>
    <s v="Volunteer Hospitality"/>
    <s v="06/09/2014"/>
    <s v="Expense"/>
    <m/>
    <x v="49"/>
    <x v="3"/>
    <x v="1"/>
    <x v="13"/>
    <m/>
    <s v="10411 BofA Buffalo"/>
    <n v="16.149999999999999"/>
    <n v="5041.72"/>
    <n v="16.149999999999999"/>
  </r>
  <r>
    <n v="65040"/>
    <s v="Supplies"/>
    <s v="01/29/2014"/>
    <s v="Check"/>
    <n v="1200"/>
    <x v="50"/>
    <x v="3"/>
    <x v="1"/>
    <x v="4"/>
    <m/>
    <s v="10411 BofA Buffalo"/>
    <n v="50"/>
    <n v="680.31"/>
    <n v="50"/>
  </r>
  <r>
    <n v="65040"/>
    <s v="Supplies"/>
    <s v="06/18/2014"/>
    <s v="Check"/>
    <n v="1226"/>
    <x v="51"/>
    <x v="3"/>
    <x v="1"/>
    <x v="4"/>
    <m/>
    <s v="10411 BofA Buffalo"/>
    <n v="250"/>
    <n v="1983.76"/>
    <n v="250"/>
  </r>
  <r>
    <n v="65060"/>
    <s v="Material for Rooms Expense"/>
    <s v="05/21/2014"/>
    <s v="Expense"/>
    <m/>
    <x v="26"/>
    <x v="3"/>
    <x v="1"/>
    <x v="5"/>
    <m/>
    <s v="10411 BofA Buffalo"/>
    <n v="54.98"/>
    <n v="28.48"/>
    <n v="54.98"/>
  </r>
  <r>
    <n v="65061"/>
    <s v="Material for Rooms Expense"/>
    <s v="01/07/2014"/>
    <s v="Check"/>
    <m/>
    <x v="52"/>
    <x v="3"/>
    <x v="1"/>
    <x v="5"/>
    <m/>
    <s v="10411 BofA Buffalo"/>
    <n v="76.53"/>
    <n v="-6381.86"/>
    <n v="76.53"/>
  </r>
  <r>
    <n v="65061"/>
    <s v="Material for Rooms Expense"/>
    <s v="01/07/2014"/>
    <s v="Check"/>
    <m/>
    <x v="33"/>
    <x v="3"/>
    <x v="1"/>
    <x v="5"/>
    <m/>
    <s v="10411 BofA Buffalo"/>
    <n v="15.76"/>
    <n v="-6366.1"/>
    <n v="15.76"/>
  </r>
  <r>
    <n v="65061"/>
    <s v="Material for Rooms Expense"/>
    <s v="01/07/2014"/>
    <s v="Check"/>
    <m/>
    <x v="52"/>
    <x v="3"/>
    <x v="1"/>
    <x v="5"/>
    <m/>
    <s v="10411 BofA Buffalo"/>
    <n v="2.2999999999999998"/>
    <n v="-6249.83"/>
    <n v="2.2999999999999998"/>
  </r>
  <r>
    <n v="65061"/>
    <s v="Material for Rooms Expense"/>
    <s v="01/13/2014"/>
    <s v="Check"/>
    <n v="1199"/>
    <x v="53"/>
    <x v="3"/>
    <x v="1"/>
    <x v="5"/>
    <m/>
    <s v="10411 BofA Buffalo"/>
    <n v="678.74"/>
    <n v="573.04999999999995"/>
    <n v="678.74"/>
  </r>
  <r>
    <n v="65061"/>
    <s v="Material for Rooms Expense"/>
    <s v="01/13/2014"/>
    <s v="Check"/>
    <m/>
    <x v="54"/>
    <x v="3"/>
    <x v="1"/>
    <x v="5"/>
    <m/>
    <s v="10411 BofA Buffalo"/>
    <n v="18"/>
    <n v="591.04999999999995"/>
    <n v="18"/>
  </r>
  <r>
    <n v="65061"/>
    <s v="Material for Rooms Expense"/>
    <s v="01/24/2014"/>
    <s v="Check"/>
    <m/>
    <x v="55"/>
    <x v="3"/>
    <x v="1"/>
    <x v="5"/>
    <m/>
    <s v="10411 BofA Buffalo"/>
    <n v="22.82"/>
    <n v="20307.43"/>
    <n v="22.82"/>
  </r>
  <r>
    <n v="65061"/>
    <s v="Material for Rooms Expense"/>
    <s v="01/27/2014"/>
    <s v="Check"/>
    <m/>
    <x v="30"/>
    <x v="3"/>
    <x v="1"/>
    <x v="5"/>
    <m/>
    <s v="10411 BofA Buffalo"/>
    <n v="27.2"/>
    <n v="20286.43"/>
    <n v="27.2"/>
  </r>
  <r>
    <n v="65061"/>
    <s v="Material for Rooms Expense"/>
    <s v="01/27/2014"/>
    <s v="Check"/>
    <m/>
    <x v="41"/>
    <x v="3"/>
    <x v="1"/>
    <x v="5"/>
    <m/>
    <s v="10411 BofA Buffalo"/>
    <n v="36.94"/>
    <n v="20323.37"/>
    <n v="36.94"/>
  </r>
  <r>
    <n v="65061"/>
    <s v="Material for Rooms Expense"/>
    <s v="01/27/2014"/>
    <s v="Check"/>
    <m/>
    <x v="56"/>
    <x v="3"/>
    <x v="1"/>
    <x v="5"/>
    <m/>
    <s v="10411 BofA Buffalo"/>
    <n v="21.74"/>
    <n v="20345.11"/>
    <n v="21.74"/>
  </r>
  <r>
    <n v="65061"/>
    <s v="Material for Rooms Expense"/>
    <s v="01/29/2014"/>
    <s v="Check"/>
    <m/>
    <x v="56"/>
    <x v="3"/>
    <x v="1"/>
    <x v="5"/>
    <m/>
    <s v="10411 BofA Buffalo"/>
    <n v="154.36000000000001"/>
    <n v="21035.79"/>
    <n v="154.36000000000001"/>
  </r>
  <r>
    <n v="65061"/>
    <s v="Material for Rooms Expense"/>
    <s v="01/29/2014"/>
    <s v="Check"/>
    <m/>
    <x v="33"/>
    <x v="3"/>
    <x v="1"/>
    <x v="5"/>
    <m/>
    <s v="10411 BofA Buffalo"/>
    <n v="37.93"/>
    <n v="21073.72"/>
    <n v="37.93"/>
  </r>
  <r>
    <n v="65061"/>
    <s v="Material for Rooms Expense"/>
    <s v="01/29/2014"/>
    <s v="Check"/>
    <m/>
    <x v="41"/>
    <x v="3"/>
    <x v="1"/>
    <x v="5"/>
    <m/>
    <s v="10411 BofA Buffalo"/>
    <n v="32.630000000000003"/>
    <n v="21106.35"/>
    <n v="32.630000000000003"/>
  </r>
  <r>
    <n v="65061"/>
    <s v="Material for Rooms Expense"/>
    <s v="01/30/2014"/>
    <s v="Check"/>
    <m/>
    <x v="56"/>
    <x v="3"/>
    <x v="1"/>
    <x v="5"/>
    <m/>
    <s v="10411 BofA Buffalo"/>
    <n v="119.94"/>
    <n v="24639.75"/>
    <n v="119.94"/>
  </r>
  <r>
    <n v="65061"/>
    <s v="Material for Rooms Expense"/>
    <s v="01/30/2014"/>
    <s v="Check"/>
    <n v="1202"/>
    <x v="57"/>
    <x v="3"/>
    <x v="1"/>
    <x v="5"/>
    <m/>
    <s v="10411 BofA Buffalo"/>
    <n v="739.86"/>
    <n v="25379.61"/>
    <n v="739.86"/>
  </r>
  <r>
    <n v="65061"/>
    <s v="Material for Rooms Expense"/>
    <s v="01/30/2014"/>
    <s v="Check"/>
    <m/>
    <x v="33"/>
    <x v="3"/>
    <x v="1"/>
    <x v="5"/>
    <m/>
    <s v="10411 BofA Buffalo"/>
    <n v="37.35"/>
    <n v="25416.959999999999"/>
    <n v="37.35"/>
  </r>
  <r>
    <n v="65061"/>
    <s v="Material for Rooms Expense"/>
    <s v="01/30/2014"/>
    <s v="Deposit"/>
    <m/>
    <x v="56"/>
    <x v="3"/>
    <x v="1"/>
    <x v="5"/>
    <m/>
    <s v="10411 BofA Buffalo"/>
    <n v="-154.36000000000001"/>
    <n v="25378.09"/>
    <n v="-154.36000000000001"/>
  </r>
  <r>
    <n v="65061"/>
    <s v="Material for Rooms Expense"/>
    <s v="02/03/2014"/>
    <s v="Check"/>
    <m/>
    <x v="8"/>
    <x v="3"/>
    <x v="1"/>
    <x v="5"/>
    <m/>
    <s v="10411 BofA Buffalo"/>
    <n v="9.1"/>
    <n v="27899.22"/>
    <n v="9.1"/>
  </r>
  <r>
    <n v="65061"/>
    <s v="Material for Rooms Expense"/>
    <s v="02/03/2014"/>
    <s v="Check"/>
    <m/>
    <x v="58"/>
    <x v="3"/>
    <x v="1"/>
    <x v="5"/>
    <m/>
    <s v="10411 BofA Buffalo"/>
    <n v="59.59"/>
    <n v="27958.81"/>
    <n v="59.59"/>
  </r>
  <r>
    <n v="65061"/>
    <s v="Material for Rooms Expense"/>
    <s v="02/04/2014"/>
    <s v="Check"/>
    <m/>
    <x v="33"/>
    <x v="3"/>
    <x v="1"/>
    <x v="5"/>
    <m/>
    <s v="10411 BofA Buffalo"/>
    <n v="203.99"/>
    <n v="28994.37"/>
    <n v="203.99"/>
  </r>
  <r>
    <n v="65061"/>
    <s v="Material for Rooms Expense"/>
    <s v="02/04/2014"/>
    <s v="Check"/>
    <m/>
    <x v="33"/>
    <x v="3"/>
    <x v="1"/>
    <x v="5"/>
    <m/>
    <s v="10411 BofA Buffalo"/>
    <n v="7.5"/>
    <n v="29001.87"/>
    <n v="7.5"/>
  </r>
  <r>
    <n v="65061"/>
    <s v="Material for Rooms Expense"/>
    <s v="02/04/2014"/>
    <s v="Check"/>
    <m/>
    <x v="33"/>
    <x v="3"/>
    <x v="1"/>
    <x v="5"/>
    <m/>
    <s v="10411 BofA Buffalo"/>
    <n v="36.78"/>
    <n v="29038.65"/>
    <n v="36.78"/>
  </r>
  <r>
    <n v="65061"/>
    <s v="Material for Rooms Expense"/>
    <s v="02/05/2014"/>
    <s v="Check"/>
    <m/>
    <x v="8"/>
    <x v="3"/>
    <x v="1"/>
    <x v="5"/>
    <m/>
    <s v="10411 BofA Buffalo"/>
    <n v="22.47"/>
    <n v="29875.09"/>
    <n v="22.47"/>
  </r>
  <r>
    <n v="65061"/>
    <s v="Material for Rooms Expense"/>
    <s v="02/06/2014"/>
    <s v="Check"/>
    <m/>
    <x v="33"/>
    <x v="3"/>
    <x v="1"/>
    <x v="5"/>
    <m/>
    <s v="10411 BofA Buffalo"/>
    <n v="2.78"/>
    <n v="30326.05"/>
    <n v="2.78"/>
  </r>
  <r>
    <n v="65061"/>
    <s v="Material for Rooms Expense"/>
    <s v="02/06/2014"/>
    <s v="Check"/>
    <m/>
    <x v="33"/>
    <x v="3"/>
    <x v="1"/>
    <x v="5"/>
    <m/>
    <s v="10411 BofA Buffalo"/>
    <n v="27.18"/>
    <n v="30353.23"/>
    <n v="27.18"/>
  </r>
  <r>
    <n v="65061"/>
    <s v="Material for Rooms Expense"/>
    <s v="02/06/2014"/>
    <s v="Check"/>
    <m/>
    <x v="33"/>
    <x v="3"/>
    <x v="1"/>
    <x v="5"/>
    <m/>
    <s v="10411 BofA Buffalo"/>
    <n v="2.9"/>
    <n v="30356.13"/>
    <n v="2.9"/>
  </r>
  <r>
    <n v="65061"/>
    <s v="Material for Rooms Expense"/>
    <s v="02/06/2014"/>
    <s v="Check"/>
    <m/>
    <x v="33"/>
    <x v="3"/>
    <x v="1"/>
    <x v="5"/>
    <m/>
    <s v="10411 BofA Buffalo"/>
    <n v="5.08"/>
    <n v="30361.21"/>
    <n v="5.08"/>
  </r>
  <r>
    <n v="65061"/>
    <s v="Material for Rooms Expense"/>
    <s v="02/06/2014"/>
    <s v="Check"/>
    <m/>
    <x v="33"/>
    <x v="3"/>
    <x v="1"/>
    <x v="5"/>
    <m/>
    <s v="10411 BofA Buffalo"/>
    <n v="30.42"/>
    <n v="30391.63"/>
    <n v="30.42"/>
  </r>
  <r>
    <n v="65061"/>
    <s v="Material for Rooms Expense"/>
    <s v="02/07/2014"/>
    <s v="Check"/>
    <m/>
    <x v="33"/>
    <x v="3"/>
    <x v="1"/>
    <x v="5"/>
    <m/>
    <s v="10411 BofA Buffalo"/>
    <n v="110.01"/>
    <n v="31969.45"/>
    <n v="110.01"/>
  </r>
  <r>
    <n v="65061"/>
    <s v="Material for Rooms Expense"/>
    <s v="02/10/2014"/>
    <s v="Check"/>
    <m/>
    <x v="59"/>
    <x v="3"/>
    <x v="1"/>
    <x v="5"/>
    <m/>
    <s v="10411 BofA Buffalo"/>
    <n v="169.99"/>
    <n v="33342.239999999998"/>
    <n v="169.99"/>
  </r>
  <r>
    <n v="65061"/>
    <s v="Material for Rooms Expense"/>
    <s v="02/11/2014"/>
    <s v="Check"/>
    <m/>
    <x v="60"/>
    <x v="3"/>
    <x v="1"/>
    <x v="5"/>
    <m/>
    <s v="10411 BofA Buffalo"/>
    <n v="62.44"/>
    <n v="39100.1"/>
    <n v="62.44"/>
  </r>
  <r>
    <n v="65061"/>
    <s v="Material for Rooms Expense"/>
    <s v="02/13/2014"/>
    <s v="Check"/>
    <m/>
    <x v="61"/>
    <x v="3"/>
    <x v="1"/>
    <x v="5"/>
    <m/>
    <s v="10411 BofA Buffalo"/>
    <n v="26.08"/>
    <n v="40588.94"/>
    <n v="26.08"/>
  </r>
  <r>
    <n v="65061"/>
    <s v="Material for Rooms Expense"/>
    <s v="02/18/2014"/>
    <s v="Check"/>
    <m/>
    <x v="53"/>
    <x v="3"/>
    <x v="1"/>
    <x v="5"/>
    <m/>
    <s v="10411 BofA Buffalo"/>
    <n v="14.02"/>
    <n v="43385.45"/>
    <n v="14.02"/>
  </r>
  <r>
    <n v="65061"/>
    <s v="Material for Rooms Expense"/>
    <s v="02/18/2014"/>
    <s v="Check"/>
    <m/>
    <x v="53"/>
    <x v="3"/>
    <x v="1"/>
    <x v="5"/>
    <m/>
    <s v="10411 BofA Buffalo"/>
    <n v="6.23"/>
    <n v="43391.68"/>
    <n v="6.23"/>
  </r>
  <r>
    <n v="65061"/>
    <s v="Material for Rooms Expense"/>
    <s v="02/18/2014"/>
    <s v="Check"/>
    <m/>
    <x v="26"/>
    <x v="3"/>
    <x v="1"/>
    <x v="5"/>
    <m/>
    <s v="10411 BofA Buffalo"/>
    <n v="6.06"/>
    <n v="43458.16"/>
    <n v="6.06"/>
  </r>
  <r>
    <n v="65061"/>
    <s v="Material for Rooms Expense"/>
    <s v="02/18/2014"/>
    <s v="Check"/>
    <m/>
    <x v="62"/>
    <x v="3"/>
    <x v="1"/>
    <x v="5"/>
    <m/>
    <s v="10411 BofA Buffalo"/>
    <n v="149.99"/>
    <n v="43643.74"/>
    <n v="149.99"/>
  </r>
  <r>
    <n v="65061"/>
    <s v="Material for Rooms Expense"/>
    <s v="02/18/2014"/>
    <s v="Check"/>
    <m/>
    <x v="60"/>
    <x v="3"/>
    <x v="1"/>
    <x v="5"/>
    <m/>
    <s v="10411 BofA Buffalo"/>
    <n v="27"/>
    <n v="44001.5"/>
    <n v="27"/>
  </r>
  <r>
    <n v="65061"/>
    <s v="Material for Rooms Expense"/>
    <s v="02/18/2014"/>
    <s v="Check"/>
    <m/>
    <x v="60"/>
    <x v="3"/>
    <x v="1"/>
    <x v="5"/>
    <m/>
    <s v="10411 BofA Buffalo"/>
    <n v="40.85"/>
    <n v="44042.35"/>
    <n v="40.85"/>
  </r>
  <r>
    <n v="65061"/>
    <s v="Material for Rooms Expense"/>
    <s v="02/18/2014"/>
    <s v="Check"/>
    <m/>
    <x v="63"/>
    <x v="3"/>
    <x v="1"/>
    <x v="5"/>
    <m/>
    <s v="10411 BofA Buffalo"/>
    <n v="22.2"/>
    <n v="44064.55"/>
    <n v="22.2"/>
  </r>
  <r>
    <n v="65061"/>
    <s v="Material for Rooms Expense"/>
    <s v="02/18/2014"/>
    <s v="Check"/>
    <m/>
    <x v="64"/>
    <x v="3"/>
    <x v="1"/>
    <x v="5"/>
    <m/>
    <s v="10411 BofA Buffalo"/>
    <n v="22.42"/>
    <n v="44364.959999999999"/>
    <n v="22.42"/>
  </r>
  <r>
    <n v="65061"/>
    <s v="Material for Rooms Expense"/>
    <s v="02/19/2014"/>
    <s v="Check"/>
    <m/>
    <x v="41"/>
    <x v="3"/>
    <x v="1"/>
    <x v="5"/>
    <m/>
    <s v="10411 BofA Buffalo"/>
    <n v="65.25"/>
    <n v="45346.97"/>
    <n v="65.25"/>
  </r>
  <r>
    <n v="65061"/>
    <s v="Material for Rooms Expense"/>
    <s v="02/20/2014"/>
    <s v="Check"/>
    <m/>
    <x v="65"/>
    <x v="3"/>
    <x v="1"/>
    <x v="5"/>
    <m/>
    <s v="10411 BofA Buffalo"/>
    <n v="20.23"/>
    <n v="47406.04"/>
    <n v="20.23"/>
  </r>
  <r>
    <n v="65061"/>
    <s v="Material for Rooms Expense"/>
    <s v="02/20/2014"/>
    <s v="Check"/>
    <m/>
    <x v="65"/>
    <x v="3"/>
    <x v="1"/>
    <x v="5"/>
    <m/>
    <s v="10411 BofA Buffalo"/>
    <n v="0.61"/>
    <n v="47485.59"/>
    <n v="0.61"/>
  </r>
  <r>
    <n v="65061"/>
    <s v="Material for Rooms Expense"/>
    <s v="02/28/2014"/>
    <s v="Check"/>
    <n v="1205"/>
    <x v="46"/>
    <x v="3"/>
    <x v="1"/>
    <x v="5"/>
    <m/>
    <s v="10411 BofA Buffalo"/>
    <n v="139.19"/>
    <n v="57368.97"/>
    <n v="139.19"/>
  </r>
  <r>
    <n v="65061"/>
    <s v="Material for Rooms Expense"/>
    <s v="03/04/2014"/>
    <s v="Check"/>
    <m/>
    <x v="30"/>
    <x v="3"/>
    <x v="1"/>
    <x v="5"/>
    <m/>
    <s v="10411 BofA Buffalo"/>
    <n v="51.99"/>
    <n v="61466.3"/>
    <n v="51.99"/>
  </r>
  <r>
    <n v="65061"/>
    <s v="Material for Rooms Expense"/>
    <s v="03/06/2014"/>
    <s v="Check"/>
    <m/>
    <x v="66"/>
    <x v="3"/>
    <x v="1"/>
    <x v="5"/>
    <m/>
    <s v="10411 BofA Buffalo"/>
    <n v="9.99"/>
    <n v="64828.13"/>
    <n v="9.99"/>
  </r>
  <r>
    <n v="65061"/>
    <s v="Material for Rooms Expense"/>
    <s v="03/10/2014"/>
    <s v="Check"/>
    <n v="1207"/>
    <x v="50"/>
    <x v="3"/>
    <x v="1"/>
    <x v="5"/>
    <m/>
    <s v="10411 BofA Buffalo"/>
    <n v="119.49"/>
    <n v="67471.679999999993"/>
    <n v="119.49"/>
  </r>
  <r>
    <n v="65061"/>
    <s v="Material for Rooms Expense"/>
    <s v="03/11/2014"/>
    <s v="Check"/>
    <m/>
    <x v="67"/>
    <x v="3"/>
    <x v="1"/>
    <x v="5"/>
    <m/>
    <s v="10411 BofA Buffalo"/>
    <n v="209.98"/>
    <n v="68131.350000000006"/>
    <n v="209.98"/>
  </r>
  <r>
    <n v="65061"/>
    <s v="Material for Rooms Expense"/>
    <s v="03/11/2014"/>
    <s v="Check"/>
    <m/>
    <x v="33"/>
    <x v="3"/>
    <x v="1"/>
    <x v="5"/>
    <m/>
    <s v="10411 BofA Buffalo"/>
    <n v="82.39"/>
    <n v="68315.259999999995"/>
    <n v="82.39"/>
  </r>
  <r>
    <n v="65061"/>
    <s v="Material for Rooms Expense"/>
    <s v="03/11/2014"/>
    <s v="Check"/>
    <m/>
    <x v="33"/>
    <x v="3"/>
    <x v="1"/>
    <x v="5"/>
    <m/>
    <s v="10411 BofA Buffalo"/>
    <n v="97.74"/>
    <n v="68413"/>
    <n v="97.74"/>
  </r>
  <r>
    <n v="65061"/>
    <s v="Material for Rooms Expense"/>
    <s v="03/12/2014"/>
    <s v="Check"/>
    <m/>
    <x v="33"/>
    <x v="3"/>
    <x v="1"/>
    <x v="5"/>
    <m/>
    <s v="10411 BofA Buffalo"/>
    <n v="42.42"/>
    <n v="68566.73"/>
    <n v="42.42"/>
  </r>
  <r>
    <n v="65061"/>
    <s v="Material for Rooms Expense"/>
    <s v="03/17/2014"/>
    <s v="Check"/>
    <m/>
    <x v="33"/>
    <x v="3"/>
    <x v="1"/>
    <x v="5"/>
    <m/>
    <s v="10411 BofA Buffalo"/>
    <n v="38"/>
    <n v="70617.91"/>
    <n v="38"/>
  </r>
  <r>
    <n v="65061"/>
    <s v="Material for Rooms Expense"/>
    <s v="03/17/2014"/>
    <s v="Check"/>
    <m/>
    <x v="59"/>
    <x v="3"/>
    <x v="1"/>
    <x v="5"/>
    <m/>
    <s v="10411 BofA Buffalo"/>
    <n v="359.98"/>
    <n v="71305.38"/>
    <n v="359.98"/>
  </r>
  <r>
    <n v="65061"/>
    <s v="Material for Rooms Expense"/>
    <s v="03/17/2014"/>
    <s v="Check"/>
    <m/>
    <x v="41"/>
    <x v="3"/>
    <x v="1"/>
    <x v="5"/>
    <m/>
    <s v="10411 BofA Buffalo"/>
    <n v="30.22"/>
    <n v="71392.679999999993"/>
    <n v="30.22"/>
  </r>
  <r>
    <n v="65061"/>
    <s v="Material for Rooms Expense"/>
    <s v="03/17/2014"/>
    <s v="Check"/>
    <n v="1208"/>
    <x v="68"/>
    <x v="3"/>
    <x v="1"/>
    <x v="5"/>
    <m/>
    <s v="10411 BofA Buffalo"/>
    <n v="429.13"/>
    <n v="71942.55"/>
    <n v="429.13"/>
  </r>
  <r>
    <n v="65061"/>
    <s v="Material for Rooms Expense"/>
    <s v="03/17/2014"/>
    <s v="Check"/>
    <m/>
    <x v="69"/>
    <x v="3"/>
    <x v="1"/>
    <x v="5"/>
    <m/>
    <s v="10411 BofA Buffalo"/>
    <n v="573.16999999999996"/>
    <n v="72657.94"/>
    <n v="573.16999999999996"/>
  </r>
  <r>
    <n v="65061"/>
    <s v="Material for Rooms Expense"/>
    <s v="03/18/2014"/>
    <s v="Check"/>
    <m/>
    <x v="41"/>
    <x v="3"/>
    <x v="1"/>
    <x v="5"/>
    <m/>
    <s v="10411 BofA Buffalo"/>
    <n v="90.3"/>
    <n v="72997.240000000005"/>
    <n v="90.3"/>
  </r>
  <r>
    <n v="65061"/>
    <s v="Material for Rooms Expense"/>
    <s v="03/24/2014"/>
    <s v="Check"/>
    <m/>
    <x v="33"/>
    <x v="3"/>
    <x v="1"/>
    <x v="5"/>
    <m/>
    <s v="10411 BofA Buffalo"/>
    <n v="18.75"/>
    <n v="74970.39"/>
    <n v="18.75"/>
  </r>
  <r>
    <n v="65061"/>
    <s v="Material for Rooms Expense"/>
    <s v="03/25/2014"/>
    <s v="Check"/>
    <m/>
    <x v="33"/>
    <x v="3"/>
    <x v="1"/>
    <x v="5"/>
    <m/>
    <s v="10411 BofA Buffalo"/>
    <n v="18.36"/>
    <n v="77225.509999999995"/>
    <n v="18.36"/>
  </r>
  <r>
    <n v="65061"/>
    <s v="Material for Rooms Expense"/>
    <s v="03/25/2014"/>
    <s v="Check"/>
    <m/>
    <x v="33"/>
    <x v="3"/>
    <x v="1"/>
    <x v="5"/>
    <m/>
    <s v="10411 BofA Buffalo"/>
    <n v="107.92"/>
    <n v="77333.429999999993"/>
    <n v="107.92"/>
  </r>
  <r>
    <n v="65061"/>
    <s v="Material for Rooms Expense"/>
    <s v="03/31/2014"/>
    <s v="Check"/>
    <m/>
    <x v="70"/>
    <x v="3"/>
    <x v="1"/>
    <x v="5"/>
    <m/>
    <s v="10411 BofA Buffalo"/>
    <n v="10.85"/>
    <n v="81132.649999999994"/>
    <n v="10.85"/>
  </r>
  <r>
    <n v="65061"/>
    <s v="Material for Rooms Expense"/>
    <s v="03/31/2014"/>
    <s v="Check"/>
    <m/>
    <x v="16"/>
    <x v="3"/>
    <x v="1"/>
    <x v="5"/>
    <m/>
    <s v="10411 BofA Buffalo"/>
    <n v="23.51"/>
    <n v="81172.570000000007"/>
    <n v="23.51"/>
  </r>
  <r>
    <n v="65061"/>
    <s v="Material for Rooms Expense"/>
    <s v="03/31/2014"/>
    <s v="Check"/>
    <m/>
    <x v="71"/>
    <x v="3"/>
    <x v="1"/>
    <x v="5"/>
    <m/>
    <s v="10411 BofA Buffalo"/>
    <n v="53"/>
    <n v="81365.63"/>
    <n v="53"/>
  </r>
  <r>
    <n v="65061"/>
    <s v="Material for Rooms Expense"/>
    <s v="03/31/2014"/>
    <s v="Check"/>
    <m/>
    <x v="64"/>
    <x v="3"/>
    <x v="1"/>
    <x v="5"/>
    <m/>
    <s v="10411 BofA Buffalo"/>
    <n v="22.42"/>
    <n v="81406.789999999994"/>
    <n v="22.42"/>
  </r>
  <r>
    <n v="65061"/>
    <s v="Material for Rooms Expense"/>
    <s v="04/03/2014"/>
    <s v="Check"/>
    <n v="1211"/>
    <x v="72"/>
    <x v="3"/>
    <x v="1"/>
    <x v="5"/>
    <m/>
    <s v="10411 BofA Buffalo"/>
    <n v="184.72"/>
    <n v="86560.89"/>
    <n v="184.72"/>
  </r>
  <r>
    <n v="65061"/>
    <s v="Material for Rooms Expense"/>
    <s v="04/07/2014"/>
    <s v="Check"/>
    <m/>
    <x v="41"/>
    <x v="3"/>
    <x v="1"/>
    <x v="5"/>
    <m/>
    <s v="10411 BofA Buffalo"/>
    <n v="125.77"/>
    <n v="87979.38"/>
    <n v="125.77"/>
  </r>
  <r>
    <n v="65061"/>
    <s v="Material for Rooms Expense"/>
    <s v="04/08/2014"/>
    <s v="Check"/>
    <m/>
    <x v="55"/>
    <x v="3"/>
    <x v="1"/>
    <x v="5"/>
    <m/>
    <s v="10411 BofA Buffalo"/>
    <n v="71.17"/>
    <n v="90523.22"/>
    <n v="71.17"/>
  </r>
  <r>
    <n v="65061"/>
    <s v="Material for Rooms Expense"/>
    <s v="04/09/2014"/>
    <s v="Check"/>
    <m/>
    <x v="41"/>
    <x v="3"/>
    <x v="1"/>
    <x v="5"/>
    <m/>
    <s v="10411 BofA Buffalo"/>
    <n v="37.81"/>
    <n v="90685.06"/>
    <n v="37.81"/>
  </r>
  <r>
    <n v="65061"/>
    <s v="Material for Rooms Expense"/>
    <s v="04/10/2014"/>
    <s v="Check"/>
    <n v="1212"/>
    <x v="68"/>
    <x v="3"/>
    <x v="1"/>
    <x v="5"/>
    <m/>
    <s v="10411 BofA Buffalo"/>
    <n v="639.04999999999995"/>
    <n v="91652.36"/>
    <n v="639.04999999999995"/>
  </r>
  <r>
    <n v="65061"/>
    <s v="Material for Rooms Expense"/>
    <s v="04/11/2014"/>
    <s v="Check"/>
    <m/>
    <x v="73"/>
    <x v="3"/>
    <x v="1"/>
    <x v="5"/>
    <m/>
    <s v="10411 BofA Buffalo"/>
    <n v="48.92"/>
    <n v="92200.49"/>
    <n v="48.92"/>
  </r>
  <r>
    <n v="65061"/>
    <s v="Material for Rooms Expense"/>
    <s v="04/15/2014"/>
    <s v="Check"/>
    <m/>
    <x v="74"/>
    <x v="3"/>
    <x v="1"/>
    <x v="5"/>
    <m/>
    <s v="10411 BofA Buffalo"/>
    <n v="50.61"/>
    <n v="93857.45"/>
    <n v="50.61"/>
  </r>
  <r>
    <n v="65061"/>
    <s v="Material for Rooms Expense"/>
    <s v="04/21/2014"/>
    <s v="Check"/>
    <m/>
    <x v="33"/>
    <x v="3"/>
    <x v="1"/>
    <x v="5"/>
    <m/>
    <s v="10411 BofA Buffalo"/>
    <n v="99.48"/>
    <n v="99496.7"/>
    <n v="99.48"/>
  </r>
  <r>
    <n v="65061"/>
    <s v="Material for Rooms Expense"/>
    <s v="04/21/2014"/>
    <s v="Check"/>
    <m/>
    <x v="33"/>
    <x v="3"/>
    <x v="1"/>
    <x v="5"/>
    <m/>
    <s v="10411 BofA Buffalo"/>
    <n v="11.99"/>
    <n v="99520.639999999999"/>
    <n v="11.99"/>
  </r>
  <r>
    <n v="65061"/>
    <s v="Material for Rooms Expense"/>
    <s v="04/21/2014"/>
    <s v="Check"/>
    <m/>
    <x v="33"/>
    <x v="3"/>
    <x v="1"/>
    <x v="5"/>
    <m/>
    <s v="10411 BofA Buffalo"/>
    <n v="23.65"/>
    <n v="99544.29"/>
    <n v="23.65"/>
  </r>
  <r>
    <n v="65061"/>
    <s v="Material for Rooms Expense"/>
    <s v="04/21/2014"/>
    <s v="Check"/>
    <m/>
    <x v="33"/>
    <x v="3"/>
    <x v="1"/>
    <x v="5"/>
    <m/>
    <s v="10411 BofA Buffalo"/>
    <n v="201.21"/>
    <n v="99745.5"/>
    <n v="201.21"/>
  </r>
  <r>
    <n v="65061"/>
    <s v="Material for Rooms Expense"/>
    <s v="04/21/2014"/>
    <s v="Check"/>
    <m/>
    <x v="39"/>
    <x v="3"/>
    <x v="1"/>
    <x v="5"/>
    <m/>
    <s v="10411 BofA Buffalo"/>
    <n v="48.96"/>
    <n v="99807.46"/>
    <n v="48.96"/>
  </r>
  <r>
    <n v="65061"/>
    <s v="Material for Rooms Expense"/>
    <s v="04/21/2014"/>
    <s v="Check"/>
    <m/>
    <x v="73"/>
    <x v="3"/>
    <x v="1"/>
    <x v="5"/>
    <m/>
    <s v="10411 BofA Buffalo"/>
    <n v="81.510000000000005"/>
    <n v="100167.75"/>
    <n v="81.510000000000005"/>
  </r>
  <r>
    <n v="65061"/>
    <s v="Material for Rooms Expense"/>
    <s v="04/21/2014"/>
    <s v="Check"/>
    <m/>
    <x v="41"/>
    <x v="3"/>
    <x v="1"/>
    <x v="5"/>
    <m/>
    <s v="10411 BofA Buffalo"/>
    <n v="146.03"/>
    <n v="100313.78"/>
    <n v="146.03"/>
  </r>
  <r>
    <n v="65061"/>
    <s v="Material for Rooms Expense"/>
    <s v="04/21/2014"/>
    <s v="Check"/>
    <m/>
    <x v="33"/>
    <x v="3"/>
    <x v="1"/>
    <x v="5"/>
    <m/>
    <s v="10411 BofA Buffalo"/>
    <n v="55.99"/>
    <n v="101495.32"/>
    <n v="55.99"/>
  </r>
  <r>
    <n v="65061"/>
    <s v="Material for Rooms Expense"/>
    <s v="04/22/2014"/>
    <s v="Check"/>
    <m/>
    <x v="33"/>
    <x v="3"/>
    <x v="1"/>
    <x v="5"/>
    <m/>
    <s v="10411 BofA Buffalo"/>
    <n v="6.73"/>
    <n v="101502.05"/>
    <n v="6.73"/>
  </r>
  <r>
    <n v="65061"/>
    <s v="Material for Rooms Expense"/>
    <s v="04/22/2014"/>
    <s v="Check"/>
    <m/>
    <x v="33"/>
    <x v="3"/>
    <x v="1"/>
    <x v="5"/>
    <m/>
    <s v="10411 BofA Buffalo"/>
    <n v="70.69"/>
    <n v="101572.74"/>
    <n v="70.69"/>
  </r>
  <r>
    <n v="65061"/>
    <s v="Material for Rooms Expense"/>
    <s v="04/22/2014"/>
    <s v="Check"/>
    <m/>
    <x v="33"/>
    <x v="3"/>
    <x v="1"/>
    <x v="5"/>
    <m/>
    <s v="10411 BofA Buffalo"/>
    <n v="8.6"/>
    <n v="101581.34"/>
    <n v="8.6"/>
  </r>
  <r>
    <n v="65061"/>
    <s v="Material for Rooms Expense"/>
    <s v="04/23/2014"/>
    <s v="Check"/>
    <m/>
    <x v="33"/>
    <x v="3"/>
    <x v="1"/>
    <x v="5"/>
    <m/>
    <s v="10411 BofA Buffalo"/>
    <n v="43.93"/>
    <n v="101987.68"/>
    <n v="43.93"/>
  </r>
  <r>
    <n v="65061"/>
    <s v="Material for Rooms Expense"/>
    <s v="04/23/2014"/>
    <s v="Check"/>
    <m/>
    <x v="33"/>
    <x v="3"/>
    <x v="1"/>
    <x v="5"/>
    <m/>
    <s v="10411 BofA Buffalo"/>
    <n v="7.95"/>
    <n v="101995.63"/>
    <n v="7.95"/>
  </r>
  <r>
    <n v="65061"/>
    <s v="Material for Rooms Expense"/>
    <s v="04/23/2014"/>
    <s v="Check"/>
    <m/>
    <x v="33"/>
    <x v="3"/>
    <x v="1"/>
    <x v="5"/>
    <m/>
    <s v="10411 BofA Buffalo"/>
    <n v="106.58"/>
    <n v="102102.21"/>
    <n v="106.58"/>
  </r>
  <r>
    <n v="65061"/>
    <s v="Material for Rooms Expense"/>
    <s v="04/25/2014"/>
    <s v="Check"/>
    <m/>
    <x v="41"/>
    <x v="3"/>
    <x v="1"/>
    <x v="5"/>
    <m/>
    <s v="10411 BofA Buffalo"/>
    <n v="154.96"/>
    <n v="104415.43"/>
    <n v="154.96"/>
  </r>
  <r>
    <n v="65061"/>
    <s v="Material for Rooms Expense"/>
    <s v="04/25/2014"/>
    <s v="Check"/>
    <m/>
    <x v="33"/>
    <x v="3"/>
    <x v="1"/>
    <x v="5"/>
    <m/>
    <s v="10411 BofA Buffalo"/>
    <n v="115.07"/>
    <n v="104706.13"/>
    <n v="115.07"/>
  </r>
  <r>
    <n v="65061"/>
    <s v="Material for Rooms Expense"/>
    <s v="04/25/2014"/>
    <s v="Check"/>
    <m/>
    <x v="75"/>
    <x v="3"/>
    <x v="1"/>
    <x v="5"/>
    <m/>
    <s v="10411 BofA Buffalo"/>
    <n v="30.95"/>
    <n v="105242.87"/>
    <n v="30.95"/>
  </r>
  <r>
    <n v="65061"/>
    <s v="Material for Rooms Expense"/>
    <s v="04/28/2014"/>
    <s v="Check"/>
    <m/>
    <x v="30"/>
    <x v="3"/>
    <x v="1"/>
    <x v="5"/>
    <m/>
    <s v="10411 BofA Buffalo"/>
    <n v="18"/>
    <n v="106253.02"/>
    <n v="18"/>
  </r>
  <r>
    <n v="65061"/>
    <s v="Material for Rooms Expense"/>
    <s v="04/28/2014"/>
    <s v="Check"/>
    <m/>
    <x v="75"/>
    <x v="3"/>
    <x v="1"/>
    <x v="5"/>
    <m/>
    <s v="10411 BofA Buffalo"/>
    <n v="28.32"/>
    <n v="106890.21"/>
    <n v="28.32"/>
  </r>
  <r>
    <n v="65061"/>
    <s v="Material for Rooms Expense"/>
    <s v="04/28/2014"/>
    <s v="Check"/>
    <m/>
    <x v="76"/>
    <x v="3"/>
    <x v="1"/>
    <x v="5"/>
    <m/>
    <s v="10411 BofA Buffalo"/>
    <n v="40.85"/>
    <n v="106931.06"/>
    <n v="40.85"/>
  </r>
  <r>
    <n v="65061"/>
    <s v="Material for Rooms Expense"/>
    <s v="04/29/2014"/>
    <s v="Check"/>
    <m/>
    <x v="33"/>
    <x v="3"/>
    <x v="1"/>
    <x v="5"/>
    <m/>
    <s v="10411 BofA Buffalo"/>
    <n v="15.9"/>
    <n v="108668.27"/>
    <n v="15.9"/>
  </r>
  <r>
    <n v="65061"/>
    <s v="Material for Rooms Expense"/>
    <s v="04/29/2014"/>
    <s v="Check"/>
    <n v="1217"/>
    <x v="77"/>
    <x v="3"/>
    <x v="1"/>
    <x v="5"/>
    <m/>
    <s v="10411 BofA Buffalo"/>
    <n v="28.49"/>
    <n v="109374.08"/>
    <n v="28.49"/>
  </r>
  <r>
    <n v="65061"/>
    <s v="Material for Rooms Expense"/>
    <s v="04/30/2014"/>
    <s v="Check"/>
    <n v="1218"/>
    <x v="72"/>
    <x v="3"/>
    <x v="1"/>
    <x v="5"/>
    <m/>
    <s v="10411 BofA Buffalo"/>
    <n v="437.39"/>
    <n v="114337.16"/>
    <n v="437.39"/>
  </r>
  <r>
    <n v="65061"/>
    <s v="Material for Rooms Expense"/>
    <s v="05/01/2014"/>
    <s v="Expense"/>
    <m/>
    <x v="41"/>
    <x v="3"/>
    <x v="1"/>
    <x v="5"/>
    <m/>
    <s v="10411 BofA Buffalo"/>
    <n v="50.18"/>
    <n v="114579.32"/>
    <n v="50.18"/>
  </r>
  <r>
    <n v="65061"/>
    <s v="Material for Rooms Expense"/>
    <s v="05/05/2014"/>
    <s v="Expense"/>
    <m/>
    <x v="63"/>
    <x v="3"/>
    <x v="1"/>
    <x v="5"/>
    <m/>
    <s v="10411 BofA Buffalo"/>
    <n v="22.2"/>
    <n v="116134.8"/>
    <n v="22.2"/>
  </r>
  <r>
    <n v="65061"/>
    <s v="Material for Rooms Expense"/>
    <s v="05/05/2014"/>
    <s v="Check"/>
    <n v="1216"/>
    <x v="78"/>
    <x v="3"/>
    <x v="1"/>
    <x v="5"/>
    <m/>
    <s v="10411 BofA Buffalo"/>
    <n v="38.409999999999997"/>
    <n v="116173.21"/>
    <n v="38.409999999999997"/>
  </r>
  <r>
    <n v="65061"/>
    <s v="Material for Rooms Expense"/>
    <s v="05/05/2014"/>
    <s v="Expense"/>
    <m/>
    <x v="64"/>
    <x v="3"/>
    <x v="1"/>
    <x v="5"/>
    <m/>
    <s v="10411 BofA Buffalo"/>
    <n v="70.599999999999994"/>
    <n v="119882.36"/>
    <n v="70.599999999999994"/>
  </r>
  <r>
    <n v="65061"/>
    <s v="Material for Rooms Expense"/>
    <s v="05/05/2014"/>
    <s v="Expense"/>
    <m/>
    <x v="41"/>
    <x v="3"/>
    <x v="1"/>
    <x v="5"/>
    <m/>
    <s v="10411 BofA Buffalo"/>
    <n v="33.96"/>
    <n v="119916.32"/>
    <n v="33.96"/>
  </r>
  <r>
    <n v="65061"/>
    <s v="Material for Rooms Expense"/>
    <s v="05/05/2014"/>
    <s v="Expense"/>
    <m/>
    <x v="30"/>
    <x v="3"/>
    <x v="1"/>
    <x v="5"/>
    <m/>
    <s v="10411 BofA Buffalo"/>
    <n v="125.98"/>
    <n v="120042.3"/>
    <n v="125.98"/>
  </r>
  <r>
    <n v="65061"/>
    <s v="Material for Rooms Expense"/>
    <s v="05/08/2014"/>
    <s v="Expense"/>
    <m/>
    <x v="16"/>
    <x v="3"/>
    <x v="1"/>
    <x v="5"/>
    <m/>
    <s v="10411 BofA Buffalo"/>
    <n v="12.76"/>
    <n v="124185.34"/>
    <n v="12.76"/>
  </r>
  <r>
    <n v="65061"/>
    <s v="Material for Rooms Expense"/>
    <s v="05/09/2014"/>
    <s v="Deposit"/>
    <m/>
    <x v="16"/>
    <x v="3"/>
    <x v="1"/>
    <x v="5"/>
    <m/>
    <s v="10411 BofA Buffalo"/>
    <n v="-5.97"/>
    <n v="126706.75"/>
    <n v="-5.97"/>
  </r>
  <r>
    <n v="65061"/>
    <s v="Material for Rooms Expense"/>
    <s v="05/12/2014"/>
    <s v="Expense"/>
    <m/>
    <x v="41"/>
    <x v="3"/>
    <x v="1"/>
    <x v="5"/>
    <m/>
    <s v="10411 BofA Buffalo"/>
    <n v="23.53"/>
    <n v="129388.91"/>
    <n v="23.53"/>
  </r>
  <r>
    <n v="65061"/>
    <s v="Material for Rooms Expense"/>
    <s v="05/15/2014"/>
    <s v="Expense"/>
    <m/>
    <x v="33"/>
    <x v="3"/>
    <x v="1"/>
    <x v="5"/>
    <m/>
    <s v="10411 BofA Buffalo"/>
    <n v="34.950000000000003"/>
    <n v="134949.57999999999"/>
    <n v="34.950000000000003"/>
  </r>
  <r>
    <n v="65061"/>
    <s v="Material for Rooms Expense"/>
    <s v="05/15/2014"/>
    <s v="Expense"/>
    <m/>
    <x v="33"/>
    <x v="3"/>
    <x v="1"/>
    <x v="5"/>
    <m/>
    <s v="10411 BofA Buffalo"/>
    <n v="76.14"/>
    <n v="135025.72"/>
    <n v="76.14"/>
  </r>
  <r>
    <n v="65061"/>
    <s v="Material for Rooms Expense"/>
    <s v="05/15/2014"/>
    <s v="Expense"/>
    <m/>
    <x v="33"/>
    <x v="3"/>
    <x v="1"/>
    <x v="5"/>
    <m/>
    <s v="10411 BofA Buffalo"/>
    <n v="108.74"/>
    <n v="135134.46"/>
    <n v="108.74"/>
  </r>
  <r>
    <n v="65061"/>
    <s v="Material for Rooms Expense"/>
    <s v="05/15/2014"/>
    <s v="Expense"/>
    <m/>
    <x v="33"/>
    <x v="3"/>
    <x v="1"/>
    <x v="5"/>
    <m/>
    <s v="10411 BofA Buffalo"/>
    <n v="107.09"/>
    <n v="135241.54999999999"/>
    <n v="107.09"/>
  </r>
  <r>
    <n v="65061"/>
    <s v="Material for Rooms Expense"/>
    <s v="05/16/2014"/>
    <s v="Expense"/>
    <m/>
    <x v="33"/>
    <x v="3"/>
    <x v="1"/>
    <x v="5"/>
    <m/>
    <s v="10411 BofA Buffalo"/>
    <n v="42.14"/>
    <n v="136062.81"/>
    <n v="42.14"/>
  </r>
  <r>
    <n v="65061"/>
    <s v="Material for Rooms Expense"/>
    <s v="05/19/2014"/>
    <s v="Check"/>
    <n v="1222"/>
    <x v="72"/>
    <x v="3"/>
    <x v="1"/>
    <x v="5"/>
    <m/>
    <s v="10411 BofA Buffalo"/>
    <n v="42.38"/>
    <n v="140549.85999999999"/>
    <n v="42.38"/>
  </r>
  <r>
    <n v="65061"/>
    <s v="Material for Rooms Expense"/>
    <s v="05/20/2014"/>
    <s v="Expense"/>
    <m/>
    <x v="65"/>
    <x v="3"/>
    <x v="1"/>
    <x v="5"/>
    <m/>
    <s v="10411 BofA Buffalo"/>
    <n v="0.61"/>
    <n v="141125.13"/>
    <n v="0.61"/>
  </r>
  <r>
    <n v="65061"/>
    <s v="Material for Rooms Expense"/>
    <s v="05/20/2014"/>
    <s v="Expense"/>
    <m/>
    <x v="39"/>
    <x v="3"/>
    <x v="1"/>
    <x v="5"/>
    <m/>
    <s v="10411 BofA Buffalo"/>
    <n v="12.99"/>
    <n v="141138.12"/>
    <n v="12.99"/>
  </r>
  <r>
    <n v="65061"/>
    <s v="Material for Rooms Expense"/>
    <s v="05/20/2014"/>
    <s v="Expense"/>
    <m/>
    <x v="33"/>
    <x v="3"/>
    <x v="1"/>
    <x v="5"/>
    <m/>
    <s v="10411 BofA Buffalo"/>
    <n v="27.66"/>
    <n v="141165.78"/>
    <n v="27.66"/>
  </r>
  <r>
    <n v="65061"/>
    <s v="Material for Rooms Expense"/>
    <s v="05/20/2014"/>
    <s v="Expense"/>
    <m/>
    <x v="65"/>
    <x v="3"/>
    <x v="1"/>
    <x v="5"/>
    <m/>
    <s v="10411 BofA Buffalo"/>
    <n v="20.23"/>
    <n v="141186.01"/>
    <n v="20.23"/>
  </r>
  <r>
    <n v="65061"/>
    <s v="Material for Rooms Expense"/>
    <s v="05/20/2014"/>
    <s v="Expense"/>
    <m/>
    <x v="41"/>
    <x v="3"/>
    <x v="1"/>
    <x v="5"/>
    <m/>
    <s v="10411 BofA Buffalo"/>
    <n v="170.43"/>
    <n v="141356.44"/>
    <n v="170.43"/>
  </r>
  <r>
    <n v="65061"/>
    <s v="Material for Rooms Expense"/>
    <s v="05/20/2014"/>
    <s v="Check"/>
    <n v="1215"/>
    <x v="79"/>
    <x v="3"/>
    <x v="1"/>
    <x v="5"/>
    <m/>
    <s v="10411 BofA Buffalo"/>
    <n v="18.100000000000001"/>
    <n v="141374.54"/>
    <n v="18.100000000000001"/>
  </r>
  <r>
    <n v="65061"/>
    <s v="Material for Rooms Expense"/>
    <s v="05/20/2014"/>
    <s v="Expense"/>
    <m/>
    <x v="33"/>
    <x v="3"/>
    <x v="1"/>
    <x v="5"/>
    <m/>
    <s v="10411 BofA Buffalo"/>
    <n v="84.52"/>
    <n v="141459.06"/>
    <n v="84.52"/>
  </r>
  <r>
    <n v="65061"/>
    <s v="Material for Rooms Expense"/>
    <s v="05/22/2014"/>
    <s v="Expense"/>
    <m/>
    <x v="41"/>
    <x v="3"/>
    <x v="1"/>
    <x v="5"/>
    <m/>
    <s v="10411 BofA Buffalo"/>
    <n v="74.03"/>
    <n v="144162.63"/>
    <n v="74.03"/>
  </r>
  <r>
    <n v="65061"/>
    <s v="Material for Rooms Expense"/>
    <s v="05/23/2014"/>
    <s v="Expense"/>
    <m/>
    <x v="41"/>
    <x v="3"/>
    <x v="1"/>
    <x v="5"/>
    <m/>
    <s v="10411 BofA Buffalo"/>
    <n v="112.43"/>
    <n v="144407.78"/>
    <n v="112.43"/>
  </r>
  <r>
    <n v="65061"/>
    <s v="Material for Rooms Expense"/>
    <s v="05/27/2014"/>
    <s v="Check"/>
    <n v="1223"/>
    <x v="80"/>
    <x v="3"/>
    <x v="1"/>
    <x v="5"/>
    <m/>
    <s v="10411 BofA Buffalo"/>
    <n v="102.68"/>
    <n v="144600.20000000001"/>
    <n v="102.68"/>
  </r>
  <r>
    <n v="65061"/>
    <s v="Material for Rooms Expense"/>
    <s v="05/29/2014"/>
    <s v="Expense"/>
    <m/>
    <x v="33"/>
    <x v="3"/>
    <x v="1"/>
    <x v="5"/>
    <m/>
    <s v="10411 BofA Buffalo"/>
    <n v="38.03"/>
    <n v="147213.26999999999"/>
    <n v="38.03"/>
  </r>
  <r>
    <n v="65061"/>
    <s v="Material for Rooms Expense"/>
    <s v="06/02/2014"/>
    <s v="Check"/>
    <n v="1224"/>
    <x v="81"/>
    <x v="3"/>
    <x v="1"/>
    <x v="5"/>
    <m/>
    <s v="10411 BofA Buffalo"/>
    <n v="38.590000000000003"/>
    <n v="149298.56"/>
    <n v="38.590000000000003"/>
  </r>
  <r>
    <n v="65061"/>
    <s v="Material for Rooms Expense"/>
    <s v="06/02/2014"/>
    <s v="Expense"/>
    <m/>
    <x v="26"/>
    <x v="3"/>
    <x v="1"/>
    <x v="5"/>
    <m/>
    <s v="10411 BofA Buffalo"/>
    <n v="1.79"/>
    <n v="149300.35"/>
    <n v="1.79"/>
  </r>
  <r>
    <n v="65061"/>
    <s v="Material for Rooms Expense"/>
    <s v="06/02/2014"/>
    <s v="Expense"/>
    <m/>
    <x v="59"/>
    <x v="3"/>
    <x v="1"/>
    <x v="5"/>
    <m/>
    <s v="10411 BofA Buffalo"/>
    <n v="424.99"/>
    <n v="149725.34"/>
    <n v="424.99"/>
  </r>
  <r>
    <n v="65061"/>
    <s v="Material for Rooms Expense"/>
    <s v="06/02/2014"/>
    <s v="Expense"/>
    <m/>
    <x v="59"/>
    <x v="3"/>
    <x v="1"/>
    <x v="5"/>
    <m/>
    <s v="10411 BofA Buffalo"/>
    <n v="175"/>
    <n v="149900.34"/>
    <n v="175"/>
  </r>
  <r>
    <n v="65061"/>
    <s v="Material for Rooms Expense"/>
    <s v="06/02/2014"/>
    <s v="Expense"/>
    <m/>
    <x v="82"/>
    <x v="3"/>
    <x v="1"/>
    <x v="5"/>
    <m/>
    <s v="10411 BofA Buffalo"/>
    <n v="468.64"/>
    <n v="150368.98000000001"/>
    <n v="468.64"/>
  </r>
  <r>
    <n v="65061"/>
    <s v="Material for Rooms Expense"/>
    <s v="06/05/2014"/>
    <s v="Expense"/>
    <m/>
    <x v="55"/>
    <x v="3"/>
    <x v="1"/>
    <x v="5"/>
    <m/>
    <s v="10411 BofA Buffalo"/>
    <n v="14.48"/>
    <n v="154973.29999999999"/>
    <n v="14.48"/>
  </r>
  <r>
    <n v="65061"/>
    <s v="Material for Rooms Expense"/>
    <s v="06/09/2014"/>
    <s v="Expense"/>
    <m/>
    <x v="29"/>
    <x v="3"/>
    <x v="1"/>
    <x v="5"/>
    <m/>
    <s v="10411 BofA Buffalo"/>
    <n v="58.96"/>
    <n v="164907.97"/>
    <n v="58.96"/>
  </r>
  <r>
    <n v="65061"/>
    <s v="Material for Rooms Expense"/>
    <s v="06/09/2014"/>
    <s v="Expense"/>
    <m/>
    <x v="41"/>
    <x v="3"/>
    <x v="1"/>
    <x v="5"/>
    <m/>
    <s v="10411 BofA Buffalo"/>
    <n v="6.74"/>
    <n v="164914.71"/>
    <n v="6.74"/>
  </r>
  <r>
    <n v="65061"/>
    <s v="Material for Rooms Expense"/>
    <s v="06/11/2014"/>
    <s v="Check"/>
    <n v="1219"/>
    <x v="83"/>
    <x v="3"/>
    <x v="1"/>
    <x v="5"/>
    <m/>
    <s v="10411 BofA Buffalo"/>
    <n v="27.18"/>
    <n v="167593.73000000001"/>
    <n v="27.18"/>
  </r>
  <r>
    <n v="65061"/>
    <s v="Material for Rooms Expense"/>
    <s v="06/13/2014"/>
    <s v="Expense"/>
    <m/>
    <x v="33"/>
    <x v="3"/>
    <x v="1"/>
    <x v="5"/>
    <m/>
    <s v="10411 BofA Buffalo"/>
    <n v="107.57"/>
    <n v="169513.43"/>
    <n v="107.57"/>
  </r>
  <r>
    <n v="65061"/>
    <s v="Material for Rooms Expense"/>
    <s v="06/17/2014"/>
    <s v="Check"/>
    <n v="1225"/>
    <x v="68"/>
    <x v="3"/>
    <x v="1"/>
    <x v="5"/>
    <m/>
    <s v="10411 BofA Buffalo"/>
    <n v="1709"/>
    <n v="174648.71"/>
    <n v="1709"/>
  </r>
  <r>
    <n v="65061"/>
    <s v="Material for Rooms Expense"/>
    <s v="06/17/2014"/>
    <s v="Expense"/>
    <m/>
    <x v="33"/>
    <x v="3"/>
    <x v="1"/>
    <x v="5"/>
    <m/>
    <s v="10411 BofA Buffalo"/>
    <n v="66.209999999999994"/>
    <n v="174829.54"/>
    <n v="66.209999999999994"/>
  </r>
  <r>
    <n v="65061"/>
    <s v="Material for Rooms Expense"/>
    <s v="06/17/2014"/>
    <s v="Expense"/>
    <m/>
    <x v="29"/>
    <x v="3"/>
    <x v="1"/>
    <x v="5"/>
    <m/>
    <s v="10411 BofA Buffalo"/>
    <n v="74.88"/>
    <n v="174904.42"/>
    <n v="74.88"/>
  </r>
  <r>
    <n v="65061"/>
    <s v="Material for Rooms Expense"/>
    <s v="06/17/2014"/>
    <s v="Expense"/>
    <m/>
    <x v="30"/>
    <x v="3"/>
    <x v="1"/>
    <x v="5"/>
    <m/>
    <s v="10411 BofA Buffalo"/>
    <n v="20.66"/>
    <n v="174925.08"/>
    <n v="20.66"/>
  </r>
  <r>
    <n v="65061"/>
    <s v="Material for Rooms Expense"/>
    <s v="06/17/2014"/>
    <s v="Expense"/>
    <m/>
    <x v="41"/>
    <x v="3"/>
    <x v="1"/>
    <x v="5"/>
    <m/>
    <s v="10411 BofA Buffalo"/>
    <n v="18.600000000000001"/>
    <n v="174943.68"/>
    <n v="18.600000000000001"/>
  </r>
  <r>
    <n v="65061"/>
    <s v="Material for Rooms Expense"/>
    <s v="06/18/2014"/>
    <s v="Expense"/>
    <m/>
    <x v="76"/>
    <x v="3"/>
    <x v="1"/>
    <x v="5"/>
    <m/>
    <s v="10411 BofA Buffalo"/>
    <n v="29.99"/>
    <n v="178602.34"/>
    <n v="29.99"/>
  </r>
  <r>
    <n v="65061"/>
    <s v="Material for Rooms Expense"/>
    <s v="06/23/2014"/>
    <s v="Check"/>
    <n v="1229"/>
    <x v="84"/>
    <x v="3"/>
    <x v="1"/>
    <x v="5"/>
    <m/>
    <s v="10411 BofA Buffalo"/>
    <n v="129.29"/>
    <n v="181438.9"/>
    <n v="129.29"/>
  </r>
  <r>
    <n v="65061"/>
    <s v="Material for Rooms Expense"/>
    <s v="06/23/2014"/>
    <s v="Expense"/>
    <m/>
    <x v="19"/>
    <x v="3"/>
    <x v="1"/>
    <x v="5"/>
    <m/>
    <s v="10411 BofA Buffalo"/>
    <n v="89.98"/>
    <n v="181610.08"/>
    <n v="89.98"/>
  </r>
  <r>
    <n v="65061"/>
    <s v="Material for Rooms Expense"/>
    <s v="06/23/2014"/>
    <s v="Check"/>
    <n v="1227"/>
    <x v="85"/>
    <x v="3"/>
    <x v="1"/>
    <x v="5"/>
    <m/>
    <s v="10411 BofA Buffalo"/>
    <n v="25"/>
    <n v="183749.92"/>
    <n v="25"/>
  </r>
  <r>
    <n v="65061"/>
    <s v="Material for Rooms Expense"/>
    <s v="06/27/2014"/>
    <s v="Check"/>
    <n v="1228"/>
    <x v="72"/>
    <x v="3"/>
    <x v="1"/>
    <x v="5"/>
    <m/>
    <s v="10411 BofA Buffalo"/>
    <n v="326.88"/>
    <n v="191034.95"/>
    <n v="326.88"/>
  </r>
  <r>
    <n v="65062"/>
    <s v="In-Kind Goods"/>
    <s v="03/29/2014"/>
    <s v="Journal Entry"/>
    <n v="573"/>
    <x v="0"/>
    <x v="3"/>
    <x v="1"/>
    <x v="10"/>
    <s v="Zacarias' Room"/>
    <s v="-Split-"/>
    <n v="325"/>
    <n v="19696.63"/>
    <n v="325"/>
  </r>
  <r>
    <n v="65062"/>
    <s v="In-Kind Goods"/>
    <s v="03/29/2014"/>
    <s v="Journal Entry"/>
    <n v="573"/>
    <x v="0"/>
    <x v="3"/>
    <x v="1"/>
    <x v="10"/>
    <s v="Zacarias' Room"/>
    <s v="-Split-"/>
    <n v="150"/>
    <n v="19846.63"/>
    <n v="150"/>
  </r>
  <r>
    <n v="65062"/>
    <s v="In-Kind Goods"/>
    <s v="03/29/2014"/>
    <s v="Journal Entry"/>
    <n v="573"/>
    <x v="0"/>
    <x v="3"/>
    <x v="1"/>
    <x v="10"/>
    <s v="Zacarias' Room"/>
    <s v="-Split-"/>
    <n v="1000"/>
    <n v="20846.63"/>
    <n v="1000"/>
  </r>
  <r>
    <n v="65062"/>
    <s v="In-Kind Goods"/>
    <s v="03/29/2014"/>
    <s v="Journal Entry"/>
    <n v="573"/>
    <x v="0"/>
    <x v="3"/>
    <x v="1"/>
    <x v="10"/>
    <s v="Zacarias' Room"/>
    <s v="-Split-"/>
    <n v="545"/>
    <n v="21391.63"/>
    <n v="545"/>
  </r>
  <r>
    <n v="65062"/>
    <s v="In-Kind Goods"/>
    <s v="04/16/2014"/>
    <s v="Journal Entry"/>
    <n v="572"/>
    <x v="0"/>
    <x v="3"/>
    <x v="1"/>
    <x v="10"/>
    <s v="Alexis Room"/>
    <s v="-Split-"/>
    <n v="1500"/>
    <n v="23641.63"/>
    <n v="1500"/>
  </r>
  <r>
    <n v="65062"/>
    <s v="In-Kind Goods"/>
    <s v="04/16/2014"/>
    <s v="Journal Entry"/>
    <n v="572"/>
    <x v="0"/>
    <x v="3"/>
    <x v="1"/>
    <x v="10"/>
    <s v="Alexis Room"/>
    <s v="-Split-"/>
    <n v="850"/>
    <n v="24491.63"/>
    <n v="850"/>
  </r>
  <r>
    <n v="65062"/>
    <s v="In-Kind Goods"/>
    <s v="06/07/2014"/>
    <s v="Journal Entry"/>
    <n v="609"/>
    <x v="0"/>
    <x v="3"/>
    <x v="1"/>
    <x v="10"/>
    <s v="Pizza"/>
    <s v="-Split-"/>
    <n v="33"/>
    <n v="28687.48"/>
    <n v="33"/>
  </r>
  <r>
    <n v="65063"/>
    <s v="In-Kind Services"/>
    <s v="05/03/2014"/>
    <s v="Journal Entry"/>
    <n v="574"/>
    <x v="0"/>
    <x v="3"/>
    <x v="1"/>
    <x v="11"/>
    <s v="Scotty's Room"/>
    <s v="-Split-"/>
    <n v="1040"/>
    <n v="12367.5"/>
    <n v="1040"/>
  </r>
  <r>
    <n v="65063"/>
    <s v="In-Kind Services"/>
    <s v="06/07/2014"/>
    <s v="Journal Entry"/>
    <n v="609"/>
    <x v="0"/>
    <x v="3"/>
    <x v="1"/>
    <x v="11"/>
    <s v="Michelle's bedroom labor for drapery "/>
    <s v="-Split-"/>
    <n v="205"/>
    <n v="17572.5"/>
    <n v="205"/>
  </r>
  <r>
    <n v="65063"/>
    <s v="In-Kind Services"/>
    <s v="06/21/2014"/>
    <s v="Journal Entry"/>
    <n v="610"/>
    <x v="0"/>
    <x v="3"/>
    <x v="1"/>
    <x v="11"/>
    <s v="labor for duvet cover/sham and rock chair recovered for Dereck's room"/>
    <s v="-Split-"/>
    <n v="650"/>
    <n v="18522.5"/>
    <n v="650"/>
  </r>
  <r>
    <n v="67001"/>
    <s v="Fundraising Expense -  Direct"/>
    <s v="02/07/2014"/>
    <s v="Check"/>
    <m/>
    <x v="6"/>
    <x v="3"/>
    <x v="2"/>
    <x v="7"/>
    <s v="Dreaming in Color"/>
    <s v="10411 BofA Buffalo"/>
    <n v="49"/>
    <n v="5542.46"/>
    <n v="49"/>
  </r>
  <r>
    <n v="67001"/>
    <s v="Fundraising Expense -  Direct"/>
    <s v="02/12/2014"/>
    <s v="Check"/>
    <m/>
    <x v="86"/>
    <x v="3"/>
    <x v="2"/>
    <x v="7"/>
    <s v="Dreaming in Color sponsorship packages"/>
    <s v="10411 BofA Buffalo"/>
    <n v="219.5"/>
    <n v="6126.76"/>
    <n v="219.5"/>
  </r>
  <r>
    <n v="67001"/>
    <s v="Fundraising Expense -  Direct"/>
    <s v="02/14/2014"/>
    <s v="Check"/>
    <n v="1204"/>
    <x v="0"/>
    <x v="3"/>
    <x v="2"/>
    <x v="7"/>
    <m/>
    <s v="10411 BofA Buffalo"/>
    <n v="125"/>
    <n v="6251.76"/>
    <n v="125"/>
  </r>
  <r>
    <n v="67001"/>
    <s v="Fundraising Expense -  Direct"/>
    <s v="02/14/2014"/>
    <s v="Check"/>
    <n v="1203"/>
    <x v="87"/>
    <x v="3"/>
    <x v="2"/>
    <x v="7"/>
    <m/>
    <s v="10411 BofA Buffalo"/>
    <n v="120"/>
    <n v="6371.76"/>
    <n v="120"/>
  </r>
  <r>
    <n v="67001"/>
    <s v="Fundraising Expense -  Direct"/>
    <s v="02/21/2014"/>
    <s v="Check"/>
    <m/>
    <x v="86"/>
    <x v="3"/>
    <x v="2"/>
    <x v="7"/>
    <s v="Dreaming in Color Invitations"/>
    <s v="10411 BofA Buffalo"/>
    <n v="167"/>
    <n v="8736.4"/>
    <n v="167"/>
  </r>
  <r>
    <n v="67001"/>
    <s v="Fundraising Expense -  Direct"/>
    <s v="02/24/2014"/>
    <s v="Check"/>
    <m/>
    <x v="26"/>
    <x v="3"/>
    <x v="2"/>
    <x v="7"/>
    <s v="Dreaming in Color decorations"/>
    <s v="10411 BofA Buffalo"/>
    <n v="6.51"/>
    <n v="8763.99"/>
    <n v="6.51"/>
  </r>
  <r>
    <n v="67001"/>
    <s v="Fundraising Expense -  Direct"/>
    <s v="02/26/2014"/>
    <s v="Check"/>
    <m/>
    <x v="6"/>
    <x v="3"/>
    <x v="2"/>
    <x v="7"/>
    <s v="Dreaming in Color postage"/>
    <s v="10411 BofA Buffalo"/>
    <n v="49.49"/>
    <n v="9568.49"/>
    <n v="49.49"/>
  </r>
  <r>
    <n v="67001"/>
    <s v="Fundraising Expense -  Direct"/>
    <s v="03/03/2014"/>
    <s v="Check"/>
    <m/>
    <x v="6"/>
    <x v="3"/>
    <x v="2"/>
    <x v="7"/>
    <s v="Postage for Dreaming in Color"/>
    <s v="10411 BofA Buffalo"/>
    <n v="19.600000000000001"/>
    <n v="10558.58"/>
    <n v="19.600000000000001"/>
  </r>
  <r>
    <n v="67001"/>
    <s v="Fundraising Expense -  Direct"/>
    <s v="03/10/2014"/>
    <s v="Check"/>
    <m/>
    <x v="88"/>
    <x v="3"/>
    <x v="2"/>
    <x v="7"/>
    <s v="dreaming in color"/>
    <s v="10411 BofA Buffalo"/>
    <n v="28.28"/>
    <n v="23430.75"/>
    <n v="28.28"/>
  </r>
  <r>
    <n v="67001"/>
    <s v="Fundraising Expense -  Direct"/>
    <s v="04/07/2014"/>
    <s v="Check"/>
    <m/>
    <x v="89"/>
    <x v="3"/>
    <x v="2"/>
    <x v="7"/>
    <m/>
    <s v="10411 BofA Buffalo"/>
    <n v="120"/>
    <n v="46913.120000000003"/>
    <n v="120"/>
  </r>
  <r>
    <n v="67001"/>
    <s v="Fundraising Expense -  Direct"/>
    <s v="04/09/2014"/>
    <s v="Check"/>
    <n v="1214"/>
    <x v="90"/>
    <x v="3"/>
    <x v="2"/>
    <x v="7"/>
    <m/>
    <s v="10411 BofA Buffalo"/>
    <n v="2825.52"/>
    <n v="50391.839999999997"/>
    <n v="2825.52"/>
  </r>
  <r>
    <n v="67001"/>
    <s v="Fundraising Expense -  Direct"/>
    <s v="04/14/2014"/>
    <s v="Check"/>
    <n v="1213"/>
    <x v="87"/>
    <x v="3"/>
    <x v="2"/>
    <x v="7"/>
    <m/>
    <s v="10411 BofA Buffalo"/>
    <n v="120"/>
    <n v="50511.839999999997"/>
    <n v="120"/>
  </r>
  <r>
    <n v="67001"/>
    <s v="Fundraising Expense -  Direct"/>
    <s v="04/15/2014"/>
    <s v="Check"/>
    <n v="1209"/>
    <x v="91"/>
    <x v="3"/>
    <x v="2"/>
    <x v="7"/>
    <m/>
    <s v="10411 BofA Buffalo"/>
    <n v="100"/>
    <n v="50611.839999999997"/>
    <n v="100"/>
  </r>
  <r>
    <n v="65025"/>
    <s v="Bank Service Charges"/>
    <s v="07/01/2014"/>
    <s v="Expense"/>
    <m/>
    <x v="92"/>
    <x v="8"/>
    <x v="1"/>
    <x v="14"/>
    <m/>
    <s v="10526 BofA Orange County"/>
    <n v="12"/>
    <n v="1718.52"/>
    <n v="12"/>
  </r>
  <r>
    <n v="65025"/>
    <s v="Bank Service Charges"/>
    <s v="08/01/2014"/>
    <s v="Expense"/>
    <m/>
    <x v="92"/>
    <x v="8"/>
    <x v="1"/>
    <x v="14"/>
    <m/>
    <s v="10526 BofA Orange County"/>
    <n v="12"/>
    <n v="1871.22"/>
    <n v="12"/>
  </r>
  <r>
    <n v="65025"/>
    <s v="Bank Service Charges"/>
    <s v="09/02/2014"/>
    <s v="Expense"/>
    <m/>
    <x v="92"/>
    <x v="8"/>
    <x v="1"/>
    <x v="14"/>
    <m/>
    <s v="10526 BofA Orange County"/>
    <n v="12"/>
    <n v="2281.1999999999998"/>
    <n v="12"/>
  </r>
  <r>
    <n v="65025"/>
    <s v="Bank Service Charges"/>
    <s v="10/01/2014"/>
    <s v="Expense"/>
    <m/>
    <x v="92"/>
    <x v="8"/>
    <x v="1"/>
    <x v="14"/>
    <m/>
    <s v="10526 BofA Orange County"/>
    <n v="12"/>
    <n v="2539.1"/>
    <n v="12"/>
  </r>
  <r>
    <n v="43400"/>
    <s v="Direct Public Support"/>
    <s v="06/05/2014"/>
    <s v="Deposit"/>
    <m/>
    <x v="3"/>
    <x v="7"/>
    <x v="0"/>
    <x v="1"/>
    <m/>
    <s v="10111 BofA Restricted Funds -055:Chicago 8350"/>
    <n v="2000"/>
    <n v="191886.61"/>
    <n v="-2000"/>
  </r>
  <r>
    <n v="43400"/>
    <s v="Direct Public Support"/>
    <s v="06/17/2014"/>
    <s v="Journal Entry"/>
    <n v="580"/>
    <x v="0"/>
    <x v="7"/>
    <x v="0"/>
    <x v="1"/>
    <s v="paypal"/>
    <s v="-Split-"/>
    <n v="3085"/>
    <n v="202835.02"/>
    <n v="-3085"/>
  </r>
  <r>
    <n v="43400"/>
    <s v="Direct Public Support"/>
    <s v="06/30/2014"/>
    <s v="Deposit"/>
    <m/>
    <x v="3"/>
    <x v="7"/>
    <x v="0"/>
    <x v="1"/>
    <m/>
    <s v="10111 BofA Restricted Funds -055:Chicago 8350"/>
    <n v="3860.5"/>
    <n v="211392.57"/>
    <n v="-3860.5"/>
  </r>
  <r>
    <n v="65025"/>
    <s v="Bank Service Charges"/>
    <s v="07/01/2014"/>
    <s v="Expense"/>
    <m/>
    <x v="92"/>
    <x v="4"/>
    <x v="1"/>
    <x v="14"/>
    <m/>
    <s v="10428 BoA Sacramento"/>
    <n v="16"/>
    <n v="1791.52"/>
    <n v="16"/>
  </r>
  <r>
    <n v="65036"/>
    <s v="Volunteer Hospitality"/>
    <s v="09/29/2014"/>
    <s v="Expense"/>
    <m/>
    <x v="93"/>
    <x v="4"/>
    <x v="1"/>
    <x v="13"/>
    <m/>
    <s v="10428 BoA Sacramento"/>
    <n v="25.97"/>
    <n v="6855.7"/>
    <n v="25.97"/>
  </r>
  <r>
    <n v="65061"/>
    <s v="Material for Rooms"/>
    <s v="09/17/2014"/>
    <s v="Expense"/>
    <m/>
    <x v="29"/>
    <x v="4"/>
    <x v="1"/>
    <x v="5"/>
    <m/>
    <s v="10428 BoA Sacramento"/>
    <n v="45.14"/>
    <n v="257016.61"/>
    <n v="45.14"/>
  </r>
  <r>
    <n v="65061"/>
    <s v="Material for Rooms"/>
    <s v="09/18/2014"/>
    <s v="Expense"/>
    <m/>
    <x v="19"/>
    <x v="4"/>
    <x v="1"/>
    <x v="5"/>
    <m/>
    <s v="10428 BoA Sacramento"/>
    <n v="56.57"/>
    <n v="257710.28"/>
    <n v="56.57"/>
  </r>
  <r>
    <n v="65061"/>
    <s v="Material for Rooms"/>
    <s v="09/19/2014"/>
    <s v="Expense"/>
    <m/>
    <x v="70"/>
    <x v="4"/>
    <x v="1"/>
    <x v="5"/>
    <m/>
    <s v="10428 BoA Sacramento"/>
    <n v="21.59"/>
    <n v="257867.61"/>
    <n v="21.59"/>
  </r>
  <r>
    <n v="65061"/>
    <s v="Material for Rooms"/>
    <s v="09/22/2014"/>
    <s v="Expense"/>
    <m/>
    <x v="92"/>
    <x v="4"/>
    <x v="1"/>
    <x v="5"/>
    <m/>
    <s v="10428 BoA Sacramento"/>
    <n v="200"/>
    <n v="262869.39"/>
    <n v="200"/>
  </r>
  <r>
    <n v="65061"/>
    <s v="Material for Rooms"/>
    <s v="09/22/2014"/>
    <s v="Expense"/>
    <m/>
    <x v="92"/>
    <x v="4"/>
    <x v="1"/>
    <x v="5"/>
    <m/>
    <s v="10428 BoA Sacramento"/>
    <n v="200"/>
    <n v="263069.39"/>
    <n v="200"/>
  </r>
  <r>
    <n v="65061"/>
    <s v="Material for Rooms"/>
    <s v="09/22/2014"/>
    <s v="Expense"/>
    <m/>
    <x v="39"/>
    <x v="4"/>
    <x v="1"/>
    <x v="5"/>
    <m/>
    <s v="10428 BoA Sacramento"/>
    <n v="64.489999999999995"/>
    <n v="263133.88"/>
    <n v="64.489999999999995"/>
  </r>
  <r>
    <n v="65061"/>
    <s v="Material for Rooms"/>
    <s v="09/22/2014"/>
    <s v="Expense"/>
    <m/>
    <x v="73"/>
    <x v="4"/>
    <x v="1"/>
    <x v="5"/>
    <m/>
    <s v="10428 BoA Sacramento"/>
    <n v="751.7"/>
    <n v="263885.58"/>
    <n v="751.7"/>
  </r>
  <r>
    <n v="65061"/>
    <s v="Material for Rooms"/>
    <s v="09/22/2014"/>
    <s v="Expense"/>
    <m/>
    <x v="26"/>
    <x v="4"/>
    <x v="1"/>
    <x v="5"/>
    <m/>
    <s v="10428 BoA Sacramento"/>
    <n v="26.01"/>
    <n v="263911.59000000003"/>
    <n v="26.01"/>
  </r>
  <r>
    <n v="65061"/>
    <s v="Material for Rooms"/>
    <s v="09/22/2014"/>
    <s v="Expense"/>
    <m/>
    <x v="94"/>
    <x v="4"/>
    <x v="1"/>
    <x v="5"/>
    <m/>
    <s v="10428 BoA Sacramento"/>
    <n v="36"/>
    <n v="263947.59000000003"/>
    <n v="36"/>
  </r>
  <r>
    <n v="65061"/>
    <s v="Material for Rooms"/>
    <s v="09/22/2014"/>
    <s v="Expense"/>
    <m/>
    <x v="19"/>
    <x v="4"/>
    <x v="1"/>
    <x v="5"/>
    <m/>
    <s v="10428 BoA Sacramento"/>
    <n v="246.49"/>
    <n v="264194.08"/>
    <n v="246.49"/>
  </r>
  <r>
    <n v="65061"/>
    <s v="Material for Rooms"/>
    <s v="09/23/2014"/>
    <s v="Expense"/>
    <m/>
    <x v="56"/>
    <x v="4"/>
    <x v="1"/>
    <x v="5"/>
    <m/>
    <s v="10428 BoA Sacramento"/>
    <n v="21.59"/>
    <n v="264406.68"/>
    <n v="21.59"/>
  </r>
  <r>
    <n v="65061"/>
    <s v="Material for Rooms"/>
    <s v="09/24/2014"/>
    <s v="Expense"/>
    <m/>
    <x v="95"/>
    <x v="4"/>
    <x v="1"/>
    <x v="5"/>
    <m/>
    <s v="10428 BoA Sacramento"/>
    <n v="55.59"/>
    <n v="265644.37"/>
    <n v="55.59"/>
  </r>
  <r>
    <n v="65061"/>
    <s v="Material for Rooms"/>
    <s v="09/24/2014"/>
    <s v="Deposit"/>
    <m/>
    <x v="95"/>
    <x v="4"/>
    <x v="1"/>
    <x v="5"/>
    <m/>
    <s v="10428 BoA Sacramento"/>
    <n v="-26.45"/>
    <n v="265617.91999999998"/>
    <n v="-26.45"/>
  </r>
  <r>
    <n v="65061"/>
    <s v="Material for Rooms"/>
    <s v="09/24/2014"/>
    <s v="Expense"/>
    <m/>
    <x v="16"/>
    <x v="4"/>
    <x v="1"/>
    <x v="5"/>
    <m/>
    <s v="10428 BoA Sacramento"/>
    <n v="182.41"/>
    <n v="265800.33"/>
    <n v="182.41"/>
  </r>
  <r>
    <n v="65061"/>
    <s v="Material for Rooms"/>
    <s v="09/24/2014"/>
    <s v="Expense"/>
    <m/>
    <x v="96"/>
    <x v="4"/>
    <x v="1"/>
    <x v="5"/>
    <m/>
    <s v="10428 BoA Sacramento"/>
    <n v="64.77"/>
    <n v="265865.09999999998"/>
    <n v="64.77"/>
  </r>
  <r>
    <n v="65061"/>
    <s v="Material for Rooms"/>
    <s v="09/25/2014"/>
    <s v="Expense"/>
    <m/>
    <x v="16"/>
    <x v="4"/>
    <x v="1"/>
    <x v="5"/>
    <m/>
    <s v="10428 BoA Sacramento"/>
    <n v="352.76"/>
    <n v="267707.14"/>
    <n v="352.76"/>
  </r>
  <r>
    <n v="65061"/>
    <s v="Material for Rooms"/>
    <s v="09/26/2014"/>
    <s v="Expense"/>
    <m/>
    <x v="53"/>
    <x v="4"/>
    <x v="1"/>
    <x v="5"/>
    <m/>
    <s v="10428 BoA Sacramento"/>
    <n v="115.69"/>
    <n v="268500.59999999998"/>
    <n v="115.69"/>
  </r>
  <r>
    <n v="65061"/>
    <s v="Material for Rooms"/>
    <s v="09/26/2014"/>
    <s v="Expense"/>
    <m/>
    <x v="26"/>
    <x v="4"/>
    <x v="1"/>
    <x v="5"/>
    <m/>
    <s v="10428 BoA Sacramento"/>
    <n v="30.7"/>
    <n v="268531.3"/>
    <n v="30.7"/>
  </r>
  <r>
    <n v="65061"/>
    <s v="Material for Rooms"/>
    <s v="09/29/2014"/>
    <s v="Expense"/>
    <m/>
    <x v="92"/>
    <x v="4"/>
    <x v="1"/>
    <x v="5"/>
    <m/>
    <s v="10428 BoA Sacramento"/>
    <n v="300"/>
    <n v="271865.99"/>
    <n v="300"/>
  </r>
  <r>
    <n v="65061"/>
    <s v="Material for Rooms"/>
    <s v="09/29/2014"/>
    <s v="Expense"/>
    <m/>
    <x v="53"/>
    <x v="4"/>
    <x v="1"/>
    <x v="5"/>
    <m/>
    <s v="10428 BoA Sacramento"/>
    <n v="51.54"/>
    <n v="271917.53000000003"/>
    <n v="51.54"/>
  </r>
  <r>
    <n v="65061"/>
    <s v="Material for Rooms"/>
    <s v="09/29/2014"/>
    <s v="Expense"/>
    <m/>
    <x v="53"/>
    <x v="4"/>
    <x v="1"/>
    <x v="5"/>
    <m/>
    <s v="10428 BoA Sacramento"/>
    <n v="9.7200000000000006"/>
    <n v="271927.25"/>
    <n v="9.7200000000000006"/>
  </r>
  <r>
    <n v="65061"/>
    <s v="Material for Rooms"/>
    <s v="09/29/2014"/>
    <s v="Expense"/>
    <m/>
    <x v="16"/>
    <x v="4"/>
    <x v="1"/>
    <x v="5"/>
    <m/>
    <s v="10428 BoA Sacramento"/>
    <n v="89.12"/>
    <n v="272016.37"/>
    <n v="89.12"/>
  </r>
  <r>
    <n v="65061"/>
    <s v="Material for Rooms"/>
    <s v="09/29/2014"/>
    <s v="Expense"/>
    <m/>
    <x v="97"/>
    <x v="4"/>
    <x v="1"/>
    <x v="5"/>
    <m/>
    <s v="10428 BoA Sacramento"/>
    <n v="221.86"/>
    <n v="272238.23"/>
    <n v="221.86"/>
  </r>
  <r>
    <n v="65061"/>
    <s v="Material for Rooms"/>
    <s v="09/29/2014"/>
    <s v="Expense"/>
    <m/>
    <x v="97"/>
    <x v="4"/>
    <x v="1"/>
    <x v="5"/>
    <m/>
    <s v="10428 BoA Sacramento"/>
    <n v="34.869999999999997"/>
    <n v="272273.09999999998"/>
    <n v="34.869999999999997"/>
  </r>
  <r>
    <n v="65061"/>
    <s v="Material for Rooms"/>
    <s v="09/29/2014"/>
    <s v="Expense"/>
    <m/>
    <x v="98"/>
    <x v="4"/>
    <x v="1"/>
    <x v="5"/>
    <m/>
    <s v="10428 BoA Sacramento"/>
    <n v="25.36"/>
    <n v="272298.46000000002"/>
    <n v="25.36"/>
  </r>
  <r>
    <n v="65061"/>
    <s v="Material for Rooms"/>
    <s v="09/29/2014"/>
    <s v="Expense"/>
    <m/>
    <x v="19"/>
    <x v="4"/>
    <x v="1"/>
    <x v="5"/>
    <m/>
    <s v="10428 BoA Sacramento"/>
    <n v="270.5"/>
    <n v="272568.96000000002"/>
    <n v="270.5"/>
  </r>
  <r>
    <n v="65061"/>
    <s v="Material for Rooms"/>
    <s v="09/29/2014"/>
    <s v="Expense"/>
    <m/>
    <x v="99"/>
    <x v="4"/>
    <x v="1"/>
    <x v="5"/>
    <m/>
    <s v="10428 BoA Sacramento"/>
    <n v="294.33999999999997"/>
    <n v="272863.3"/>
    <n v="294.33999999999997"/>
  </r>
  <r>
    <n v="65061"/>
    <s v="Material for Rooms"/>
    <s v="09/30/2014"/>
    <s v="Deposit"/>
    <m/>
    <x v="19"/>
    <x v="4"/>
    <x v="1"/>
    <x v="5"/>
    <m/>
    <s v="10428 BoA Sacramento"/>
    <n v="-21"/>
    <n v="274540.13"/>
    <n v="-21"/>
  </r>
  <r>
    <n v="65061"/>
    <s v="Material for Rooms"/>
    <s v="10/01/2014"/>
    <s v="Deposit"/>
    <m/>
    <x v="100"/>
    <x v="4"/>
    <x v="1"/>
    <x v="5"/>
    <m/>
    <s v="10428 BoA Sacramento"/>
    <n v="-53.96"/>
    <n v="274648.5"/>
    <n v="-53.96"/>
  </r>
  <r>
    <n v="65061"/>
    <s v="Material for Rooms"/>
    <s v="10/01/2014"/>
    <s v="Expense"/>
    <m/>
    <x v="92"/>
    <x v="4"/>
    <x v="1"/>
    <x v="5"/>
    <m/>
    <s v="10428 BoA Sacramento"/>
    <n v="400"/>
    <n v="275048.5"/>
    <n v="400"/>
  </r>
  <r>
    <n v="65061"/>
    <s v="Material for Rooms"/>
    <s v="10/15/2014"/>
    <s v="Deposit"/>
    <m/>
    <x v="96"/>
    <x v="4"/>
    <x v="1"/>
    <x v="5"/>
    <m/>
    <s v="10428 BoA Sacramento"/>
    <n v="-21.59"/>
    <n v="291485.93"/>
    <n v="-21.59"/>
  </r>
  <r>
    <n v="43400"/>
    <s v="Direct Public Support"/>
    <s v="01/03/2014"/>
    <s v="Deposit"/>
    <m/>
    <x v="3"/>
    <x v="9"/>
    <x v="0"/>
    <x v="1"/>
    <m/>
    <s v="10115 BofA Restricted Funds -055:Columbia, SC 4798"/>
    <n v="180"/>
    <n v="-34206.49"/>
    <n v="-180"/>
  </r>
  <r>
    <n v="43430"/>
    <s v="Gifts in kind - Services"/>
    <s v="07/10/2014"/>
    <s v="Journal Entry"/>
    <n v="666"/>
    <x v="0"/>
    <x v="5"/>
    <x v="3"/>
    <x v="8"/>
    <s v="wall mural for Tre's room"/>
    <s v="-Split-"/>
    <n v="190"/>
    <n v="21920.5"/>
    <n v="-190"/>
  </r>
  <r>
    <n v="43430"/>
    <s v="Gifts in kind - Services"/>
    <s v="07/10/2014"/>
    <s v="Journal Entry"/>
    <n v="666"/>
    <x v="0"/>
    <x v="5"/>
    <x v="3"/>
    <x v="8"/>
    <s v="tv installation"/>
    <s v="-Split-"/>
    <n v="195"/>
    <n v="22115.5"/>
    <n v="-195"/>
  </r>
  <r>
    <n v="43440"/>
    <s v="Gifts in Kind - Goods"/>
    <s v="07/10/2014"/>
    <s v="Journal Entry"/>
    <n v="666"/>
    <x v="0"/>
    <x v="5"/>
    <x v="3"/>
    <x v="9"/>
    <s v="sound system for Tre's room"/>
    <s v="-Split-"/>
    <n v="250"/>
    <n v="36718.53"/>
    <n v="-250"/>
  </r>
  <r>
    <n v="43440"/>
    <s v="Gifts in Kind - Goods"/>
    <s v="07/10/2014"/>
    <s v="Journal Entry"/>
    <n v="666"/>
    <x v="0"/>
    <x v="5"/>
    <x v="3"/>
    <x v="9"/>
    <s v="electrical items for Tre's room"/>
    <s v="-Split-"/>
    <n v="180"/>
    <n v="36898.53"/>
    <n v="-180"/>
  </r>
  <r>
    <n v="43440"/>
    <s v="Gifts in Kind - Goods"/>
    <s v="07/10/2014"/>
    <s v="Journal Entry"/>
    <n v="666"/>
    <x v="0"/>
    <x v="5"/>
    <x v="3"/>
    <x v="9"/>
    <s v="3 twin mattresses for Tre's room"/>
    <s v="-Split-"/>
    <n v="1646"/>
    <n v="38544.53"/>
    <n v="-1646"/>
  </r>
  <r>
    <n v="43400"/>
    <s v="Direct Public Support"/>
    <s v="01/09/2014"/>
    <s v="Journal Entry"/>
    <n v="349"/>
    <x v="0"/>
    <x v="9"/>
    <x v="0"/>
    <x v="1"/>
    <s v="paypal"/>
    <s v="-Split-"/>
    <n v="80"/>
    <n v="-22429.89"/>
    <n v="-80"/>
  </r>
  <r>
    <n v="43400"/>
    <s v="Direct Public Support"/>
    <s v="01/15/2014"/>
    <s v="Deposit"/>
    <m/>
    <x v="3"/>
    <x v="9"/>
    <x v="0"/>
    <x v="1"/>
    <m/>
    <s v="10115 BofA Restricted Funds -055:Columbia, SC 4798"/>
    <n v="520"/>
    <n v="-15814.89"/>
    <n v="-520"/>
  </r>
  <r>
    <n v="43400"/>
    <s v="Direct Public Support"/>
    <s v="01/27/2014"/>
    <s v="Deposit"/>
    <m/>
    <x v="3"/>
    <x v="9"/>
    <x v="0"/>
    <x v="1"/>
    <m/>
    <s v="10115 BofA Restricted Funds -055:Columbia, SC 4798"/>
    <n v="460"/>
    <n v="5506.09"/>
    <n v="-460"/>
  </r>
  <r>
    <n v="43400"/>
    <s v="Direct Public Support"/>
    <s v="02/10/2014"/>
    <s v="Deposit"/>
    <m/>
    <x v="3"/>
    <x v="9"/>
    <x v="0"/>
    <x v="1"/>
    <m/>
    <s v="10115 BofA Restricted Funds -055:Columbia, SC 4798"/>
    <n v="80"/>
    <n v="38297.25"/>
    <n v="-80"/>
  </r>
  <r>
    <n v="43400"/>
    <s v="Direct Public Support"/>
    <s v="05/27/2014"/>
    <s v="Deposit"/>
    <m/>
    <x v="3"/>
    <x v="9"/>
    <x v="0"/>
    <x v="1"/>
    <m/>
    <s v="10115 BofA Restricted Funds -055:Columbia, SC 4798"/>
    <n v="273"/>
    <n v="161005.95000000001"/>
    <n v="-273"/>
  </r>
  <r>
    <n v="43400"/>
    <s v="Direct Public Support"/>
    <s v="05/30/2014"/>
    <s v="Deposit"/>
    <m/>
    <x v="3"/>
    <x v="9"/>
    <x v="0"/>
    <x v="1"/>
    <m/>
    <s v="10115 BofA Restricted Funds -055:Columbia, SC 4798"/>
    <n v="80"/>
    <n v="175051.57"/>
    <n v="-80"/>
  </r>
  <r>
    <n v="65015"/>
    <s v="Travel Expense"/>
    <s v="07/17/2014"/>
    <s v="Expense"/>
    <m/>
    <x v="101"/>
    <x v="5"/>
    <x v="1"/>
    <x v="15"/>
    <m/>
    <s v="10541 BofA San Francisco"/>
    <n v="37.200000000000003"/>
    <n v="3962.83"/>
    <n v="37.200000000000003"/>
  </r>
  <r>
    <n v="65015"/>
    <s v="Travel Expense"/>
    <s v="07/17/2014"/>
    <s v="Expense"/>
    <m/>
    <x v="101"/>
    <x v="5"/>
    <x v="1"/>
    <x v="15"/>
    <m/>
    <s v="10541 BofA San Francisco"/>
    <n v="95"/>
    <n v="4057.83"/>
    <n v="95"/>
  </r>
  <r>
    <n v="65025"/>
    <s v="Bank Service Charges"/>
    <s v="08/01/2014"/>
    <s v="Expense"/>
    <m/>
    <x v="92"/>
    <x v="5"/>
    <x v="1"/>
    <x v="14"/>
    <m/>
    <s v="10542 BofA San Fran Restricted 0918"/>
    <n v="15"/>
    <n v="2007.17"/>
    <n v="15"/>
  </r>
  <r>
    <n v="65025"/>
    <s v="Bank Service Charges"/>
    <s v="09/02/2014"/>
    <s v="Expense"/>
    <m/>
    <x v="92"/>
    <x v="5"/>
    <x v="1"/>
    <x v="14"/>
    <m/>
    <s v="10542 BofA San Fran Restricted 0918"/>
    <n v="15"/>
    <n v="2163.1999999999998"/>
    <n v="15"/>
  </r>
  <r>
    <n v="65025"/>
    <s v="Bank Service Charges"/>
    <s v="10/01/2014"/>
    <s v="Expense"/>
    <m/>
    <x v="92"/>
    <x v="5"/>
    <x v="1"/>
    <x v="14"/>
    <m/>
    <s v="10542 BofA San Fran Restricted 0918"/>
    <n v="15"/>
    <n v="2452.1"/>
    <n v="15"/>
  </r>
  <r>
    <n v="65045"/>
    <s v="Rent/Storage"/>
    <s v="07/03/2014"/>
    <s v="Expense"/>
    <m/>
    <x v="102"/>
    <x v="5"/>
    <x v="1"/>
    <x v="16"/>
    <m/>
    <s v="10541 BofA San Francisco"/>
    <n v="437"/>
    <n v="4651.3500000000004"/>
    <n v="437"/>
  </r>
  <r>
    <n v="65045"/>
    <s v="Rent/Storage"/>
    <s v="08/04/2014"/>
    <s v="Expense"/>
    <m/>
    <x v="102"/>
    <x v="5"/>
    <x v="1"/>
    <x v="16"/>
    <m/>
    <s v="10541 BofA San Francisco"/>
    <n v="437"/>
    <n v="5268.35"/>
    <n v="437"/>
  </r>
  <r>
    <n v="65050"/>
    <s v="Telephone, Telecommunications"/>
    <s v="07/22/2014"/>
    <s v="Check"/>
    <n v="1139"/>
    <x v="103"/>
    <x v="5"/>
    <x v="1"/>
    <x v="17"/>
    <m/>
    <s v="10541 BofA San Francisco"/>
    <n v="264.18"/>
    <n v="790.09"/>
    <n v="264.18"/>
  </r>
  <r>
    <n v="65061"/>
    <s v="Material for Rooms"/>
    <s v="07/01/2014"/>
    <s v="Check"/>
    <n v="1126"/>
    <x v="104"/>
    <x v="5"/>
    <x v="1"/>
    <x v="5"/>
    <m/>
    <s v="10541 BofA San Francisco"/>
    <n v="2284.0500000000002"/>
    <n v="198765.6"/>
    <n v="2284.0500000000002"/>
  </r>
  <r>
    <n v="65061"/>
    <s v="Material for Rooms"/>
    <s v="07/02/2014"/>
    <s v="Expense"/>
    <m/>
    <x v="16"/>
    <x v="5"/>
    <x v="1"/>
    <x v="5"/>
    <m/>
    <s v="10541 BofA San Francisco"/>
    <n v="92.11"/>
    <n v="199491.39"/>
    <n v="92.11"/>
  </r>
  <r>
    <n v="65061"/>
    <s v="Material for Rooms"/>
    <s v="07/02/2014"/>
    <s v="Expense"/>
    <m/>
    <x v="105"/>
    <x v="5"/>
    <x v="1"/>
    <x v="5"/>
    <m/>
    <s v="10541 BofA San Francisco"/>
    <n v="29.65"/>
    <n v="200978.79"/>
    <n v="29.65"/>
  </r>
  <r>
    <n v="65061"/>
    <s v="Material for Rooms"/>
    <s v="07/02/2014"/>
    <s v="Expense"/>
    <m/>
    <x v="106"/>
    <x v="5"/>
    <x v="1"/>
    <x v="5"/>
    <m/>
    <s v="10541 BofA San Francisco"/>
    <n v="23.24"/>
    <n v="201002.03"/>
    <n v="23.24"/>
  </r>
  <r>
    <n v="65061"/>
    <s v="Material for Rooms"/>
    <s v="07/03/2014"/>
    <s v="Deposit"/>
    <m/>
    <x v="100"/>
    <x v="5"/>
    <x v="1"/>
    <x v="5"/>
    <m/>
    <s v="10541 BofA San Francisco"/>
    <n v="-11.12"/>
    <n v="201201.91"/>
    <n v="-11.12"/>
  </r>
  <r>
    <n v="65061"/>
    <s v="Material for Rooms"/>
    <s v="07/03/2014"/>
    <s v="Expense"/>
    <m/>
    <x v="16"/>
    <x v="5"/>
    <x v="1"/>
    <x v="5"/>
    <m/>
    <s v="10541 BofA San Francisco"/>
    <n v="87.93"/>
    <n v="201308.18"/>
    <n v="87.93"/>
  </r>
  <r>
    <n v="65061"/>
    <s v="Material for Rooms"/>
    <s v="07/07/2014"/>
    <s v="Expense"/>
    <m/>
    <x v="53"/>
    <x v="5"/>
    <x v="1"/>
    <x v="5"/>
    <m/>
    <s v="10541 BofA San Francisco"/>
    <n v="441.36"/>
    <n v="201999.1"/>
    <n v="441.36"/>
  </r>
  <r>
    <n v="65061"/>
    <s v="Material for Rooms"/>
    <s v="07/07/2014"/>
    <s v="Expense"/>
    <m/>
    <x v="56"/>
    <x v="5"/>
    <x v="1"/>
    <x v="5"/>
    <m/>
    <s v="10541 BofA San Francisco"/>
    <n v="57.51"/>
    <n v="202056.61"/>
    <n v="57.51"/>
  </r>
  <r>
    <n v="65061"/>
    <s v="Material for Rooms"/>
    <s v="07/07/2014"/>
    <s v="Expense"/>
    <m/>
    <x v="106"/>
    <x v="5"/>
    <x v="1"/>
    <x v="5"/>
    <m/>
    <s v="10541 BofA San Francisco"/>
    <n v="26.14"/>
    <n v="202082.75"/>
    <n v="26.14"/>
  </r>
  <r>
    <n v="65061"/>
    <s v="Material for Rooms"/>
    <s v="07/07/2014"/>
    <s v="Expense"/>
    <m/>
    <x v="73"/>
    <x v="5"/>
    <x v="1"/>
    <x v="5"/>
    <m/>
    <s v="10541 BofA San Francisco"/>
    <n v="309.64"/>
    <n v="202392.39"/>
    <n v="309.64"/>
  </r>
  <r>
    <n v="65061"/>
    <s v="Material for Rooms"/>
    <s v="07/07/2014"/>
    <s v="Expense"/>
    <m/>
    <x v="106"/>
    <x v="5"/>
    <x v="1"/>
    <x v="5"/>
    <m/>
    <s v="10541 BofA San Francisco"/>
    <n v="11.74"/>
    <n v="202404.13"/>
    <n v="11.74"/>
  </r>
  <r>
    <n v="65061"/>
    <s v="Material for Rooms"/>
    <s v="07/08/2014"/>
    <s v="Expense"/>
    <m/>
    <x v="106"/>
    <x v="5"/>
    <x v="1"/>
    <x v="5"/>
    <m/>
    <s v="10541 BofA San Francisco"/>
    <n v="9.85"/>
    <n v="203867.96"/>
    <n v="9.85"/>
  </r>
  <r>
    <n v="65061"/>
    <s v="Material for Rooms"/>
    <s v="07/08/2014"/>
    <s v="Deposit"/>
    <m/>
    <x v="107"/>
    <x v="5"/>
    <x v="1"/>
    <x v="5"/>
    <m/>
    <s v="10541 BofA San Francisco"/>
    <n v="-66.97"/>
    <n v="203800.99"/>
    <n v="-66.97"/>
  </r>
  <r>
    <n v="65061"/>
    <s v="Material for Rooms"/>
    <s v="07/08/2014"/>
    <s v="Expense"/>
    <m/>
    <x v="106"/>
    <x v="5"/>
    <x v="1"/>
    <x v="5"/>
    <m/>
    <s v="10541 BofA San Francisco"/>
    <n v="13.39"/>
    <n v="203814.38"/>
    <n v="13.39"/>
  </r>
  <r>
    <n v="65061"/>
    <s v="Material for Rooms"/>
    <s v="07/08/2014"/>
    <s v="Check"/>
    <n v="1122"/>
    <x v="108"/>
    <x v="5"/>
    <x v="1"/>
    <x v="5"/>
    <m/>
    <s v="10541 BofA San Francisco"/>
    <n v="32.42"/>
    <n v="203846.8"/>
    <n v="32.42"/>
  </r>
  <r>
    <n v="65061"/>
    <s v="Material for Rooms"/>
    <s v="07/08/2014"/>
    <s v="Expense"/>
    <m/>
    <x v="53"/>
    <x v="5"/>
    <x v="1"/>
    <x v="5"/>
    <m/>
    <s v="10541 BofA San Francisco"/>
    <n v="20.36"/>
    <n v="203895.94"/>
    <n v="20.36"/>
  </r>
  <r>
    <n v="65061"/>
    <s v="Material for Rooms"/>
    <s v="07/09/2014"/>
    <s v="Check"/>
    <n v="1129"/>
    <x v="53"/>
    <x v="5"/>
    <x v="1"/>
    <x v="5"/>
    <m/>
    <s v="10541 BofA San Francisco"/>
    <n v="1345.68"/>
    <n v="205722.78"/>
    <n v="1345.68"/>
  </r>
  <r>
    <n v="65061"/>
    <s v="Material for Rooms"/>
    <s v="07/09/2014"/>
    <s v="Expense"/>
    <m/>
    <x v="109"/>
    <x v="5"/>
    <x v="1"/>
    <x v="5"/>
    <m/>
    <s v="10541 BofA San Francisco"/>
    <n v="134.07"/>
    <n v="205856.85"/>
    <n v="134.07"/>
  </r>
  <r>
    <n v="65061"/>
    <s v="Material for Rooms"/>
    <s v="07/09/2014"/>
    <s v="Expense"/>
    <m/>
    <x v="73"/>
    <x v="5"/>
    <x v="1"/>
    <x v="5"/>
    <m/>
    <s v="10541 BofA San Francisco"/>
    <n v="73.62"/>
    <n v="205930.47"/>
    <n v="73.62"/>
  </r>
  <r>
    <n v="65061"/>
    <s v="Material for Rooms"/>
    <s v="07/10/2014"/>
    <s v="Expense"/>
    <m/>
    <x v="106"/>
    <x v="5"/>
    <x v="1"/>
    <x v="5"/>
    <m/>
    <s v="10541 BofA San Francisco"/>
    <n v="14.09"/>
    <n v="208259.24"/>
    <n v="14.09"/>
  </r>
  <r>
    <n v="65061"/>
    <s v="Material for Rooms"/>
    <s v="07/10/2014"/>
    <s v="Expense"/>
    <m/>
    <x v="110"/>
    <x v="5"/>
    <x v="1"/>
    <x v="5"/>
    <m/>
    <s v="10541 BofA San Francisco"/>
    <n v="161.19"/>
    <n v="208420.43"/>
    <n v="161.19"/>
  </r>
  <r>
    <n v="65061"/>
    <s v="Material for Rooms"/>
    <s v="07/10/2014"/>
    <s v="Expense"/>
    <m/>
    <x v="110"/>
    <x v="5"/>
    <x v="1"/>
    <x v="5"/>
    <m/>
    <s v="10541 BofA San Francisco"/>
    <n v="56.94"/>
    <n v="208477.37"/>
    <n v="56.94"/>
  </r>
  <r>
    <n v="65061"/>
    <s v="Material for Rooms"/>
    <s v="07/10/2014"/>
    <s v="Expense"/>
    <m/>
    <x v="106"/>
    <x v="5"/>
    <x v="1"/>
    <x v="5"/>
    <m/>
    <s v="10541 BofA San Francisco"/>
    <n v="9.2899999999999991"/>
    <n v="208486.66"/>
    <n v="9.2899999999999991"/>
  </r>
  <r>
    <n v="65061"/>
    <s v="Material for Rooms"/>
    <s v="07/10/2014"/>
    <s v="Expense"/>
    <m/>
    <x v="111"/>
    <x v="5"/>
    <x v="1"/>
    <x v="5"/>
    <m/>
    <s v="10541 BofA San Francisco"/>
    <n v="24.52"/>
    <n v="208511.18"/>
    <n v="24.52"/>
  </r>
  <r>
    <n v="65061"/>
    <s v="Material for Rooms"/>
    <s v="07/11/2014"/>
    <s v="Expense"/>
    <m/>
    <x v="29"/>
    <x v="5"/>
    <x v="1"/>
    <x v="5"/>
    <m/>
    <s v="10541 BofA San Francisco"/>
    <n v="24.87"/>
    <n v="209552.27"/>
    <n v="24.87"/>
  </r>
  <r>
    <n v="65061"/>
    <s v="Material for Rooms"/>
    <s v="07/11/2014"/>
    <s v="Expense"/>
    <m/>
    <x v="106"/>
    <x v="5"/>
    <x v="1"/>
    <x v="5"/>
    <m/>
    <s v="10541 BofA San Francisco"/>
    <n v="37.4"/>
    <n v="209535.56"/>
    <n v="37.4"/>
  </r>
  <r>
    <n v="65061"/>
    <s v="Material for Rooms"/>
    <s v="07/11/2014"/>
    <s v="Expense"/>
    <m/>
    <x v="53"/>
    <x v="5"/>
    <x v="1"/>
    <x v="5"/>
    <m/>
    <s v="10541 BofA San Francisco"/>
    <n v="44"/>
    <n v="209579.56"/>
    <n v="44"/>
  </r>
  <r>
    <n v="65061"/>
    <s v="Material for Rooms"/>
    <s v="07/11/2014"/>
    <s v="Expense"/>
    <m/>
    <x v="112"/>
    <x v="5"/>
    <x v="1"/>
    <x v="5"/>
    <m/>
    <s v="10541 BofA San Francisco"/>
    <n v="34.53"/>
    <n v="209614.09"/>
    <n v="34.53"/>
  </r>
  <r>
    <n v="65061"/>
    <s v="Material for Rooms"/>
    <s v="07/11/2014"/>
    <s v="Expense"/>
    <m/>
    <x v="19"/>
    <x v="5"/>
    <x v="1"/>
    <x v="5"/>
    <m/>
    <s v="10541 BofA San Francisco"/>
    <n v="73.459999999999994"/>
    <n v="209687.55"/>
    <n v="73.459999999999994"/>
  </r>
  <r>
    <n v="65061"/>
    <s v="Material for Rooms"/>
    <s v="07/14/2014"/>
    <s v="Check"/>
    <n v="1130"/>
    <x v="113"/>
    <x v="5"/>
    <x v="1"/>
    <x v="5"/>
    <m/>
    <s v="10541 BofA San Francisco"/>
    <n v="111.17"/>
    <n v="212506.44"/>
    <n v="111.17"/>
  </r>
  <r>
    <n v="65061"/>
    <s v="Material for Rooms"/>
    <s v="07/14/2014"/>
    <s v="Expense"/>
    <m/>
    <x v="16"/>
    <x v="5"/>
    <x v="1"/>
    <x v="5"/>
    <m/>
    <s v="10541 BofA San Francisco"/>
    <n v="25.05"/>
    <n v="212531.49"/>
    <n v="25.05"/>
  </r>
  <r>
    <n v="65061"/>
    <s v="Material for Rooms"/>
    <s v="07/14/2014"/>
    <s v="Expense"/>
    <m/>
    <x v="39"/>
    <x v="5"/>
    <x v="1"/>
    <x v="5"/>
    <m/>
    <s v="10541 BofA San Francisco"/>
    <n v="36.869999999999997"/>
    <n v="212568.36"/>
    <n v="36.869999999999997"/>
  </r>
  <r>
    <n v="65061"/>
    <s v="Material for Rooms"/>
    <s v="07/14/2014"/>
    <s v="Expense"/>
    <m/>
    <x v="114"/>
    <x v="5"/>
    <x v="1"/>
    <x v="5"/>
    <m/>
    <s v="10541 BofA San Francisco"/>
    <n v="22.85"/>
    <n v="212591.21"/>
    <n v="22.85"/>
  </r>
  <r>
    <n v="65061"/>
    <s v="Material for Rooms"/>
    <s v="07/14/2014"/>
    <s v="Expense"/>
    <m/>
    <x v="115"/>
    <x v="5"/>
    <x v="1"/>
    <x v="5"/>
    <m/>
    <s v="10541 BofA San Francisco"/>
    <n v="91.25"/>
    <n v="212682.46"/>
    <n v="91.25"/>
  </r>
  <r>
    <n v="65061"/>
    <s v="Material for Rooms"/>
    <s v="07/14/2014"/>
    <s v="Expense"/>
    <m/>
    <x v="116"/>
    <x v="5"/>
    <x v="1"/>
    <x v="5"/>
    <m/>
    <s v="10541 BofA San Francisco"/>
    <n v="43.9"/>
    <n v="212726.36"/>
    <n v="43.9"/>
  </r>
  <r>
    <n v="65061"/>
    <s v="Material for Rooms"/>
    <s v="07/14/2014"/>
    <s v="Expense"/>
    <m/>
    <x v="98"/>
    <x v="5"/>
    <x v="1"/>
    <x v="5"/>
    <m/>
    <s v="10541 BofA San Francisco"/>
    <n v="76.3"/>
    <n v="212802.66"/>
    <n v="76.3"/>
  </r>
  <r>
    <n v="65061"/>
    <s v="Material for Rooms"/>
    <s v="07/14/2014"/>
    <s v="Expense"/>
    <m/>
    <x v="117"/>
    <x v="5"/>
    <x v="1"/>
    <x v="5"/>
    <m/>
    <s v="10541 BofA San Francisco"/>
    <n v="68.78"/>
    <n v="212871.44"/>
    <n v="68.78"/>
  </r>
  <r>
    <n v="65061"/>
    <s v="Material for Rooms"/>
    <s v="07/14/2014"/>
    <s v="Expense"/>
    <m/>
    <x v="110"/>
    <x v="5"/>
    <x v="1"/>
    <x v="5"/>
    <m/>
    <s v="10541 BofA San Francisco"/>
    <n v="145.38999999999999"/>
    <n v="213016.83"/>
    <n v="145.38999999999999"/>
  </r>
  <r>
    <n v="65061"/>
    <s v="Material for Rooms"/>
    <s v="07/14/2014"/>
    <s v="Expense"/>
    <m/>
    <x v="19"/>
    <x v="5"/>
    <x v="1"/>
    <x v="5"/>
    <m/>
    <s v="10541 BofA San Francisco"/>
    <n v="187.03"/>
    <n v="213203.86"/>
    <n v="187.03"/>
  </r>
  <r>
    <n v="65061"/>
    <s v="Material for Rooms"/>
    <s v="07/14/2014"/>
    <s v="Expense"/>
    <m/>
    <x v="53"/>
    <x v="5"/>
    <x v="1"/>
    <x v="5"/>
    <m/>
    <s v="10541 BofA San Francisco"/>
    <n v="71.92"/>
    <n v="213275.78"/>
    <n v="71.92"/>
  </r>
  <r>
    <n v="65061"/>
    <s v="Material for Rooms"/>
    <s v="07/14/2014"/>
    <s v="Expense"/>
    <m/>
    <x v="53"/>
    <x v="5"/>
    <x v="1"/>
    <x v="5"/>
    <m/>
    <s v="10541 BofA San Francisco"/>
    <n v="28.5"/>
    <n v="213304.28"/>
    <n v="28.5"/>
  </r>
  <r>
    <n v="65061"/>
    <s v="Material for Rooms"/>
    <s v="07/14/2014"/>
    <s v="Expense"/>
    <m/>
    <x v="41"/>
    <x v="5"/>
    <x v="1"/>
    <x v="5"/>
    <m/>
    <s v="10541 BofA San Francisco"/>
    <n v="30.01"/>
    <n v="213334.29"/>
    <n v="30.01"/>
  </r>
  <r>
    <n v="65061"/>
    <s v="Material for Rooms"/>
    <s v="07/14/2014"/>
    <s v="Expense"/>
    <m/>
    <x v="118"/>
    <x v="5"/>
    <x v="1"/>
    <x v="5"/>
    <m/>
    <s v="10541 BofA San Francisco"/>
    <n v="21.69"/>
    <n v="213355.98"/>
    <n v="21.69"/>
  </r>
  <r>
    <n v="65061"/>
    <s v="Material for Rooms"/>
    <s v="07/14/2014"/>
    <s v="Expense"/>
    <m/>
    <x v="114"/>
    <x v="5"/>
    <x v="1"/>
    <x v="5"/>
    <m/>
    <s v="10541 BofA San Francisco"/>
    <n v="37.04"/>
    <n v="213393.02"/>
    <n v="37.04"/>
  </r>
  <r>
    <n v="65061"/>
    <s v="Material for Rooms"/>
    <s v="07/14/2014"/>
    <s v="Expense"/>
    <m/>
    <x v="39"/>
    <x v="5"/>
    <x v="1"/>
    <x v="5"/>
    <m/>
    <s v="10541 BofA San Francisco"/>
    <n v="32.53"/>
    <n v="213425.55"/>
    <n v="32.53"/>
  </r>
  <r>
    <n v="65061"/>
    <s v="Material for Rooms"/>
    <s v="07/14/2014"/>
    <s v="Expense"/>
    <m/>
    <x v="53"/>
    <x v="5"/>
    <x v="1"/>
    <x v="5"/>
    <m/>
    <s v="10541 BofA San Francisco"/>
    <n v="21.85"/>
    <n v="213447.4"/>
    <n v="21.85"/>
  </r>
  <r>
    <n v="65061"/>
    <s v="Material for Rooms"/>
    <s v="07/14/2014"/>
    <s v="Expense"/>
    <m/>
    <x v="114"/>
    <x v="5"/>
    <x v="1"/>
    <x v="5"/>
    <m/>
    <s v="10541 BofA San Francisco"/>
    <n v="18.52"/>
    <n v="213465.92"/>
    <n v="18.52"/>
  </r>
  <r>
    <n v="65061"/>
    <s v="Material for Rooms"/>
    <s v="07/14/2014"/>
    <s v="Expense"/>
    <m/>
    <x v="116"/>
    <x v="5"/>
    <x v="1"/>
    <x v="5"/>
    <m/>
    <s v="10541 BofA San Francisco"/>
    <n v="52.05"/>
    <n v="213517.97"/>
    <n v="52.05"/>
  </r>
  <r>
    <n v="65061"/>
    <s v="Material for Rooms"/>
    <s v="07/14/2014"/>
    <s v="Expense"/>
    <m/>
    <x v="53"/>
    <x v="5"/>
    <x v="1"/>
    <x v="5"/>
    <m/>
    <s v="10541 BofA San Francisco"/>
    <n v="11.88"/>
    <n v="213529.85"/>
    <n v="11.88"/>
  </r>
  <r>
    <n v="65061"/>
    <s v="Material for Rooms"/>
    <s v="07/14/2014"/>
    <s v="Expense"/>
    <m/>
    <x v="53"/>
    <x v="5"/>
    <x v="1"/>
    <x v="5"/>
    <m/>
    <s v="10541 BofA San Francisco"/>
    <n v="35.54"/>
    <n v="213565.39"/>
    <n v="35.54"/>
  </r>
  <r>
    <n v="65061"/>
    <s v="Material for Rooms"/>
    <s v="07/14/2014"/>
    <s v="Expense"/>
    <m/>
    <x v="119"/>
    <x v="5"/>
    <x v="1"/>
    <x v="5"/>
    <m/>
    <s v="10541 BofA San Francisco"/>
    <n v="64.5"/>
    <n v="213629.89"/>
    <n v="64.5"/>
  </r>
  <r>
    <n v="65061"/>
    <s v="Material for Rooms"/>
    <s v="07/15/2014"/>
    <s v="Check"/>
    <n v="1127"/>
    <x v="120"/>
    <x v="5"/>
    <x v="1"/>
    <x v="5"/>
    <m/>
    <s v="10541 BofA San Francisco"/>
    <n v="85.7"/>
    <n v="214669.03"/>
    <n v="85.7"/>
  </r>
  <r>
    <n v="65061"/>
    <s v="Material for Rooms"/>
    <s v="07/15/2014"/>
    <s v="Deposit"/>
    <m/>
    <x v="19"/>
    <x v="5"/>
    <x v="1"/>
    <x v="5"/>
    <m/>
    <s v="10541 BofA San Francisco"/>
    <n v="-86.79"/>
    <n v="214690.18"/>
    <n v="-86.79"/>
  </r>
  <r>
    <n v="65061"/>
    <s v="Material for Rooms"/>
    <s v="07/15/2014"/>
    <s v="Expense"/>
    <m/>
    <x v="106"/>
    <x v="5"/>
    <x v="1"/>
    <x v="5"/>
    <m/>
    <s v="10541 BofA San Francisco"/>
    <n v="48.81"/>
    <n v="214738.99"/>
    <n v="48.81"/>
  </r>
  <r>
    <n v="65061"/>
    <s v="Material for Rooms"/>
    <s v="07/15/2014"/>
    <s v="Expense"/>
    <m/>
    <x v="19"/>
    <x v="5"/>
    <x v="1"/>
    <x v="5"/>
    <m/>
    <s v="10541 BofA San Francisco"/>
    <n v="315.7"/>
    <n v="215054.69"/>
    <n v="315.7"/>
  </r>
  <r>
    <n v="65061"/>
    <s v="Material for Rooms"/>
    <s v="07/15/2014"/>
    <s v="Expense"/>
    <m/>
    <x v="106"/>
    <x v="5"/>
    <x v="1"/>
    <x v="5"/>
    <m/>
    <s v="10541 BofA San Francisco"/>
    <n v="54.41"/>
    <n v="215109.1"/>
    <n v="54.41"/>
  </r>
  <r>
    <n v="65061"/>
    <s v="Material for Rooms"/>
    <s v="07/15/2014"/>
    <s v="Deposit"/>
    <m/>
    <x v="19"/>
    <x v="5"/>
    <x v="1"/>
    <x v="5"/>
    <m/>
    <s v="10541 BofA San Francisco"/>
    <n v="-100.89"/>
    <n v="215008.21"/>
    <n v="-100.89"/>
  </r>
  <r>
    <n v="65061"/>
    <s v="Material for Rooms"/>
    <s v="07/16/2014"/>
    <s v="Expense"/>
    <m/>
    <x v="19"/>
    <x v="5"/>
    <x v="1"/>
    <x v="5"/>
    <m/>
    <s v="10541 BofA San Francisco"/>
    <n v="247.94"/>
    <n v="215275.94"/>
    <n v="247.94"/>
  </r>
  <r>
    <n v="65061"/>
    <s v="Material for Rooms"/>
    <s v="07/16/2014"/>
    <s v="Expense"/>
    <m/>
    <x v="95"/>
    <x v="5"/>
    <x v="1"/>
    <x v="5"/>
    <m/>
    <s v="10541 BofA San Francisco"/>
    <n v="30.38"/>
    <n v="216015.39"/>
    <n v="30.38"/>
  </r>
  <r>
    <n v="65061"/>
    <s v="Material for Rooms"/>
    <s v="07/16/2014"/>
    <s v="Expense"/>
    <m/>
    <x v="19"/>
    <x v="5"/>
    <x v="1"/>
    <x v="5"/>
    <m/>
    <s v="10541 BofA San Francisco"/>
    <n v="5.96"/>
    <n v="216021.35"/>
    <n v="5.96"/>
  </r>
  <r>
    <n v="65061"/>
    <s v="Material for Rooms"/>
    <s v="07/17/2014"/>
    <s v="Check"/>
    <n v="1135"/>
    <x v="121"/>
    <x v="5"/>
    <x v="1"/>
    <x v="5"/>
    <m/>
    <s v="10541 BofA San Francisco"/>
    <n v="253.46"/>
    <n v="217063.97"/>
    <n v="253.46"/>
  </r>
  <r>
    <n v="65061"/>
    <s v="Material for Rooms"/>
    <s v="07/17/2014"/>
    <s v="Expense"/>
    <m/>
    <x v="122"/>
    <x v="5"/>
    <x v="1"/>
    <x v="5"/>
    <m/>
    <s v="10541 BofA San Francisco"/>
    <n v="78.010000000000005"/>
    <n v="217141.98"/>
    <n v="78.010000000000005"/>
  </r>
  <r>
    <n v="65061"/>
    <s v="Material for Rooms"/>
    <s v="07/17/2014"/>
    <s v="Expense"/>
    <m/>
    <x v="33"/>
    <x v="5"/>
    <x v="1"/>
    <x v="5"/>
    <m/>
    <s v="10541 BofA San Francisco"/>
    <n v="29.99"/>
    <n v="217171.97"/>
    <n v="29.99"/>
  </r>
  <r>
    <n v="65061"/>
    <s v="Material for Rooms"/>
    <s v="07/17/2014"/>
    <s v="Check"/>
    <n v="1138"/>
    <x v="123"/>
    <x v="5"/>
    <x v="1"/>
    <x v="5"/>
    <m/>
    <s v="10541 BofA San Francisco"/>
    <n v="749.75"/>
    <n v="218000.54"/>
    <n v="749.75"/>
  </r>
  <r>
    <n v="65061"/>
    <s v="Material for Rooms"/>
    <s v="07/17/2014"/>
    <s v="Check"/>
    <n v="1136"/>
    <x v="124"/>
    <x v="5"/>
    <x v="1"/>
    <x v="5"/>
    <m/>
    <s v="10541 BofA San Francisco"/>
    <n v="1250.8699999999999"/>
    <n v="219272.72"/>
    <n v="1250.8699999999999"/>
  </r>
  <r>
    <n v="65061"/>
    <s v="Material for Rooms"/>
    <s v="07/18/2014"/>
    <s v="Check"/>
    <n v="1128"/>
    <x v="125"/>
    <x v="5"/>
    <x v="1"/>
    <x v="5"/>
    <m/>
    <s v="10541 BofA San Francisco"/>
    <n v="346.26"/>
    <n v="220082.92"/>
    <n v="346.26"/>
  </r>
  <r>
    <n v="65061"/>
    <s v="Material for Rooms"/>
    <s v="07/18/2014"/>
    <s v="Check"/>
    <n v="1134"/>
    <x v="126"/>
    <x v="5"/>
    <x v="1"/>
    <x v="5"/>
    <m/>
    <s v="10541 BofA San Francisco"/>
    <n v="651.98"/>
    <n v="220935.04000000001"/>
    <n v="651.98"/>
  </r>
  <r>
    <n v="65061"/>
    <s v="Material for Rooms"/>
    <s v="07/21/2014"/>
    <s v="Expense"/>
    <m/>
    <x v="127"/>
    <x v="5"/>
    <x v="1"/>
    <x v="5"/>
    <m/>
    <s v="10541 BofA San Francisco"/>
    <n v="49.98"/>
    <n v="220857.06"/>
    <n v="49.98"/>
  </r>
  <r>
    <n v="65061"/>
    <s v="Material for Rooms"/>
    <s v="07/21/2014"/>
    <s v="Check"/>
    <n v="1133"/>
    <x v="128"/>
    <x v="5"/>
    <x v="1"/>
    <x v="5"/>
    <m/>
    <s v="10541 BofA San Francisco"/>
    <n v="48.19"/>
    <n v="220905.25"/>
    <n v="48.19"/>
  </r>
  <r>
    <n v="65061"/>
    <s v="Material for Rooms"/>
    <s v="08/01/2014"/>
    <s v="Check"/>
    <n v="1131"/>
    <x v="129"/>
    <x v="5"/>
    <x v="1"/>
    <x v="5"/>
    <m/>
    <s v="10541 BofA San Francisco"/>
    <n v="80.680000000000007"/>
    <n v="234380.17"/>
    <n v="80.680000000000007"/>
  </r>
  <r>
    <n v="65061"/>
    <s v="Material for Rooms"/>
    <s v="08/08/2014"/>
    <s v="Check"/>
    <s v="dbt"/>
    <x v="33"/>
    <x v="5"/>
    <x v="1"/>
    <x v="5"/>
    <m/>
    <s v="10541 BofA San Francisco"/>
    <n v="54.49"/>
    <n v="237546.57"/>
    <n v="54.49"/>
  </r>
  <r>
    <n v="65061"/>
    <s v="Material for Rooms"/>
    <s v="08/08/2014"/>
    <s v="Check"/>
    <s v="dbt"/>
    <x v="33"/>
    <x v="5"/>
    <x v="1"/>
    <x v="5"/>
    <m/>
    <s v="10541 BofA San Francisco"/>
    <n v="150.34"/>
    <n v="237855.31"/>
    <n v="150.34"/>
  </r>
  <r>
    <n v="65061"/>
    <s v="Material for Rooms"/>
    <s v="08/08/2014"/>
    <s v="Check"/>
    <s v="dbt"/>
    <x v="33"/>
    <x v="5"/>
    <x v="1"/>
    <x v="5"/>
    <m/>
    <s v="10541 BofA San Francisco"/>
    <n v="87.19"/>
    <n v="237942.5"/>
    <n v="87.19"/>
  </r>
  <r>
    <n v="65061"/>
    <s v="Material for Rooms"/>
    <s v="08/08/2014"/>
    <s v="Check"/>
    <s v="dbt"/>
    <x v="33"/>
    <x v="5"/>
    <x v="1"/>
    <x v="5"/>
    <m/>
    <s v="10541 BofA San Francisco"/>
    <n v="80.98"/>
    <n v="238023.48"/>
    <n v="80.98"/>
  </r>
  <r>
    <n v="65061"/>
    <s v="Material for Rooms"/>
    <s v="08/08/2014"/>
    <s v="Check"/>
    <s v="dbt"/>
    <x v="33"/>
    <x v="5"/>
    <x v="1"/>
    <x v="5"/>
    <m/>
    <s v="10541 BofA San Francisco"/>
    <n v="27.98"/>
    <n v="238051.46"/>
    <n v="27.98"/>
  </r>
  <r>
    <n v="65061"/>
    <s v="Material for Rooms"/>
    <s v="08/08/2014"/>
    <s v="Check"/>
    <n v="1132"/>
    <x v="33"/>
    <x v="5"/>
    <x v="1"/>
    <x v="5"/>
    <m/>
    <s v="10541 BofA San Francisco"/>
    <n v="19.62"/>
    <n v="238222.97"/>
    <n v="19.62"/>
  </r>
  <r>
    <n v="65061"/>
    <s v="Material for Rooms"/>
    <s v="08/11/2014"/>
    <s v="Check"/>
    <s v="dbt"/>
    <x v="33"/>
    <x v="5"/>
    <x v="1"/>
    <x v="5"/>
    <m/>
    <s v="10541 BofA San Francisco"/>
    <n v="64.78"/>
    <n v="238287.75"/>
    <n v="64.78"/>
  </r>
  <r>
    <n v="65061"/>
    <s v="Material for Rooms"/>
    <s v="08/11/2014"/>
    <s v="Check"/>
    <s v="dbt"/>
    <x v="33"/>
    <x v="5"/>
    <x v="1"/>
    <x v="5"/>
    <m/>
    <s v="10541 BofA San Francisco"/>
    <n v="29.99"/>
    <n v="239464.63"/>
    <n v="29.99"/>
  </r>
  <r>
    <n v="65062"/>
    <s v="In-Kind Goods"/>
    <s v="07/10/2014"/>
    <s v="Journal Entry"/>
    <n v="666"/>
    <x v="0"/>
    <x v="5"/>
    <x v="1"/>
    <x v="10"/>
    <s v="3 twin mattresses for Tre's room"/>
    <s v="-Split-"/>
    <n v="1646"/>
    <n v="38114.53"/>
    <n v="1646"/>
  </r>
  <r>
    <n v="65062"/>
    <s v="In-Kind Goods"/>
    <s v="07/10/2014"/>
    <s v="Journal Entry"/>
    <n v="666"/>
    <x v="0"/>
    <x v="5"/>
    <x v="1"/>
    <x v="10"/>
    <s v="electrical items for Tre's room"/>
    <s v="-Split-"/>
    <n v="180"/>
    <n v="38294.53"/>
    <n v="180"/>
  </r>
  <r>
    <n v="65062"/>
    <s v="In-Kind Goods"/>
    <s v="07/10/2014"/>
    <s v="Journal Entry"/>
    <n v="666"/>
    <x v="0"/>
    <x v="5"/>
    <x v="1"/>
    <x v="10"/>
    <s v="Sound system for Tre's room"/>
    <s v="-Split-"/>
    <n v="250"/>
    <n v="38544.53"/>
    <n v="250"/>
  </r>
  <r>
    <n v="65062"/>
    <s v="In-Kind Goods"/>
    <s v="07/10/2014"/>
    <s v="Journal Entry"/>
    <n v="666"/>
    <x v="0"/>
    <x v="5"/>
    <x v="1"/>
    <x v="10"/>
    <s v="tv installation"/>
    <s v="-Split-"/>
    <n v="195"/>
    <n v="21925.5"/>
    <n v="195"/>
  </r>
  <r>
    <n v="65062"/>
    <s v="In-Kind Goods"/>
    <s v="07/10/2014"/>
    <s v="Journal Entry"/>
    <n v="666"/>
    <x v="0"/>
    <x v="5"/>
    <x v="1"/>
    <x v="10"/>
    <s v="wall mural for Tre's room"/>
    <s v="-Split-"/>
    <n v="190"/>
    <n v="22115.5"/>
    <n v="190"/>
  </r>
  <r>
    <n v="43400"/>
    <s v="Direct Public Support"/>
    <s v="03/31/2014"/>
    <s v="Deposit"/>
    <m/>
    <x v="3"/>
    <x v="10"/>
    <x v="0"/>
    <x v="1"/>
    <m/>
    <s v="10211 *US Bank-Ohio Restriced 4603:Columbus Restricted"/>
    <n v="46.19"/>
    <n v="106526.64"/>
    <n v="-46.19"/>
  </r>
  <r>
    <n v="43400"/>
    <s v="Direct Public Support"/>
    <s v="04/23/2014"/>
    <s v="Deposit"/>
    <m/>
    <x v="3"/>
    <x v="10"/>
    <x v="0"/>
    <x v="1"/>
    <m/>
    <s v="10211 *US Bank-Ohio Restriced 4603:Columbus Restricted"/>
    <n v="1739.75"/>
    <n v="117757.97"/>
    <n v="-1739.75"/>
  </r>
  <r>
    <n v="43430"/>
    <s v="Gifts in kind - Services"/>
    <s v="03/08/2014"/>
    <s v="Journal Entry"/>
    <n v="478"/>
    <x v="0"/>
    <x v="6"/>
    <x v="3"/>
    <x v="8"/>
    <s v="photographer"/>
    <s v="-Split-"/>
    <n v="200"/>
    <n v="10827"/>
    <n v="-200"/>
  </r>
  <r>
    <n v="43430"/>
    <s v="Gifts in kind - Services"/>
    <s v="03/08/2014"/>
    <s v="Journal Entry"/>
    <n v="478"/>
    <x v="0"/>
    <x v="6"/>
    <x v="3"/>
    <x v="8"/>
    <s v="muralist"/>
    <s v="-Split-"/>
    <n v="400"/>
    <n v="11227"/>
    <n v="-400"/>
  </r>
  <r>
    <n v="43440"/>
    <s v="Gifts in Kind - Goods"/>
    <s v="03/08/2014"/>
    <s v="Journal Entry"/>
    <n v="478"/>
    <x v="0"/>
    <x v="6"/>
    <x v="3"/>
    <x v="9"/>
    <s v="lumber and paint"/>
    <s v="-Split-"/>
    <n v="350"/>
    <n v="13688.56"/>
    <n v="-350"/>
  </r>
  <r>
    <n v="65025"/>
    <s v="Bank Service Charges"/>
    <s v="02/03/2014"/>
    <s v="Check"/>
    <m/>
    <x v="92"/>
    <x v="6"/>
    <x v="1"/>
    <x v="14"/>
    <m/>
    <s v="10486 BofA Chattanooga"/>
    <n v="15"/>
    <n v="358.2"/>
    <n v="15"/>
  </r>
  <r>
    <n v="65040"/>
    <s v="Supplies"/>
    <s v="03/06/2014"/>
    <s v="Check"/>
    <m/>
    <x v="9"/>
    <x v="6"/>
    <x v="1"/>
    <x v="4"/>
    <m/>
    <s v="10486 BofA Chattanooga"/>
    <n v="36.590000000000003"/>
    <n v="912.37"/>
    <n v="36.590000000000003"/>
  </r>
  <r>
    <n v="65061"/>
    <s v="Material for Rooms Expense"/>
    <s v="02/07/2014"/>
    <s v="Check"/>
    <m/>
    <x v="28"/>
    <x v="6"/>
    <x v="1"/>
    <x v="5"/>
    <m/>
    <s v="10486 BofA Chattanooga"/>
    <n v="69.959999999999994"/>
    <n v="32678.06"/>
    <n v="69.959999999999994"/>
  </r>
  <r>
    <n v="65061"/>
    <s v="Material for Rooms Expense"/>
    <s v="02/26/2014"/>
    <s v="Check"/>
    <m/>
    <x v="130"/>
    <x v="6"/>
    <x v="1"/>
    <x v="5"/>
    <m/>
    <s v="10486 BofA Chattanooga"/>
    <n v="218.5"/>
    <n v="54917.83"/>
    <n v="218.5"/>
  </r>
  <r>
    <n v="65061"/>
    <s v="Material for Rooms Expense"/>
    <s v="02/27/2014"/>
    <s v="Check"/>
    <m/>
    <x v="19"/>
    <x v="6"/>
    <x v="1"/>
    <x v="5"/>
    <m/>
    <s v="10486 BofA Chattanooga"/>
    <n v="38.49"/>
    <n v="56455.17"/>
    <n v="38.49"/>
  </r>
  <r>
    <n v="65061"/>
    <s v="Material for Rooms Expense"/>
    <s v="03/03/2014"/>
    <s v="Check"/>
    <m/>
    <x v="29"/>
    <x v="6"/>
    <x v="1"/>
    <x v="5"/>
    <m/>
    <s v="10486 BofA Chattanooga"/>
    <n v="27.83"/>
    <n v="61123.19"/>
    <n v="27.83"/>
  </r>
  <r>
    <n v="65061"/>
    <s v="Material for Rooms Expense"/>
    <s v="03/04/2014"/>
    <s v="Check"/>
    <m/>
    <x v="28"/>
    <x v="6"/>
    <x v="1"/>
    <x v="5"/>
    <m/>
    <s v="10486 BofA Chattanooga"/>
    <n v="53.38"/>
    <n v="61414.31"/>
    <n v="53.38"/>
  </r>
  <r>
    <n v="65061"/>
    <s v="Material for Rooms Expense"/>
    <s v="03/04/2014"/>
    <s v="Check"/>
    <m/>
    <x v="131"/>
    <x v="6"/>
    <x v="1"/>
    <x v="5"/>
    <m/>
    <s v="10486 BofA Chattanooga"/>
    <n v="199.99"/>
    <n v="61763.7"/>
    <n v="199.99"/>
  </r>
  <r>
    <n v="65061"/>
    <s v="Material for Rooms Expense"/>
    <s v="03/04/2014"/>
    <s v="Check"/>
    <m/>
    <x v="29"/>
    <x v="6"/>
    <x v="1"/>
    <x v="5"/>
    <m/>
    <s v="10486 BofA Chattanooga"/>
    <n v="92.74"/>
    <n v="61856.44"/>
    <n v="92.74"/>
  </r>
  <r>
    <n v="65061"/>
    <s v="Material for Rooms Expense"/>
    <s v="03/04/2014"/>
    <s v="Check"/>
    <m/>
    <x v="16"/>
    <x v="6"/>
    <x v="1"/>
    <x v="5"/>
    <m/>
    <s v="10486 BofA Chattanooga"/>
    <n v="22.88"/>
    <n v="61879.32"/>
    <n v="22.88"/>
  </r>
  <r>
    <n v="65061"/>
    <s v="Material for Rooms Expense"/>
    <s v="03/06/2014"/>
    <s v="Check"/>
    <m/>
    <x v="29"/>
    <x v="6"/>
    <x v="1"/>
    <x v="5"/>
    <m/>
    <s v="10486 BofA Chattanooga"/>
    <n v="35.76"/>
    <n v="64928.76"/>
    <n v="35.76"/>
  </r>
  <r>
    <n v="65061"/>
    <s v="Material for Rooms Expense"/>
    <s v="03/07/2014"/>
    <s v="Check"/>
    <m/>
    <x v="16"/>
    <x v="6"/>
    <x v="1"/>
    <x v="5"/>
    <m/>
    <s v="10486 BofA Chattanooga"/>
    <n v="36.99"/>
    <n v="65203.98"/>
    <n v="36.99"/>
  </r>
  <r>
    <n v="65061"/>
    <s v="Material for Rooms Expense"/>
    <s v="03/07/2014"/>
    <s v="Check"/>
    <m/>
    <x v="29"/>
    <x v="6"/>
    <x v="1"/>
    <x v="5"/>
    <m/>
    <s v="10486 BofA Chattanooga"/>
    <n v="76.41"/>
    <n v="65438.19"/>
    <n v="76.41"/>
  </r>
  <r>
    <n v="65061"/>
    <s v="Material for Rooms Expense"/>
    <s v="03/07/2014"/>
    <s v="Check"/>
    <m/>
    <x v="19"/>
    <x v="6"/>
    <x v="1"/>
    <x v="5"/>
    <m/>
    <s v="10486 BofA Chattanooga"/>
    <n v="195.74"/>
    <n v="65633.929999999993"/>
    <n v="195.74"/>
  </r>
  <r>
    <n v="65061"/>
    <s v="Material for Rooms Expense"/>
    <s v="03/10/2014"/>
    <s v="Check"/>
    <m/>
    <x v="132"/>
    <x v="6"/>
    <x v="1"/>
    <x v="5"/>
    <m/>
    <s v="10486 BofA Chattanooga"/>
    <n v="45.41"/>
    <n v="67013.47"/>
    <n v="45.41"/>
  </r>
  <r>
    <n v="65061"/>
    <s v="Material for Rooms Expense"/>
    <s v="03/10/2014"/>
    <s v="Check"/>
    <m/>
    <x v="19"/>
    <x v="6"/>
    <x v="1"/>
    <x v="5"/>
    <m/>
    <s v="10486 BofA Chattanooga"/>
    <n v="115.86"/>
    <n v="67096.67"/>
    <n v="115.86"/>
  </r>
  <r>
    <n v="65061"/>
    <s v="Material for Rooms Expense"/>
    <s v="03/10/2014"/>
    <s v="Check"/>
    <m/>
    <x v="19"/>
    <x v="6"/>
    <x v="1"/>
    <x v="5"/>
    <m/>
    <s v="10486 BofA Chattanooga"/>
    <n v="211.34"/>
    <n v="67308.009999999995"/>
    <n v="211.34"/>
  </r>
  <r>
    <n v="65061"/>
    <s v="Material for Rooms Expense"/>
    <s v="03/10/2014"/>
    <s v="Check"/>
    <m/>
    <x v="133"/>
    <x v="6"/>
    <x v="1"/>
    <x v="5"/>
    <m/>
    <s v="10486 BofA Chattanooga"/>
    <n v="36.22"/>
    <n v="67725.13"/>
    <n v="36.22"/>
  </r>
  <r>
    <n v="65061"/>
    <s v="Material for Rooms Expense"/>
    <s v="03/19/2014"/>
    <s v="Deposit"/>
    <m/>
    <x v="28"/>
    <x v="6"/>
    <x v="1"/>
    <x v="5"/>
    <m/>
    <s v="10486 BofA Chattanooga"/>
    <n v="-17.98"/>
    <n v="73001.289999999994"/>
    <n v="-17.98"/>
  </r>
  <r>
    <n v="65061"/>
    <s v="Material for Rooms Expense"/>
    <s v="03/19/2014"/>
    <s v="Deposit"/>
    <m/>
    <x v="29"/>
    <x v="6"/>
    <x v="1"/>
    <x v="5"/>
    <m/>
    <s v="10486 BofA Chattanooga"/>
    <n v="-38.200000000000003"/>
    <n v="72963.09"/>
    <n v="-38.200000000000003"/>
  </r>
  <r>
    <n v="65061"/>
    <s v="Material for Rooms Expense"/>
    <s v="03/20/2014"/>
    <s v="Deposit"/>
    <m/>
    <x v="16"/>
    <x v="6"/>
    <x v="1"/>
    <x v="5"/>
    <m/>
    <s v="10486 BofA Chattanooga"/>
    <n v="-23.97"/>
    <n v="74262.759999999995"/>
    <n v="-23.97"/>
  </r>
  <r>
    <n v="65061"/>
    <s v="Material for Rooms Expense"/>
    <s v="03/21/2014"/>
    <s v="Deposit"/>
    <m/>
    <x v="19"/>
    <x v="6"/>
    <x v="1"/>
    <x v="5"/>
    <m/>
    <s v="10486 BofA Chattanooga"/>
    <n v="-103.77"/>
    <n v="74908.84"/>
    <n v="-103.77"/>
  </r>
  <r>
    <n v="65061"/>
    <s v="Material for Rooms Expense"/>
    <s v="03/21/2014"/>
    <s v="Deposit"/>
    <m/>
    <x v="114"/>
    <x v="6"/>
    <x v="1"/>
    <x v="5"/>
    <m/>
    <s v="10486 BofA Chattanooga"/>
    <n v="-32.76"/>
    <n v="74876.08"/>
    <n v="-32.76"/>
  </r>
  <r>
    <n v="65061"/>
    <s v="Material for Rooms Expense"/>
    <s v="04/01/2014"/>
    <s v="Check"/>
    <m/>
    <x v="14"/>
    <x v="6"/>
    <x v="1"/>
    <x v="5"/>
    <m/>
    <s v="10486 BofA Chattanooga"/>
    <n v="504.95"/>
    <n v="83158.490000000005"/>
    <n v="504.95"/>
  </r>
  <r>
    <n v="65061"/>
    <s v="Material for Rooms Expense"/>
    <s v="04/01/2014"/>
    <s v="Check"/>
    <m/>
    <x v="14"/>
    <x v="6"/>
    <x v="1"/>
    <x v="5"/>
    <m/>
    <s v="10486 BofA Chattanooga"/>
    <n v="504.95"/>
    <n v="84095.66"/>
    <n v="504.95"/>
  </r>
  <r>
    <n v="65061"/>
    <s v="Material for Rooms Expense"/>
    <s v="04/02/2014"/>
    <s v="Check"/>
    <m/>
    <x v="14"/>
    <x v="6"/>
    <x v="1"/>
    <x v="5"/>
    <m/>
    <s v="10486 BofA Chattanooga"/>
    <n v="504.95"/>
    <n v="84781.58"/>
    <n v="504.95"/>
  </r>
  <r>
    <n v="65061"/>
    <s v="Material for Rooms Expense"/>
    <s v="04/07/2014"/>
    <s v="Check"/>
    <n v="1010"/>
    <x v="134"/>
    <x v="6"/>
    <x v="1"/>
    <x v="5"/>
    <m/>
    <s v="10486 BofA Chattanooga"/>
    <n v="175.41"/>
    <n v="86931.14"/>
    <n v="175.41"/>
  </r>
  <r>
    <n v="65061"/>
    <s v="Material for Rooms Expense"/>
    <s v="04/07/2014"/>
    <s v="Check"/>
    <n v="1011"/>
    <x v="134"/>
    <x v="6"/>
    <x v="1"/>
    <x v="5"/>
    <m/>
    <s v="10486 BofA Chattanooga"/>
    <n v="259.68"/>
    <n v="87190.82"/>
    <n v="259.68"/>
  </r>
  <r>
    <n v="65061"/>
    <s v="Material for Rooms Expense"/>
    <s v="04/07/2014"/>
    <s v="Check"/>
    <n v="1012"/>
    <x v="134"/>
    <x v="6"/>
    <x v="1"/>
    <x v="5"/>
    <m/>
    <s v="10486 BofA Chattanooga"/>
    <n v="192.91"/>
    <n v="87383.73"/>
    <n v="192.91"/>
  </r>
  <r>
    <n v="65061"/>
    <s v="Material for Rooms Expense"/>
    <s v="04/08/2014"/>
    <s v="Check"/>
    <m/>
    <x v="135"/>
    <x v="6"/>
    <x v="1"/>
    <x v="5"/>
    <m/>
    <s v="10486 BofA Chattanooga"/>
    <n v="21.8"/>
    <n v="89481.03"/>
    <n v="21.8"/>
  </r>
  <r>
    <n v="65061"/>
    <s v="Material for Rooms Expense"/>
    <s v="04/08/2014"/>
    <s v="Check"/>
    <m/>
    <x v="39"/>
    <x v="6"/>
    <x v="1"/>
    <x v="5"/>
    <m/>
    <s v="10486 BofA Chattanooga"/>
    <n v="27.3"/>
    <n v="89508.33"/>
    <n v="27.3"/>
  </r>
  <r>
    <n v="65061"/>
    <s v="Material for Rooms Expense"/>
    <s v="04/10/2014"/>
    <s v="Check"/>
    <m/>
    <x v="33"/>
    <x v="6"/>
    <x v="1"/>
    <x v="5"/>
    <m/>
    <s v="10486 BofA Chattanooga"/>
    <n v="88.48"/>
    <n v="90773.54"/>
    <n v="88.48"/>
  </r>
  <r>
    <n v="65061"/>
    <s v="Material for Rooms Expense"/>
    <s v="04/14/2014"/>
    <s v="Check"/>
    <m/>
    <x v="33"/>
    <x v="6"/>
    <x v="1"/>
    <x v="5"/>
    <m/>
    <s v="10486 BofA Chattanooga"/>
    <n v="33.1"/>
    <n v="92621.92"/>
    <n v="33.1"/>
  </r>
  <r>
    <n v="65061"/>
    <s v="Material for Rooms Expense"/>
    <s v="04/18/2014"/>
    <s v="Check"/>
    <m/>
    <x v="136"/>
    <x v="6"/>
    <x v="1"/>
    <x v="5"/>
    <m/>
    <s v="10486 BofA Chattanooga"/>
    <n v="134.97999999999999"/>
    <n v="98640.54"/>
    <n v="134.97999999999999"/>
  </r>
  <r>
    <n v="65061"/>
    <s v="Material for Rooms Expense"/>
    <s v="04/18/2014"/>
    <s v="Check"/>
    <m/>
    <x v="33"/>
    <x v="6"/>
    <x v="1"/>
    <x v="5"/>
    <m/>
    <s v="10486 BofA Chattanooga"/>
    <n v="111.98"/>
    <n v="98752.52"/>
    <n v="111.98"/>
  </r>
  <r>
    <n v="65061"/>
    <s v="Material for Rooms Expense"/>
    <s v="04/18/2014"/>
    <s v="Check"/>
    <m/>
    <x v="137"/>
    <x v="6"/>
    <x v="1"/>
    <x v="5"/>
    <m/>
    <s v="10486 BofA Chattanooga"/>
    <n v="300"/>
    <n v="99397.22"/>
    <n v="300"/>
  </r>
  <r>
    <n v="65061"/>
    <s v="Material for Rooms Expense"/>
    <s v="04/22/2014"/>
    <s v="Check"/>
    <m/>
    <x v="41"/>
    <x v="6"/>
    <x v="1"/>
    <x v="5"/>
    <m/>
    <s v="10486 BofA Chattanooga"/>
    <n v="147.85"/>
    <n v="101841.79"/>
    <n v="147.85"/>
  </r>
  <r>
    <n v="65061"/>
    <s v="Material for Rooms Expense"/>
    <s v="04/29/2014"/>
    <s v="Check"/>
    <m/>
    <x v="41"/>
    <x v="6"/>
    <x v="1"/>
    <x v="5"/>
    <m/>
    <s v="10486 BofA Chattanooga"/>
    <n v="22.93"/>
    <n v="108652.37"/>
    <n v="22.93"/>
  </r>
  <r>
    <n v="65061"/>
    <s v="Material for Rooms Expense"/>
    <s v="05/02/2014"/>
    <s v="Expense"/>
    <m/>
    <x v="23"/>
    <x v="6"/>
    <x v="1"/>
    <x v="5"/>
    <m/>
    <s v="10486 BofA Chattanooga"/>
    <n v="459.98"/>
    <n v="115869.71"/>
    <n v="459.98"/>
  </r>
  <r>
    <n v="65061"/>
    <s v="Material for Rooms Expense"/>
    <s v="05/09/2014"/>
    <s v="Expense"/>
    <m/>
    <x v="138"/>
    <x v="6"/>
    <x v="1"/>
    <x v="5"/>
    <m/>
    <s v="10486 BofA Chattanooga"/>
    <n v="166.94"/>
    <n v="125646.89"/>
    <n v="166.94"/>
  </r>
  <r>
    <n v="65061"/>
    <s v="Material for Rooms Expense"/>
    <s v="05/12/2014"/>
    <s v="Expense"/>
    <m/>
    <x v="28"/>
    <x v="6"/>
    <x v="1"/>
    <x v="5"/>
    <m/>
    <s v="10486 BofA Chattanooga"/>
    <n v="99.68"/>
    <n v="129488.59"/>
    <n v="99.68"/>
  </r>
  <r>
    <n v="65061"/>
    <s v="Material for Rooms Expense"/>
    <s v="05/12/2014"/>
    <s v="Expense"/>
    <m/>
    <x v="139"/>
    <x v="6"/>
    <x v="1"/>
    <x v="5"/>
    <m/>
    <s v="10486 BofA Chattanooga"/>
    <n v="38.229999999999997"/>
    <n v="129526.82"/>
    <n v="38.229999999999997"/>
  </r>
  <r>
    <n v="65061"/>
    <s v="Material for Rooms Expense"/>
    <s v="05/13/2014"/>
    <s v="Expense"/>
    <m/>
    <x v="140"/>
    <x v="6"/>
    <x v="1"/>
    <x v="5"/>
    <m/>
    <s v="10486 BofA Chattanooga"/>
    <n v="15.26"/>
    <n v="132216.6"/>
    <n v="15.26"/>
  </r>
  <r>
    <n v="65061"/>
    <s v="Material for Rooms Expense"/>
    <s v="05/14/2014"/>
    <s v="Expense"/>
    <m/>
    <x v="33"/>
    <x v="6"/>
    <x v="1"/>
    <x v="5"/>
    <m/>
    <s v="10486 BofA Chattanooga"/>
    <n v="30.74"/>
    <n v="132350.99"/>
    <n v="30.74"/>
  </r>
  <r>
    <n v="65061"/>
    <s v="Material for Rooms Expense"/>
    <s v="05/16/2014"/>
    <s v="Expense"/>
    <m/>
    <x v="16"/>
    <x v="6"/>
    <x v="1"/>
    <x v="5"/>
    <m/>
    <s v="10486 BofA Chattanooga"/>
    <n v="32.82"/>
    <n v="136145.62"/>
    <n v="32.82"/>
  </r>
  <r>
    <n v="65061"/>
    <s v="Material for Rooms Expense"/>
    <s v="05/16/2014"/>
    <s v="Expense"/>
    <m/>
    <x v="28"/>
    <x v="6"/>
    <x v="1"/>
    <x v="5"/>
    <m/>
    <s v="10486 BofA Chattanooga"/>
    <n v="23.3"/>
    <n v="136168.92000000001"/>
    <n v="23.3"/>
  </r>
  <r>
    <n v="65061"/>
    <s v="Material for Rooms Expense"/>
    <s v="05/16/2014"/>
    <s v="Expense"/>
    <m/>
    <x v="29"/>
    <x v="6"/>
    <x v="1"/>
    <x v="5"/>
    <m/>
    <s v="10486 BofA Chattanooga"/>
    <n v="30.05"/>
    <n v="136198.97"/>
    <n v="30.05"/>
  </r>
  <r>
    <n v="65061"/>
    <s v="Material for Rooms Expense"/>
    <s v="05/19/2014"/>
    <s v="Expense"/>
    <m/>
    <x v="19"/>
    <x v="6"/>
    <x v="1"/>
    <x v="5"/>
    <m/>
    <s v="10486 BofA Chattanooga"/>
    <n v="49.17"/>
    <n v="136892.71"/>
    <n v="49.17"/>
  </r>
  <r>
    <n v="65061"/>
    <s v="Material for Rooms Expense"/>
    <s v="05/19/2014"/>
    <s v="Deposit"/>
    <m/>
    <x v="28"/>
    <x v="6"/>
    <x v="1"/>
    <x v="5"/>
    <m/>
    <s v="10486 BofA Chattanooga"/>
    <n v="-20.98"/>
    <n v="141044.46"/>
    <n v="-20.98"/>
  </r>
  <r>
    <n v="65061"/>
    <s v="Material for Rooms Expense"/>
    <s v="05/28/2014"/>
    <s v="Expense"/>
    <m/>
    <x v="39"/>
    <x v="6"/>
    <x v="1"/>
    <x v="5"/>
    <m/>
    <s v="10486 BofA Chattanooga"/>
    <n v="28.38"/>
    <n v="145916.32999999999"/>
    <n v="28.38"/>
  </r>
  <r>
    <n v="65061"/>
    <s v="Material for Rooms Expense"/>
    <s v="05/28/2014"/>
    <s v="Expense"/>
    <m/>
    <x v="16"/>
    <x v="6"/>
    <x v="1"/>
    <x v="5"/>
    <m/>
    <s v="10486 BofA Chattanooga"/>
    <n v="38.200000000000003"/>
    <n v="146091.59"/>
    <n v="38.200000000000003"/>
  </r>
  <r>
    <n v="65061"/>
    <s v="Material for Rooms Expense"/>
    <s v="06/02/2014"/>
    <s v="Expense"/>
    <m/>
    <x v="141"/>
    <x v="6"/>
    <x v="1"/>
    <x v="5"/>
    <m/>
    <s v="10486 BofA Chattanooga"/>
    <n v="131.07"/>
    <n v="149145.31"/>
    <n v="131.07"/>
  </r>
  <r>
    <n v="65061"/>
    <s v="Material for Rooms Expense"/>
    <s v="06/02/2014"/>
    <s v="Expense"/>
    <m/>
    <x v="56"/>
    <x v="6"/>
    <x v="1"/>
    <x v="5"/>
    <m/>
    <s v="10486 BofA Chattanooga"/>
    <n v="65.52"/>
    <n v="149210.82999999999"/>
    <n v="65.52"/>
  </r>
  <r>
    <n v="65061"/>
    <s v="Material for Rooms Expense"/>
    <s v="06/02/2014"/>
    <s v="Expense"/>
    <m/>
    <x v="39"/>
    <x v="6"/>
    <x v="1"/>
    <x v="5"/>
    <m/>
    <s v="10486 BofA Chattanooga"/>
    <n v="49.14"/>
    <n v="149259.97"/>
    <n v="49.14"/>
  </r>
  <r>
    <n v="65061"/>
    <s v="Material for Rooms Expense"/>
    <s v="06/03/2014"/>
    <s v="Expense"/>
    <m/>
    <x v="16"/>
    <x v="6"/>
    <x v="1"/>
    <x v="5"/>
    <m/>
    <s v="10486 BofA Chattanooga"/>
    <n v="46.42"/>
    <n v="151249.66"/>
    <n v="46.42"/>
  </r>
  <r>
    <n v="65061"/>
    <s v="Material for Rooms Expense"/>
    <s v="06/04/2014"/>
    <s v="Expense"/>
    <m/>
    <x v="28"/>
    <x v="6"/>
    <x v="1"/>
    <x v="5"/>
    <m/>
    <s v="10486 BofA Chattanooga"/>
    <n v="105.64"/>
    <n v="152468.24"/>
    <n v="105.64"/>
  </r>
  <r>
    <n v="65061"/>
    <s v="Material for Rooms Expense"/>
    <s v="06/04/2014"/>
    <s v="Expense"/>
    <m/>
    <x v="142"/>
    <x v="6"/>
    <x v="1"/>
    <x v="5"/>
    <m/>
    <s v="10486 BofA Chattanooga"/>
    <n v="65.510000000000005"/>
    <n v="152533.75"/>
    <n v="65.510000000000005"/>
  </r>
  <r>
    <n v="65061"/>
    <s v="Material for Rooms Expense"/>
    <s v="06/04/2014"/>
    <s v="Expense"/>
    <m/>
    <x v="139"/>
    <x v="6"/>
    <x v="1"/>
    <x v="5"/>
    <m/>
    <s v="10486 BofA Chattanooga"/>
    <n v="194.41"/>
    <n v="154273.21"/>
    <n v="194.41"/>
  </r>
  <r>
    <n v="65061"/>
    <s v="Material for Rooms Expense"/>
    <s v="06/04/2014"/>
    <s v="Expense"/>
    <m/>
    <x v="19"/>
    <x v="6"/>
    <x v="1"/>
    <x v="5"/>
    <m/>
    <s v="10486 BofA Chattanooga"/>
    <n v="363.98"/>
    <n v="154637.19"/>
    <n v="363.98"/>
  </r>
  <r>
    <n v="65061"/>
    <s v="Material for Rooms Expense"/>
    <s v="06/05/2014"/>
    <s v="Expense"/>
    <m/>
    <x v="143"/>
    <x v="6"/>
    <x v="1"/>
    <x v="5"/>
    <m/>
    <s v="10486 BofA Chattanooga"/>
    <n v="238"/>
    <n v="155302.76999999999"/>
    <n v="238"/>
  </r>
  <r>
    <n v="65061"/>
    <s v="Material for Rooms Expense"/>
    <s v="06/05/2014"/>
    <s v="Expense"/>
    <m/>
    <x v="19"/>
    <x v="6"/>
    <x v="1"/>
    <x v="5"/>
    <m/>
    <s v="10486 BofA Chattanooga"/>
    <n v="36.31"/>
    <n v="155339.07999999999"/>
    <n v="36.31"/>
  </r>
  <r>
    <n v="65061"/>
    <s v="Material for Rooms Expense"/>
    <s v="06/05/2014"/>
    <s v="Expense"/>
    <m/>
    <x v="29"/>
    <x v="6"/>
    <x v="1"/>
    <x v="5"/>
    <m/>
    <s v="10486 BofA Chattanooga"/>
    <n v="162.66999999999999"/>
    <n v="155501.75"/>
    <n v="162.66999999999999"/>
  </r>
  <r>
    <n v="65061"/>
    <s v="Material for Rooms Expense"/>
    <s v="06/06/2014"/>
    <s v="Expense"/>
    <m/>
    <x v="16"/>
    <x v="6"/>
    <x v="1"/>
    <x v="5"/>
    <m/>
    <s v="10486 BofA Chattanooga"/>
    <n v="25.45"/>
    <n v="156169.78"/>
    <n v="25.45"/>
  </r>
  <r>
    <n v="65061"/>
    <s v="Material for Rooms Expense"/>
    <s v="06/09/2014"/>
    <s v="Expense"/>
    <m/>
    <x v="29"/>
    <x v="6"/>
    <x v="1"/>
    <x v="5"/>
    <m/>
    <s v="10486 BofA Chattanooga"/>
    <n v="73.16"/>
    <n v="164987.87"/>
    <n v="73.16"/>
  </r>
  <r>
    <n v="65061"/>
    <s v="Material for Rooms Expense"/>
    <s v="06/20/2014"/>
    <s v="Expense"/>
    <m/>
    <x v="28"/>
    <x v="6"/>
    <x v="1"/>
    <x v="5"/>
    <m/>
    <s v="10486 BofA Chattanooga"/>
    <n v="95.35"/>
    <n v="181210.63"/>
    <n v="95.35"/>
  </r>
  <r>
    <n v="65061"/>
    <s v="Material for Rooms Expense"/>
    <s v="06/23/2014"/>
    <s v="Deposit"/>
    <m/>
    <x v="39"/>
    <x v="6"/>
    <x v="1"/>
    <x v="5"/>
    <m/>
    <s v="10486 BofA Chattanooga"/>
    <n v="-14.19"/>
    <n v="181795.89"/>
    <n v="-14.19"/>
  </r>
  <r>
    <n v="65061"/>
    <s v="Material for Rooms Expense"/>
    <s v="06/24/2014"/>
    <s v="Deposit"/>
    <m/>
    <x v="29"/>
    <x v="6"/>
    <x v="1"/>
    <x v="5"/>
    <m/>
    <s v="10486 BofA Chattanooga"/>
    <n v="-43.62"/>
    <n v="184933.26"/>
    <n v="-43.62"/>
  </r>
  <r>
    <n v="65061"/>
    <s v="Material for Rooms Expense"/>
    <s v="06/24/2014"/>
    <s v="Deposit"/>
    <m/>
    <x v="139"/>
    <x v="6"/>
    <x v="1"/>
    <x v="5"/>
    <m/>
    <s v="10486 BofA Chattanooga"/>
    <n v="-65.540000000000006"/>
    <n v="184867.72"/>
    <n v="-65.540000000000006"/>
  </r>
  <r>
    <n v="65061"/>
    <s v="Material for Rooms Expense"/>
    <s v="06/26/2014"/>
    <s v="Deposit"/>
    <m/>
    <x v="19"/>
    <x v="6"/>
    <x v="1"/>
    <x v="5"/>
    <m/>
    <s v="10486 BofA Chattanooga"/>
    <n v="-36.31"/>
    <n v="188292.53"/>
    <n v="-36.31"/>
  </r>
  <r>
    <n v="65061"/>
    <s v="Material for Rooms Expense"/>
    <s v="06/26/2014"/>
    <s v="Deposit"/>
    <m/>
    <x v="19"/>
    <x v="6"/>
    <x v="1"/>
    <x v="5"/>
    <m/>
    <s v="10486 BofA Chattanooga"/>
    <n v="-36.31"/>
    <n v="188256.22"/>
    <n v="-36.31"/>
  </r>
  <r>
    <n v="65062"/>
    <s v="In-Kind Goods"/>
    <s v="03/08/2014"/>
    <s v="Journal Entry"/>
    <n v="478"/>
    <x v="0"/>
    <x v="6"/>
    <x v="1"/>
    <x v="10"/>
    <s v="lumber and paint Danis room"/>
    <s v="-Split-"/>
    <n v="350"/>
    <n v="13688.56"/>
    <n v="350"/>
  </r>
  <r>
    <n v="65063"/>
    <s v="In-Kind Services"/>
    <s v="03/08/2014"/>
    <s v="Journal Entry"/>
    <n v="478"/>
    <x v="0"/>
    <x v="6"/>
    <x v="1"/>
    <x v="11"/>
    <s v="muralist Danis room"/>
    <s v="-Split-"/>
    <n v="400"/>
    <n v="11027"/>
    <n v="400"/>
  </r>
  <r>
    <n v="65063"/>
    <s v="In-Kind Services"/>
    <s v="03/08/2014"/>
    <s v="Journal Entry"/>
    <n v="478"/>
    <x v="0"/>
    <x v="6"/>
    <x v="1"/>
    <x v="11"/>
    <s v="photographer Danis room"/>
    <s v="-Split-"/>
    <n v="200"/>
    <n v="11227"/>
    <n v="200"/>
  </r>
  <r>
    <n v="43400"/>
    <s v="Direct Public Support"/>
    <s v="01/06/2014"/>
    <s v="Deposit"/>
    <m/>
    <x v="3"/>
    <x v="11"/>
    <x v="0"/>
    <x v="1"/>
    <m/>
    <s v="10145 BofA Restricted Funds -055:Dallas, Texas 8389"/>
    <n v="1051.5999999999999"/>
    <n v="-33154.89"/>
    <n v="-1051.5999999999999"/>
  </r>
  <r>
    <n v="43400"/>
    <s v="Direct Public Support"/>
    <s v="01/06/2014"/>
    <s v="Journal Entry"/>
    <n v="364"/>
    <x v="0"/>
    <x v="11"/>
    <x v="0"/>
    <x v="1"/>
    <s v="BoA correction on deposit of 1/06"/>
    <s v="-Split-"/>
    <n v="100"/>
    <n v="-33054.89"/>
    <n v="-100"/>
  </r>
  <r>
    <n v="43400"/>
    <s v="Direct Public Support"/>
    <s v="03/11/2014"/>
    <s v="Deposit"/>
    <m/>
    <x v="3"/>
    <x v="11"/>
    <x v="0"/>
    <x v="1"/>
    <m/>
    <s v="10145 BofA Restricted Funds -055:Dallas, Texas 8389"/>
    <n v="742.04"/>
    <n v="89971.25"/>
    <n v="-742.04"/>
  </r>
  <r>
    <n v="43400"/>
    <s v="Direct Public Support"/>
    <s v="04/21/2014"/>
    <s v="Journal Entry"/>
    <n v="508"/>
    <x v="0"/>
    <x v="11"/>
    <x v="0"/>
    <x v="1"/>
    <s v="paypal deposit"/>
    <s v="-Split-"/>
    <n v="100"/>
    <n v="115239.26"/>
    <n v="-100"/>
  </r>
  <r>
    <n v="43400"/>
    <s v="Direct Public Support"/>
    <s v="05/13/2014"/>
    <s v="Journal Entry"/>
    <n v="524"/>
    <x v="0"/>
    <x v="11"/>
    <x v="0"/>
    <x v="1"/>
    <s v="paypal"/>
    <s v="-Split-"/>
    <n v="705"/>
    <n v="158633.07999999999"/>
    <n v="-705"/>
  </r>
  <r>
    <n v="43400"/>
    <s v="Direct Public Support"/>
    <s v="06/05/2014"/>
    <s v="Journal Entry"/>
    <n v="564"/>
    <x v="0"/>
    <x v="11"/>
    <x v="0"/>
    <x v="1"/>
    <s v="paypal"/>
    <s v="-Split-"/>
    <n v="785"/>
    <n v="189548.61"/>
    <n v="-785"/>
  </r>
  <r>
    <n v="43400"/>
    <s v="Direct Public Support"/>
    <s v="06/30/2014"/>
    <s v="Deposit"/>
    <m/>
    <x v="3"/>
    <x v="11"/>
    <x v="0"/>
    <x v="1"/>
    <m/>
    <s v="10145 BofA Restricted Funds -055:Dallas, Texas 8389"/>
    <n v="485"/>
    <n v="206182.07"/>
    <n v="-485"/>
  </r>
  <r>
    <n v="43400"/>
    <s v="Direct Public Support"/>
    <s v="01/07/2014"/>
    <s v="Deposit"/>
    <m/>
    <x v="3"/>
    <x v="12"/>
    <x v="0"/>
    <x v="1"/>
    <m/>
    <s v="10117 BofA Restricted Funds -055:Delaware"/>
    <n v="1500"/>
    <n v="-31554.89"/>
    <n v="-1500"/>
  </r>
  <r>
    <n v="43400"/>
    <s v="Direct Public Support"/>
    <s v="01/16/2014"/>
    <s v="Deposit"/>
    <m/>
    <x v="144"/>
    <x v="12"/>
    <x v="0"/>
    <x v="1"/>
    <m/>
    <s v="10117 BofA Restricted Funds -055:Delaware"/>
    <n v="250"/>
    <n v="-10087.89"/>
    <n v="-250"/>
  </r>
  <r>
    <n v="43400"/>
    <s v="Direct Public Support"/>
    <s v="02/14/2014"/>
    <s v="Invoice"/>
    <n v="1002"/>
    <x v="145"/>
    <x v="12"/>
    <x v="0"/>
    <x v="1"/>
    <s v="Claire's room with our Newark/Philly Affiliate"/>
    <s v="11000 Accounts Receivable"/>
    <n v="3500"/>
    <n v="54273.8"/>
    <n v="-3500"/>
  </r>
  <r>
    <n v="43400"/>
    <s v="Direct Public Support"/>
    <s v="02/28/2014"/>
    <s v="Deposit"/>
    <m/>
    <x v="3"/>
    <x v="12"/>
    <x v="0"/>
    <x v="1"/>
    <m/>
    <s v="10117 BofA Restricted Funds -055:Delaware"/>
    <n v="550"/>
    <n v="77254.399999999994"/>
    <n v="-550"/>
  </r>
  <r>
    <n v="43400"/>
    <s v="Direct Public Support"/>
    <s v="03/04/2014"/>
    <s v="Deposit"/>
    <m/>
    <x v="3"/>
    <x v="12"/>
    <x v="0"/>
    <x v="1"/>
    <m/>
    <s v="10117 BofA Restricted Funds -055:Delaware"/>
    <n v="400"/>
    <n v="82469.55"/>
    <n v="-400"/>
  </r>
  <r>
    <n v="43400"/>
    <s v="Direct Public Support"/>
    <s v="03/20/2014"/>
    <s v="Deposit"/>
    <m/>
    <x v="3"/>
    <x v="12"/>
    <x v="0"/>
    <x v="1"/>
    <m/>
    <s v="10117 BofA Restricted Funds -055:Delaware"/>
    <n v="100"/>
    <n v="94108.97"/>
    <n v="-100"/>
  </r>
  <r>
    <n v="43400"/>
    <s v="Direct Public Support"/>
    <s v="03/20/2014"/>
    <s v="Deposit"/>
    <m/>
    <x v="3"/>
    <x v="12"/>
    <x v="0"/>
    <x v="1"/>
    <m/>
    <s v="10117 BofA Restricted Funds -055:Delaware"/>
    <n v="750"/>
    <n v="94858.97"/>
    <n v="-750"/>
  </r>
  <r>
    <n v="43430"/>
    <s v="Gifts in kind - Services"/>
    <s v="02/10/2014"/>
    <s v="Journal Entry"/>
    <n v="442"/>
    <x v="0"/>
    <x v="7"/>
    <x v="3"/>
    <x v="8"/>
    <s v="Samuels Room"/>
    <s v="-Split-"/>
    <n v="600"/>
    <n v="7997"/>
    <n v="-600"/>
  </r>
  <r>
    <n v="43430"/>
    <s v="Gifts in kind - Services"/>
    <s v="03/04/2014"/>
    <s v="Journal Entry"/>
    <n v="494"/>
    <x v="0"/>
    <x v="7"/>
    <x v="3"/>
    <x v="8"/>
    <s v="Jullissa room"/>
    <s v="-Split-"/>
    <n v="350"/>
    <n v="9227"/>
    <n v="-350"/>
  </r>
  <r>
    <n v="43430"/>
    <s v="Gifts in kind - Services"/>
    <s v="03/04/2014"/>
    <s v="Journal Entry"/>
    <n v="494"/>
    <x v="0"/>
    <x v="7"/>
    <x v="3"/>
    <x v="8"/>
    <s v="Jullissa room"/>
    <s v="-Split-"/>
    <n v="700"/>
    <n v="9927"/>
    <n v="-700"/>
  </r>
  <r>
    <n v="43430"/>
    <s v="Gifts in kind - Services"/>
    <s v="03/04/2014"/>
    <s v="Journal Entry"/>
    <n v="494"/>
    <x v="0"/>
    <x v="7"/>
    <x v="3"/>
    <x v="8"/>
    <s v="Jullissa room"/>
    <s v="-Split-"/>
    <n v="700"/>
    <n v="10627"/>
    <n v="-700"/>
  </r>
  <r>
    <n v="43430"/>
    <s v="Gifts in kind - Services"/>
    <s v="03/15/2014"/>
    <s v="Journal Entry"/>
    <n v="493"/>
    <x v="0"/>
    <x v="7"/>
    <x v="3"/>
    <x v="8"/>
    <s v="Samiayah room"/>
    <s v="-Split-"/>
    <n v="100.5"/>
    <n v="11327.5"/>
    <n v="-100.5"/>
  </r>
  <r>
    <n v="43440"/>
    <s v="Gifts in Kind - Goods"/>
    <s v="01/03/2014"/>
    <s v="Journal Entry"/>
    <n v="444"/>
    <x v="0"/>
    <x v="7"/>
    <x v="3"/>
    <x v="9"/>
    <s v="Catharine's room"/>
    <s v="-Split-"/>
    <n v="625"/>
    <n v="625"/>
    <n v="-625"/>
  </r>
  <r>
    <n v="43440"/>
    <s v="Gifts in Kind - Goods"/>
    <s v="01/23/2014"/>
    <s v="Journal Entry"/>
    <n v="445"/>
    <x v="0"/>
    <x v="7"/>
    <x v="3"/>
    <x v="9"/>
    <m/>
    <s v="-Split-"/>
    <n v="422.5"/>
    <n v="4657.42"/>
    <n v="-422.5"/>
  </r>
  <r>
    <n v="43440"/>
    <s v="Gifts in Kind - Goods"/>
    <s v="02/10/2014"/>
    <s v="Journal Entry"/>
    <n v="442"/>
    <x v="0"/>
    <x v="7"/>
    <x v="3"/>
    <x v="9"/>
    <s v="Samuels Room"/>
    <s v="-Split-"/>
    <n v="287.08"/>
    <n v="7235.21"/>
    <n v="-287.08"/>
  </r>
  <r>
    <n v="43440"/>
    <s v="Gifts in Kind - Goods"/>
    <s v="02/17/2014"/>
    <s v="Journal Entry"/>
    <n v="443"/>
    <x v="0"/>
    <x v="7"/>
    <x v="3"/>
    <x v="9"/>
    <s v="Julissa Room"/>
    <s v="-Split-"/>
    <n v="676.87"/>
    <n v="10458.82"/>
    <n v="-676.87"/>
  </r>
  <r>
    <n v="43440"/>
    <s v="Gifts in Kind - Goods"/>
    <s v="02/17/2014"/>
    <s v="Journal Entry"/>
    <n v="443"/>
    <x v="0"/>
    <x v="7"/>
    <x v="3"/>
    <x v="9"/>
    <s v="Samuels room"/>
    <s v="-Split-"/>
    <n v="401"/>
    <n v="10859.82"/>
    <n v="-401"/>
  </r>
  <r>
    <n v="43440"/>
    <s v="Gifts in Kind - Goods"/>
    <s v="02/17/2014"/>
    <s v="Journal Entry"/>
    <n v="443"/>
    <x v="0"/>
    <x v="7"/>
    <x v="3"/>
    <x v="9"/>
    <s v="Julissa Room"/>
    <s v="-Split-"/>
    <n v="929.54"/>
    <n v="11789.36"/>
    <n v="-929.54"/>
  </r>
  <r>
    <n v="43440"/>
    <s v="Gifts in Kind - Goods"/>
    <s v="03/03/2014"/>
    <s v="Journal Entry"/>
    <n v="491"/>
    <x v="0"/>
    <x v="7"/>
    <x v="3"/>
    <x v="9"/>
    <s v="Julissa room"/>
    <s v="-Split-"/>
    <n v="918.76"/>
    <n v="13338.56"/>
    <n v="-918.76"/>
  </r>
  <r>
    <n v="43440"/>
    <s v="Gifts in Kind - Goods"/>
    <s v="03/12/2014"/>
    <s v="Journal Entry"/>
    <n v="492"/>
    <x v="0"/>
    <x v="7"/>
    <x v="3"/>
    <x v="9"/>
    <s v="Samiyah room"/>
    <s v="-Split-"/>
    <n v="284.39"/>
    <n v="13972.95"/>
    <n v="-284.39"/>
  </r>
  <r>
    <n v="43400"/>
    <s v="Direct Public Support"/>
    <s v="05/12/2014"/>
    <s v="Deposit"/>
    <m/>
    <x v="3"/>
    <x v="12"/>
    <x v="0"/>
    <x v="1"/>
    <s v="JP Morgan"/>
    <s v="10117 BofA Restricted Funds -055:Delaware"/>
    <n v="1200"/>
    <n v="146305.26"/>
    <n v="-1200"/>
  </r>
  <r>
    <n v="43400"/>
    <s v="Direct Public Support"/>
    <s v="05/27/2014"/>
    <s v="Deposit"/>
    <m/>
    <x v="3"/>
    <x v="12"/>
    <x v="0"/>
    <x v="1"/>
    <m/>
    <s v="10117 BofA Restricted Funds -055:Delaware"/>
    <n v="5000"/>
    <n v="170732.95"/>
    <n v="-5000"/>
  </r>
  <r>
    <n v="43400"/>
    <s v="Direct Public Support"/>
    <s v="05/28/2014"/>
    <s v="Journal Entry"/>
    <n v="536"/>
    <x v="0"/>
    <x v="12"/>
    <x v="0"/>
    <x v="1"/>
    <s v="paypal"/>
    <s v="-Split-"/>
    <n v="200"/>
    <n v="163971.57"/>
    <n v="-200"/>
  </r>
  <r>
    <n v="43400"/>
    <s v="Direct Public Support"/>
    <s v="06/17/2014"/>
    <s v="Journal Entry"/>
    <n v="580"/>
    <x v="0"/>
    <x v="12"/>
    <x v="0"/>
    <x v="1"/>
    <s v="paypal"/>
    <s v="-Split-"/>
    <n v="150"/>
    <n v="199550.02"/>
    <n v="-150"/>
  </r>
  <r>
    <n v="62145"/>
    <s v="Website Design"/>
    <s v="06/27/2014"/>
    <s v="Expense"/>
    <m/>
    <x v="146"/>
    <x v="7"/>
    <x v="1"/>
    <x v="12"/>
    <m/>
    <s v="10180 BofA Spec Spaces National 4695"/>
    <n v="14.99"/>
    <n v="1339.06"/>
    <n v="14.99"/>
  </r>
  <r>
    <n v="65015"/>
    <s v="Travel Expense"/>
    <s v="06/30/2014"/>
    <s v="Expense"/>
    <m/>
    <x v="101"/>
    <x v="7"/>
    <x v="1"/>
    <x v="15"/>
    <m/>
    <s v="10414 BoA Chicago 8350"/>
    <n v="16.579999999999998"/>
    <n v="3781.79"/>
    <n v="16.579999999999998"/>
  </r>
  <r>
    <n v="65020"/>
    <s v="Postage, Mailing Service"/>
    <s v="01/02/2014"/>
    <s v="Check"/>
    <m/>
    <x v="6"/>
    <x v="7"/>
    <x v="1"/>
    <x v="3"/>
    <m/>
    <s v="10414 BoA Chicago 8350"/>
    <n v="49.68"/>
    <n v="49.68"/>
    <n v="49.68"/>
  </r>
  <r>
    <n v="65020"/>
    <s v="Postage, Mailing Service"/>
    <s v="01/14/2014"/>
    <s v="Check"/>
    <m/>
    <x v="147"/>
    <x v="7"/>
    <x v="1"/>
    <x v="3"/>
    <m/>
    <s v="10414 BoA Chicago 8350"/>
    <n v="102.75"/>
    <n v="291.45999999999998"/>
    <n v="102.75"/>
  </r>
  <r>
    <n v="65020"/>
    <s v="Postage, Mailing Service"/>
    <s v="04/04/2014"/>
    <s v="Check"/>
    <m/>
    <x v="7"/>
    <x v="7"/>
    <x v="1"/>
    <x v="3"/>
    <m/>
    <s v="10414 BoA Chicago 8350"/>
    <n v="8.99"/>
    <n v="941.44"/>
    <n v="8.99"/>
  </r>
  <r>
    <n v="65020"/>
    <s v="Postage, Mailing Service"/>
    <s v="04/04/2014"/>
    <s v="Check"/>
    <m/>
    <x v="7"/>
    <x v="7"/>
    <x v="1"/>
    <x v="3"/>
    <m/>
    <s v="10414 BoA Chicago 8350"/>
    <n v="26.49"/>
    <n v="967.93"/>
    <n v="26.49"/>
  </r>
  <r>
    <n v="65025"/>
    <s v="Bank Service Charges"/>
    <s v="05/23/2014"/>
    <s v="Expense"/>
    <m/>
    <x v="92"/>
    <x v="7"/>
    <x v="1"/>
    <x v="14"/>
    <m/>
    <s v="10414 BoA Chicago 8350"/>
    <n v="15"/>
    <n v="1336.23"/>
    <n v="15"/>
  </r>
  <r>
    <n v="65025"/>
    <s v="Bank Service Charges"/>
    <s v="05/27/2014"/>
    <s v="Deposit"/>
    <m/>
    <x v="92"/>
    <x v="7"/>
    <x v="1"/>
    <x v="14"/>
    <m/>
    <s v="10414 BoA Chicago 8350"/>
    <n v="-15"/>
    <n v="1321.23"/>
    <n v="-15"/>
  </r>
  <r>
    <n v="65036"/>
    <s v="Volunteer Hospitality"/>
    <s v="02/03/2014"/>
    <s v="Check"/>
    <m/>
    <x v="148"/>
    <x v="7"/>
    <x v="1"/>
    <x v="13"/>
    <m/>
    <s v="10414 BoA Chicago 8350"/>
    <n v="211.09"/>
    <n v="548.98"/>
    <n v="211.09"/>
  </r>
  <r>
    <n v="65036"/>
    <s v="Volunteer Hospitality"/>
    <s v="03/03/2014"/>
    <s v="Check"/>
    <m/>
    <x v="149"/>
    <x v="7"/>
    <x v="1"/>
    <x v="13"/>
    <m/>
    <s v="10414 BoA Chicago 8350"/>
    <n v="6.91"/>
    <n v="957.78"/>
    <n v="6.91"/>
  </r>
  <r>
    <n v="65036"/>
    <s v="Volunteer Hospitality"/>
    <s v="03/10/2014"/>
    <s v="Check"/>
    <n v="1097"/>
    <x v="150"/>
    <x v="7"/>
    <x v="1"/>
    <x v="13"/>
    <m/>
    <s v="10414 BoA Chicago 8350"/>
    <n v="77.98"/>
    <n v="3563.12"/>
    <n v="77.98"/>
  </r>
  <r>
    <n v="65036"/>
    <s v="Volunteer Hospitality"/>
    <s v="03/17/2014"/>
    <s v="Check"/>
    <m/>
    <x v="151"/>
    <x v="7"/>
    <x v="1"/>
    <x v="13"/>
    <m/>
    <s v="10414 BoA Chicago 8350"/>
    <n v="90.67"/>
    <n v="3653.79"/>
    <n v="90.67"/>
  </r>
  <r>
    <n v="65036"/>
    <s v="Volunteer Hospitality"/>
    <s v="03/28/2014"/>
    <s v="Check"/>
    <m/>
    <x v="49"/>
    <x v="7"/>
    <x v="1"/>
    <x v="13"/>
    <m/>
    <s v="10414 BoA Chicago 8350"/>
    <n v="9.19"/>
    <n v="3741.31"/>
    <n v="9.19"/>
  </r>
  <r>
    <n v="65036"/>
    <s v="Volunteer Hospitality"/>
    <s v="03/28/2014"/>
    <s v="Check"/>
    <m/>
    <x v="48"/>
    <x v="7"/>
    <x v="1"/>
    <x v="13"/>
    <m/>
    <s v="10414 BoA Chicago 8350"/>
    <n v="53.59"/>
    <n v="3794.9"/>
    <n v="53.59"/>
  </r>
  <r>
    <n v="65036"/>
    <s v="Volunteer Hospitality"/>
    <s v="04/10/2014"/>
    <s v="Check"/>
    <m/>
    <x v="152"/>
    <x v="7"/>
    <x v="1"/>
    <x v="13"/>
    <m/>
    <s v="10414 BoA Chicago 8350"/>
    <n v="22.06"/>
    <n v="3843.24"/>
    <n v="22.06"/>
  </r>
  <r>
    <n v="65036"/>
    <s v="Volunteer Hospitality"/>
    <s v="04/10/2014"/>
    <s v="Check"/>
    <m/>
    <x v="152"/>
    <x v="7"/>
    <x v="1"/>
    <x v="13"/>
    <m/>
    <s v="10414 BoA Chicago 8350"/>
    <n v="4.16"/>
    <n v="3847.4"/>
    <n v="4.16"/>
  </r>
  <r>
    <n v="65036"/>
    <s v="Volunteer Hospitality"/>
    <s v="04/10/2014"/>
    <s v="Check"/>
    <m/>
    <x v="152"/>
    <x v="7"/>
    <x v="1"/>
    <x v="13"/>
    <m/>
    <s v="10414 BoA Chicago 8350"/>
    <n v="16.04"/>
    <n v="3863.44"/>
    <n v="16.04"/>
  </r>
  <r>
    <n v="65036"/>
    <s v="Volunteer Hospitality"/>
    <s v="05/12/2014"/>
    <s v="Expense"/>
    <m/>
    <x v="153"/>
    <x v="7"/>
    <x v="1"/>
    <x v="13"/>
    <m/>
    <s v="10414 BoA Chicago 8350"/>
    <n v="62.94"/>
    <n v="4640.09"/>
    <n v="62.94"/>
  </r>
  <r>
    <n v="65036"/>
    <s v="Volunteer Hospitality"/>
    <s v="05/22/2014"/>
    <s v="Expense"/>
    <m/>
    <x v="154"/>
    <x v="7"/>
    <x v="1"/>
    <x v="13"/>
    <m/>
    <s v="10414 BoA Chicago 8350"/>
    <n v="122.29"/>
    <n v="4852.38"/>
    <n v="122.29"/>
  </r>
  <r>
    <n v="65036"/>
    <s v="Volunteer Hospitality"/>
    <s v="06/05/2014"/>
    <s v="Expense"/>
    <m/>
    <x v="49"/>
    <x v="7"/>
    <x v="1"/>
    <x v="13"/>
    <m/>
    <s v="10414 BoA Chicago 8350"/>
    <n v="12.31"/>
    <n v="5025.57"/>
    <n v="12.31"/>
  </r>
  <r>
    <n v="65040"/>
    <s v="Supplies"/>
    <s v="02/03/2014"/>
    <s v="Check"/>
    <m/>
    <x v="8"/>
    <x v="7"/>
    <x v="1"/>
    <x v="4"/>
    <m/>
    <s v="10414 BoA Chicago 8350"/>
    <n v="7.04"/>
    <n v="687.35"/>
    <n v="7.04"/>
  </r>
  <r>
    <n v="65060"/>
    <s v="Material for Rooms Expense"/>
    <s v="05/21/2014"/>
    <s v="Expense"/>
    <m/>
    <x v="155"/>
    <x v="7"/>
    <x v="1"/>
    <x v="5"/>
    <m/>
    <s v="10414 BoA Chicago 8350"/>
    <n v="13.99"/>
    <n v="-23.45"/>
    <n v="13.99"/>
  </r>
  <r>
    <n v="65060"/>
    <s v="Material for Rooms Expense"/>
    <s v="05/21/2014"/>
    <s v="Expense"/>
    <m/>
    <x v="156"/>
    <x v="7"/>
    <x v="1"/>
    <x v="5"/>
    <m/>
    <s v="10414 BoA Chicago 8350"/>
    <n v="18.34"/>
    <n v="-26.5"/>
    <n v="18.34"/>
  </r>
  <r>
    <n v="65060"/>
    <s v="Material for Rooms Expense"/>
    <s v="05/23/2014"/>
    <s v="Check"/>
    <n v="1014"/>
    <x v="157"/>
    <x v="7"/>
    <x v="1"/>
    <x v="5"/>
    <m/>
    <s v="10414 BoA Chicago 8350"/>
    <n v="224.53"/>
    <n v="1176.31"/>
    <n v="224.53"/>
  </r>
  <r>
    <n v="65060"/>
    <s v="Material for Rooms Expense"/>
    <s v="05/23/2014"/>
    <s v="Check"/>
    <n v="1012"/>
    <x v="158"/>
    <x v="7"/>
    <x v="1"/>
    <x v="5"/>
    <m/>
    <s v="10414 BoA Chicago 8350"/>
    <n v="43.89"/>
    <n v="1220.2"/>
    <n v="43.89"/>
  </r>
  <r>
    <n v="65061"/>
    <s v="Material for Rooms Expense"/>
    <s v="01/02/2014"/>
    <s v="Check"/>
    <m/>
    <x v="159"/>
    <x v="7"/>
    <x v="1"/>
    <x v="5"/>
    <m/>
    <s v="10414 BoA Chicago 8350"/>
    <n v="100"/>
    <n v="-8869.94"/>
    <n v="100"/>
  </r>
  <r>
    <n v="65061"/>
    <s v="Material for Rooms Expense"/>
    <s v="01/06/2014"/>
    <s v="Check"/>
    <m/>
    <x v="160"/>
    <x v="7"/>
    <x v="1"/>
    <x v="5"/>
    <m/>
    <s v="10414 BoA Chicago 8350"/>
    <n v="11.97"/>
    <n v="-6639.17"/>
    <n v="11.97"/>
  </r>
  <r>
    <n v="65061"/>
    <s v="Material for Rooms Expense"/>
    <s v="01/06/2014"/>
    <s v="Check"/>
    <m/>
    <x v="161"/>
    <x v="7"/>
    <x v="1"/>
    <x v="5"/>
    <m/>
    <s v="10414 BoA Chicago 8350"/>
    <n v="78.64"/>
    <n v="-6560.53"/>
    <n v="78.64"/>
  </r>
  <r>
    <n v="65061"/>
    <s v="Material for Rooms Expense"/>
    <s v="01/10/2014"/>
    <s v="Check"/>
    <m/>
    <x v="19"/>
    <x v="7"/>
    <x v="1"/>
    <x v="5"/>
    <m/>
    <s v="10414 BoA Chicago 8350"/>
    <n v="76.290000000000006"/>
    <n v="-3605.28"/>
    <n v="76.290000000000006"/>
  </r>
  <r>
    <n v="65061"/>
    <s v="Material for Rooms Expense"/>
    <s v="01/10/2014"/>
    <s v="Check"/>
    <m/>
    <x v="67"/>
    <x v="7"/>
    <x v="1"/>
    <x v="5"/>
    <m/>
    <s v="10414 BoA Chicago 8350"/>
    <n v="262.99"/>
    <n v="-383.76"/>
    <n v="262.99"/>
  </r>
  <r>
    <n v="65061"/>
    <s v="Material for Rooms Expense"/>
    <s v="01/13/2014"/>
    <s v="Check"/>
    <m/>
    <x v="162"/>
    <x v="7"/>
    <x v="1"/>
    <x v="5"/>
    <m/>
    <s v="10414 BoA Chicago 8350"/>
    <n v="8.69"/>
    <n v="599.74"/>
    <n v="8.69"/>
  </r>
  <r>
    <n v="65061"/>
    <s v="Material for Rooms Expense"/>
    <s v="01/13/2014"/>
    <s v="Check"/>
    <m/>
    <x v="160"/>
    <x v="7"/>
    <x v="1"/>
    <x v="5"/>
    <m/>
    <s v="10414 BoA Chicago 8350"/>
    <n v="122.23"/>
    <n v="1591.77"/>
    <n v="122.23"/>
  </r>
  <r>
    <n v="65061"/>
    <s v="Material for Rooms Expense"/>
    <s v="01/14/2014"/>
    <s v="Check"/>
    <m/>
    <x v="41"/>
    <x v="7"/>
    <x v="1"/>
    <x v="5"/>
    <m/>
    <s v="10414 BoA Chicago 8350"/>
    <n v="9.7899999999999991"/>
    <n v="3819.77"/>
    <n v="9.7899999999999991"/>
  </r>
  <r>
    <n v="65061"/>
    <s v="Material for Rooms Expense"/>
    <s v="01/14/2014"/>
    <s v="Check"/>
    <m/>
    <x v="163"/>
    <x v="7"/>
    <x v="1"/>
    <x v="5"/>
    <m/>
    <s v="10414 BoA Chicago 8350"/>
    <n v="149.43"/>
    <n v="4336.47"/>
    <n v="149.43"/>
  </r>
  <r>
    <n v="65061"/>
    <s v="Material for Rooms Expense"/>
    <s v="01/15/2014"/>
    <s v="Check"/>
    <m/>
    <x v="164"/>
    <x v="7"/>
    <x v="1"/>
    <x v="5"/>
    <m/>
    <s v="10414 BoA Chicago 8350"/>
    <n v="47.31"/>
    <n v="5617.79"/>
    <n v="47.31"/>
  </r>
  <r>
    <n v="65061"/>
    <s v="Material for Rooms Expense"/>
    <s v="01/15/2014"/>
    <s v="Check"/>
    <m/>
    <x v="165"/>
    <x v="7"/>
    <x v="1"/>
    <x v="5"/>
    <m/>
    <s v="10414 BoA Chicago 8350"/>
    <n v="22.51"/>
    <n v="5640.3"/>
    <n v="22.51"/>
  </r>
  <r>
    <n v="65061"/>
    <s v="Material for Rooms Expense"/>
    <s v="01/15/2014"/>
    <s v="Check"/>
    <m/>
    <x v="19"/>
    <x v="7"/>
    <x v="1"/>
    <x v="5"/>
    <m/>
    <s v="10414 BoA Chicago 8350"/>
    <n v="51.74"/>
    <n v="5692.04"/>
    <n v="51.74"/>
  </r>
  <r>
    <n v="65061"/>
    <s v="Material for Rooms Expense"/>
    <s v="01/16/2014"/>
    <s v="Check"/>
    <m/>
    <x v="41"/>
    <x v="7"/>
    <x v="1"/>
    <x v="5"/>
    <m/>
    <s v="10414 BoA Chicago 8350"/>
    <n v="18.12"/>
    <n v="5830.79"/>
    <n v="18.12"/>
  </r>
  <r>
    <n v="65061"/>
    <s v="Material for Rooms Expense"/>
    <s v="01/16/2014"/>
    <s v="Check"/>
    <m/>
    <x v="166"/>
    <x v="7"/>
    <x v="1"/>
    <x v="5"/>
    <m/>
    <s v="10414 BoA Chicago 8350"/>
    <n v="3.21"/>
    <n v="5834"/>
    <n v="3.21"/>
  </r>
  <r>
    <n v="65061"/>
    <s v="Material for Rooms Expense"/>
    <s v="01/16/2014"/>
    <s v="Check"/>
    <m/>
    <x v="26"/>
    <x v="7"/>
    <x v="1"/>
    <x v="5"/>
    <m/>
    <s v="10414 BoA Chicago 8350"/>
    <n v="48.44"/>
    <n v="5882.44"/>
    <n v="48.44"/>
  </r>
  <r>
    <n v="65061"/>
    <s v="Material for Rooms Expense"/>
    <s v="01/17/2014"/>
    <s v="Check"/>
    <m/>
    <x v="58"/>
    <x v="7"/>
    <x v="1"/>
    <x v="5"/>
    <m/>
    <s v="10414 BoA Chicago 8350"/>
    <n v="12.92"/>
    <n v="9758.41"/>
    <n v="12.92"/>
  </r>
  <r>
    <n v="65061"/>
    <s v="Material for Rooms Expense"/>
    <s v="01/21/2014"/>
    <s v="Check"/>
    <m/>
    <x v="88"/>
    <x v="7"/>
    <x v="1"/>
    <x v="5"/>
    <m/>
    <s v="10414 BoA Chicago 8350"/>
    <n v="2.16"/>
    <n v="11580.64"/>
    <n v="2.16"/>
  </r>
  <r>
    <n v="65061"/>
    <s v="Material for Rooms Expense"/>
    <s v="01/22/2014"/>
    <s v="Check"/>
    <n v="1093"/>
    <x v="167"/>
    <x v="7"/>
    <x v="1"/>
    <x v="5"/>
    <m/>
    <s v="10414 BoA Chicago 8350"/>
    <n v="88.32"/>
    <n v="14791.32"/>
    <n v="88.32"/>
  </r>
  <r>
    <n v="65061"/>
    <s v="Material for Rooms Expense"/>
    <s v="01/22/2014"/>
    <s v="Check"/>
    <n v="1103"/>
    <x v="167"/>
    <x v="7"/>
    <x v="1"/>
    <x v="5"/>
    <m/>
    <s v="10414 BoA Chicago 8350"/>
    <n v="37.380000000000003"/>
    <n v="15105.14"/>
    <n v="37.380000000000003"/>
  </r>
  <r>
    <n v="65061"/>
    <s v="Material for Rooms Expense"/>
    <s v="01/22/2014"/>
    <s v="Check"/>
    <m/>
    <x v="168"/>
    <x v="7"/>
    <x v="1"/>
    <x v="5"/>
    <m/>
    <s v="10414 BoA Chicago 8350"/>
    <n v="27.87"/>
    <n v="15476.6"/>
    <n v="27.87"/>
  </r>
  <r>
    <n v="65061"/>
    <s v="Material for Rooms Expense"/>
    <s v="01/23/2014"/>
    <s v="Check"/>
    <m/>
    <x v="73"/>
    <x v="7"/>
    <x v="1"/>
    <x v="5"/>
    <m/>
    <s v="10414 BoA Chicago 8350"/>
    <n v="563.1"/>
    <n v="16627.39"/>
    <n v="563.1"/>
  </r>
  <r>
    <n v="65061"/>
    <s v="Material for Rooms Expense"/>
    <s v="01/23/2014"/>
    <s v="Check"/>
    <m/>
    <x v="169"/>
    <x v="7"/>
    <x v="1"/>
    <x v="5"/>
    <m/>
    <s v="10414 BoA Chicago 8350"/>
    <n v="43.19"/>
    <n v="16670.580000000002"/>
    <n v="43.19"/>
  </r>
  <r>
    <n v="65061"/>
    <s v="Material for Rooms Expense"/>
    <s v="01/23/2014"/>
    <s v="Check"/>
    <m/>
    <x v="170"/>
    <x v="7"/>
    <x v="1"/>
    <x v="5"/>
    <m/>
    <s v="10414 BoA Chicago 8350"/>
    <n v="10.78"/>
    <n v="16681.36"/>
    <n v="10.78"/>
  </r>
  <r>
    <n v="65061"/>
    <s v="Material for Rooms Expense"/>
    <s v="01/23/2014"/>
    <s v="Check"/>
    <m/>
    <x v="171"/>
    <x v="7"/>
    <x v="1"/>
    <x v="5"/>
    <m/>
    <s v="10414 BoA Chicago 8350"/>
    <n v="12.95"/>
    <n v="16694.310000000001"/>
    <n v="12.95"/>
  </r>
  <r>
    <n v="65061"/>
    <s v="Material for Rooms Expense"/>
    <s v="01/23/2014"/>
    <s v="Check"/>
    <n v="1108"/>
    <x v="172"/>
    <x v="7"/>
    <x v="1"/>
    <x v="5"/>
    <m/>
    <s v="10414 BoA Chicago 8350"/>
    <n v="150"/>
    <n v="16844.310000000001"/>
    <n v="150"/>
  </r>
  <r>
    <n v="65061"/>
    <s v="Material for Rooms Expense"/>
    <s v="01/23/2014"/>
    <s v="Check"/>
    <m/>
    <x v="19"/>
    <x v="7"/>
    <x v="1"/>
    <x v="5"/>
    <m/>
    <s v="10414 BoA Chicago 8350"/>
    <n v="14.85"/>
    <n v="16840.87"/>
    <n v="14.85"/>
  </r>
  <r>
    <n v="65061"/>
    <s v="Material for Rooms Expense"/>
    <s v="01/23/2014"/>
    <s v="Check"/>
    <m/>
    <x v="41"/>
    <x v="7"/>
    <x v="1"/>
    <x v="5"/>
    <m/>
    <s v="10414 BoA Chicago 8350"/>
    <n v="17.739999999999998"/>
    <n v="16858.61"/>
    <n v="17.739999999999998"/>
  </r>
  <r>
    <n v="65061"/>
    <s v="Material for Rooms Expense"/>
    <s v="01/24/2014"/>
    <s v="Check"/>
    <n v="1092"/>
    <x v="173"/>
    <x v="7"/>
    <x v="1"/>
    <x v="5"/>
    <m/>
    <s v="10414 BoA Chicago 8350"/>
    <n v="733.82"/>
    <n v="18149.53"/>
    <n v="733.82"/>
  </r>
  <r>
    <n v="65061"/>
    <s v="Material for Rooms Expense"/>
    <s v="01/24/2014"/>
    <s v="Check"/>
    <n v="1096"/>
    <x v="173"/>
    <x v="7"/>
    <x v="1"/>
    <x v="5"/>
    <m/>
    <s v="10414 BoA Chicago 8350"/>
    <n v="620.83000000000004"/>
    <n v="19440.490000000002"/>
    <n v="620.83000000000004"/>
  </r>
  <r>
    <n v="65061"/>
    <s v="Material for Rooms Expense"/>
    <s v="01/24/2014"/>
    <s v="Check"/>
    <n v="1100"/>
    <x v="173"/>
    <x v="7"/>
    <x v="1"/>
    <x v="5"/>
    <m/>
    <s v="10414 BoA Chicago 8350"/>
    <n v="658.04"/>
    <n v="20098.53"/>
    <n v="658.04"/>
  </r>
  <r>
    <n v="65061"/>
    <s v="Material for Rooms Expense"/>
    <s v="01/24/2014"/>
    <s v="Check"/>
    <n v="1102"/>
    <x v="173"/>
    <x v="7"/>
    <x v="1"/>
    <x v="5"/>
    <m/>
    <s v="10414 BoA Chicago 8350"/>
    <n v="253.31"/>
    <n v="20351.84"/>
    <n v="253.31"/>
  </r>
  <r>
    <n v="65061"/>
    <s v="Material for Rooms Expense"/>
    <s v="01/24/2014"/>
    <s v="Check"/>
    <n v="1106"/>
    <x v="173"/>
    <x v="7"/>
    <x v="1"/>
    <x v="5"/>
    <m/>
    <s v="10414 BoA Chicago 8350"/>
    <n v="396.08"/>
    <n v="20747.919999999998"/>
    <n v="396.08"/>
  </r>
  <r>
    <n v="65061"/>
    <s v="Material for Rooms Expense"/>
    <s v="01/24/2014"/>
    <s v="Check"/>
    <m/>
    <x v="166"/>
    <x v="7"/>
    <x v="1"/>
    <x v="5"/>
    <m/>
    <s v="10414 BoA Chicago 8350"/>
    <n v="7.57"/>
    <n v="21193.25"/>
    <n v="7.57"/>
  </r>
  <r>
    <n v="65061"/>
    <s v="Material for Rooms Expense"/>
    <s v="01/24/2014"/>
    <s v="Check"/>
    <m/>
    <x v="58"/>
    <x v="7"/>
    <x v="1"/>
    <x v="5"/>
    <m/>
    <s v="10414 BoA Chicago 8350"/>
    <n v="106.54"/>
    <n v="21299.79"/>
    <n v="106.54"/>
  </r>
  <r>
    <n v="65061"/>
    <s v="Material for Rooms Expense"/>
    <s v="01/24/2014"/>
    <s v="Check"/>
    <m/>
    <x v="19"/>
    <x v="7"/>
    <x v="1"/>
    <x v="5"/>
    <m/>
    <s v="10414 BoA Chicago 8350"/>
    <n v="19.940000000000001"/>
    <n v="20284.61"/>
    <n v="19.940000000000001"/>
  </r>
  <r>
    <n v="65061"/>
    <s v="Material for Rooms Expense"/>
    <s v="01/27/2014"/>
    <s v="Deposit"/>
    <m/>
    <x v="174"/>
    <x v="7"/>
    <x v="1"/>
    <x v="5"/>
    <m/>
    <s v="10414 BoA Chicago 8350"/>
    <n v="-43.19"/>
    <n v="20314.89"/>
    <n v="-43.19"/>
  </r>
  <r>
    <n v="65061"/>
    <s v="Material for Rooms Expense"/>
    <s v="01/29/2014"/>
    <s v="Check"/>
    <m/>
    <x v="175"/>
    <x v="7"/>
    <x v="1"/>
    <x v="5"/>
    <m/>
    <s v="10414 BoA Chicago 8350"/>
    <n v="582.63"/>
    <n v="21787.439999999999"/>
    <n v="582.63"/>
  </r>
  <r>
    <n v="65061"/>
    <s v="Material for Rooms Expense"/>
    <s v="01/30/2014"/>
    <s v="Check"/>
    <m/>
    <x v="160"/>
    <x v="7"/>
    <x v="1"/>
    <x v="5"/>
    <m/>
    <s v="10414 BoA Chicago 8350"/>
    <n v="264.27"/>
    <n v="23536.3"/>
    <n v="264.27"/>
  </r>
  <r>
    <n v="65061"/>
    <s v="Material for Rooms Expense"/>
    <s v="01/30/2014"/>
    <s v="Check"/>
    <m/>
    <x v="14"/>
    <x v="7"/>
    <x v="1"/>
    <x v="5"/>
    <m/>
    <s v="10414 BoA Chicago 8350"/>
    <n v="33.1"/>
    <n v="24022.94"/>
    <n v="33.1"/>
  </r>
  <r>
    <n v="65061"/>
    <s v="Material for Rooms Expense"/>
    <s v="01/31/2014"/>
    <s v="Check"/>
    <m/>
    <x v="166"/>
    <x v="7"/>
    <x v="1"/>
    <x v="5"/>
    <m/>
    <s v="10414 BoA Chicago 8350"/>
    <n v="14.99"/>
    <n v="25563.62"/>
    <n v="14.99"/>
  </r>
  <r>
    <n v="65061"/>
    <s v="Material for Rooms Expense"/>
    <s v="02/03/2014"/>
    <s v="Check"/>
    <m/>
    <x v="29"/>
    <x v="7"/>
    <x v="1"/>
    <x v="5"/>
    <m/>
    <s v="10414 BoA Chicago 8350"/>
    <n v="13.31"/>
    <n v="25866.14"/>
    <n v="13.31"/>
  </r>
  <r>
    <n v="65061"/>
    <s v="Material for Rooms Expense"/>
    <s v="02/03/2014"/>
    <s v="Check"/>
    <m/>
    <x v="19"/>
    <x v="7"/>
    <x v="1"/>
    <x v="5"/>
    <m/>
    <s v="10414 BoA Chicago 8350"/>
    <n v="35.78"/>
    <n v="25981.38"/>
    <n v="35.78"/>
  </r>
  <r>
    <n v="65061"/>
    <s v="Material for Rooms Expense"/>
    <s v="02/03/2014"/>
    <s v="Check"/>
    <m/>
    <x v="66"/>
    <x v="7"/>
    <x v="1"/>
    <x v="5"/>
    <m/>
    <s v="10414 BoA Chicago 8350"/>
    <n v="148.69999999999999"/>
    <n v="26113.62"/>
    <n v="148.69999999999999"/>
  </r>
  <r>
    <n v="65061"/>
    <s v="Material for Rooms Expense"/>
    <s v="02/03/2014"/>
    <s v="Check"/>
    <m/>
    <x v="58"/>
    <x v="7"/>
    <x v="1"/>
    <x v="5"/>
    <m/>
    <s v="10414 BoA Chicago 8350"/>
    <n v="177.7"/>
    <n v="26688.47"/>
    <n v="177.7"/>
  </r>
  <r>
    <n v="65061"/>
    <s v="Material for Rooms Expense"/>
    <s v="02/03/2014"/>
    <s v="Check"/>
    <m/>
    <x v="166"/>
    <x v="7"/>
    <x v="1"/>
    <x v="5"/>
    <m/>
    <s v="10414 BoA Chicago 8350"/>
    <n v="12.99"/>
    <n v="26863.38"/>
    <n v="12.99"/>
  </r>
  <r>
    <n v="65061"/>
    <s v="Material for Rooms Expense"/>
    <s v="02/05/2014"/>
    <s v="Check"/>
    <m/>
    <x v="39"/>
    <x v="7"/>
    <x v="1"/>
    <x v="5"/>
    <m/>
    <s v="10414 BoA Chicago 8350"/>
    <n v="139.41"/>
    <n v="29788.79"/>
    <n v="139.41"/>
  </r>
  <r>
    <n v="65061"/>
    <s v="Material for Rooms Expense"/>
    <s v="02/05/2014"/>
    <s v="Check"/>
    <m/>
    <x v="41"/>
    <x v="7"/>
    <x v="1"/>
    <x v="5"/>
    <m/>
    <s v="10414 BoA Chicago 8350"/>
    <n v="63.83"/>
    <n v="29852.62"/>
    <n v="63.83"/>
  </r>
  <r>
    <n v="65061"/>
    <s v="Material for Rooms Expense"/>
    <s v="02/06/2014"/>
    <s v="Check"/>
    <m/>
    <x v="58"/>
    <x v="7"/>
    <x v="1"/>
    <x v="5"/>
    <m/>
    <s v="10414 BoA Chicago 8350"/>
    <n v="232.61"/>
    <n v="31091.35"/>
    <n v="232.61"/>
  </r>
  <r>
    <n v="65061"/>
    <s v="Material for Rooms Expense"/>
    <s v="02/06/2014"/>
    <s v="Check"/>
    <m/>
    <x v="58"/>
    <x v="7"/>
    <x v="1"/>
    <x v="5"/>
    <m/>
    <s v="10414 BoA Chicago 8350"/>
    <n v="146.1"/>
    <n v="31237.45"/>
    <n v="146.1"/>
  </r>
  <r>
    <n v="65061"/>
    <s v="Material for Rooms Expense"/>
    <s v="02/07/2014"/>
    <s v="Check"/>
    <n v="1094"/>
    <x v="173"/>
    <x v="7"/>
    <x v="1"/>
    <x v="5"/>
    <m/>
    <s v="10414 BoA Chicago 8350"/>
    <n v="216.36"/>
    <n v="32270.37"/>
    <n v="216.36"/>
  </r>
  <r>
    <n v="65061"/>
    <s v="Material for Rooms Expense"/>
    <s v="02/10/2014"/>
    <s v="Check"/>
    <m/>
    <x v="67"/>
    <x v="7"/>
    <x v="1"/>
    <x v="5"/>
    <m/>
    <s v="10414 BoA Chicago 8350"/>
    <n v="196.15"/>
    <n v="36606.01"/>
    <n v="196.15"/>
  </r>
  <r>
    <n v="65061"/>
    <s v="Material for Rooms Expense"/>
    <s v="02/12/2014"/>
    <s v="Check"/>
    <m/>
    <x v="39"/>
    <x v="7"/>
    <x v="1"/>
    <x v="5"/>
    <m/>
    <s v="10414 BoA Chicago 8350"/>
    <n v="441.72"/>
    <n v="39948.47"/>
    <n v="441.72"/>
  </r>
  <r>
    <n v="65061"/>
    <s v="Material for Rooms Expense"/>
    <s v="02/12/2014"/>
    <s v="Check"/>
    <m/>
    <x v="53"/>
    <x v="7"/>
    <x v="1"/>
    <x v="5"/>
    <m/>
    <s v="10414 BoA Chicago 8350"/>
    <n v="184.75"/>
    <n v="40526.92"/>
    <n v="184.75"/>
  </r>
  <r>
    <n v="65061"/>
    <s v="Material for Rooms Expense"/>
    <s v="02/13/2014"/>
    <s v="Check"/>
    <m/>
    <x v="19"/>
    <x v="7"/>
    <x v="1"/>
    <x v="5"/>
    <m/>
    <s v="10414 BoA Chicago 8350"/>
    <n v="118.07"/>
    <n v="40708.720000000001"/>
    <n v="118.07"/>
  </r>
  <r>
    <n v="65061"/>
    <s v="Material for Rooms Expense"/>
    <s v="02/18/2014"/>
    <s v="Check"/>
    <n v="1104"/>
    <x v="173"/>
    <x v="7"/>
    <x v="1"/>
    <x v="5"/>
    <m/>
    <s v="10414 BoA Chicago 8350"/>
    <n v="113.03"/>
    <n v="44709.5"/>
    <n v="113.03"/>
  </r>
  <r>
    <n v="65061"/>
    <s v="Material for Rooms Expense"/>
    <s v="02/20/2014"/>
    <s v="Check"/>
    <m/>
    <x v="67"/>
    <x v="7"/>
    <x v="1"/>
    <x v="5"/>
    <m/>
    <s v="10414 BoA Chicago 8350"/>
    <n v="303.44"/>
    <n v="46537.73"/>
    <n v="303.44"/>
  </r>
  <r>
    <n v="65061"/>
    <s v="Material for Rooms Expense"/>
    <s v="02/20/2014"/>
    <s v="Check"/>
    <m/>
    <x v="29"/>
    <x v="7"/>
    <x v="1"/>
    <x v="5"/>
    <m/>
    <s v="10414 BoA Chicago 8350"/>
    <n v="380.19"/>
    <n v="46917.919999999998"/>
    <n v="380.19"/>
  </r>
  <r>
    <n v="65061"/>
    <s v="Material for Rooms Expense"/>
    <s v="02/24/2014"/>
    <s v="Check"/>
    <m/>
    <x v="166"/>
    <x v="7"/>
    <x v="1"/>
    <x v="5"/>
    <m/>
    <s v="10414 BoA Chicago 8350"/>
    <n v="11.76"/>
    <n v="53370.22"/>
    <n v="11.76"/>
  </r>
  <r>
    <n v="65061"/>
    <s v="Material for Rooms Expense"/>
    <s v="02/26/2014"/>
    <s v="Check"/>
    <m/>
    <x v="26"/>
    <x v="7"/>
    <x v="1"/>
    <x v="5"/>
    <m/>
    <s v="10414 BoA Chicago 8350"/>
    <n v="23.74"/>
    <n v="54699.33"/>
    <n v="23.74"/>
  </r>
  <r>
    <n v="65061"/>
    <s v="Material for Rooms Expense"/>
    <s v="02/27/2014"/>
    <s v="Check"/>
    <m/>
    <x v="139"/>
    <x v="7"/>
    <x v="1"/>
    <x v="5"/>
    <m/>
    <s v="10414 BoA Chicago 8350"/>
    <n v="65.47"/>
    <n v="56520.639999999999"/>
    <n v="65.47"/>
  </r>
  <r>
    <n v="65061"/>
    <s v="Material for Rooms Expense"/>
    <s v="02/28/2014"/>
    <s v="Check"/>
    <m/>
    <x v="88"/>
    <x v="7"/>
    <x v="1"/>
    <x v="5"/>
    <m/>
    <s v="10414 BoA Chicago 8350"/>
    <n v="3.23"/>
    <n v="57372.2"/>
    <n v="3.23"/>
  </r>
  <r>
    <n v="65061"/>
    <s v="Material for Rooms Expense"/>
    <s v="02/28/2014"/>
    <s v="Check"/>
    <m/>
    <x v="39"/>
    <x v="7"/>
    <x v="1"/>
    <x v="5"/>
    <m/>
    <s v="10414 BoA Chicago 8350"/>
    <n v="75.05"/>
    <n v="57698.21"/>
    <n v="75.05"/>
  </r>
  <r>
    <n v="65061"/>
    <s v="Material for Rooms Expense"/>
    <s v="02/28/2014"/>
    <s v="Check"/>
    <m/>
    <x v="39"/>
    <x v="7"/>
    <x v="1"/>
    <x v="5"/>
    <m/>
    <s v="10414 BoA Chicago 8350"/>
    <n v="21.79"/>
    <n v="57720"/>
    <n v="21.79"/>
  </r>
  <r>
    <n v="65061"/>
    <s v="Material for Rooms Expense"/>
    <s v="03/03/2014"/>
    <s v="Check"/>
    <m/>
    <x v="160"/>
    <x v="7"/>
    <x v="1"/>
    <x v="5"/>
    <m/>
    <s v="10414 BoA Chicago 8350"/>
    <n v="71.63"/>
    <n v="57781.1"/>
    <n v="71.63"/>
  </r>
  <r>
    <n v="65061"/>
    <s v="Material for Rooms Expense"/>
    <s v="03/03/2014"/>
    <s v="Check"/>
    <m/>
    <x v="29"/>
    <x v="7"/>
    <x v="1"/>
    <x v="5"/>
    <m/>
    <s v="10414 BoA Chicago 8350"/>
    <n v="79.86"/>
    <n v="61203.05"/>
    <n v="79.86"/>
  </r>
  <r>
    <n v="65061"/>
    <s v="Material for Rooms Expense"/>
    <s v="03/04/2014"/>
    <s v="Check"/>
    <m/>
    <x v="29"/>
    <x v="7"/>
    <x v="1"/>
    <x v="5"/>
    <m/>
    <s v="10414 BoA Chicago 8350"/>
    <n v="51.07"/>
    <n v="61360.93"/>
    <n v="51.07"/>
  </r>
  <r>
    <n v="65061"/>
    <s v="Material for Rooms Expense"/>
    <s v="03/05/2014"/>
    <s v="Check"/>
    <m/>
    <x v="29"/>
    <x v="7"/>
    <x v="1"/>
    <x v="5"/>
    <m/>
    <s v="10414 BoA Chicago 8350"/>
    <n v="287.72000000000003"/>
    <n v="63192"/>
    <n v="287.72000000000003"/>
  </r>
  <r>
    <n v="65061"/>
    <s v="Material for Rooms Expense"/>
    <s v="03/07/2014"/>
    <s v="Check"/>
    <m/>
    <x v="31"/>
    <x v="7"/>
    <x v="1"/>
    <x v="5"/>
    <m/>
    <s v="10414 BoA Chicago 8350"/>
    <n v="218.49"/>
    <n v="66142.899999999994"/>
    <n v="218.49"/>
  </r>
  <r>
    <n v="65061"/>
    <s v="Material for Rooms Expense"/>
    <s v="03/10/2014"/>
    <s v="Check"/>
    <m/>
    <x v="161"/>
    <x v="7"/>
    <x v="1"/>
    <x v="5"/>
    <m/>
    <s v="10414 BoA Chicago 8350"/>
    <n v="32.159999999999997"/>
    <n v="66980.81"/>
    <n v="32.159999999999997"/>
  </r>
  <r>
    <n v="65061"/>
    <s v="Material for Rooms Expense"/>
    <s v="03/10/2014"/>
    <s v="Check"/>
    <n v="1105"/>
    <x v="150"/>
    <x v="7"/>
    <x v="1"/>
    <x v="5"/>
    <m/>
    <s v="10414 BoA Chicago 8350"/>
    <n v="56.47"/>
    <n v="67584.509999999995"/>
    <n v="56.47"/>
  </r>
  <r>
    <n v="65061"/>
    <s v="Material for Rooms Expense"/>
    <s v="03/10/2014"/>
    <s v="Check"/>
    <m/>
    <x v="55"/>
    <x v="7"/>
    <x v="1"/>
    <x v="5"/>
    <m/>
    <s v="10414 BoA Chicago 8350"/>
    <n v="6.42"/>
    <n v="67650.89"/>
    <n v="6.42"/>
  </r>
  <r>
    <n v="65061"/>
    <s v="Material for Rooms Expense"/>
    <s v="03/10/2014"/>
    <s v="Check"/>
    <m/>
    <x v="55"/>
    <x v="7"/>
    <x v="1"/>
    <x v="5"/>
    <m/>
    <s v="10414 BoA Chicago 8350"/>
    <n v="38.020000000000003"/>
    <n v="67688.91"/>
    <n v="38.020000000000003"/>
  </r>
  <r>
    <n v="65061"/>
    <s v="Material for Rooms Expense"/>
    <s v="03/10/2014"/>
    <s v="Check"/>
    <m/>
    <x v="168"/>
    <x v="7"/>
    <x v="1"/>
    <x v="5"/>
    <m/>
    <s v="10414 BoA Chicago 8350"/>
    <n v="85.78"/>
    <n v="67810.91"/>
    <n v="85.78"/>
  </r>
  <r>
    <n v="65061"/>
    <s v="Material for Rooms Expense"/>
    <s v="03/10/2014"/>
    <s v="Check"/>
    <m/>
    <x v="41"/>
    <x v="7"/>
    <x v="1"/>
    <x v="5"/>
    <m/>
    <s v="10414 BoA Chicago 8350"/>
    <n v="12.18"/>
    <n v="67843.710000000006"/>
    <n v="12.18"/>
  </r>
  <r>
    <n v="65061"/>
    <s v="Material for Rooms Expense"/>
    <s v="03/11/2014"/>
    <s v="Check"/>
    <m/>
    <x v="161"/>
    <x v="7"/>
    <x v="1"/>
    <x v="5"/>
    <m/>
    <s v="10414 BoA Chicago 8350"/>
    <n v="26.93"/>
    <n v="67921.37"/>
    <n v="26.93"/>
  </r>
  <r>
    <n v="65061"/>
    <s v="Material for Rooms Expense"/>
    <s v="03/12/2014"/>
    <s v="Check"/>
    <m/>
    <x v="176"/>
    <x v="7"/>
    <x v="1"/>
    <x v="5"/>
    <m/>
    <s v="10414 BoA Chicago 8350"/>
    <n v="34.75"/>
    <n v="68601.48"/>
    <n v="34.75"/>
  </r>
  <r>
    <n v="65061"/>
    <s v="Material for Rooms Expense"/>
    <s v="03/12/2014"/>
    <s v="Check"/>
    <m/>
    <x v="19"/>
    <x v="7"/>
    <x v="1"/>
    <x v="5"/>
    <m/>
    <s v="10414 BoA Chicago 8350"/>
    <n v="35.96"/>
    <n v="68987.37"/>
    <n v="35.96"/>
  </r>
  <r>
    <n v="65061"/>
    <s v="Material for Rooms Expense"/>
    <s v="03/12/2014"/>
    <s v="Check"/>
    <m/>
    <x v="31"/>
    <x v="7"/>
    <x v="1"/>
    <x v="5"/>
    <m/>
    <s v="10414 BoA Chicago 8350"/>
    <n v="188.97"/>
    <n v="69176.34"/>
    <n v="188.97"/>
  </r>
  <r>
    <n v="65061"/>
    <s v="Material for Rooms Expense"/>
    <s v="03/12/2014"/>
    <s v="Check"/>
    <m/>
    <x v="26"/>
    <x v="7"/>
    <x v="1"/>
    <x v="5"/>
    <m/>
    <s v="10414 BoA Chicago 8350"/>
    <n v="27.73"/>
    <n v="69204.070000000007"/>
    <n v="27.73"/>
  </r>
  <r>
    <n v="65061"/>
    <s v="Material for Rooms Expense"/>
    <s v="03/13/2014"/>
    <s v="Check"/>
    <m/>
    <x v="39"/>
    <x v="7"/>
    <x v="1"/>
    <x v="5"/>
    <m/>
    <s v="10414 BoA Chicago 8350"/>
    <n v="50.13"/>
    <n v="69254.2"/>
    <n v="50.13"/>
  </r>
  <r>
    <n v="65061"/>
    <s v="Material for Rooms Expense"/>
    <s v="03/13/2014"/>
    <s v="Check"/>
    <m/>
    <x v="19"/>
    <x v="7"/>
    <x v="1"/>
    <x v="5"/>
    <m/>
    <s v="10414 BoA Chicago 8350"/>
    <n v="32.159999999999997"/>
    <n v="69286.36"/>
    <n v="32.159999999999997"/>
  </r>
  <r>
    <n v="65061"/>
    <s v="Material for Rooms Expense"/>
    <s v="03/13/2014"/>
    <s v="Check"/>
    <m/>
    <x v="41"/>
    <x v="7"/>
    <x v="1"/>
    <x v="5"/>
    <m/>
    <s v="10414 BoA Chicago 8350"/>
    <n v="31.04"/>
    <n v="69317.399999999994"/>
    <n v="31.04"/>
  </r>
  <r>
    <n v="65061"/>
    <s v="Material for Rooms Expense"/>
    <s v="03/14/2014"/>
    <s v="Check"/>
    <m/>
    <x v="58"/>
    <x v="7"/>
    <x v="1"/>
    <x v="5"/>
    <m/>
    <s v="10414 BoA Chicago 8350"/>
    <n v="18.91"/>
    <n v="69336.31"/>
    <n v="18.91"/>
  </r>
  <r>
    <n v="65061"/>
    <s v="Material for Rooms Expense"/>
    <s v="03/14/2014"/>
    <s v="Check"/>
    <m/>
    <x v="39"/>
    <x v="7"/>
    <x v="1"/>
    <x v="5"/>
    <m/>
    <s v="10414 BoA Chicago 8350"/>
    <n v="53.61"/>
    <n v="69644"/>
    <n v="53.61"/>
  </r>
  <r>
    <n v="65061"/>
    <s v="Material for Rooms Expense"/>
    <s v="03/14/2014"/>
    <s v="Deposit"/>
    <m/>
    <x v="41"/>
    <x v="7"/>
    <x v="1"/>
    <x v="5"/>
    <m/>
    <s v="10414 BoA Chicago 8350"/>
    <n v="-6.73"/>
    <n v="69637.27"/>
    <n v="-6.73"/>
  </r>
  <r>
    <n v="65061"/>
    <s v="Material for Rooms Expense"/>
    <s v="03/17/2014"/>
    <s v="Check"/>
    <m/>
    <x v="177"/>
    <x v="7"/>
    <x v="1"/>
    <x v="5"/>
    <m/>
    <s v="10414 BoA Chicago 8350"/>
    <n v="327.49"/>
    <n v="70945.399999999994"/>
    <n v="327.49"/>
  </r>
  <r>
    <n v="65061"/>
    <s v="Material for Rooms Expense"/>
    <s v="03/17/2014"/>
    <s v="Check"/>
    <m/>
    <x v="58"/>
    <x v="7"/>
    <x v="1"/>
    <x v="5"/>
    <m/>
    <s v="10414 BoA Chicago 8350"/>
    <n v="51.75"/>
    <n v="71357.13"/>
    <n v="51.75"/>
  </r>
  <r>
    <n v="65061"/>
    <s v="Material for Rooms Expense"/>
    <s v="03/17/2014"/>
    <s v="Deposit"/>
    <m/>
    <x v="39"/>
    <x v="7"/>
    <x v="1"/>
    <x v="5"/>
    <m/>
    <s v="10414 BoA Chicago 8350"/>
    <n v="-26.93"/>
    <n v="71330.2"/>
    <n v="-26.93"/>
  </r>
  <r>
    <n v="65061"/>
    <s v="Material for Rooms Expense"/>
    <s v="03/17/2014"/>
    <s v="Deposit"/>
    <m/>
    <x v="73"/>
    <x v="7"/>
    <x v="1"/>
    <x v="5"/>
    <m/>
    <s v="10414 BoA Chicago 8350"/>
    <n v="-21.69"/>
    <n v="71308.509999999995"/>
    <n v="-21.69"/>
  </r>
  <r>
    <n v="65061"/>
    <s v="Material for Rooms Expense"/>
    <s v="03/17/2014"/>
    <s v="Check"/>
    <m/>
    <x v="73"/>
    <x v="7"/>
    <x v="1"/>
    <x v="5"/>
    <m/>
    <s v="10414 BoA Chicago 8350"/>
    <n v="42.4"/>
    <n v="71350.91"/>
    <n v="42.4"/>
  </r>
  <r>
    <n v="65061"/>
    <s v="Material for Rooms Expense"/>
    <s v="03/17/2014"/>
    <s v="Check"/>
    <m/>
    <x v="41"/>
    <x v="7"/>
    <x v="1"/>
    <x v="5"/>
    <m/>
    <s v="10414 BoA Chicago 8350"/>
    <n v="11.55"/>
    <n v="71362.460000000006"/>
    <n v="11.55"/>
  </r>
  <r>
    <n v="65061"/>
    <s v="Material for Rooms Expense"/>
    <s v="03/17/2014"/>
    <s v="Check"/>
    <m/>
    <x v="70"/>
    <x v="7"/>
    <x v="1"/>
    <x v="5"/>
    <m/>
    <s v="10414 BoA Chicago 8350"/>
    <n v="20.74"/>
    <n v="71413.42"/>
    <n v="20.74"/>
  </r>
  <r>
    <n v="65061"/>
    <s v="Material for Rooms Expense"/>
    <s v="03/17/2014"/>
    <s v="Check"/>
    <m/>
    <x v="178"/>
    <x v="7"/>
    <x v="1"/>
    <x v="5"/>
    <m/>
    <s v="10414 BoA Chicago 8350"/>
    <n v="142.22"/>
    <n v="72084.77"/>
    <n v="142.22"/>
  </r>
  <r>
    <n v="65061"/>
    <s v="Material for Rooms Expense"/>
    <s v="03/18/2014"/>
    <s v="Deposit"/>
    <m/>
    <x v="19"/>
    <x v="7"/>
    <x v="1"/>
    <x v="5"/>
    <m/>
    <s v="10414 BoA Chicago 8350"/>
    <n v="-87.39"/>
    <n v="73007.210000000006"/>
    <n v="-87.39"/>
  </r>
  <r>
    <n v="65061"/>
    <s v="Material for Rooms Expense"/>
    <s v="03/19/2014"/>
    <s v="Deposit"/>
    <m/>
    <x v="58"/>
    <x v="7"/>
    <x v="1"/>
    <x v="5"/>
    <m/>
    <s v="10414 BoA Chicago 8350"/>
    <n v="-91.99"/>
    <n v="72871.100000000006"/>
    <n v="-91.99"/>
  </r>
  <r>
    <n v="65061"/>
    <s v="Material for Rooms Expense"/>
    <s v="03/20/2014"/>
    <s v="Check"/>
    <n v="1095"/>
    <x v="179"/>
    <x v="7"/>
    <x v="1"/>
    <x v="5"/>
    <m/>
    <s v="10414 BoA Chicago 8350"/>
    <n v="323.92"/>
    <n v="73195.02"/>
    <n v="323.92"/>
  </r>
  <r>
    <n v="65061"/>
    <s v="Material for Rooms Expense"/>
    <s v="03/20/2014"/>
    <s v="Check"/>
    <n v="1099"/>
    <x v="179"/>
    <x v="7"/>
    <x v="1"/>
    <x v="5"/>
    <m/>
    <s v="10414 BoA Chicago 8350"/>
    <n v="141.72999999999999"/>
    <n v="73336.75"/>
    <n v="141.72999999999999"/>
  </r>
  <r>
    <n v="65061"/>
    <s v="Material for Rooms Expense"/>
    <s v="03/20/2014"/>
    <s v="Check"/>
    <n v="1107"/>
    <x v="179"/>
    <x v="7"/>
    <x v="1"/>
    <x v="5"/>
    <m/>
    <s v="10414 BoA Chicago 8350"/>
    <n v="165.38"/>
    <n v="73502.13"/>
    <n v="165.38"/>
  </r>
  <r>
    <n v="65061"/>
    <s v="Material for Rooms Expense"/>
    <s v="04/04/2014"/>
    <s v="Check"/>
    <m/>
    <x v="29"/>
    <x v="7"/>
    <x v="1"/>
    <x v="5"/>
    <m/>
    <s v="10414 BoA Chicago 8350"/>
    <n v="29.13"/>
    <n v="86590.02"/>
    <n v="29.13"/>
  </r>
  <r>
    <n v="65061"/>
    <s v="Material for Rooms Expense"/>
    <s v="04/07/2014"/>
    <s v="Check"/>
    <m/>
    <x v="9"/>
    <x v="7"/>
    <x v="1"/>
    <x v="5"/>
    <m/>
    <s v="10414 BoA Chicago 8350"/>
    <n v="15.07"/>
    <n v="88502.01"/>
    <n v="15.07"/>
  </r>
  <r>
    <n v="65061"/>
    <s v="Material for Rooms Expense"/>
    <s v="04/07/2014"/>
    <s v="Check"/>
    <m/>
    <x v="6"/>
    <x v="7"/>
    <x v="1"/>
    <x v="5"/>
    <m/>
    <s v="10414 BoA Chicago 8350"/>
    <n v="5.8"/>
    <n v="88641.1"/>
    <n v="5.8"/>
  </r>
  <r>
    <n v="65061"/>
    <s v="Material for Rooms Expense"/>
    <s v="04/08/2014"/>
    <s v="Check"/>
    <m/>
    <x v="180"/>
    <x v="7"/>
    <x v="1"/>
    <x v="5"/>
    <m/>
    <s v="10414 BoA Chicago 8350"/>
    <n v="105.94"/>
    <n v="90300.15"/>
    <n v="105.94"/>
  </r>
  <r>
    <n v="65061"/>
    <s v="Material for Rooms Expense"/>
    <s v="04/10/2014"/>
    <s v="Check"/>
    <m/>
    <x v="160"/>
    <x v="7"/>
    <x v="1"/>
    <x v="5"/>
    <m/>
    <s v="10414 BoA Chicago 8350"/>
    <n v="108.34"/>
    <n v="90951.27"/>
    <n v="108.34"/>
  </r>
  <r>
    <n v="65061"/>
    <s v="Material for Rooms Expense"/>
    <s v="04/10/2014"/>
    <s v="Check"/>
    <m/>
    <x v="67"/>
    <x v="7"/>
    <x v="1"/>
    <x v="5"/>
    <m/>
    <s v="10414 BoA Chicago 8350"/>
    <n v="62.04"/>
    <n v="91013.31"/>
    <n v="62.04"/>
  </r>
  <r>
    <n v="65061"/>
    <s v="Material for Rooms Expense"/>
    <s v="04/11/2014"/>
    <s v="Check"/>
    <m/>
    <x v="142"/>
    <x v="7"/>
    <x v="1"/>
    <x v="5"/>
    <m/>
    <s v="10414 BoA Chicago 8350"/>
    <n v="225.24"/>
    <n v="91877.6"/>
    <n v="225.24"/>
  </r>
  <r>
    <n v="65061"/>
    <s v="Material for Rooms Expense"/>
    <s v="04/11/2014"/>
    <s v="Check"/>
    <m/>
    <x v="31"/>
    <x v="7"/>
    <x v="1"/>
    <x v="5"/>
    <m/>
    <s v="10414 BoA Chicago 8350"/>
    <n v="193.97"/>
    <n v="92071.57"/>
    <n v="193.97"/>
  </r>
  <r>
    <n v="65061"/>
    <s v="Material for Rooms Expense"/>
    <s v="04/11/2014"/>
    <s v="Check"/>
    <m/>
    <x v="159"/>
    <x v="7"/>
    <x v="1"/>
    <x v="5"/>
    <m/>
    <s v="10414 BoA Chicago 8350"/>
    <n v="80"/>
    <n v="92151.57"/>
    <n v="80"/>
  </r>
  <r>
    <n v="65061"/>
    <s v="Material for Rooms Expense"/>
    <s v="04/14/2014"/>
    <s v="Check"/>
    <m/>
    <x v="29"/>
    <x v="7"/>
    <x v="1"/>
    <x v="5"/>
    <m/>
    <s v="10414 BoA Chicago 8350"/>
    <n v="106.99"/>
    <n v="92497.23"/>
    <n v="106.99"/>
  </r>
  <r>
    <n v="65061"/>
    <s v="Material for Rooms Expense"/>
    <s v="04/14/2014"/>
    <s v="Check"/>
    <m/>
    <x v="33"/>
    <x v="7"/>
    <x v="1"/>
    <x v="5"/>
    <m/>
    <s v="10414 BoA Chicago 8350"/>
    <n v="91.59"/>
    <n v="92588.82"/>
    <n v="91.59"/>
  </r>
  <r>
    <n v="65061"/>
    <s v="Material for Rooms Expense"/>
    <s v="04/16/2014"/>
    <s v="Check"/>
    <m/>
    <x v="33"/>
    <x v="7"/>
    <x v="1"/>
    <x v="5"/>
    <m/>
    <s v="10414 BoA Chicago 8350"/>
    <n v="60"/>
    <n v="97018.33"/>
    <n v="60"/>
  </r>
  <r>
    <n v="65061"/>
    <s v="Material for Rooms Expense"/>
    <s v="04/16/2014"/>
    <s v="Check"/>
    <m/>
    <x v="181"/>
    <x v="7"/>
    <x v="1"/>
    <x v="5"/>
    <m/>
    <s v="10414 BoA Chicago 8350"/>
    <n v="55.45"/>
    <n v="97443.17"/>
    <n v="55.45"/>
  </r>
  <r>
    <n v="65061"/>
    <s v="Material for Rooms Expense"/>
    <s v="04/21/2014"/>
    <s v="Check"/>
    <m/>
    <x v="160"/>
    <x v="7"/>
    <x v="1"/>
    <x v="5"/>
    <m/>
    <s v="10414 BoA Chicago 8350"/>
    <n v="84.73"/>
    <n v="100228.23"/>
    <n v="84.73"/>
  </r>
  <r>
    <n v="65061"/>
    <s v="Material for Rooms Expense"/>
    <s v="04/21/2014"/>
    <s v="Deposit"/>
    <m/>
    <x v="39"/>
    <x v="7"/>
    <x v="1"/>
    <x v="5"/>
    <m/>
    <s v="10414 BoA Chicago 8350"/>
    <n v="-141.99"/>
    <n v="100086.24"/>
    <n v="-141.99"/>
  </r>
  <r>
    <n v="65061"/>
    <s v="Material for Rooms Expense"/>
    <s v="04/21/2014"/>
    <s v="Check"/>
    <m/>
    <x v="118"/>
    <x v="7"/>
    <x v="1"/>
    <x v="5"/>
    <m/>
    <s v="10414 BoA Chicago 8350"/>
    <n v="202.06"/>
    <n v="100559.33"/>
    <n v="202.06"/>
  </r>
  <r>
    <n v="65061"/>
    <s v="Material for Rooms Expense"/>
    <s v="04/22/2014"/>
    <s v="Check"/>
    <m/>
    <x v="19"/>
    <x v="7"/>
    <x v="1"/>
    <x v="5"/>
    <m/>
    <s v="10414 BoA Chicago 8350"/>
    <n v="30.32"/>
    <n v="101655.8"/>
    <n v="30.32"/>
  </r>
  <r>
    <n v="65061"/>
    <s v="Material for Rooms Expense"/>
    <s v="04/22/2014"/>
    <s v="Check"/>
    <m/>
    <x v="175"/>
    <x v="7"/>
    <x v="1"/>
    <x v="5"/>
    <m/>
    <s v="10414 BoA Chicago 8350"/>
    <n v="101.96"/>
    <n v="101943.75"/>
    <n v="101.96"/>
  </r>
  <r>
    <n v="65061"/>
    <s v="Material for Rooms Expense"/>
    <s v="04/23/2014"/>
    <s v="Check"/>
    <m/>
    <x v="175"/>
    <x v="7"/>
    <x v="1"/>
    <x v="5"/>
    <m/>
    <s v="10414 BoA Chicago 8350"/>
    <n v="90.29"/>
    <n v="103048.57"/>
    <n v="90.29"/>
  </r>
  <r>
    <n v="65061"/>
    <s v="Material for Rooms Expense"/>
    <s v="04/23/2014"/>
    <s v="Check"/>
    <m/>
    <x v="19"/>
    <x v="7"/>
    <x v="1"/>
    <x v="5"/>
    <m/>
    <s v="10414 BoA Chicago 8350"/>
    <n v="16.34"/>
    <n v="103064.91"/>
    <n v="16.34"/>
  </r>
  <r>
    <n v="65061"/>
    <s v="Material for Rooms Expense"/>
    <s v="04/23/2014"/>
    <s v="Check"/>
    <m/>
    <x v="31"/>
    <x v="7"/>
    <x v="1"/>
    <x v="5"/>
    <m/>
    <s v="10414 BoA Chicago 8350"/>
    <n v="263.66000000000003"/>
    <n v="103328.57"/>
    <n v="263.66000000000003"/>
  </r>
  <r>
    <n v="65061"/>
    <s v="Material for Rooms Expense"/>
    <s v="04/24/2014"/>
    <s v="Check"/>
    <m/>
    <x v="182"/>
    <x v="7"/>
    <x v="1"/>
    <x v="5"/>
    <m/>
    <s v="10414 BoA Chicago 8350"/>
    <n v="79.989999999999995"/>
    <n v="103408.56"/>
    <n v="79.989999999999995"/>
  </r>
  <r>
    <n v="65061"/>
    <s v="Material for Rooms Expense"/>
    <s v="04/24/2014"/>
    <s v="Check"/>
    <m/>
    <x v="39"/>
    <x v="7"/>
    <x v="1"/>
    <x v="5"/>
    <m/>
    <s v="10414 BoA Chicago 8350"/>
    <n v="5.45"/>
    <n v="103414.01"/>
    <n v="5.45"/>
  </r>
  <r>
    <n v="65061"/>
    <s v="Material for Rooms Expense"/>
    <s v="04/24/2014"/>
    <s v="Check"/>
    <m/>
    <x v="73"/>
    <x v="7"/>
    <x v="1"/>
    <x v="5"/>
    <m/>
    <s v="10414 BoA Chicago 8350"/>
    <n v="312.69"/>
    <n v="103726.7"/>
    <n v="312.69"/>
  </r>
  <r>
    <n v="65061"/>
    <s v="Material for Rooms Expense"/>
    <s v="04/24/2014"/>
    <s v="Check"/>
    <m/>
    <x v="160"/>
    <x v="7"/>
    <x v="1"/>
    <x v="5"/>
    <m/>
    <s v="10414 BoA Chicago 8350"/>
    <n v="354.04"/>
    <n v="103984.18"/>
    <n v="354.04"/>
  </r>
  <r>
    <n v="65061"/>
    <s v="Material for Rooms Expense"/>
    <s v="04/24/2014"/>
    <s v="Check"/>
    <m/>
    <x v="118"/>
    <x v="7"/>
    <x v="1"/>
    <x v="5"/>
    <m/>
    <s v="10414 BoA Chicago 8350"/>
    <n v="46.85"/>
    <n v="104031.03"/>
    <n v="46.85"/>
  </r>
  <r>
    <n v="65061"/>
    <s v="Material for Rooms Expense"/>
    <s v="04/25/2014"/>
    <s v="Check"/>
    <m/>
    <x v="19"/>
    <x v="7"/>
    <x v="1"/>
    <x v="5"/>
    <m/>
    <s v="10414 BoA Chicago 8350"/>
    <n v="51.13"/>
    <n v="104982.43"/>
    <n v="51.13"/>
  </r>
  <r>
    <n v="65061"/>
    <s v="Material for Rooms Expense"/>
    <s v="04/25/2014"/>
    <s v="Check"/>
    <m/>
    <x v="183"/>
    <x v="7"/>
    <x v="1"/>
    <x v="5"/>
    <m/>
    <s v="10414 BoA Chicago 8350"/>
    <n v="193.94"/>
    <n v="105176.37"/>
    <n v="193.94"/>
  </r>
  <r>
    <n v="65061"/>
    <s v="Material for Rooms Expense"/>
    <s v="04/25/2014"/>
    <s v="Check"/>
    <m/>
    <x v="177"/>
    <x v="7"/>
    <x v="1"/>
    <x v="5"/>
    <m/>
    <s v="10414 BoA Chicago 8350"/>
    <n v="35.549999999999997"/>
    <n v="105211.92"/>
    <n v="35.549999999999997"/>
  </r>
  <r>
    <n v="65061"/>
    <s v="Material for Rooms Expense"/>
    <s v="04/25/2014"/>
    <s v="Check"/>
    <m/>
    <x v="142"/>
    <x v="7"/>
    <x v="1"/>
    <x v="5"/>
    <m/>
    <s v="10414 BoA Chicago 8350"/>
    <n v="116.85"/>
    <n v="105359.72"/>
    <n v="116.85"/>
  </r>
  <r>
    <n v="65061"/>
    <s v="Material for Rooms Expense"/>
    <s v="04/25/2014"/>
    <s v="Check"/>
    <m/>
    <x v="58"/>
    <x v="7"/>
    <x v="1"/>
    <x v="5"/>
    <m/>
    <s v="10414 BoA Chicago 8350"/>
    <n v="34.6"/>
    <n v="105394.32"/>
    <n v="34.6"/>
  </r>
  <r>
    <n v="65061"/>
    <s v="Material for Rooms Expense"/>
    <s v="04/28/2014"/>
    <s v="Check"/>
    <m/>
    <x v="41"/>
    <x v="7"/>
    <x v="1"/>
    <x v="5"/>
    <m/>
    <s v="10414 BoA Chicago 8350"/>
    <n v="13.93"/>
    <n v="106266.95"/>
    <n v="13.93"/>
  </r>
  <r>
    <n v="65061"/>
    <s v="Material for Rooms Expense"/>
    <s v="04/28/2014"/>
    <s v="Check"/>
    <m/>
    <x v="176"/>
    <x v="7"/>
    <x v="1"/>
    <x v="5"/>
    <m/>
    <s v="10414 BoA Chicago 8350"/>
    <n v="57.53"/>
    <n v="106324.48"/>
    <n v="57.53"/>
  </r>
  <r>
    <n v="65061"/>
    <s v="Material for Rooms Expense"/>
    <s v="04/29/2014"/>
    <s v="Check"/>
    <m/>
    <x v="184"/>
    <x v="7"/>
    <x v="1"/>
    <x v="5"/>
    <m/>
    <s v="10414 BoA Chicago 8350"/>
    <n v="48.99"/>
    <n v="109423.07"/>
    <n v="48.99"/>
  </r>
  <r>
    <n v="65061"/>
    <s v="Material for Rooms Expense"/>
    <s v="04/30/2014"/>
    <s v="Check"/>
    <m/>
    <x v="185"/>
    <x v="7"/>
    <x v="1"/>
    <x v="5"/>
    <m/>
    <s v="10414 BoA Chicago 8350"/>
    <n v="5.35"/>
    <n v="109554.11"/>
    <n v="5.35"/>
  </r>
  <r>
    <n v="65061"/>
    <s v="Material for Rooms Expense"/>
    <s v="05/01/2014"/>
    <s v="Expense"/>
    <m/>
    <x v="29"/>
    <x v="7"/>
    <x v="1"/>
    <x v="5"/>
    <m/>
    <s v="10414 BoA Chicago 8350"/>
    <n v="191.98"/>
    <n v="114529.14"/>
    <n v="191.98"/>
  </r>
  <r>
    <n v="65061"/>
    <s v="Material for Rooms Expense"/>
    <s v="05/01/2014"/>
    <s v="Expense"/>
    <m/>
    <x v="186"/>
    <x v="7"/>
    <x v="1"/>
    <x v="5"/>
    <m/>
    <s v="10414 BoA Chicago 8350"/>
    <n v="21.52"/>
    <n v="114600.84"/>
    <n v="21.52"/>
  </r>
  <r>
    <n v="65061"/>
    <s v="Material for Rooms Expense"/>
    <s v="05/02/2014"/>
    <s v="Expense"/>
    <m/>
    <x v="175"/>
    <x v="7"/>
    <x v="1"/>
    <x v="5"/>
    <m/>
    <s v="10414 BoA Chicago 8350"/>
    <n v="90.32"/>
    <n v="114645.74"/>
    <n v="90.32"/>
  </r>
  <r>
    <n v="65061"/>
    <s v="Material for Rooms Expense"/>
    <s v="05/02/2014"/>
    <s v="Expense"/>
    <m/>
    <x v="160"/>
    <x v="7"/>
    <x v="1"/>
    <x v="5"/>
    <m/>
    <s v="10414 BoA Chicago 8350"/>
    <n v="468.95"/>
    <n v="115394.64"/>
    <n v="468.95"/>
  </r>
  <r>
    <n v="65061"/>
    <s v="Material for Rooms Expense"/>
    <s v="05/02/2014"/>
    <s v="Expense"/>
    <m/>
    <x v="170"/>
    <x v="7"/>
    <x v="1"/>
    <x v="5"/>
    <m/>
    <s v="10414 BoA Chicago 8350"/>
    <n v="15.09"/>
    <n v="115409.73"/>
    <n v="15.09"/>
  </r>
  <r>
    <n v="65061"/>
    <s v="Material for Rooms Expense"/>
    <s v="05/05/2014"/>
    <s v="Check"/>
    <n v="1010"/>
    <x v="187"/>
    <x v="7"/>
    <x v="1"/>
    <x v="5"/>
    <m/>
    <s v="10414 BoA Chicago 8350"/>
    <n v="54.61"/>
    <n v="115947.96"/>
    <n v="54.61"/>
  </r>
  <r>
    <n v="65061"/>
    <s v="Material for Rooms Expense"/>
    <s v="05/05/2014"/>
    <s v="Expense"/>
    <m/>
    <x v="166"/>
    <x v="7"/>
    <x v="1"/>
    <x v="5"/>
    <m/>
    <s v="10414 BoA Chicago 8350"/>
    <n v="6.45"/>
    <n v="116179.66"/>
    <n v="6.45"/>
  </r>
  <r>
    <n v="65061"/>
    <s v="Material for Rooms Expense"/>
    <s v="05/05/2014"/>
    <s v="Expense"/>
    <m/>
    <x v="160"/>
    <x v="7"/>
    <x v="1"/>
    <x v="5"/>
    <m/>
    <s v="10414 BoA Chicago 8350"/>
    <n v="21.45"/>
    <n v="116201.11"/>
    <n v="21.45"/>
  </r>
  <r>
    <n v="65061"/>
    <s v="Material for Rooms Expense"/>
    <s v="05/05/2014"/>
    <s v="Expense"/>
    <m/>
    <x v="16"/>
    <x v="7"/>
    <x v="1"/>
    <x v="5"/>
    <m/>
    <s v="10414 BoA Chicago 8350"/>
    <n v="28.54"/>
    <n v="116229.65"/>
    <n v="28.54"/>
  </r>
  <r>
    <n v="65061"/>
    <s v="Material for Rooms Expense"/>
    <s v="05/05/2014"/>
    <s v="Deposit"/>
    <m/>
    <x v="160"/>
    <x v="7"/>
    <x v="1"/>
    <x v="5"/>
    <m/>
    <s v="10414 BoA Chicago 8350"/>
    <n v="-96.19"/>
    <n v="116133.46"/>
    <n v="-96.19"/>
  </r>
  <r>
    <n v="65061"/>
    <s v="Material for Rooms Expense"/>
    <s v="05/05/2014"/>
    <s v="Expense"/>
    <m/>
    <x v="23"/>
    <x v="7"/>
    <x v="1"/>
    <x v="5"/>
    <m/>
    <s v="10414 BoA Chicago 8350"/>
    <n v="63.74"/>
    <n v="116197.2"/>
    <n v="63.74"/>
  </r>
  <r>
    <n v="65061"/>
    <s v="Material for Rooms Expense"/>
    <s v="05/05/2014"/>
    <s v="Deposit"/>
    <m/>
    <x v="160"/>
    <x v="7"/>
    <x v="1"/>
    <x v="5"/>
    <m/>
    <s v="10414 BoA Chicago 8350"/>
    <n v="-82.76"/>
    <n v="116114.44"/>
    <n v="-82.76"/>
  </r>
  <r>
    <n v="65061"/>
    <s v="Material for Rooms Expense"/>
    <s v="05/05/2014"/>
    <s v="Expense"/>
    <m/>
    <x v="53"/>
    <x v="7"/>
    <x v="1"/>
    <x v="5"/>
    <m/>
    <s v="10414 BoA Chicago 8350"/>
    <n v="784.36"/>
    <n v="116898.8"/>
    <n v="784.36"/>
  </r>
  <r>
    <n v="65061"/>
    <s v="Material for Rooms Expense"/>
    <s v="05/06/2014"/>
    <s v="Expense"/>
    <m/>
    <x v="188"/>
    <x v="7"/>
    <x v="1"/>
    <x v="5"/>
    <m/>
    <s v="10414 BoA Chicago 8350"/>
    <n v="69.95"/>
    <n v="121360.62"/>
    <n v="69.95"/>
  </r>
  <r>
    <n v="65061"/>
    <s v="Material for Rooms Expense"/>
    <s v="05/06/2014"/>
    <s v="Expense"/>
    <m/>
    <x v="189"/>
    <x v="7"/>
    <x v="1"/>
    <x v="5"/>
    <m/>
    <s v="10414 BoA Chicago 8350"/>
    <n v="71.28"/>
    <n v="121431.9"/>
    <n v="71.28"/>
  </r>
  <r>
    <n v="65061"/>
    <s v="Material for Rooms Expense"/>
    <s v="05/07/2014"/>
    <s v="Expense"/>
    <m/>
    <x v="166"/>
    <x v="7"/>
    <x v="1"/>
    <x v="5"/>
    <m/>
    <s v="10414 BoA Chicago 8350"/>
    <n v="92.09"/>
    <n v="121674.88"/>
    <n v="92.09"/>
  </r>
  <r>
    <n v="65061"/>
    <s v="Material for Rooms Expense"/>
    <s v="05/08/2014"/>
    <s v="Expense"/>
    <m/>
    <x v="6"/>
    <x v="7"/>
    <x v="1"/>
    <x v="5"/>
    <m/>
    <s v="10414 BoA Chicago 8350"/>
    <n v="11.35"/>
    <n v="124089.81"/>
    <n v="11.35"/>
  </r>
  <r>
    <n v="65061"/>
    <s v="Material for Rooms Expense"/>
    <s v="05/08/2014"/>
    <s v="Expense"/>
    <m/>
    <x v="190"/>
    <x v="7"/>
    <x v="1"/>
    <x v="5"/>
    <m/>
    <s v="10414 BoA Chicago 8350"/>
    <n v="34.49"/>
    <n v="124124.3"/>
    <n v="34.49"/>
  </r>
  <r>
    <n v="65061"/>
    <s v="Material for Rooms Expense"/>
    <s v="05/08/2014"/>
    <s v="Expense"/>
    <m/>
    <x v="191"/>
    <x v="7"/>
    <x v="1"/>
    <x v="5"/>
    <m/>
    <s v="10414 BoA Chicago 8350"/>
    <n v="9.77"/>
    <n v="124508.18"/>
    <n v="9.77"/>
  </r>
  <r>
    <n v="65061"/>
    <s v="Material for Rooms Expense"/>
    <s v="05/09/2014"/>
    <s v="Expense"/>
    <m/>
    <x v="192"/>
    <x v="7"/>
    <x v="1"/>
    <x v="5"/>
    <m/>
    <s v="10414 BoA Chicago 8350"/>
    <n v="22.88"/>
    <n v="126667.21"/>
    <n v="22.88"/>
  </r>
  <r>
    <n v="65061"/>
    <s v="Material for Rooms Expense"/>
    <s v="05/09/2014"/>
    <s v="Expense"/>
    <m/>
    <x v="193"/>
    <x v="7"/>
    <x v="1"/>
    <x v="5"/>
    <m/>
    <s v="10414 BoA Chicago 8350"/>
    <n v="45.51"/>
    <n v="126712.72"/>
    <n v="45.51"/>
  </r>
  <r>
    <n v="65061"/>
    <s v="Material for Rooms Expense"/>
    <s v="05/12/2014"/>
    <s v="Expense"/>
    <m/>
    <x v="19"/>
    <x v="7"/>
    <x v="1"/>
    <x v="5"/>
    <m/>
    <s v="10414 BoA Chicago 8350"/>
    <n v="24.83"/>
    <n v="129551.65"/>
    <n v="24.83"/>
  </r>
  <r>
    <n v="65061"/>
    <s v="Material for Rooms Expense"/>
    <s v="05/12/2014"/>
    <s v="Expense"/>
    <m/>
    <x v="39"/>
    <x v="7"/>
    <x v="1"/>
    <x v="5"/>
    <m/>
    <s v="10414 BoA Chicago 8350"/>
    <n v="48.22"/>
    <n v="129599.87"/>
    <n v="48.22"/>
  </r>
  <r>
    <n v="65061"/>
    <s v="Material for Rooms Expense"/>
    <s v="05/12/2014"/>
    <s v="Deposit"/>
    <m/>
    <x v="184"/>
    <x v="7"/>
    <x v="1"/>
    <x v="5"/>
    <m/>
    <s v="10414 BoA Chicago 8350"/>
    <n v="-48.99"/>
    <n v="129550.88"/>
    <n v="-48.99"/>
  </r>
  <r>
    <n v="65061"/>
    <s v="Material for Rooms Expense"/>
    <s v="05/12/2014"/>
    <s v="Expense"/>
    <m/>
    <x v="53"/>
    <x v="7"/>
    <x v="1"/>
    <x v="5"/>
    <m/>
    <s v="10414 BoA Chicago 8350"/>
    <n v="13.83"/>
    <n v="129564.71"/>
    <n v="13.83"/>
  </r>
  <r>
    <n v="65061"/>
    <s v="Material for Rooms Expense"/>
    <s v="05/12/2014"/>
    <s v="Expense"/>
    <m/>
    <x v="168"/>
    <x v="7"/>
    <x v="1"/>
    <x v="5"/>
    <m/>
    <s v="10414 BoA Chicago 8350"/>
    <n v="7.51"/>
    <n v="129572.22"/>
    <n v="7.51"/>
  </r>
  <r>
    <n v="65061"/>
    <s v="Material for Rooms Expense"/>
    <s v="05/13/2014"/>
    <s v="Expense"/>
    <m/>
    <x v="160"/>
    <x v="7"/>
    <x v="1"/>
    <x v="5"/>
    <m/>
    <s v="10414 BoA Chicago 8350"/>
    <n v="221.54"/>
    <n v="132119.56"/>
    <n v="221.54"/>
  </r>
  <r>
    <n v="65061"/>
    <s v="Material for Rooms Expense"/>
    <s v="05/14/2014"/>
    <s v="Expense"/>
    <m/>
    <x v="194"/>
    <x v="7"/>
    <x v="1"/>
    <x v="5"/>
    <m/>
    <s v="10414 BoA Chicago 8350"/>
    <n v="78.7"/>
    <n v="132320.25"/>
    <n v="78.7"/>
  </r>
  <r>
    <n v="65061"/>
    <s v="Material for Rooms Expense"/>
    <s v="05/16/2014"/>
    <s v="Expense"/>
    <m/>
    <x v="195"/>
    <x v="7"/>
    <x v="1"/>
    <x v="5"/>
    <m/>
    <s v="10414 BoA Chicago 8350"/>
    <n v="37.54"/>
    <n v="136532.53"/>
    <n v="37.54"/>
  </r>
  <r>
    <n v="65061"/>
    <s v="Material for Rooms Expense"/>
    <s v="05/19/2014"/>
    <s v="Expense"/>
    <m/>
    <x v="19"/>
    <x v="7"/>
    <x v="1"/>
    <x v="5"/>
    <m/>
    <s v="10414 BoA Chicago 8350"/>
    <n v="63.72"/>
    <n v="136959.43"/>
    <n v="63.72"/>
  </r>
  <r>
    <n v="65061"/>
    <s v="Material for Rooms Expense"/>
    <s v="05/19/2014"/>
    <s v="Expense"/>
    <m/>
    <x v="29"/>
    <x v="7"/>
    <x v="1"/>
    <x v="5"/>
    <m/>
    <s v="10414 BoA Chicago 8350"/>
    <n v="10.039999999999999"/>
    <n v="136969.47"/>
    <n v="10.039999999999999"/>
  </r>
  <r>
    <n v="65061"/>
    <s v="Material for Rooms Expense"/>
    <s v="05/19/2014"/>
    <s v="Expense"/>
    <m/>
    <x v="58"/>
    <x v="7"/>
    <x v="1"/>
    <x v="5"/>
    <m/>
    <s v="10414 BoA Chicago 8350"/>
    <n v="34.799999999999997"/>
    <n v="137004.26999999999"/>
    <n v="34.799999999999997"/>
  </r>
  <r>
    <n v="65061"/>
    <s v="Material for Rooms Expense"/>
    <s v="05/19/2014"/>
    <s v="Expense"/>
    <m/>
    <x v="73"/>
    <x v="7"/>
    <x v="1"/>
    <x v="5"/>
    <m/>
    <s v="10414 BoA Chicago 8350"/>
    <n v="542.47"/>
    <n v="137546.74"/>
    <n v="542.47"/>
  </r>
  <r>
    <n v="65061"/>
    <s v="Material for Rooms Expense"/>
    <s v="05/19/2014"/>
    <s v="Expense"/>
    <m/>
    <x v="170"/>
    <x v="7"/>
    <x v="1"/>
    <x v="5"/>
    <m/>
    <s v="10414 BoA Chicago 8350"/>
    <n v="6.47"/>
    <n v="137553.21"/>
    <n v="6.47"/>
  </r>
  <r>
    <n v="65061"/>
    <s v="Material for Rooms Expense"/>
    <s v="05/19/2014"/>
    <s v="Expense"/>
    <m/>
    <x v="196"/>
    <x v="7"/>
    <x v="1"/>
    <x v="5"/>
    <m/>
    <s v="10414 BoA Chicago 8350"/>
    <n v="98.78"/>
    <n v="137651.99"/>
    <n v="98.78"/>
  </r>
  <r>
    <n v="65061"/>
    <s v="Material for Rooms Expense"/>
    <s v="05/19/2014"/>
    <s v="Expense"/>
    <m/>
    <x v="41"/>
    <x v="7"/>
    <x v="1"/>
    <x v="5"/>
    <m/>
    <s v="10414 BoA Chicago 8350"/>
    <n v="5.15"/>
    <n v="137657.14000000001"/>
    <n v="5.15"/>
  </r>
  <r>
    <n v="65061"/>
    <s v="Material for Rooms Expense"/>
    <s v="05/19/2014"/>
    <s v="Expense"/>
    <m/>
    <x v="58"/>
    <x v="7"/>
    <x v="1"/>
    <x v="5"/>
    <m/>
    <s v="10414 BoA Chicago 8350"/>
    <n v="187.3"/>
    <n v="137844.44"/>
    <n v="187.3"/>
  </r>
  <r>
    <n v="65061"/>
    <s v="Material for Rooms Expense"/>
    <s v="05/19/2014"/>
    <s v="Expense"/>
    <m/>
    <x v="66"/>
    <x v="7"/>
    <x v="1"/>
    <x v="5"/>
    <m/>
    <s v="10414 BoA Chicago 8350"/>
    <n v="531.70000000000005"/>
    <n v="138376.14000000001"/>
    <n v="531.70000000000005"/>
  </r>
  <r>
    <n v="65061"/>
    <s v="Material for Rooms Expense"/>
    <s v="05/19/2014"/>
    <s v="Expense"/>
    <m/>
    <x v="41"/>
    <x v="7"/>
    <x v="1"/>
    <x v="5"/>
    <m/>
    <s v="10414 BoA Chicago 8350"/>
    <n v="18.03"/>
    <n v="138394.17000000001"/>
    <n v="18.03"/>
  </r>
  <r>
    <n v="65061"/>
    <s v="Material for Rooms Expense"/>
    <s v="05/19/2014"/>
    <s v="Expense"/>
    <m/>
    <x v="197"/>
    <x v="7"/>
    <x v="1"/>
    <x v="5"/>
    <m/>
    <s v="10414 BoA Chicago 8350"/>
    <n v="62.63"/>
    <n v="138456.79999999999"/>
    <n v="62.63"/>
  </r>
  <r>
    <n v="65061"/>
    <s v="Material for Rooms Expense"/>
    <s v="05/20/2014"/>
    <s v="Expense"/>
    <m/>
    <x v="193"/>
    <x v="7"/>
    <x v="1"/>
    <x v="5"/>
    <m/>
    <s v="10414 BoA Chicago 8350"/>
    <n v="30.06"/>
    <n v="141124.51999999999"/>
    <n v="30.06"/>
  </r>
  <r>
    <n v="65061"/>
    <s v="Material for Rooms Expense"/>
    <s v="05/20/2014"/>
    <s v="Expense"/>
    <m/>
    <x v="29"/>
    <x v="7"/>
    <x v="1"/>
    <x v="5"/>
    <m/>
    <s v="10414 BoA Chicago 8350"/>
    <n v="81.27"/>
    <n v="141540.32999999999"/>
    <n v="81.27"/>
  </r>
  <r>
    <n v="65061"/>
    <s v="Material for Rooms Expense"/>
    <s v="05/20/2014"/>
    <s v="Expense"/>
    <m/>
    <x v="41"/>
    <x v="7"/>
    <x v="1"/>
    <x v="5"/>
    <m/>
    <s v="10414 BoA Chicago 8350"/>
    <n v="4.82"/>
    <n v="141545.15"/>
    <n v="4.82"/>
  </r>
  <r>
    <n v="65061"/>
    <s v="Material for Rooms Expense"/>
    <s v="05/20/2014"/>
    <s v="Expense"/>
    <m/>
    <x v="160"/>
    <x v="7"/>
    <x v="1"/>
    <x v="5"/>
    <m/>
    <s v="10414 BoA Chicago 8350"/>
    <n v="379.85"/>
    <n v="141925"/>
    <n v="379.85"/>
  </r>
  <r>
    <n v="65061"/>
    <s v="Material for Rooms Expense"/>
    <s v="05/20/2014"/>
    <s v="Expense"/>
    <m/>
    <x v="186"/>
    <x v="7"/>
    <x v="1"/>
    <x v="5"/>
    <m/>
    <s v="10414 BoA Chicago 8350"/>
    <n v="12.92"/>
    <n v="141937.92000000001"/>
    <n v="12.92"/>
  </r>
  <r>
    <n v="65061"/>
    <s v="Material for Rooms Expense"/>
    <s v="05/20/2014"/>
    <s v="Expense"/>
    <m/>
    <x v="26"/>
    <x v="7"/>
    <x v="1"/>
    <x v="5"/>
    <m/>
    <s v="10414 BoA Chicago 8350"/>
    <n v="24.97"/>
    <n v="141962.89000000001"/>
    <n v="24.97"/>
  </r>
  <r>
    <n v="65061"/>
    <s v="Material for Rooms Expense"/>
    <s v="05/21/2014"/>
    <s v="Expense"/>
    <m/>
    <x v="142"/>
    <x v="7"/>
    <x v="1"/>
    <x v="5"/>
    <m/>
    <s v="10414 BoA Chicago 8350"/>
    <n v="43.19"/>
    <n v="142237.16"/>
    <n v="43.19"/>
  </r>
  <r>
    <n v="65061"/>
    <s v="Material for Rooms Expense"/>
    <s v="05/21/2014"/>
    <s v="Expense"/>
    <m/>
    <x v="16"/>
    <x v="7"/>
    <x v="1"/>
    <x v="5"/>
    <m/>
    <s v="10414 BoA Chicago 8350"/>
    <n v="31.87"/>
    <n v="142465.47"/>
    <n v="31.87"/>
  </r>
  <r>
    <n v="65061"/>
    <s v="Material for Rooms Expense"/>
    <s v="05/21/2014"/>
    <s v="Expense"/>
    <m/>
    <x v="53"/>
    <x v="7"/>
    <x v="1"/>
    <x v="5"/>
    <m/>
    <s v="10414 BoA Chicago 8350"/>
    <n v="111.7"/>
    <n v="142577.17000000001"/>
    <n v="111.7"/>
  </r>
  <r>
    <n v="65061"/>
    <s v="Material for Rooms Expense"/>
    <s v="05/21/2014"/>
    <s v="Expense"/>
    <m/>
    <x v="166"/>
    <x v="7"/>
    <x v="1"/>
    <x v="5"/>
    <m/>
    <s v="10414 BoA Chicago 8350"/>
    <n v="23.5"/>
    <n v="142600.67000000001"/>
    <n v="23.5"/>
  </r>
  <r>
    <n v="65061"/>
    <s v="Material for Rooms Expense"/>
    <s v="05/21/2014"/>
    <s v="Expense"/>
    <m/>
    <x v="67"/>
    <x v="7"/>
    <x v="1"/>
    <x v="5"/>
    <m/>
    <s v="10414 BoA Chicago 8350"/>
    <n v="80.739999999999995"/>
    <n v="142681.41"/>
    <n v="80.739999999999995"/>
  </r>
  <r>
    <n v="65061"/>
    <s v="Material for Rooms Expense"/>
    <s v="05/21/2014"/>
    <s v="Expense"/>
    <m/>
    <x v="166"/>
    <x v="7"/>
    <x v="1"/>
    <x v="5"/>
    <m/>
    <s v="10414 BoA Chicago 8350"/>
    <n v="3.19"/>
    <n v="142684.6"/>
    <n v="3.19"/>
  </r>
  <r>
    <n v="65061"/>
    <s v="Material for Rooms Expense"/>
    <s v="05/21/2014"/>
    <s v="Expense"/>
    <m/>
    <x v="58"/>
    <x v="7"/>
    <x v="1"/>
    <x v="5"/>
    <m/>
    <s v="10414 BoA Chicago 8350"/>
    <n v="8.56"/>
    <n v="142693.16"/>
    <n v="8.56"/>
  </r>
  <r>
    <n v="65061"/>
    <s v="Material for Rooms Expense"/>
    <s v="05/21/2014"/>
    <s v="Expense"/>
    <m/>
    <x v="53"/>
    <x v="7"/>
    <x v="1"/>
    <x v="5"/>
    <m/>
    <s v="10414 BoA Chicago 8350"/>
    <n v="267.07"/>
    <n v="142960.23000000001"/>
    <n v="267.07"/>
  </r>
  <r>
    <n v="65061"/>
    <s v="Material for Rooms Expense"/>
    <s v="05/22/2014"/>
    <s v="Expense"/>
    <m/>
    <x v="29"/>
    <x v="7"/>
    <x v="1"/>
    <x v="5"/>
    <m/>
    <s v="10414 BoA Chicago 8350"/>
    <n v="134.16"/>
    <n v="144022.45000000001"/>
    <n v="134.16"/>
  </r>
  <r>
    <n v="65061"/>
    <s v="Material for Rooms Expense"/>
    <s v="05/27/2014"/>
    <s v="Expense"/>
    <m/>
    <x v="16"/>
    <x v="7"/>
    <x v="1"/>
    <x v="5"/>
    <m/>
    <s v="10414 BoA Chicago 8350"/>
    <n v="131.03"/>
    <n v="144949.81"/>
    <n v="131.03"/>
  </r>
  <r>
    <n v="65061"/>
    <s v="Material for Rooms Expense"/>
    <s v="05/27/2014"/>
    <s v="Expense"/>
    <m/>
    <x v="16"/>
    <x v="7"/>
    <x v="1"/>
    <x v="5"/>
    <m/>
    <s v="10414 BoA Chicago 8350"/>
    <n v="32.14"/>
    <n v="144981.95000000001"/>
    <n v="32.14"/>
  </r>
  <r>
    <n v="65061"/>
    <s v="Material for Rooms Expense"/>
    <s v="05/27/2014"/>
    <s v="Expense"/>
    <m/>
    <x v="39"/>
    <x v="7"/>
    <x v="1"/>
    <x v="5"/>
    <m/>
    <s v="10414 BoA Chicago 8350"/>
    <n v="123.28"/>
    <n v="145523.12"/>
    <n v="123.28"/>
  </r>
  <r>
    <n v="65061"/>
    <s v="Material for Rooms Expense"/>
    <s v="05/28/2014"/>
    <s v="Expense"/>
    <m/>
    <x v="58"/>
    <x v="7"/>
    <x v="1"/>
    <x v="5"/>
    <m/>
    <s v="10414 BoA Chicago 8350"/>
    <n v="151.93"/>
    <n v="145675.04999999999"/>
    <n v="151.93"/>
  </r>
  <r>
    <n v="65061"/>
    <s v="Material for Rooms Expense"/>
    <s v="05/28/2014"/>
    <s v="Expense"/>
    <m/>
    <x v="66"/>
    <x v="7"/>
    <x v="1"/>
    <x v="5"/>
    <m/>
    <s v="10414 BoA Chicago 8350"/>
    <n v="173.18"/>
    <n v="145848.23000000001"/>
    <n v="173.18"/>
  </r>
  <r>
    <n v="65061"/>
    <s v="Material for Rooms Expense"/>
    <s v="05/28/2014"/>
    <s v="Expense"/>
    <m/>
    <x v="19"/>
    <x v="7"/>
    <x v="1"/>
    <x v="5"/>
    <m/>
    <s v="10414 BoA Chicago 8350"/>
    <n v="91.68"/>
    <n v="145939.91"/>
    <n v="91.68"/>
  </r>
  <r>
    <n v="65061"/>
    <s v="Material for Rooms Expense"/>
    <s v="05/28/2014"/>
    <s v="Deposit"/>
    <m/>
    <x v="67"/>
    <x v="7"/>
    <x v="1"/>
    <x v="5"/>
    <m/>
    <s v="10414 BoA Chicago 8350"/>
    <n v="-51.96"/>
    <n v="145887.95000000001"/>
    <n v="-51.96"/>
  </r>
  <r>
    <n v="65061"/>
    <s v="Material for Rooms Expense"/>
    <s v="05/29/2014"/>
    <s v="Expense"/>
    <m/>
    <x v="66"/>
    <x v="7"/>
    <x v="1"/>
    <x v="5"/>
    <m/>
    <s v="10414 BoA Chicago 8350"/>
    <n v="26.64"/>
    <n v="147120.75"/>
    <n v="26.64"/>
  </r>
  <r>
    <n v="65061"/>
    <s v="Material for Rooms Expense"/>
    <s v="06/02/2014"/>
    <s v="Expense"/>
    <m/>
    <x v="16"/>
    <x v="7"/>
    <x v="1"/>
    <x v="5"/>
    <m/>
    <s v="10414 BoA Chicago 8350"/>
    <n v="138.33000000000001"/>
    <n v="148037.5"/>
    <n v="138.33000000000001"/>
  </r>
  <r>
    <n v="65061"/>
    <s v="Material for Rooms Expense"/>
    <s v="06/03/2014"/>
    <s v="Expense"/>
    <m/>
    <x v="16"/>
    <x v="7"/>
    <x v="1"/>
    <x v="5"/>
    <m/>
    <s v="10414 BoA Chicago 8350"/>
    <n v="108.17"/>
    <n v="151053.91"/>
    <n v="108.17"/>
  </r>
  <r>
    <n v="65061"/>
    <s v="Material for Rooms Expense"/>
    <s v="06/04/2014"/>
    <s v="Deposit"/>
    <m/>
    <x v="19"/>
    <x v="7"/>
    <x v="1"/>
    <x v="5"/>
    <m/>
    <s v="10414 BoA Chicago 8350"/>
    <n v="-91.68"/>
    <n v="151687.18"/>
    <n v="-91.68"/>
  </r>
  <r>
    <n v="65061"/>
    <s v="Material for Rooms Expense"/>
    <s v="06/05/2014"/>
    <s v="Check"/>
    <n v="1009"/>
    <x v="198"/>
    <x v="7"/>
    <x v="1"/>
    <x v="5"/>
    <m/>
    <s v="10414 BoA Chicago 8350"/>
    <n v="10"/>
    <n v="155669.89000000001"/>
    <n v="10"/>
  </r>
  <r>
    <n v="65061"/>
    <s v="Material for Rooms Expense"/>
    <s v="06/06/2014"/>
    <s v="Expense"/>
    <m/>
    <x v="199"/>
    <x v="7"/>
    <x v="1"/>
    <x v="5"/>
    <m/>
    <s v="10414 BoA Chicago 8350"/>
    <n v="102.96"/>
    <n v="156480.99"/>
    <n v="102.96"/>
  </r>
  <r>
    <n v="65061"/>
    <s v="Material for Rooms Expense"/>
    <s v="06/06/2014"/>
    <s v="Deposit"/>
    <m/>
    <x v="19"/>
    <x v="7"/>
    <x v="1"/>
    <x v="5"/>
    <m/>
    <s v="10414 BoA Chicago 8350"/>
    <n v="-74.61"/>
    <n v="156406.38"/>
    <n v="-74.61"/>
  </r>
  <r>
    <n v="65061"/>
    <s v="Material for Rooms Expense"/>
    <s v="06/09/2014"/>
    <s v="Expense"/>
    <m/>
    <x v="23"/>
    <x v="7"/>
    <x v="1"/>
    <x v="5"/>
    <m/>
    <s v="10414 BoA Chicago 8350"/>
    <n v="74.36"/>
    <n v="165182.38"/>
    <n v="74.36"/>
  </r>
  <r>
    <n v="65061"/>
    <s v="Material for Rooms Expense"/>
    <s v="06/11/2014"/>
    <s v="Expense"/>
    <m/>
    <x v="162"/>
    <x v="7"/>
    <x v="1"/>
    <x v="5"/>
    <m/>
    <s v="10414 BoA Chicago 8350"/>
    <n v="5.43"/>
    <n v="168709.67"/>
    <n v="5.43"/>
  </r>
  <r>
    <n v="65061"/>
    <s v="Material for Rooms Expense"/>
    <s v="06/12/2014"/>
    <s v="Expense"/>
    <m/>
    <x v="200"/>
    <x v="7"/>
    <x v="1"/>
    <x v="5"/>
    <m/>
    <s v="10414 BoA Chicago 8350"/>
    <n v="19.27"/>
    <n v="169405.29"/>
    <n v="19.27"/>
  </r>
  <r>
    <n v="65061"/>
    <s v="Material for Rooms Expense"/>
    <s v="06/13/2014"/>
    <s v="Check"/>
    <n v="1015"/>
    <x v="201"/>
    <x v="7"/>
    <x v="1"/>
    <x v="5"/>
    <m/>
    <s v="10414 BoA Chicago 8350"/>
    <n v="162.02000000000001"/>
    <n v="169717.92"/>
    <n v="162.02000000000001"/>
  </r>
  <r>
    <n v="65061"/>
    <s v="Material for Rooms Expense"/>
    <s v="06/16/2014"/>
    <s v="Expense"/>
    <m/>
    <x v="160"/>
    <x v="7"/>
    <x v="1"/>
    <x v="5"/>
    <m/>
    <s v="10414 BoA Chicago 8350"/>
    <n v="1104.69"/>
    <n v="171926.98"/>
    <n v="1104.69"/>
  </r>
  <r>
    <n v="65061"/>
    <s v="Material for Rooms Expense"/>
    <s v="06/16/2014"/>
    <s v="Expense"/>
    <m/>
    <x v="19"/>
    <x v="7"/>
    <x v="1"/>
    <x v="5"/>
    <m/>
    <s v="10414 BoA Chicago 8350"/>
    <n v="132.41"/>
    <n v="172059.39"/>
    <n v="132.41"/>
  </r>
  <r>
    <n v="65061"/>
    <s v="Material for Rooms Expense"/>
    <s v="06/16/2014"/>
    <s v="Expense"/>
    <m/>
    <x v="39"/>
    <x v="7"/>
    <x v="1"/>
    <x v="5"/>
    <m/>
    <s v="10414 BoA Chicago 8350"/>
    <n v="363.86"/>
    <n v="172423.25"/>
    <n v="363.86"/>
  </r>
  <r>
    <n v="65061"/>
    <s v="Material for Rooms Expense"/>
    <s v="06/16/2014"/>
    <s v="Expense"/>
    <m/>
    <x v="185"/>
    <x v="7"/>
    <x v="1"/>
    <x v="5"/>
    <m/>
    <s v="10414 BoA Chicago 8350"/>
    <n v="36.4"/>
    <n v="172459.65"/>
    <n v="36.4"/>
  </r>
  <r>
    <n v="65061"/>
    <s v="Material for Rooms Expense"/>
    <s v="06/16/2014"/>
    <s v="Check"/>
    <n v="1017"/>
    <x v="202"/>
    <x v="7"/>
    <x v="1"/>
    <x v="5"/>
    <m/>
    <s v="10414 BoA Chicago 8350"/>
    <n v="71.819999999999993"/>
    <n v="172531.47"/>
    <n v="71.819999999999993"/>
  </r>
  <r>
    <n v="65061"/>
    <s v="Material for Rooms Expense"/>
    <s v="06/17/2014"/>
    <s v="Expense"/>
    <m/>
    <x v="66"/>
    <x v="7"/>
    <x v="1"/>
    <x v="5"/>
    <m/>
    <s v="10414 BoA Chicago 8350"/>
    <n v="292.77"/>
    <n v="175236.45"/>
    <n v="292.77"/>
  </r>
  <r>
    <n v="65061"/>
    <s v="Material for Rooms Expense"/>
    <s v="06/17/2014"/>
    <s v="Expense"/>
    <m/>
    <x v="27"/>
    <x v="7"/>
    <x v="1"/>
    <x v="5"/>
    <m/>
    <s v="10414 BoA Chicago 8350"/>
    <n v="100"/>
    <n v="175336.45"/>
    <n v="100"/>
  </r>
  <r>
    <n v="65061"/>
    <s v="Material for Rooms Expense"/>
    <s v="06/18/2014"/>
    <s v="Expense"/>
    <m/>
    <x v="73"/>
    <x v="7"/>
    <x v="1"/>
    <x v="5"/>
    <m/>
    <s v="10414 BoA Chicago 8350"/>
    <n v="210.32"/>
    <n v="179475.66"/>
    <n v="210.32"/>
  </r>
  <r>
    <n v="65061"/>
    <s v="Material for Rooms Expense"/>
    <s v="06/18/2014"/>
    <s v="Expense"/>
    <m/>
    <x v="19"/>
    <x v="7"/>
    <x v="1"/>
    <x v="5"/>
    <m/>
    <s v="10414 BoA Chicago 8350"/>
    <n v="22.88"/>
    <n v="179498.54"/>
    <n v="22.88"/>
  </r>
  <r>
    <n v="65061"/>
    <s v="Material for Rooms Expense"/>
    <s v="06/19/2014"/>
    <s v="Expense"/>
    <m/>
    <x v="200"/>
    <x v="7"/>
    <x v="1"/>
    <x v="5"/>
    <m/>
    <s v="10414 BoA Chicago 8350"/>
    <n v="22.65"/>
    <n v="179900.38"/>
    <n v="22.65"/>
  </r>
  <r>
    <n v="65061"/>
    <s v="Material for Rooms Expense"/>
    <s v="06/19/2014"/>
    <s v="Expense"/>
    <m/>
    <x v="166"/>
    <x v="7"/>
    <x v="1"/>
    <x v="5"/>
    <m/>
    <s v="10414 BoA Chicago 8350"/>
    <n v="8.5299999999999994"/>
    <n v="179908.91"/>
    <n v="8.5299999999999994"/>
  </r>
  <r>
    <n v="65061"/>
    <s v="Material for Rooms Expense"/>
    <s v="06/20/2014"/>
    <s v="Expense"/>
    <m/>
    <x v="166"/>
    <x v="7"/>
    <x v="1"/>
    <x v="5"/>
    <m/>
    <s v="10414 BoA Chicago 8350"/>
    <n v="5.39"/>
    <n v="181099.27"/>
    <n v="5.39"/>
  </r>
  <r>
    <n v="65061"/>
    <s v="Material for Rooms Expense"/>
    <s v="06/23/2014"/>
    <s v="Expense"/>
    <m/>
    <x v="203"/>
    <x v="7"/>
    <x v="1"/>
    <x v="5"/>
    <m/>
    <s v="10414 BoA Chicago 8350"/>
    <n v="31.14"/>
    <n v="182096.87"/>
    <n v="31.14"/>
  </r>
  <r>
    <n v="65061"/>
    <s v="Material for Rooms Expense"/>
    <s v="06/23/2014"/>
    <s v="Expense"/>
    <m/>
    <x v="148"/>
    <x v="7"/>
    <x v="1"/>
    <x v="5"/>
    <m/>
    <s v="10414 BoA Chicago 8350"/>
    <n v="70.11"/>
    <n v="182166.98"/>
    <n v="70.11"/>
  </r>
  <r>
    <n v="65061"/>
    <s v="Material for Rooms Expense"/>
    <s v="06/23/2014"/>
    <s v="Expense"/>
    <m/>
    <x v="204"/>
    <x v="7"/>
    <x v="1"/>
    <x v="5"/>
    <m/>
    <s v="10414 BoA Chicago 8350"/>
    <n v="65.069999999999993"/>
    <n v="182232.05"/>
    <n v="65.069999999999993"/>
  </r>
  <r>
    <n v="65061"/>
    <s v="Material for Rooms Expense"/>
    <s v="06/23/2014"/>
    <s v="Expense"/>
    <m/>
    <x v="148"/>
    <x v="7"/>
    <x v="1"/>
    <x v="5"/>
    <m/>
    <s v="10414 BoA Chicago 8350"/>
    <n v="63.21"/>
    <n v="182295.26"/>
    <n v="63.21"/>
  </r>
  <r>
    <n v="65061"/>
    <s v="Material for Rooms Expense"/>
    <s v="06/23/2014"/>
    <s v="Expense"/>
    <m/>
    <x v="33"/>
    <x v="7"/>
    <x v="1"/>
    <x v="5"/>
    <m/>
    <s v="10414 BoA Chicago 8350"/>
    <n v="13.84"/>
    <n v="182309.1"/>
    <n v="13.84"/>
  </r>
  <r>
    <n v="65061"/>
    <s v="Material for Rooms Expense"/>
    <s v="06/23/2014"/>
    <s v="Expense"/>
    <m/>
    <x v="33"/>
    <x v="7"/>
    <x v="1"/>
    <x v="5"/>
    <m/>
    <s v="10414 BoA Chicago 8350"/>
    <n v="20.09"/>
    <n v="182329.19"/>
    <n v="20.09"/>
  </r>
  <r>
    <n v="65061"/>
    <s v="Material for Rooms Expense"/>
    <s v="06/23/2014"/>
    <s v="Expense"/>
    <m/>
    <x v="160"/>
    <x v="7"/>
    <x v="1"/>
    <x v="5"/>
    <m/>
    <s v="10414 BoA Chicago 8350"/>
    <n v="182.34"/>
    <n v="182511.53"/>
    <n v="182.34"/>
  </r>
  <r>
    <n v="65061"/>
    <s v="Material for Rooms Expense"/>
    <s v="06/23/2014"/>
    <s v="Expense"/>
    <m/>
    <x v="19"/>
    <x v="7"/>
    <x v="1"/>
    <x v="5"/>
    <m/>
    <s v="10414 BoA Chicago 8350"/>
    <n v="90.08"/>
    <n v="182601.61"/>
    <n v="90.08"/>
  </r>
  <r>
    <n v="65061"/>
    <s v="Material for Rooms Expense"/>
    <s v="06/23/2014"/>
    <s v="Expense"/>
    <m/>
    <x v="137"/>
    <x v="7"/>
    <x v="1"/>
    <x v="5"/>
    <m/>
    <s v="10414 BoA Chicago 8350"/>
    <n v="103"/>
    <n v="182788.43"/>
    <n v="103"/>
  </r>
  <r>
    <n v="65061"/>
    <s v="Material for Rooms Expense"/>
    <s v="06/24/2014"/>
    <s v="Expense"/>
    <m/>
    <x v="161"/>
    <x v="7"/>
    <x v="1"/>
    <x v="5"/>
    <m/>
    <s v="10414 BoA Chicago 8350"/>
    <n v="52.29"/>
    <n v="184920.01"/>
    <n v="52.29"/>
  </r>
  <r>
    <n v="65061"/>
    <s v="Material for Rooms Expense"/>
    <s v="06/24/2014"/>
    <s v="Expense"/>
    <m/>
    <x v="29"/>
    <x v="7"/>
    <x v="1"/>
    <x v="5"/>
    <m/>
    <s v="10414 BoA Chicago 8350"/>
    <n v="224.05"/>
    <n v="185144.06"/>
    <n v="224.05"/>
  </r>
  <r>
    <n v="65061"/>
    <s v="Material for Rooms Expense"/>
    <s v="06/24/2014"/>
    <s v="Expense"/>
    <m/>
    <x v="160"/>
    <x v="7"/>
    <x v="1"/>
    <x v="5"/>
    <m/>
    <s v="10414 BoA Chicago 8350"/>
    <n v="160.56"/>
    <n v="185304.62"/>
    <n v="160.56"/>
  </r>
  <r>
    <n v="65061"/>
    <s v="Material for Rooms Expense"/>
    <s v="06/24/2014"/>
    <s v="Expense"/>
    <m/>
    <x v="204"/>
    <x v="7"/>
    <x v="1"/>
    <x v="5"/>
    <m/>
    <s v="10414 BoA Chicago 8350"/>
    <n v="18.190000000000001"/>
    <n v="185322.81"/>
    <n v="18.190000000000001"/>
  </r>
  <r>
    <n v="65061"/>
    <s v="Material for Rooms Expense"/>
    <s v="06/25/2014"/>
    <s v="Expense"/>
    <m/>
    <x v="19"/>
    <x v="7"/>
    <x v="1"/>
    <x v="5"/>
    <m/>
    <s v="10414 BoA Chicago 8350"/>
    <n v="144.49"/>
    <n v="187250.59"/>
    <n v="144.49"/>
  </r>
  <r>
    <n v="65061"/>
    <s v="Material for Rooms Expense"/>
    <s v="06/25/2014"/>
    <s v="Expense"/>
    <m/>
    <x v="19"/>
    <x v="7"/>
    <x v="1"/>
    <x v="5"/>
    <m/>
    <s v="10414 BoA Chicago 8350"/>
    <n v="457.65"/>
    <n v="187708.24"/>
    <n v="457.65"/>
  </r>
  <r>
    <n v="65061"/>
    <s v="Material for Rooms Expense"/>
    <s v="06/25/2014"/>
    <s v="Expense"/>
    <m/>
    <x v="19"/>
    <x v="7"/>
    <x v="1"/>
    <x v="5"/>
    <m/>
    <s v="10414 BoA Chicago 8350"/>
    <n v="15"/>
    <n v="187759.2"/>
    <n v="15"/>
  </r>
  <r>
    <n v="65061"/>
    <s v="Material for Rooms Expense"/>
    <s v="06/25/2014"/>
    <s v="Expense"/>
    <m/>
    <x v="19"/>
    <x v="7"/>
    <x v="1"/>
    <x v="5"/>
    <m/>
    <s v="10414 BoA Chicago 8350"/>
    <n v="74.36"/>
    <n v="187833.56"/>
    <n v="74.36"/>
  </r>
  <r>
    <n v="65061"/>
    <s v="Material for Rooms Expense"/>
    <s v="06/25/2014"/>
    <s v="Expense"/>
    <m/>
    <x v="19"/>
    <x v="7"/>
    <x v="1"/>
    <x v="5"/>
    <m/>
    <s v="10414 BoA Chicago 8350"/>
    <n v="111.52"/>
    <n v="187945.08"/>
    <n v="111.52"/>
  </r>
  <r>
    <n v="65061"/>
    <s v="Material for Rooms Expense"/>
    <s v="06/25/2014"/>
    <s v="Expense"/>
    <m/>
    <x v="19"/>
    <x v="7"/>
    <x v="1"/>
    <x v="5"/>
    <m/>
    <s v="10414 BoA Chicago 8350"/>
    <n v="169.99"/>
    <n v="188115.07"/>
    <n v="169.99"/>
  </r>
  <r>
    <n v="65061"/>
    <s v="Material for Rooms Expense"/>
    <s v="06/25/2014"/>
    <s v="Expense"/>
    <m/>
    <x v="160"/>
    <x v="7"/>
    <x v="1"/>
    <x v="5"/>
    <m/>
    <s v="10414 BoA Chicago 8350"/>
    <n v="190.9"/>
    <n v="188328.84"/>
    <n v="190.9"/>
  </r>
  <r>
    <n v="65061"/>
    <s v="Material for Rooms Expense"/>
    <s v="06/26/2014"/>
    <s v="Expense"/>
    <m/>
    <x v="19"/>
    <x v="7"/>
    <x v="1"/>
    <x v="5"/>
    <m/>
    <s v="10414 BoA Chicago 8350"/>
    <n v="149.49"/>
    <n v="188405.71"/>
    <n v="149.49"/>
  </r>
  <r>
    <n v="65061"/>
    <s v="Material for Rooms Expense"/>
    <s v="06/26/2014"/>
    <s v="Expense"/>
    <m/>
    <x v="73"/>
    <x v="7"/>
    <x v="1"/>
    <x v="5"/>
    <m/>
    <s v="10414 BoA Chicago 8350"/>
    <n v="1477.93"/>
    <n v="189883.64"/>
    <n v="1477.93"/>
  </r>
  <r>
    <n v="65061"/>
    <s v="Material for Rooms Expense"/>
    <s v="06/30/2014"/>
    <s v="Expense"/>
    <m/>
    <x v="16"/>
    <x v="7"/>
    <x v="1"/>
    <x v="5"/>
    <m/>
    <s v="10414 BoA Chicago 8350"/>
    <n v="156.94"/>
    <n v="192953.82"/>
    <n v="156.94"/>
  </r>
  <r>
    <n v="65062"/>
    <s v="In-Kind Goods"/>
    <s v="01/03/2014"/>
    <s v="Journal Entry"/>
    <n v="444"/>
    <x v="0"/>
    <x v="7"/>
    <x v="1"/>
    <x v="10"/>
    <s v="Catharine's room"/>
    <s v="-Split-"/>
    <n v="625"/>
    <n v="625"/>
    <n v="625"/>
  </r>
  <r>
    <n v="65062"/>
    <s v="In-Kind Goods"/>
    <s v="01/23/2014"/>
    <s v="Journal Entry"/>
    <n v="445"/>
    <x v="0"/>
    <x v="7"/>
    <x v="1"/>
    <x v="10"/>
    <m/>
    <s v="-Split-"/>
    <n v="422.5"/>
    <n v="4657.42"/>
    <n v="422.5"/>
  </r>
  <r>
    <n v="65062"/>
    <s v="In-Kind Goods"/>
    <s v="02/10/2014"/>
    <s v="Journal Entry"/>
    <n v="442"/>
    <x v="0"/>
    <x v="7"/>
    <x v="1"/>
    <x v="10"/>
    <s v="Samuels Room"/>
    <s v="-Split-"/>
    <n v="287.08"/>
    <n v="7235.21"/>
    <n v="287.08"/>
  </r>
  <r>
    <n v="65062"/>
    <s v="In-Kind Goods"/>
    <s v="02/17/2014"/>
    <s v="Journal Entry"/>
    <n v="443"/>
    <x v="0"/>
    <x v="7"/>
    <x v="1"/>
    <x v="10"/>
    <s v="Julissa Room"/>
    <s v="-Split-"/>
    <n v="676.87"/>
    <n v="10458.82"/>
    <n v="676.87"/>
  </r>
  <r>
    <n v="65062"/>
    <s v="In-Kind Goods"/>
    <s v="02/17/2014"/>
    <s v="Journal Entry"/>
    <n v="443"/>
    <x v="0"/>
    <x v="7"/>
    <x v="1"/>
    <x v="10"/>
    <s v="Samuels room"/>
    <s v="-Split-"/>
    <n v="401"/>
    <n v="10859.82"/>
    <n v="401"/>
  </r>
  <r>
    <n v="65062"/>
    <s v="In-Kind Goods"/>
    <s v="02/17/2014"/>
    <s v="Journal Entry"/>
    <n v="443"/>
    <x v="0"/>
    <x v="7"/>
    <x v="1"/>
    <x v="10"/>
    <s v="Julissa Room"/>
    <s v="-Split-"/>
    <n v="929.54"/>
    <n v="11789.36"/>
    <n v="929.54"/>
  </r>
  <r>
    <n v="65062"/>
    <s v="In-Kind Goods"/>
    <s v="03/03/2014"/>
    <s v="Journal Entry"/>
    <n v="491"/>
    <x v="0"/>
    <x v="7"/>
    <x v="1"/>
    <x v="10"/>
    <s v="Julissa room"/>
    <s v="-Split-"/>
    <n v="918.76"/>
    <n v="13338.56"/>
    <n v="918.76"/>
  </r>
  <r>
    <n v="65062"/>
    <s v="In-Kind Goods"/>
    <s v="03/12/2014"/>
    <s v="Journal Entry"/>
    <n v="492"/>
    <x v="0"/>
    <x v="7"/>
    <x v="1"/>
    <x v="10"/>
    <s v="Samiyah room"/>
    <s v="-Split-"/>
    <n v="284.39"/>
    <n v="13972.95"/>
    <n v="284.39"/>
  </r>
  <r>
    <n v="65063"/>
    <s v="In-Kind Services"/>
    <s v="02/10/2014"/>
    <s v="Journal Entry"/>
    <n v="442"/>
    <x v="0"/>
    <x v="7"/>
    <x v="1"/>
    <x v="11"/>
    <s v="Mural"/>
    <s v="-Split-"/>
    <n v="600"/>
    <n v="7997"/>
    <n v="600"/>
  </r>
  <r>
    <n v="65063"/>
    <s v="In-Kind Services"/>
    <s v="03/04/2014"/>
    <s v="Journal Entry"/>
    <n v="494"/>
    <x v="0"/>
    <x v="7"/>
    <x v="1"/>
    <x v="11"/>
    <s v="Jullissa room"/>
    <s v="-Split-"/>
    <n v="700"/>
    <n v="9577"/>
    <n v="700"/>
  </r>
  <r>
    <n v="65063"/>
    <s v="In-Kind Services"/>
    <s v="03/04/2014"/>
    <s v="Journal Entry"/>
    <n v="494"/>
    <x v="0"/>
    <x v="7"/>
    <x v="1"/>
    <x v="11"/>
    <s v="Jullissa room"/>
    <s v="-Split-"/>
    <n v="700"/>
    <n v="10277"/>
    <n v="700"/>
  </r>
  <r>
    <n v="65063"/>
    <s v="In-Kind Services"/>
    <s v="03/04/2014"/>
    <s v="Journal Entry"/>
    <n v="494"/>
    <x v="0"/>
    <x v="7"/>
    <x v="1"/>
    <x v="11"/>
    <s v="Jullissa room"/>
    <s v="-Split-"/>
    <n v="350"/>
    <n v="10627"/>
    <n v="350"/>
  </r>
  <r>
    <n v="65063"/>
    <s v="In-Kind Services"/>
    <s v="03/15/2014"/>
    <s v="Journal Entry"/>
    <n v="493"/>
    <x v="0"/>
    <x v="7"/>
    <x v="1"/>
    <x v="11"/>
    <s v="Samiayah room"/>
    <s v="-Split-"/>
    <n v="100.5"/>
    <n v="11327.5"/>
    <n v="100.5"/>
  </r>
  <r>
    <n v="67001"/>
    <s v="Fundraising Expense -  Direct"/>
    <s v="01/21/2014"/>
    <s v="Check"/>
    <m/>
    <x v="44"/>
    <x v="7"/>
    <x v="2"/>
    <x v="7"/>
    <m/>
    <s v="10414 BoA Chicago 8350"/>
    <n v="18.940000000000001"/>
    <n v="-871.08"/>
    <n v="18.940000000000001"/>
  </r>
  <r>
    <n v="67001"/>
    <s v="Fundraising Expense -  Direct"/>
    <s v="01/27/2014"/>
    <s v="Check"/>
    <m/>
    <x v="44"/>
    <x v="7"/>
    <x v="2"/>
    <x v="7"/>
    <m/>
    <s v="10414 BoA Chicago 8350"/>
    <n v="47.79"/>
    <n v="2342.73"/>
    <n v="47.79"/>
  </r>
  <r>
    <n v="67001"/>
    <s v="Fundraising Expense -  Direct"/>
    <s v="02/06/2014"/>
    <s v="Check"/>
    <n v="1005"/>
    <x v="27"/>
    <x v="7"/>
    <x v="2"/>
    <x v="7"/>
    <m/>
    <s v="10414 BoA Chicago 8350"/>
    <n v="100"/>
    <n v="3340.21"/>
    <n v="100"/>
  </r>
  <r>
    <n v="67001"/>
    <s v="Fundraising Expense -  Direct"/>
    <s v="02/07/2014"/>
    <s v="Check"/>
    <n v="1006"/>
    <x v="205"/>
    <x v="7"/>
    <x v="2"/>
    <x v="7"/>
    <m/>
    <s v="10414 BoA Chicago 8350"/>
    <n v="1753.25"/>
    <n v="5493.46"/>
    <n v="1753.25"/>
  </r>
  <r>
    <n v="67001"/>
    <s v="Fundraising Expense -  Direct"/>
    <s v="03/11/2014"/>
    <s v="Check"/>
    <n v="1007"/>
    <x v="206"/>
    <x v="7"/>
    <x v="2"/>
    <x v="7"/>
    <m/>
    <s v="10414 BoA Chicago 8350"/>
    <n v="2032.39"/>
    <n v="25463.14"/>
    <n v="2032.39"/>
  </r>
  <r>
    <n v="67001"/>
    <s v="Fundraising Expense -  Direct"/>
    <s v="04/25/2014"/>
    <s v="Check"/>
    <m/>
    <x v="207"/>
    <x v="7"/>
    <x v="2"/>
    <x v="7"/>
    <m/>
    <s v="10414 BoA Chicago 8350"/>
    <n v="55.56"/>
    <n v="53494.11"/>
    <n v="55.56"/>
  </r>
  <r>
    <n v="43400"/>
    <s v="Direct Public Support"/>
    <s v="06/17/2014"/>
    <s v="Journal Entry"/>
    <n v="580"/>
    <x v="0"/>
    <x v="12"/>
    <x v="0"/>
    <x v="1"/>
    <s v="paypal"/>
    <s v="-Split-"/>
    <n v="200"/>
    <n v="199750.02"/>
    <n v="-200"/>
  </r>
  <r>
    <n v="43400"/>
    <s v="Direct Public Support"/>
    <s v="07/22/2014"/>
    <s v="Journal Entry"/>
    <n v="627"/>
    <x v="0"/>
    <x v="12"/>
    <x v="0"/>
    <x v="1"/>
    <s v="paypal"/>
    <s v="-Split-"/>
    <n v="200"/>
    <n v="228057.16"/>
    <n v="-200"/>
  </r>
  <r>
    <n v="43400"/>
    <s v="Direct Public Support"/>
    <s v="08/25/2014"/>
    <s v="Deposit"/>
    <m/>
    <x v="3"/>
    <x v="12"/>
    <x v="0"/>
    <x v="1"/>
    <m/>
    <s v="10117 BofA Restricted Funds -055:Delaware"/>
    <n v="40"/>
    <n v="239849.86"/>
    <n v="-40"/>
  </r>
  <r>
    <n v="43400"/>
    <s v="Direct Public Support"/>
    <s v="08/25/2014"/>
    <s v="Journal Entry"/>
    <n v="659"/>
    <x v="0"/>
    <x v="12"/>
    <x v="0"/>
    <x v="1"/>
    <s v="paypal"/>
    <s v="-Split-"/>
    <n v="200"/>
    <n v="240249.86"/>
    <n v="-200"/>
  </r>
  <r>
    <n v="43400"/>
    <s v="Direct Public Support"/>
    <s v="09/16/2014"/>
    <s v="Journal Entry"/>
    <n v="672"/>
    <x v="0"/>
    <x v="12"/>
    <x v="0"/>
    <x v="1"/>
    <s v="paypal deposits"/>
    <s v="-Split-"/>
    <n v="200"/>
    <n v="256417.42"/>
    <n v="-200"/>
  </r>
  <r>
    <n v="43400"/>
    <s v="Direct Public Support"/>
    <s v="09/17/2014"/>
    <s v="Deposit"/>
    <m/>
    <x v="3"/>
    <x v="12"/>
    <x v="0"/>
    <x v="1"/>
    <s v="JP Morgan"/>
    <s v="10117 BofA Restricted Funds -055:Delaware"/>
    <n v="250"/>
    <n v="256667.42"/>
    <n v="-250"/>
  </r>
  <r>
    <n v="43400"/>
    <s v="Direct Public Support"/>
    <s v="09/29/2014"/>
    <s v="Journal Entry"/>
    <n v="695"/>
    <x v="0"/>
    <x v="12"/>
    <x v="0"/>
    <x v="1"/>
    <s v="National's 15% of Design a dream - reclassify"/>
    <s v="-Split-"/>
    <n v="3489.76"/>
    <n v="263131.73"/>
    <n v="-3489.76"/>
  </r>
  <r>
    <n v="65025"/>
    <s v="Bank Service Charges"/>
    <s v="01/02/2014"/>
    <s v="Check"/>
    <m/>
    <x v="92"/>
    <x v="9"/>
    <x v="1"/>
    <x v="14"/>
    <m/>
    <s v="10310 BoA Columbia 4798"/>
    <n v="14"/>
    <n v="123"/>
    <n v="14"/>
  </r>
  <r>
    <n v="65025"/>
    <s v="Bank Service Charges"/>
    <s v="02/03/2014"/>
    <s v="Check"/>
    <m/>
    <x v="92"/>
    <x v="9"/>
    <x v="1"/>
    <x v="14"/>
    <m/>
    <s v="10310 BoA Columbia 4798"/>
    <n v="14"/>
    <n v="278.2"/>
    <n v="14"/>
  </r>
  <r>
    <n v="65025"/>
    <s v="Bank Service Charges"/>
    <s v="03/03/2014"/>
    <s v="Check"/>
    <m/>
    <x v="92"/>
    <x v="9"/>
    <x v="1"/>
    <x v="14"/>
    <m/>
    <s v="10310 BoA Columbia 4798"/>
    <n v="14"/>
    <n v="457.72"/>
    <n v="14"/>
  </r>
  <r>
    <n v="65025"/>
    <s v="Bank Service Charges"/>
    <s v="06/02/2014"/>
    <s v="Expense"/>
    <m/>
    <x v="92"/>
    <x v="9"/>
    <x v="1"/>
    <x v="14"/>
    <m/>
    <s v="10310 BoA Columbia 4798"/>
    <n v="14"/>
    <n v="1537.91"/>
    <n v="14"/>
  </r>
  <r>
    <n v="65061"/>
    <s v="Material for Rooms Expense"/>
    <s v="03/26/2014"/>
    <s v="Check"/>
    <m/>
    <x v="27"/>
    <x v="9"/>
    <x v="1"/>
    <x v="5"/>
    <m/>
    <s v="10310 BoA Columbia 4798"/>
    <n v="100"/>
    <n v="77433.429999999993"/>
    <n v="100"/>
  </r>
  <r>
    <n v="65061"/>
    <s v="Material for Rooms Expense"/>
    <s v="03/28/2014"/>
    <s v="Check"/>
    <m/>
    <x v="208"/>
    <x v="9"/>
    <x v="1"/>
    <x v="5"/>
    <m/>
    <s v="10310 BoA Columbia 4798"/>
    <n v="69.989999999999995"/>
    <n v="80076.479999999996"/>
    <n v="69.989999999999995"/>
  </r>
  <r>
    <n v="65061"/>
    <s v="Material for Rooms Expense"/>
    <s v="03/28/2014"/>
    <s v="Check"/>
    <m/>
    <x v="209"/>
    <x v="9"/>
    <x v="1"/>
    <x v="5"/>
    <m/>
    <s v="10310 BoA Columbia 4798"/>
    <n v="33.9"/>
    <n v="80110.38"/>
    <n v="33.9"/>
  </r>
  <r>
    <n v="65061"/>
    <s v="Material for Rooms Expense"/>
    <s v="03/28/2014"/>
    <s v="Check"/>
    <m/>
    <x v="210"/>
    <x v="9"/>
    <x v="1"/>
    <x v="5"/>
    <m/>
    <s v="10310 BoA Columbia 4798"/>
    <n v="38"/>
    <n v="80148.38"/>
    <n v="38"/>
  </r>
  <r>
    <n v="65061"/>
    <s v="Material for Rooms Expense"/>
    <s v="03/28/2014"/>
    <s v="Check"/>
    <m/>
    <x v="211"/>
    <x v="9"/>
    <x v="1"/>
    <x v="5"/>
    <m/>
    <s v="10310 BoA Columbia 4798"/>
    <n v="53.1"/>
    <n v="80201.48"/>
    <n v="53.1"/>
  </r>
  <r>
    <n v="65061"/>
    <s v="Material for Rooms Expense"/>
    <s v="03/28/2014"/>
    <s v="Check"/>
    <m/>
    <x v="212"/>
    <x v="9"/>
    <x v="1"/>
    <x v="5"/>
    <m/>
    <s v="10310 BoA Columbia 4798"/>
    <n v="65"/>
    <n v="80532.91"/>
    <n v="65"/>
  </r>
  <r>
    <n v="65061"/>
    <s v="Material for Rooms Expense"/>
    <s v="03/31/2014"/>
    <s v="Check"/>
    <m/>
    <x v="41"/>
    <x v="9"/>
    <x v="1"/>
    <x v="5"/>
    <m/>
    <s v="10310 BoA Columbia 4798"/>
    <n v="52.69"/>
    <n v="81121.8"/>
    <n v="52.69"/>
  </r>
  <r>
    <n v="65061"/>
    <s v="Material for Rooms Expense"/>
    <s v="03/31/2014"/>
    <s v="Check"/>
    <m/>
    <x v="213"/>
    <x v="9"/>
    <x v="1"/>
    <x v="5"/>
    <m/>
    <s v="10310 BoA Columbia 4798"/>
    <n v="5.99"/>
    <n v="81312.63"/>
    <n v="5.99"/>
  </r>
  <r>
    <n v="65061"/>
    <s v="Material for Rooms Expense"/>
    <s v="03/31/2014"/>
    <s v="Check"/>
    <m/>
    <x v="29"/>
    <x v="9"/>
    <x v="1"/>
    <x v="5"/>
    <m/>
    <s v="10310 BoA Columbia 4798"/>
    <n v="18.739999999999998"/>
    <n v="81384.37"/>
    <n v="18.739999999999998"/>
  </r>
  <r>
    <n v="65061"/>
    <s v="Material for Rooms Expense"/>
    <s v="03/31/2014"/>
    <s v="Check"/>
    <m/>
    <x v="23"/>
    <x v="9"/>
    <x v="1"/>
    <x v="5"/>
    <m/>
    <s v="10310 BoA Columbia 4798"/>
    <n v="140.09"/>
    <n v="82245.87"/>
    <n v="140.09"/>
  </r>
  <r>
    <n v="65061"/>
    <s v="Material for Rooms Expense"/>
    <s v="04/02/2014"/>
    <s v="Check"/>
    <m/>
    <x v="214"/>
    <x v="9"/>
    <x v="1"/>
    <x v="5"/>
    <m/>
    <s v="10310 BoA Columbia 4798"/>
    <n v="127.9"/>
    <n v="84909.48"/>
    <n v="127.9"/>
  </r>
  <r>
    <n v="65061"/>
    <s v="Material for Rooms Expense"/>
    <s v="04/07/2014"/>
    <s v="Check"/>
    <m/>
    <x v="29"/>
    <x v="9"/>
    <x v="1"/>
    <x v="5"/>
    <m/>
    <s v="10310 BoA Columbia 4798"/>
    <n v="12.36"/>
    <n v="89241.94"/>
    <n v="12.36"/>
  </r>
  <r>
    <n v="65061"/>
    <s v="Material for Rooms Expense"/>
    <s v="04/25/2014"/>
    <s v="Check"/>
    <m/>
    <x v="29"/>
    <x v="9"/>
    <x v="1"/>
    <x v="5"/>
    <m/>
    <s v="10310 BoA Columbia 4798"/>
    <n v="118.42"/>
    <n v="104824.55"/>
    <n v="118.42"/>
  </r>
  <r>
    <n v="65061"/>
    <s v="Material for Rooms Expense"/>
    <s v="04/28/2014"/>
    <s v="Check"/>
    <m/>
    <x v="215"/>
    <x v="9"/>
    <x v="1"/>
    <x v="5"/>
    <m/>
    <s v="10310 BoA Columbia 4798"/>
    <n v="32.39"/>
    <n v="106861.89"/>
    <n v="32.39"/>
  </r>
  <r>
    <n v="65061"/>
    <s v="Material for Rooms Expense"/>
    <s v="05/07/2014"/>
    <s v="Expense"/>
    <m/>
    <x v="58"/>
    <x v="9"/>
    <x v="1"/>
    <x v="5"/>
    <m/>
    <s v="10310 BoA Columbia 4798"/>
    <n v="93.61"/>
    <n v="123469.53"/>
    <n v="93.61"/>
  </r>
  <r>
    <n v="65061"/>
    <s v="Material for Rooms Expense"/>
    <s v="05/07/2014"/>
    <s v="Expense"/>
    <m/>
    <x v="88"/>
    <x v="9"/>
    <x v="1"/>
    <x v="5"/>
    <m/>
    <s v="10310 BoA Columbia 4798"/>
    <n v="11.88"/>
    <n v="123481.41"/>
    <n v="11.88"/>
  </r>
  <r>
    <n v="65061"/>
    <s v="Material for Rooms Expense"/>
    <s v="05/08/2014"/>
    <s v="Expense"/>
    <m/>
    <x v="114"/>
    <x v="9"/>
    <x v="1"/>
    <x v="5"/>
    <m/>
    <s v="10310 BoA Columbia 4798"/>
    <n v="26.99"/>
    <n v="123709.81"/>
    <n v="26.99"/>
  </r>
  <r>
    <n v="67001"/>
    <s v="Fundraising Expense -  Direct"/>
    <s v="04/29/2014"/>
    <s v="Check"/>
    <m/>
    <x v="216"/>
    <x v="9"/>
    <x v="2"/>
    <x v="7"/>
    <m/>
    <s v="10310 BoA Columbia 4798"/>
    <n v="27"/>
    <n v="54196.11"/>
    <n v="27"/>
  </r>
  <r>
    <n v="43400"/>
    <s v="Direct Public Support"/>
    <s v="10/10/2014"/>
    <s v="Deposit"/>
    <m/>
    <x v="3"/>
    <x v="12"/>
    <x v="0"/>
    <x v="1"/>
    <m/>
    <s v="10117 BofA Restricted Funds -055:Delaware"/>
    <n v="40"/>
    <n v="271767.42"/>
    <n v="-40"/>
  </r>
  <r>
    <n v="43400"/>
    <s v="Direct Public Support"/>
    <s v="10/13/2014"/>
    <s v="Journal Entry"/>
    <n v="716"/>
    <x v="0"/>
    <x v="12"/>
    <x v="0"/>
    <x v="1"/>
    <m/>
    <s v="-Split-"/>
    <n v="150"/>
    <n v="278447.52"/>
    <n v="-150"/>
  </r>
  <r>
    <n v="43400"/>
    <s v="Direct Public Support"/>
    <s v="10/14/2014"/>
    <s v="Journal Entry"/>
    <n v="724"/>
    <x v="0"/>
    <x v="12"/>
    <x v="0"/>
    <x v="1"/>
    <s v="paypal"/>
    <s v="-Split-"/>
    <n v="200"/>
    <n v="285199.89"/>
    <n v="-200"/>
  </r>
  <r>
    <n v="43400"/>
    <s v="Direct Public Support"/>
    <s v="10/14/2014"/>
    <s v="Deposit"/>
    <m/>
    <x v="3"/>
    <x v="12"/>
    <x v="0"/>
    <x v="1"/>
    <m/>
    <s v="10340 BoA Delaware 5700"/>
    <n v="1198"/>
    <n v="280397.89"/>
    <n v="-1198"/>
  </r>
  <r>
    <n v="43400"/>
    <s v="Direct Public Support"/>
    <s v="10/29/2014"/>
    <s v="Deposit"/>
    <m/>
    <x v="3"/>
    <x v="12"/>
    <x v="0"/>
    <x v="1"/>
    <m/>
    <s v="10117 BofA Restricted Funds -055:Delaware"/>
    <n v="50"/>
    <n v="310903.82"/>
    <n v="-50"/>
  </r>
  <r>
    <n v="43400"/>
    <s v="Direct Public Support"/>
    <s v="08/06/2014"/>
    <s v="Deposit"/>
    <m/>
    <x v="3"/>
    <x v="13"/>
    <x v="0"/>
    <x v="1"/>
    <m/>
    <s v="10133 BofA Restricted Funds -055:Panama City"/>
    <n v="18"/>
    <n v="222625.31"/>
    <n v="-18"/>
  </r>
  <r>
    <n v="43400"/>
    <s v="Direct Public Support"/>
    <s v="07/15/2014"/>
    <s v="Deposit"/>
    <m/>
    <x v="3"/>
    <x v="14"/>
    <x v="0"/>
    <x v="1"/>
    <m/>
    <s v="10143 BofA Restricted Funds -055:Tampa - 8376"/>
    <n v="20"/>
    <n v="221992.57"/>
    <n v="-20"/>
  </r>
  <r>
    <n v="43400"/>
    <s v="Direct Public Support"/>
    <s v="05/05/2014"/>
    <s v="Deposit"/>
    <m/>
    <x v="3"/>
    <x v="15"/>
    <x v="0"/>
    <x v="1"/>
    <m/>
    <s v="10202 *US Bank Wisc Restr 4595:Green Bay"/>
    <n v="8079.1"/>
    <n v="140003.51"/>
    <n v="-8079.1"/>
  </r>
  <r>
    <n v="43440"/>
    <s v="Gifts in Kind - Goods"/>
    <s v="05/09/2014"/>
    <s v="Journal Entry"/>
    <n v="616"/>
    <x v="0"/>
    <x v="10"/>
    <x v="3"/>
    <x v="9"/>
    <s v="Carpet for Caden Hook's room"/>
    <s v="-Split-"/>
    <n v="967.95"/>
    <n v="25694.400000000001"/>
    <n v="-967.95"/>
  </r>
  <r>
    <n v="43440"/>
    <s v="Gifts in Kind - Goods"/>
    <s v="05/09/2014"/>
    <s v="Journal Entry"/>
    <n v="616"/>
    <x v="0"/>
    <x v="10"/>
    <x v="3"/>
    <x v="9"/>
    <s v="2 twin mattresses"/>
    <s v="-Split-"/>
    <n v="318"/>
    <n v="26012.400000000001"/>
    <n v="-318"/>
  </r>
  <r>
    <n v="43440"/>
    <s v="Gifts in Kind - Goods"/>
    <s v="05/22/2014"/>
    <s v="Journal Entry"/>
    <n v="530"/>
    <x v="0"/>
    <x v="10"/>
    <x v="3"/>
    <x v="9"/>
    <s v="Dagim Yilak Room"/>
    <s v="-Split-"/>
    <n v="214.98"/>
    <n v="26370.27"/>
    <n v="-214.98"/>
  </r>
  <r>
    <n v="43440"/>
    <s v="Gifts in Kind - Goods"/>
    <s v="05/22/2014"/>
    <s v="Journal Entry"/>
    <n v="530"/>
    <x v="0"/>
    <x v="10"/>
    <x v="3"/>
    <x v="9"/>
    <s v="Dagim Yilak Room"/>
    <s v="-Split-"/>
    <n v="395.62"/>
    <n v="26765.89"/>
    <n v="-395.62"/>
  </r>
  <r>
    <n v="43440"/>
    <s v="Gifts in Kind - Goods"/>
    <s v="05/22/2014"/>
    <s v="Journal Entry"/>
    <n v="530"/>
    <x v="0"/>
    <x v="10"/>
    <x v="3"/>
    <x v="9"/>
    <s v="Dagim Yilak Room"/>
    <s v="-Split-"/>
    <n v="387.53"/>
    <n v="27153.42"/>
    <n v="-387.53"/>
  </r>
  <r>
    <n v="43440"/>
    <s v="Gifts in Kind - Goods"/>
    <s v="05/22/2014"/>
    <s v="Journal Entry"/>
    <n v="530"/>
    <x v="0"/>
    <x v="10"/>
    <x v="3"/>
    <x v="9"/>
    <s v="Dagim Yilak Room"/>
    <s v="-Split-"/>
    <n v="447"/>
    <n v="27600.42"/>
    <n v="-447"/>
  </r>
  <r>
    <n v="65015"/>
    <s v="Travel Expense"/>
    <s v="04/14/2014"/>
    <s v="Check"/>
    <m/>
    <x v="217"/>
    <x v="10"/>
    <x v="1"/>
    <x v="15"/>
    <m/>
    <s v="10417 *US Bank Columbus"/>
    <n v="6.28"/>
    <n v="2966.65"/>
    <n v="6.28"/>
  </r>
  <r>
    <n v="65020"/>
    <s v="Postage, Mailing Service"/>
    <s v="05/02/2014"/>
    <s v="Check"/>
    <m/>
    <x v="6"/>
    <x v="10"/>
    <x v="1"/>
    <x v="3"/>
    <m/>
    <s v="10417 *US Bank Columbus"/>
    <n v="5.6"/>
    <n v="1299.19"/>
    <n v="5.6"/>
  </r>
  <r>
    <n v="65045"/>
    <s v="Rent"/>
    <s v="02/03/2014"/>
    <s v="Check"/>
    <m/>
    <x v="218"/>
    <x v="10"/>
    <x v="1"/>
    <x v="16"/>
    <m/>
    <s v="10417 *US Bank Columbus"/>
    <n v="87"/>
    <n v="659"/>
    <n v="87"/>
  </r>
  <r>
    <n v="65045"/>
    <s v="Rent"/>
    <s v="03/03/2014"/>
    <s v="Check"/>
    <m/>
    <x v="218"/>
    <x v="10"/>
    <x v="1"/>
    <x v="16"/>
    <m/>
    <s v="10417 *US Bank Columbus"/>
    <n v="90"/>
    <n v="1843"/>
    <n v="90"/>
  </r>
  <r>
    <n v="65045"/>
    <s v="Rent"/>
    <s v="04/03/2014"/>
    <s v="Check"/>
    <m/>
    <x v="218"/>
    <x v="10"/>
    <x v="1"/>
    <x v="16"/>
    <m/>
    <s v="10417 *US Bank Columbus"/>
    <n v="90"/>
    <n v="2755.35"/>
    <n v="90"/>
  </r>
  <r>
    <n v="65045"/>
    <s v="Rent"/>
    <s v="05/05/2014"/>
    <s v="Expense"/>
    <m/>
    <x v="218"/>
    <x v="10"/>
    <x v="1"/>
    <x v="16"/>
    <m/>
    <s v="10417 *US Bank Columbus"/>
    <n v="90"/>
    <n v="3417.35"/>
    <n v="90"/>
  </r>
  <r>
    <n v="65045"/>
    <s v="Rent"/>
    <s v="06/04/2014"/>
    <s v="Expense"/>
    <m/>
    <x v="218"/>
    <x v="10"/>
    <x v="1"/>
    <x v="16"/>
    <m/>
    <s v="10417 *US Bank Columbus"/>
    <n v="90"/>
    <n v="4079.35"/>
    <n v="90"/>
  </r>
  <r>
    <n v="65061"/>
    <s v="Material for Rooms Expense"/>
    <s v="01/06/2014"/>
    <s v="Check"/>
    <m/>
    <x v="218"/>
    <x v="10"/>
    <x v="1"/>
    <x v="5"/>
    <m/>
    <s v="10417 *US Bank Columbus"/>
    <n v="87"/>
    <n v="-7564.6"/>
    <n v="87"/>
  </r>
  <r>
    <n v="65061"/>
    <s v="Material for Rooms Expense"/>
    <s v="04/01/2014"/>
    <s v="Check"/>
    <m/>
    <x v="219"/>
    <x v="10"/>
    <x v="1"/>
    <x v="5"/>
    <m/>
    <s v="10417 *US Bank Columbus"/>
    <n v="93.45"/>
    <n v="83513.91"/>
    <n v="93.45"/>
  </r>
  <r>
    <n v="65061"/>
    <s v="Material for Rooms Expense"/>
    <s v="04/04/2014"/>
    <s v="Check"/>
    <m/>
    <x v="41"/>
    <x v="10"/>
    <x v="1"/>
    <x v="5"/>
    <m/>
    <s v="10417 *US Bank Columbus"/>
    <n v="125.53"/>
    <n v="86715.55"/>
    <n v="125.53"/>
  </r>
  <r>
    <n v="65061"/>
    <s v="Material for Rooms Expense"/>
    <s v="04/07/2014"/>
    <s v="Check"/>
    <m/>
    <x v="30"/>
    <x v="10"/>
    <x v="1"/>
    <x v="5"/>
    <m/>
    <s v="10417 *US Bank Columbus"/>
    <n v="35.5"/>
    <n v="86751.05"/>
    <n v="35.5"/>
  </r>
  <r>
    <n v="65061"/>
    <s v="Material for Rooms Expense"/>
    <s v="04/07/2014"/>
    <s v="Check"/>
    <m/>
    <x v="88"/>
    <x v="10"/>
    <x v="1"/>
    <x v="5"/>
    <m/>
    <s v="10417 *US Bank Columbus"/>
    <n v="17.2"/>
    <n v="87400.93"/>
    <n v="17.2"/>
  </r>
  <r>
    <n v="65061"/>
    <s v="Material for Rooms Expense"/>
    <s v="04/07/2014"/>
    <s v="Check"/>
    <m/>
    <x v="29"/>
    <x v="10"/>
    <x v="1"/>
    <x v="5"/>
    <m/>
    <s v="10417 *US Bank Columbus"/>
    <n v="298.16000000000003"/>
    <n v="89229.58"/>
    <n v="298.16000000000003"/>
  </r>
  <r>
    <n v="65061"/>
    <s v="Material for Rooms Expense"/>
    <s v="04/09/2014"/>
    <s v="Check"/>
    <m/>
    <x v="96"/>
    <x v="10"/>
    <x v="1"/>
    <x v="5"/>
    <m/>
    <s v="10417 *US Bank Columbus"/>
    <n v="103.99"/>
    <n v="90617.93"/>
    <n v="103.99"/>
  </r>
  <r>
    <n v="65061"/>
    <s v="Material for Rooms Expense"/>
    <s v="04/10/2014"/>
    <s v="Check"/>
    <m/>
    <x v="70"/>
    <x v="10"/>
    <x v="1"/>
    <x v="5"/>
    <m/>
    <s v="10417 *US Bank Columbus"/>
    <n v="64.94"/>
    <n v="90825.69"/>
    <n v="64.94"/>
  </r>
  <r>
    <n v="65061"/>
    <s v="Material for Rooms Expense"/>
    <s v="04/10/2014"/>
    <s v="Check"/>
    <m/>
    <x v="220"/>
    <x v="10"/>
    <x v="1"/>
    <x v="5"/>
    <m/>
    <s v="10417 *US Bank Columbus"/>
    <n v="17.239999999999998"/>
    <n v="90842.93"/>
    <n v="17.239999999999998"/>
  </r>
  <r>
    <n v="65061"/>
    <s v="Material for Rooms Expense"/>
    <s v="04/14/2014"/>
    <s v="Check"/>
    <m/>
    <x v="221"/>
    <x v="10"/>
    <x v="1"/>
    <x v="5"/>
    <m/>
    <s v="10417 *US Bank Columbus"/>
    <n v="189.75"/>
    <n v="92390.24"/>
    <n v="189.75"/>
  </r>
  <r>
    <n v="65061"/>
    <s v="Material for Rooms Expense"/>
    <s v="04/14/2014"/>
    <s v="Check"/>
    <m/>
    <x v="30"/>
    <x v="10"/>
    <x v="1"/>
    <x v="5"/>
    <m/>
    <s v="10417 *US Bank Columbus"/>
    <n v="43.54"/>
    <n v="93160.13"/>
    <n v="43.54"/>
  </r>
  <r>
    <n v="65061"/>
    <s v="Material for Rooms Expense"/>
    <s v="04/14/2014"/>
    <s v="Check"/>
    <m/>
    <x v="53"/>
    <x v="10"/>
    <x v="1"/>
    <x v="5"/>
    <m/>
    <s v="10417 *US Bank Columbus"/>
    <n v="151.59"/>
    <n v="93660.72"/>
    <n v="151.59"/>
  </r>
  <r>
    <n v="65061"/>
    <s v="Material for Rooms Expense"/>
    <s v="04/29/2014"/>
    <s v="Check"/>
    <m/>
    <x v="29"/>
    <x v="10"/>
    <x v="1"/>
    <x v="5"/>
    <m/>
    <s v="10417 *US Bank Columbus"/>
    <n v="634.66"/>
    <n v="109302.93"/>
    <n v="634.66"/>
  </r>
  <r>
    <n v="65061"/>
    <s v="Material for Rooms Expense"/>
    <s v="05/02/2014"/>
    <s v="Check"/>
    <m/>
    <x v="14"/>
    <x v="10"/>
    <x v="1"/>
    <x v="5"/>
    <m/>
    <s v="10417 *US Bank Columbus"/>
    <n v="279.95"/>
    <n v="114925.69"/>
    <n v="279.95"/>
  </r>
  <r>
    <n v="65061"/>
    <s v="Material for Rooms Expense"/>
    <s v="05/05/2014"/>
    <s v="Expense"/>
    <m/>
    <x v="70"/>
    <x v="10"/>
    <x v="1"/>
    <x v="5"/>
    <m/>
    <s v="10417 *US Bank Columbus"/>
    <n v="38.15"/>
    <n v="115868.41"/>
    <n v="38.15"/>
  </r>
  <r>
    <n v="65061"/>
    <s v="Material for Rooms Expense"/>
    <s v="05/05/2014"/>
    <s v="Deposit"/>
    <m/>
    <x v="68"/>
    <x v="10"/>
    <x v="1"/>
    <x v="5"/>
    <m/>
    <s v="10417 *US Bank Columbus"/>
    <n v="-47.97"/>
    <n v="115874.3"/>
    <n v="-47.97"/>
  </r>
  <r>
    <n v="65061"/>
    <s v="Material for Rooms Expense"/>
    <s v="05/05/2014"/>
    <s v="Expense"/>
    <m/>
    <x v="41"/>
    <x v="10"/>
    <x v="1"/>
    <x v="5"/>
    <m/>
    <s v="10417 *US Bank Columbus"/>
    <n v="84.36"/>
    <n v="118161.60000000001"/>
    <n v="84.36"/>
  </r>
  <r>
    <n v="65061"/>
    <s v="Material for Rooms Expense"/>
    <s v="05/05/2014"/>
    <s v="Expense"/>
    <m/>
    <x v="53"/>
    <x v="10"/>
    <x v="1"/>
    <x v="5"/>
    <m/>
    <s v="10417 *US Bank Columbus"/>
    <n v="342.2"/>
    <n v="119811.76"/>
    <n v="342.2"/>
  </r>
  <r>
    <n v="65061"/>
    <s v="Material for Rooms Expense"/>
    <s v="05/06/2014"/>
    <s v="Expense"/>
    <m/>
    <x v="222"/>
    <x v="10"/>
    <x v="1"/>
    <x v="5"/>
    <m/>
    <s v="10417 *US Bank Columbus"/>
    <n v="202.5"/>
    <n v="120474.38"/>
    <n v="202.5"/>
  </r>
  <r>
    <n v="65061"/>
    <s v="Material for Rooms Expense"/>
    <s v="05/06/2014"/>
    <s v="Expense"/>
    <m/>
    <x v="8"/>
    <x v="10"/>
    <x v="1"/>
    <x v="5"/>
    <m/>
    <s v="10417 *US Bank Columbus"/>
    <n v="39.64"/>
    <n v="121290.67"/>
    <n v="39.64"/>
  </r>
  <r>
    <n v="65061"/>
    <s v="Material for Rooms Expense"/>
    <s v="05/07/2014"/>
    <s v="Expense"/>
    <m/>
    <x v="58"/>
    <x v="10"/>
    <x v="1"/>
    <x v="5"/>
    <m/>
    <s v="10417 *US Bank Columbus"/>
    <n v="126.44"/>
    <n v="123607.85"/>
    <n v="126.44"/>
  </r>
  <r>
    <n v="65061"/>
    <s v="Material for Rooms Expense"/>
    <s v="05/09/2014"/>
    <s v="Expense"/>
    <m/>
    <x v="223"/>
    <x v="10"/>
    <x v="1"/>
    <x v="5"/>
    <m/>
    <s v="10417 *US Bank Columbus"/>
    <n v="209.9"/>
    <n v="125856.79"/>
    <n v="209.9"/>
  </r>
  <r>
    <n v="65061"/>
    <s v="Material for Rooms Expense"/>
    <s v="05/12/2014"/>
    <s v="Expense"/>
    <m/>
    <x v="68"/>
    <x v="10"/>
    <x v="1"/>
    <x v="5"/>
    <m/>
    <s v="10417 *US Bank Columbus"/>
    <n v="62.18"/>
    <n v="129365.38"/>
    <n v="62.18"/>
  </r>
  <r>
    <n v="65061"/>
    <s v="Material for Rooms Expense"/>
    <s v="06/05/2014"/>
    <s v="Expense"/>
    <m/>
    <x v="224"/>
    <x v="10"/>
    <x v="1"/>
    <x v="5"/>
    <m/>
    <s v="10417 *US Bank Columbus"/>
    <n v="43.22"/>
    <n v="154703.32"/>
    <n v="43.22"/>
  </r>
  <r>
    <n v="65061"/>
    <s v="Material for Rooms Expense"/>
    <s v="06/27/2014"/>
    <s v="Expense"/>
    <m/>
    <x v="33"/>
    <x v="10"/>
    <x v="1"/>
    <x v="5"/>
    <m/>
    <s v="10417 *US Bank Columbus"/>
    <n v="5.8"/>
    <n v="190708.07"/>
    <n v="5.8"/>
  </r>
  <r>
    <n v="65061"/>
    <s v="Material for Rooms Expense"/>
    <s v="06/30/2014"/>
    <s v="Expense"/>
    <m/>
    <x v="225"/>
    <x v="10"/>
    <x v="1"/>
    <x v="5"/>
    <m/>
    <s v="10417 *US Bank Columbus"/>
    <n v="130.4"/>
    <n v="193313"/>
    <n v="130.4"/>
  </r>
  <r>
    <n v="65061"/>
    <s v="Material for Rooms Expense"/>
    <s v="06/30/2014"/>
    <s v="Expense"/>
    <m/>
    <x v="29"/>
    <x v="10"/>
    <x v="1"/>
    <x v="5"/>
    <m/>
    <s v="10417 *US Bank Columbus"/>
    <n v="84.93"/>
    <n v="194982"/>
    <n v="84.93"/>
  </r>
  <r>
    <n v="65062"/>
    <s v="In-Kind Goods"/>
    <s v="05/09/2014"/>
    <s v="Journal Entry"/>
    <n v="616"/>
    <x v="0"/>
    <x v="10"/>
    <x v="1"/>
    <x v="10"/>
    <s v="2 twin mattresses"/>
    <s v="-Split-"/>
    <n v="318"/>
    <n v="25044.45"/>
    <n v="318"/>
  </r>
  <r>
    <n v="65062"/>
    <s v="In-Kind Goods"/>
    <s v="05/09/2014"/>
    <s v="Journal Entry"/>
    <n v="616"/>
    <x v="0"/>
    <x v="10"/>
    <x v="1"/>
    <x v="10"/>
    <s v="Carpet for Caden Hook's room"/>
    <s v="-Split-"/>
    <n v="967.95"/>
    <n v="26012.400000000001"/>
    <n v="967.95"/>
  </r>
  <r>
    <n v="65062"/>
    <s v="In-Kind Goods"/>
    <s v="05/22/2014"/>
    <s v="Journal Entry"/>
    <n v="530"/>
    <x v="0"/>
    <x v="10"/>
    <x v="1"/>
    <x v="10"/>
    <s v="Dagim Yilak Room"/>
    <s v="-Split-"/>
    <n v="214.98"/>
    <n v="26370.27"/>
    <n v="214.98"/>
  </r>
  <r>
    <n v="65062"/>
    <s v="In-Kind Goods"/>
    <s v="05/22/2014"/>
    <s v="Journal Entry"/>
    <n v="530"/>
    <x v="0"/>
    <x v="10"/>
    <x v="1"/>
    <x v="10"/>
    <s v="Dagim Yilak Room"/>
    <s v="-Split-"/>
    <n v="395.62"/>
    <n v="26765.89"/>
    <n v="395.62"/>
  </r>
  <r>
    <n v="65062"/>
    <s v="In-Kind Goods"/>
    <s v="05/22/2014"/>
    <s v="Journal Entry"/>
    <n v="530"/>
    <x v="0"/>
    <x v="10"/>
    <x v="1"/>
    <x v="10"/>
    <s v="Dagim Yilak Room"/>
    <s v="-Split-"/>
    <n v="447"/>
    <n v="27212.89"/>
    <n v="447"/>
  </r>
  <r>
    <n v="65062"/>
    <s v="In-Kind Goods"/>
    <s v="05/22/2014"/>
    <s v="Journal Entry"/>
    <n v="530"/>
    <x v="0"/>
    <x v="10"/>
    <x v="1"/>
    <x v="10"/>
    <s v="Dagim Yilak Room"/>
    <s v="-Split-"/>
    <n v="387.53"/>
    <n v="27600.42"/>
    <n v="387.53"/>
  </r>
  <r>
    <n v="65075"/>
    <s v="Staff Development"/>
    <s v="05/13/2014"/>
    <s v="Check"/>
    <n v="451"/>
    <x v="226"/>
    <x v="10"/>
    <x v="1"/>
    <x v="18"/>
    <s v="10th room completion"/>
    <s v="10180 BofA Spec Spaces National 4695"/>
    <n v="500"/>
    <n v="503.24"/>
    <n v="500"/>
  </r>
  <r>
    <n v="65080"/>
    <s v="Automobile Expenses"/>
    <s v="05/13/2014"/>
    <s v="Check"/>
    <n v="451"/>
    <x v="226"/>
    <x v="10"/>
    <x v="1"/>
    <x v="15"/>
    <s v="trailer tag renewal reimbursement"/>
    <s v="10180 BofA Spec Spaces National 4695"/>
    <n v="103.5"/>
    <n v="103.5"/>
    <n v="103.5"/>
  </r>
  <r>
    <n v="43400"/>
    <s v="Direct Public Support"/>
    <s v="08/25/2014"/>
    <s v="Journal Entry"/>
    <n v="659"/>
    <x v="0"/>
    <x v="16"/>
    <x v="0"/>
    <x v="1"/>
    <s v="paypal"/>
    <s v="-Split-"/>
    <n v="200"/>
    <n v="240049.86"/>
    <n v="-200"/>
  </r>
  <r>
    <n v="43400"/>
    <s v="Direct Public Support"/>
    <s v="01/27/2014"/>
    <s v="Deposit"/>
    <m/>
    <x v="3"/>
    <x v="17"/>
    <x v="0"/>
    <x v="1"/>
    <m/>
    <s v="10512 BofA Houston Resticted 0905"/>
    <n v="465"/>
    <n v="29771.09"/>
    <n v="-465"/>
  </r>
  <r>
    <n v="43400"/>
    <s v="Direct Public Support"/>
    <s v="02/26/2014"/>
    <s v="Deposit"/>
    <m/>
    <x v="3"/>
    <x v="17"/>
    <x v="0"/>
    <x v="1"/>
    <m/>
    <s v="10512 BofA Houston Resticted 0905"/>
    <n v="500"/>
    <n v="73154.399999999994"/>
    <n v="-500"/>
  </r>
  <r>
    <n v="43400"/>
    <s v="Direct Public Support"/>
    <s v="03/24/2014"/>
    <s v="Deposit"/>
    <m/>
    <x v="3"/>
    <x v="17"/>
    <x v="0"/>
    <x v="1"/>
    <m/>
    <s v="10512 BofA Houston Resticted 0905"/>
    <n v="5986.49"/>
    <n v="101146.46"/>
    <n v="-5986.49"/>
  </r>
  <r>
    <n v="43400"/>
    <s v="Direct Public Support"/>
    <s v="07/22/2014"/>
    <s v="Journal Entry"/>
    <n v="625"/>
    <x v="0"/>
    <x v="7"/>
    <x v="0"/>
    <x v="1"/>
    <s v="paypal"/>
    <s v="-Split-"/>
    <n v="390"/>
    <n v="227857.16"/>
    <n v="-390"/>
  </r>
  <r>
    <n v="43400"/>
    <s v="Direct Public Support"/>
    <s v="09/29/2014"/>
    <s v="Deposit"/>
    <m/>
    <x v="3"/>
    <x v="7"/>
    <x v="0"/>
    <x v="1"/>
    <m/>
    <s v="10111 BofA Restricted Funds -055:Chicago 8350"/>
    <n v="400"/>
    <n v="259641.97"/>
    <n v="-400"/>
  </r>
  <r>
    <n v="43400"/>
    <s v="Direct Public Support"/>
    <s v="09/29/2014"/>
    <s v="Journal Entry"/>
    <n v="689"/>
    <x v="0"/>
    <x v="7"/>
    <x v="0"/>
    <x v="1"/>
    <m/>
    <s v="-Split-"/>
    <n v="248"/>
    <n v="259889.97"/>
    <n v="-248"/>
  </r>
  <r>
    <n v="43430"/>
    <s v="Gifts in kind - Services"/>
    <s v="01/25/2014"/>
    <s v="Journal Entry"/>
    <n v="460"/>
    <x v="0"/>
    <x v="11"/>
    <x v="3"/>
    <x v="8"/>
    <s v="floor install"/>
    <s v="-Split-"/>
    <n v="120"/>
    <n v="7397"/>
    <n v="-120"/>
  </r>
  <r>
    <n v="43440"/>
    <s v="Gifts in Kind - Goods"/>
    <s v="01/25/2014"/>
    <s v="Journal Entry"/>
    <n v="460"/>
    <x v="0"/>
    <x v="11"/>
    <x v="3"/>
    <x v="9"/>
    <s v="canvas painting"/>
    <s v="-Split-"/>
    <n v="70"/>
    <n v="4727.42"/>
    <n v="-70"/>
  </r>
  <r>
    <n v="43440"/>
    <s v="Gifts in Kind - Goods"/>
    <s v="01/25/2014"/>
    <s v="Journal Entry"/>
    <n v="460"/>
    <x v="0"/>
    <x v="11"/>
    <x v="3"/>
    <x v="9"/>
    <s v="lunch for volunteers"/>
    <s v="-Split-"/>
    <n v="102"/>
    <n v="4948.13"/>
    <n v="-102"/>
  </r>
  <r>
    <n v="43440"/>
    <s v="Gifts in Kind - Goods"/>
    <s v="01/25/2014"/>
    <s v="Journal Entry"/>
    <n v="460"/>
    <x v="0"/>
    <x v="11"/>
    <x v="3"/>
    <x v="9"/>
    <s v="1100 books"/>
    <s v="-Split-"/>
    <n v="2000"/>
    <n v="6948.13"/>
    <n v="-2000"/>
  </r>
  <r>
    <n v="43440"/>
    <s v="Gifts in Kind - Goods"/>
    <s v="06/13/2014"/>
    <s v="Journal Entry"/>
    <n v="617"/>
    <x v="0"/>
    <x v="11"/>
    <x v="3"/>
    <x v="9"/>
    <s v="dresser for Oliva Reed"/>
    <s v="-Split-"/>
    <n v="50"/>
    <n v="28737.48"/>
    <n v="-50"/>
  </r>
  <r>
    <n v="43400"/>
    <s v="Direct Public Support"/>
    <s v="10/28/2014"/>
    <s v="Deposit"/>
    <m/>
    <x v="3"/>
    <x v="7"/>
    <x v="0"/>
    <x v="1"/>
    <m/>
    <s v="10111 BofA Restricted Funds -055:Chicago 8350"/>
    <n v="3615"/>
    <n v="309129.82"/>
    <n v="-3615"/>
  </r>
  <r>
    <n v="43400"/>
    <s v="Direct Public Support"/>
    <s v="08/27/2014"/>
    <s v="Deposit"/>
    <m/>
    <x v="227"/>
    <x v="18"/>
    <x v="0"/>
    <x v="1"/>
    <m/>
    <s v="10204 *US Bank Wisc Restr 4595:Dubuque"/>
    <n v="1000"/>
    <n v="241644.86"/>
    <n v="-1000"/>
  </r>
  <r>
    <n v="65061"/>
    <s v="Material for Rooms Expense"/>
    <s v="01/03/2014"/>
    <s v="Check"/>
    <m/>
    <x v="19"/>
    <x v="11"/>
    <x v="1"/>
    <x v="5"/>
    <m/>
    <s v="10543 BoA Dallas, Texas 8389"/>
    <n v="43.78"/>
    <n v="-7708.39"/>
    <n v="43.78"/>
  </r>
  <r>
    <n v="65061"/>
    <s v="Material for Rooms Expense"/>
    <s v="01/03/2014"/>
    <s v="Check"/>
    <m/>
    <x v="19"/>
    <x v="11"/>
    <x v="1"/>
    <x v="5"/>
    <m/>
    <s v="10543 BoA Dallas, Texas 8389"/>
    <n v="9.3000000000000007"/>
    <n v="-7699.09"/>
    <n v="9.3000000000000007"/>
  </r>
  <r>
    <n v="65061"/>
    <s v="Material for Rooms Expense"/>
    <s v="01/06/2014"/>
    <s v="Check"/>
    <m/>
    <x v="29"/>
    <x v="11"/>
    <x v="1"/>
    <x v="5"/>
    <m/>
    <s v="10543 BoA Dallas, Texas 8389"/>
    <n v="48.28"/>
    <n v="-6458.39"/>
    <n v="48.28"/>
  </r>
  <r>
    <n v="65061"/>
    <s v="Material for Rooms Expense"/>
    <s v="01/13/2014"/>
    <s v="Check"/>
    <m/>
    <x v="29"/>
    <x v="11"/>
    <x v="1"/>
    <x v="5"/>
    <m/>
    <s v="10543 BoA Dallas, Texas 8389"/>
    <n v="114.85"/>
    <n v="-268.91000000000003"/>
    <n v="114.85"/>
  </r>
  <r>
    <n v="65061"/>
    <s v="Material for Rooms Expense"/>
    <s v="01/13/2014"/>
    <s v="Check"/>
    <m/>
    <x v="228"/>
    <x v="11"/>
    <x v="1"/>
    <x v="5"/>
    <m/>
    <s v="10543 BoA Dallas, Texas 8389"/>
    <n v="30.5"/>
    <n v="-192.35"/>
    <n v="30.5"/>
  </r>
  <r>
    <n v="65061"/>
    <s v="Material for Rooms Expense"/>
    <s v="01/13/2014"/>
    <s v="Check"/>
    <m/>
    <x v="139"/>
    <x v="11"/>
    <x v="1"/>
    <x v="5"/>
    <m/>
    <s v="10543 BoA Dallas, Texas 8389"/>
    <n v="64.930000000000007"/>
    <n v="-127.42"/>
    <n v="64.930000000000007"/>
  </r>
  <r>
    <n v="65061"/>
    <s v="Material for Rooms Expense"/>
    <s v="01/13/2014"/>
    <s v="Check"/>
    <m/>
    <x v="229"/>
    <x v="11"/>
    <x v="1"/>
    <x v="5"/>
    <m/>
    <s v="10543 BoA Dallas, Texas 8389"/>
    <n v="16.21"/>
    <n v="2488.61"/>
    <n v="16.21"/>
  </r>
  <r>
    <n v="65061"/>
    <s v="Material for Rooms Expense"/>
    <s v="01/21/2014"/>
    <s v="Check"/>
    <m/>
    <x v="29"/>
    <x v="11"/>
    <x v="1"/>
    <x v="5"/>
    <m/>
    <s v="10543 BoA Dallas, Texas 8389"/>
    <n v="6.93"/>
    <n v="11942.07"/>
    <n v="6.93"/>
  </r>
  <r>
    <n v="65061"/>
    <s v="Material for Rooms Expense"/>
    <s v="01/21/2014"/>
    <s v="Check"/>
    <m/>
    <x v="230"/>
    <x v="11"/>
    <x v="1"/>
    <x v="5"/>
    <m/>
    <s v="10543 BoA Dallas, Texas 8389"/>
    <n v="7.55"/>
    <n v="11949.62"/>
    <n v="7.55"/>
  </r>
  <r>
    <n v="65061"/>
    <s v="Material for Rooms Expense"/>
    <s v="01/21/2014"/>
    <s v="Check"/>
    <m/>
    <x v="73"/>
    <x v="11"/>
    <x v="1"/>
    <x v="5"/>
    <m/>
    <s v="10543 BoA Dallas, Texas 8389"/>
    <n v="253.94"/>
    <n v="12203.56"/>
    <n v="253.94"/>
  </r>
  <r>
    <n v="65061"/>
    <s v="Material for Rooms Expense"/>
    <s v="01/24/2014"/>
    <s v="Check"/>
    <m/>
    <x v="29"/>
    <x v="11"/>
    <x v="1"/>
    <x v="5"/>
    <m/>
    <s v="10543 BoA Dallas, Texas 8389"/>
    <n v="34.58"/>
    <n v="17318.05"/>
    <n v="34.58"/>
  </r>
  <r>
    <n v="65061"/>
    <s v="Material for Rooms Expense"/>
    <s v="01/27/2014"/>
    <s v="Deposit"/>
    <m/>
    <x v="27"/>
    <x v="11"/>
    <x v="1"/>
    <x v="5"/>
    <m/>
    <s v="10543 BoA Dallas, Texas 8389"/>
    <n v="-17.309999999999999"/>
    <n v="20290.12"/>
    <n v="-17.309999999999999"/>
  </r>
  <r>
    <n v="65061"/>
    <s v="Material for Rooms Expense"/>
    <s v="01/27/2014"/>
    <s v="Deposit"/>
    <m/>
    <x v="27"/>
    <x v="11"/>
    <x v="1"/>
    <x v="5"/>
    <m/>
    <s v="10543 BoA Dallas, Texas 8389"/>
    <n v="-44.18"/>
    <n v="20245.939999999999"/>
    <n v="-44.18"/>
  </r>
  <r>
    <n v="65061"/>
    <s v="Material for Rooms Expense"/>
    <s v="01/27/2014"/>
    <s v="Check"/>
    <m/>
    <x v="58"/>
    <x v="11"/>
    <x v="1"/>
    <x v="5"/>
    <m/>
    <s v="10543 BoA Dallas, Texas 8389"/>
    <n v="32.450000000000003"/>
    <n v="20365.29"/>
    <n v="32.450000000000003"/>
  </r>
  <r>
    <n v="65061"/>
    <s v="Material for Rooms Expense"/>
    <s v="01/30/2014"/>
    <s v="Deposit"/>
    <m/>
    <x v="27"/>
    <x v="11"/>
    <x v="1"/>
    <x v="5"/>
    <m/>
    <s v="10543 BoA Dallas, Texas 8389"/>
    <n v="-7.55"/>
    <n v="25409.41"/>
    <n v="-7.55"/>
  </r>
  <r>
    <n v="65061"/>
    <s v="Material for Rooms Expense"/>
    <s v="02/10/2014"/>
    <s v="Check"/>
    <m/>
    <x v="19"/>
    <x v="11"/>
    <x v="1"/>
    <x v="5"/>
    <m/>
    <s v="10543 BoA Dallas, Texas 8389"/>
    <n v="379.99"/>
    <n v="37182.339999999997"/>
    <n v="379.99"/>
  </r>
  <r>
    <n v="65061"/>
    <s v="Material for Rooms Expense"/>
    <s v="02/18/2014"/>
    <s v="Check"/>
    <m/>
    <x v="139"/>
    <x v="11"/>
    <x v="1"/>
    <x v="5"/>
    <m/>
    <s v="10543 BoA Dallas, Texas 8389"/>
    <n v="29.99"/>
    <n v="43183.46"/>
    <n v="29.99"/>
  </r>
  <r>
    <n v="65061"/>
    <s v="Material for Rooms Expense"/>
    <s v="02/18/2014"/>
    <s v="Check"/>
    <m/>
    <x v="139"/>
    <x v="11"/>
    <x v="1"/>
    <x v="5"/>
    <m/>
    <s v="10543 BoA Dallas, Texas 8389"/>
    <n v="149.99"/>
    <n v="43333.45"/>
    <n v="149.99"/>
  </r>
  <r>
    <n v="65061"/>
    <s v="Material for Rooms Expense"/>
    <s v="02/19/2014"/>
    <s v="Check"/>
    <m/>
    <x v="231"/>
    <x v="11"/>
    <x v="1"/>
    <x v="5"/>
    <m/>
    <s v="10543 BoA Dallas, Texas 8389"/>
    <n v="173.18"/>
    <n v="46234.29"/>
    <n v="173.18"/>
  </r>
  <r>
    <n v="65061"/>
    <s v="Material for Rooms Expense"/>
    <s v="02/21/2014"/>
    <s v="Check"/>
    <m/>
    <x v="232"/>
    <x v="11"/>
    <x v="1"/>
    <x v="5"/>
    <m/>
    <s v="10543 BoA Dallas, Texas 8389"/>
    <n v="19.96"/>
    <n v="50833.74"/>
    <n v="19.96"/>
  </r>
  <r>
    <n v="65061"/>
    <s v="Material for Rooms Expense"/>
    <s v="02/24/2014"/>
    <s v="Check"/>
    <m/>
    <x v="26"/>
    <x v="11"/>
    <x v="1"/>
    <x v="5"/>
    <m/>
    <s v="10543 BoA Dallas, Texas 8389"/>
    <n v="45.43"/>
    <n v="51447.45"/>
    <n v="45.43"/>
  </r>
  <r>
    <n v="65061"/>
    <s v="Material for Rooms Expense"/>
    <s v="02/24/2014"/>
    <s v="Check"/>
    <m/>
    <x v="73"/>
    <x v="11"/>
    <x v="1"/>
    <x v="5"/>
    <m/>
    <s v="10543 BoA Dallas, Texas 8389"/>
    <n v="219.98"/>
    <n v="54056.98"/>
    <n v="219.98"/>
  </r>
  <r>
    <n v="65061"/>
    <s v="Material for Rooms Expense"/>
    <s v="03/03/2014"/>
    <s v="Check"/>
    <m/>
    <x v="33"/>
    <x v="11"/>
    <x v="1"/>
    <x v="5"/>
    <m/>
    <s v="10543 BoA Dallas, Texas 8389"/>
    <n v="22.52"/>
    <n v="57741.55"/>
    <n v="22.52"/>
  </r>
  <r>
    <n v="65061"/>
    <s v="Material for Rooms Expense"/>
    <s v="03/03/2014"/>
    <s v="Check"/>
    <m/>
    <x v="33"/>
    <x v="11"/>
    <x v="1"/>
    <x v="5"/>
    <m/>
    <s v="10543 BoA Dallas, Texas 8389"/>
    <n v="44.95"/>
    <n v="57786.5"/>
    <n v="44.95"/>
  </r>
  <r>
    <n v="65061"/>
    <s v="Material for Rooms Expense"/>
    <s v="03/03/2014"/>
    <s v="Check"/>
    <m/>
    <x v="19"/>
    <x v="11"/>
    <x v="1"/>
    <x v="5"/>
    <m/>
    <s v="10543 BoA Dallas, Texas 8389"/>
    <n v="45.97"/>
    <n v="61300.52"/>
    <n v="45.97"/>
  </r>
  <r>
    <n v="65061"/>
    <s v="Material for Rooms Expense"/>
    <s v="03/03/2014"/>
    <s v="Check"/>
    <m/>
    <x v="33"/>
    <x v="11"/>
    <x v="1"/>
    <x v="5"/>
    <m/>
    <s v="10543 BoA Dallas, Texas 8389"/>
    <n v="9.34"/>
    <n v="61309.86"/>
    <n v="9.34"/>
  </r>
  <r>
    <n v="65061"/>
    <s v="Material for Rooms Expense"/>
    <s v="03/04/2014"/>
    <s v="Check"/>
    <m/>
    <x v="233"/>
    <x v="11"/>
    <x v="1"/>
    <x v="5"/>
    <m/>
    <s v="10543 BoA Dallas, Texas 8389"/>
    <n v="97.41"/>
    <n v="61563.71"/>
    <n v="97.41"/>
  </r>
  <r>
    <n v="65061"/>
    <s v="Material for Rooms Expense"/>
    <s v="03/05/2014"/>
    <s v="Check"/>
    <m/>
    <x v="234"/>
    <x v="11"/>
    <x v="1"/>
    <x v="5"/>
    <m/>
    <s v="10543 BoA Dallas, Texas 8389"/>
    <n v="81.180000000000007"/>
    <n v="64412.41"/>
    <n v="81.180000000000007"/>
  </r>
  <r>
    <n v="65061"/>
    <s v="Material for Rooms Expense"/>
    <s v="03/07/2014"/>
    <s v="Check"/>
    <m/>
    <x v="29"/>
    <x v="11"/>
    <x v="1"/>
    <x v="5"/>
    <m/>
    <s v="10543 BoA Dallas, Texas 8389"/>
    <n v="157.80000000000001"/>
    <n v="65361.78"/>
    <n v="157.80000000000001"/>
  </r>
  <r>
    <n v="65061"/>
    <s v="Material for Rooms Expense"/>
    <s v="03/07/2014"/>
    <s v="Check"/>
    <m/>
    <x v="29"/>
    <x v="11"/>
    <x v="1"/>
    <x v="5"/>
    <m/>
    <s v="10543 BoA Dallas, Texas 8389"/>
    <n v="113.53"/>
    <n v="67219.02"/>
    <n v="113.53"/>
  </r>
  <r>
    <n v="65061"/>
    <s v="Material for Rooms Expense"/>
    <s v="03/10/2014"/>
    <s v="Check"/>
    <m/>
    <x v="29"/>
    <x v="11"/>
    <x v="1"/>
    <x v="5"/>
    <m/>
    <s v="10543 BoA Dallas, Texas 8389"/>
    <n v="44.18"/>
    <n v="67352.19"/>
    <n v="44.18"/>
  </r>
  <r>
    <n v="65061"/>
    <s v="Material for Rooms Expense"/>
    <s v="03/11/2014"/>
    <s v="Check"/>
    <m/>
    <x v="88"/>
    <x v="11"/>
    <x v="1"/>
    <x v="5"/>
    <m/>
    <s v="10543 BoA Dallas, Texas 8389"/>
    <n v="6.5"/>
    <n v="67850.210000000006"/>
    <n v="6.5"/>
  </r>
  <r>
    <n v="65061"/>
    <s v="Material for Rooms Expense"/>
    <s v="03/11/2014"/>
    <s v="Check"/>
    <m/>
    <x v="29"/>
    <x v="11"/>
    <x v="1"/>
    <x v="5"/>
    <m/>
    <s v="10543 BoA Dallas, Texas 8389"/>
    <n v="8.5299999999999994"/>
    <n v="67858.740000000005"/>
    <n v="8.5299999999999994"/>
  </r>
  <r>
    <n v="65061"/>
    <s v="Material for Rooms Expense"/>
    <s v="03/11/2014"/>
    <s v="Check"/>
    <m/>
    <x v="33"/>
    <x v="11"/>
    <x v="1"/>
    <x v="5"/>
    <m/>
    <s v="10543 BoA Dallas, Texas 8389"/>
    <n v="35.700000000000003"/>
    <n v="67894.44"/>
    <n v="35.700000000000003"/>
  </r>
  <r>
    <n v="65061"/>
    <s v="Material for Rooms Expense"/>
    <s v="03/14/2014"/>
    <s v="Check"/>
    <m/>
    <x v="29"/>
    <x v="11"/>
    <x v="1"/>
    <x v="5"/>
    <m/>
    <s v="10543 BoA Dallas, Texas 8389"/>
    <n v="57.51"/>
    <n v="70187.11"/>
    <n v="57.51"/>
  </r>
  <r>
    <n v="65061"/>
    <s v="Material for Rooms Expense"/>
    <s v="03/17/2014"/>
    <s v="Check"/>
    <m/>
    <x v="235"/>
    <x v="11"/>
    <x v="1"/>
    <x v="5"/>
    <m/>
    <s v="10543 BoA Dallas, Texas 8389"/>
    <n v="100"/>
    <n v="71513.42"/>
    <n v="100"/>
  </r>
  <r>
    <n v="65061"/>
    <s v="Material for Rooms Expense"/>
    <s v="04/10/2014"/>
    <s v="Deposit"/>
    <m/>
    <x v="27"/>
    <x v="11"/>
    <x v="1"/>
    <x v="5"/>
    <m/>
    <s v="10543 BoA Dallas, Texas 8389"/>
    <n v="-29.99"/>
    <n v="90760.75"/>
    <n v="-29.99"/>
  </r>
  <r>
    <n v="65061"/>
    <s v="Material for Rooms Expense"/>
    <s v="04/18/2014"/>
    <s v="Check"/>
    <m/>
    <x v="230"/>
    <x v="11"/>
    <x v="1"/>
    <x v="5"/>
    <m/>
    <s v="10543 BoA Dallas, Texas 8389"/>
    <n v="17.62"/>
    <n v="98827.33"/>
    <n v="17.62"/>
  </r>
  <r>
    <n v="65061"/>
    <s v="Material for Rooms Expense"/>
    <s v="04/28/2014"/>
    <s v="Check"/>
    <m/>
    <x v="73"/>
    <x v="11"/>
    <x v="1"/>
    <x v="5"/>
    <m/>
    <s v="10543 BoA Dallas, Texas 8389"/>
    <n v="286.45999999999998"/>
    <n v="106610.94"/>
    <n v="286.45999999999998"/>
  </r>
  <r>
    <n v="65061"/>
    <s v="Material for Rooms Expense"/>
    <s v="04/28/2014"/>
    <s v="Deposit"/>
    <m/>
    <x v="73"/>
    <x v="11"/>
    <x v="1"/>
    <x v="5"/>
    <m/>
    <s v="10543 BoA Dallas, Texas 8389"/>
    <n v="-12.99"/>
    <n v="106597.95"/>
    <n v="-12.99"/>
  </r>
  <r>
    <n v="65061"/>
    <s v="Material for Rooms Expense"/>
    <s v="04/28/2014"/>
    <s v="Check"/>
    <m/>
    <x v="88"/>
    <x v="11"/>
    <x v="1"/>
    <x v="5"/>
    <m/>
    <s v="10543 BoA Dallas, Texas 8389"/>
    <n v="11.91"/>
    <n v="106812.94"/>
    <n v="11.91"/>
  </r>
  <r>
    <n v="65061"/>
    <s v="Material for Rooms Expense"/>
    <s v="04/28/2014"/>
    <s v="Check"/>
    <m/>
    <x v="19"/>
    <x v="11"/>
    <x v="1"/>
    <x v="5"/>
    <m/>
    <s v="10543 BoA Dallas, Texas 8389"/>
    <n v="52.05"/>
    <n v="107923.11"/>
    <n v="52.05"/>
  </r>
  <r>
    <n v="65061"/>
    <s v="Material for Rooms Expense"/>
    <s v="04/28/2014"/>
    <s v="Check"/>
    <m/>
    <x v="234"/>
    <x v="11"/>
    <x v="1"/>
    <x v="5"/>
    <m/>
    <s v="10543 BoA Dallas, Texas 8389"/>
    <n v="18.34"/>
    <n v="107941.45"/>
    <n v="18.34"/>
  </r>
  <r>
    <n v="65061"/>
    <s v="Material for Rooms Expense"/>
    <s v="04/28/2014"/>
    <s v="Check"/>
    <m/>
    <x v="19"/>
    <x v="11"/>
    <x v="1"/>
    <x v="5"/>
    <m/>
    <s v="10543 BoA Dallas, Texas 8389"/>
    <n v="22.29"/>
    <n v="108475.75"/>
    <n v="22.29"/>
  </r>
  <r>
    <n v="65061"/>
    <s v="Material for Rooms Expense"/>
    <s v="04/28/2014"/>
    <s v="Check"/>
    <m/>
    <x v="19"/>
    <x v="11"/>
    <x v="1"/>
    <x v="5"/>
    <m/>
    <s v="10543 BoA Dallas, Texas 8389"/>
    <n v="61.72"/>
    <n v="108537.47"/>
    <n v="61.72"/>
  </r>
  <r>
    <n v="65061"/>
    <s v="Material for Rooms Expense"/>
    <s v="04/28/2014"/>
    <s v="Check"/>
    <m/>
    <x v="19"/>
    <x v="11"/>
    <x v="1"/>
    <x v="5"/>
    <m/>
    <s v="10543 BoA Dallas, Texas 8389"/>
    <n v="91.97"/>
    <n v="108629.44"/>
    <n v="91.97"/>
  </r>
  <r>
    <n v="65061"/>
    <s v="Material for Rooms Expense"/>
    <s v="05/08/2014"/>
    <s v="Expense"/>
    <m/>
    <x v="29"/>
    <x v="11"/>
    <x v="1"/>
    <x v="5"/>
    <m/>
    <s v="10543 BoA Dallas, Texas 8389"/>
    <n v="248.85"/>
    <n v="124498.41"/>
    <n v="248.85"/>
  </r>
  <r>
    <n v="65061"/>
    <s v="Material for Rooms Expense"/>
    <s v="05/27/2014"/>
    <s v="Expense"/>
    <m/>
    <x v="139"/>
    <x v="11"/>
    <x v="1"/>
    <x v="5"/>
    <m/>
    <s v="10543 BoA Dallas, Texas 8389"/>
    <n v="64.930000000000007"/>
    <n v="145046.88"/>
    <n v="64.930000000000007"/>
  </r>
  <r>
    <n v="65061"/>
    <s v="Material for Rooms Expense"/>
    <s v="06/02/2014"/>
    <s v="Expense"/>
    <m/>
    <x v="58"/>
    <x v="11"/>
    <x v="1"/>
    <x v="5"/>
    <m/>
    <s v="10543 BoA Dallas, Texas 8389"/>
    <n v="103.57"/>
    <n v="147552.93"/>
    <n v="103.57"/>
  </r>
  <r>
    <n v="65061"/>
    <s v="Material for Rooms Expense"/>
    <s v="06/02/2014"/>
    <s v="Expense"/>
    <m/>
    <x v="236"/>
    <x v="11"/>
    <x v="1"/>
    <x v="5"/>
    <m/>
    <s v="10543 BoA Dallas, Texas 8389"/>
    <n v="6.5"/>
    <n v="147559.43"/>
    <n v="6.5"/>
  </r>
  <r>
    <n v="65061"/>
    <s v="Material for Rooms Expense"/>
    <s v="06/02/2014"/>
    <s v="Expense"/>
    <m/>
    <x v="142"/>
    <x v="11"/>
    <x v="1"/>
    <x v="5"/>
    <m/>
    <s v="10543 BoA Dallas, Texas 8389"/>
    <n v="97.41"/>
    <n v="147656.84"/>
    <n v="97.41"/>
  </r>
  <r>
    <n v="65061"/>
    <s v="Material for Rooms Expense"/>
    <s v="06/02/2014"/>
    <s v="Expense"/>
    <m/>
    <x v="26"/>
    <x v="11"/>
    <x v="1"/>
    <x v="5"/>
    <m/>
    <s v="10543 BoA Dallas, Texas 8389"/>
    <n v="19.440000000000001"/>
    <n v="147676.28"/>
    <n v="19.440000000000001"/>
  </r>
  <r>
    <n v="65061"/>
    <s v="Material for Rooms Expense"/>
    <s v="06/02/2014"/>
    <s v="Expense"/>
    <m/>
    <x v="29"/>
    <x v="11"/>
    <x v="1"/>
    <x v="5"/>
    <m/>
    <s v="10543 BoA Dallas, Texas 8389"/>
    <n v="65.81"/>
    <n v="150434.79"/>
    <n v="65.81"/>
  </r>
  <r>
    <n v="65061"/>
    <s v="Material for Rooms Expense"/>
    <s v="06/02/2014"/>
    <s v="Expense"/>
    <m/>
    <x v="19"/>
    <x v="11"/>
    <x v="1"/>
    <x v="5"/>
    <m/>
    <s v="10543 BoA Dallas, Texas 8389"/>
    <n v="49.56"/>
    <n v="150484.35"/>
    <n v="49.56"/>
  </r>
  <r>
    <n v="65061"/>
    <s v="Material for Rooms Expense"/>
    <s v="06/02/2014"/>
    <s v="Expense"/>
    <m/>
    <x v="19"/>
    <x v="11"/>
    <x v="1"/>
    <x v="5"/>
    <m/>
    <s v="10543 BoA Dallas, Texas 8389"/>
    <n v="46.32"/>
    <n v="150530.67000000001"/>
    <n v="46.32"/>
  </r>
  <r>
    <n v="65061"/>
    <s v="Material for Rooms Expense"/>
    <s v="06/04/2014"/>
    <s v="Expense"/>
    <m/>
    <x v="19"/>
    <x v="11"/>
    <x v="1"/>
    <x v="5"/>
    <m/>
    <s v="10543 BoA Dallas, Texas 8389"/>
    <n v="32.19"/>
    <n v="154078.79999999999"/>
    <n v="32.19"/>
  </r>
  <r>
    <n v="65061"/>
    <s v="Material for Rooms Expense"/>
    <s v="06/11/2014"/>
    <s v="Expense"/>
    <m/>
    <x v="230"/>
    <x v="11"/>
    <x v="1"/>
    <x v="5"/>
    <m/>
    <s v="10543 BoA Dallas, Texas 8389"/>
    <n v="99.61"/>
    <n v="168794.32"/>
    <n v="99.61"/>
  </r>
  <r>
    <n v="65061"/>
    <s v="Material for Rooms Expense"/>
    <s v="06/12/2014"/>
    <s v="Expense"/>
    <m/>
    <x v="29"/>
    <x v="11"/>
    <x v="1"/>
    <x v="5"/>
    <m/>
    <s v="10543 BoA Dallas, Texas 8389"/>
    <n v="56.09"/>
    <n v="169386.02"/>
    <n v="56.09"/>
  </r>
  <r>
    <n v="65061"/>
    <s v="Material for Rooms Expense"/>
    <s v="06/12/2014"/>
    <s v="Expense"/>
    <m/>
    <x v="29"/>
    <x v="11"/>
    <x v="1"/>
    <x v="5"/>
    <m/>
    <s v="10543 BoA Dallas, Texas 8389"/>
    <n v="58.17"/>
    <n v="169493.44"/>
    <n v="58.17"/>
  </r>
  <r>
    <n v="65061"/>
    <s v="Material for Rooms Expense"/>
    <s v="06/13/2014"/>
    <s v="Expense"/>
    <m/>
    <x v="29"/>
    <x v="11"/>
    <x v="1"/>
    <x v="5"/>
    <m/>
    <s v="10543 BoA Dallas, Texas 8389"/>
    <n v="46.25"/>
    <n v="169573.13"/>
    <n v="46.25"/>
  </r>
  <r>
    <n v="65061"/>
    <s v="Material for Rooms Expense"/>
    <s v="06/13/2014"/>
    <s v="Expense"/>
    <m/>
    <x v="19"/>
    <x v="11"/>
    <x v="1"/>
    <x v="5"/>
    <m/>
    <s v="10543 BoA Dallas, Texas 8389"/>
    <n v="25.96"/>
    <n v="169555.9"/>
    <n v="25.96"/>
  </r>
  <r>
    <n v="65061"/>
    <s v="Material for Rooms Expense"/>
    <s v="06/16/2014"/>
    <s v="Expense"/>
    <m/>
    <x v="29"/>
    <x v="11"/>
    <x v="1"/>
    <x v="5"/>
    <m/>
    <s v="10543 BoA Dallas, Texas 8389"/>
    <n v="17.63"/>
    <n v="170272.76"/>
    <n v="17.63"/>
  </r>
  <r>
    <n v="65061"/>
    <s v="Material for Rooms Expense"/>
    <s v="06/16/2014"/>
    <s v="Expense"/>
    <m/>
    <x v="58"/>
    <x v="11"/>
    <x v="1"/>
    <x v="5"/>
    <m/>
    <s v="10543 BoA Dallas, Texas 8389"/>
    <n v="18.34"/>
    <n v="170291.1"/>
    <n v="18.34"/>
  </r>
  <r>
    <n v="65061"/>
    <s v="Material for Rooms Expense"/>
    <s v="06/16/2014"/>
    <s v="Expense"/>
    <m/>
    <x v="73"/>
    <x v="11"/>
    <x v="1"/>
    <x v="5"/>
    <m/>
    <s v="10543 BoA Dallas, Texas 8389"/>
    <n v="47.9"/>
    <n v="170339"/>
    <n v="47.9"/>
  </r>
  <r>
    <n v="65061"/>
    <s v="Material for Rooms Expense"/>
    <s v="06/16/2014"/>
    <s v="Expense"/>
    <m/>
    <x v="29"/>
    <x v="11"/>
    <x v="1"/>
    <x v="5"/>
    <m/>
    <s v="10543 BoA Dallas, Texas 8389"/>
    <n v="16.61"/>
    <n v="170355.61"/>
    <n v="16.61"/>
  </r>
  <r>
    <n v="65061"/>
    <s v="Material for Rooms Expense"/>
    <s v="06/16/2014"/>
    <s v="Expense"/>
    <m/>
    <x v="19"/>
    <x v="11"/>
    <x v="1"/>
    <x v="5"/>
    <m/>
    <s v="10543 BoA Dallas, Texas 8389"/>
    <n v="32.979999999999997"/>
    <n v="170388.59"/>
    <n v="32.979999999999997"/>
  </r>
  <r>
    <n v="65061"/>
    <s v="Material for Rooms Expense"/>
    <s v="06/16/2014"/>
    <s v="Expense"/>
    <m/>
    <x v="114"/>
    <x v="11"/>
    <x v="1"/>
    <x v="5"/>
    <m/>
    <s v="10543 BoA Dallas, Texas 8389"/>
    <n v="20.440000000000001"/>
    <n v="170409.03"/>
    <n v="20.440000000000001"/>
  </r>
  <r>
    <n v="65061"/>
    <s v="Material for Rooms Expense"/>
    <s v="06/18/2014"/>
    <s v="Check"/>
    <n v="1004"/>
    <x v="237"/>
    <x v="11"/>
    <x v="1"/>
    <x v="5"/>
    <m/>
    <s v="10543 BoA Dallas, Texas 8389"/>
    <n v="20"/>
    <n v="177279.75"/>
    <n v="20"/>
  </r>
  <r>
    <n v="65061"/>
    <s v="Material for Rooms Expense"/>
    <s v="06/19/2014"/>
    <s v="Expense"/>
    <m/>
    <x v="238"/>
    <x v="11"/>
    <x v="1"/>
    <x v="5"/>
    <m/>
    <s v="10543 BoA Dallas, Texas 8389"/>
    <n v="62.73"/>
    <n v="179971.64"/>
    <n v="62.73"/>
  </r>
  <r>
    <n v="65061"/>
    <s v="Material for Rooms Expense"/>
    <s v="06/20/2014"/>
    <s v="Expense"/>
    <m/>
    <x v="68"/>
    <x v="11"/>
    <x v="1"/>
    <x v="5"/>
    <m/>
    <s v="10543 BoA Dallas, Texas 8389"/>
    <n v="40.89"/>
    <n v="180776.24"/>
    <n v="40.89"/>
  </r>
  <r>
    <n v="65061"/>
    <s v="Material for Rooms Expense"/>
    <s v="06/23/2014"/>
    <s v="Expense"/>
    <m/>
    <x v="29"/>
    <x v="11"/>
    <x v="1"/>
    <x v="5"/>
    <m/>
    <s v="10543 BoA Dallas, Texas 8389"/>
    <n v="53.4"/>
    <n v="182655.01"/>
    <n v="53.4"/>
  </r>
  <r>
    <n v="65061"/>
    <s v="Material for Rooms Expense"/>
    <s v="06/23/2014"/>
    <s v="Expense"/>
    <m/>
    <x v="239"/>
    <x v="11"/>
    <x v="1"/>
    <x v="5"/>
    <m/>
    <s v="10543 BoA Dallas, Texas 8389"/>
    <n v="5.96"/>
    <n v="182660.97"/>
    <n v="5.96"/>
  </r>
  <r>
    <n v="65061"/>
    <s v="Material for Rooms Expense"/>
    <s v="06/23/2014"/>
    <s v="Deposit"/>
    <m/>
    <x v="240"/>
    <x v="11"/>
    <x v="1"/>
    <x v="5"/>
    <m/>
    <s v="10543 BoA Dallas, Texas 8389"/>
    <n v="-29.65"/>
    <n v="182631.32"/>
    <n v="-29.65"/>
  </r>
  <r>
    <n v="65061"/>
    <s v="Material for Rooms Expense"/>
    <s v="06/23/2014"/>
    <s v="Expense"/>
    <m/>
    <x v="58"/>
    <x v="11"/>
    <x v="1"/>
    <x v="5"/>
    <m/>
    <s v="10543 BoA Dallas, Texas 8389"/>
    <n v="54.11"/>
    <n v="182685.43"/>
    <n v="54.11"/>
  </r>
  <r>
    <n v="65061"/>
    <s v="Material for Rooms Expense"/>
    <s v="06/23/2014"/>
    <s v="Deposit"/>
    <m/>
    <x v="240"/>
    <x v="11"/>
    <x v="1"/>
    <x v="5"/>
    <m/>
    <s v="10543 BoA Dallas, Texas 8389"/>
    <n v="-12.9"/>
    <n v="182775.53"/>
    <n v="-12.9"/>
  </r>
  <r>
    <n v="65061"/>
    <s v="Material for Rooms Expense"/>
    <s v="06/24/2014"/>
    <s v="Deposit"/>
    <m/>
    <x v="240"/>
    <x v="11"/>
    <x v="1"/>
    <x v="5"/>
    <m/>
    <s v="10543 BoA Dallas, Texas 8389"/>
    <n v="-19.27"/>
    <n v="184830.64"/>
    <n v="-19.27"/>
  </r>
  <r>
    <n v="65061"/>
    <s v="Material for Rooms Expense"/>
    <s v="06/24/2014"/>
    <s v="Deposit"/>
    <m/>
    <x v="240"/>
    <x v="11"/>
    <x v="1"/>
    <x v="5"/>
    <m/>
    <s v="10543 BoA Dallas, Texas 8389"/>
    <n v="-44.5"/>
    <n v="184786.14"/>
    <n v="-44.5"/>
  </r>
  <r>
    <n v="65061"/>
    <s v="Material for Rooms Expense"/>
    <s v="06/24/2014"/>
    <s v="Deposit"/>
    <m/>
    <x v="240"/>
    <x v="11"/>
    <x v="1"/>
    <x v="5"/>
    <m/>
    <s v="10543 BoA Dallas, Texas 8389"/>
    <n v="-43.28"/>
    <n v="184742.86"/>
    <n v="-43.28"/>
  </r>
  <r>
    <n v="65061"/>
    <s v="Material for Rooms Expense"/>
    <s v="06/30/2014"/>
    <s v="Deposit"/>
    <m/>
    <x v="240"/>
    <x v="11"/>
    <x v="1"/>
    <x v="5"/>
    <m/>
    <s v="10543 BoA Dallas, Texas 8389"/>
    <n v="-93.73"/>
    <n v="193297.01"/>
    <n v="-93.73"/>
  </r>
  <r>
    <n v="65062"/>
    <s v="In-Kind Goods"/>
    <s v="01/25/2014"/>
    <s v="Journal Entry"/>
    <n v="460"/>
    <x v="0"/>
    <x v="11"/>
    <x v="1"/>
    <x v="10"/>
    <s v="Lunch for Volunteers"/>
    <s v="-Split-"/>
    <n v="102"/>
    <n v="4878.13"/>
    <n v="102"/>
  </r>
  <r>
    <n v="65062"/>
    <s v="In-Kind Goods"/>
    <s v="01/25/2014"/>
    <s v="Journal Entry"/>
    <n v="460"/>
    <x v="0"/>
    <x v="11"/>
    <x v="1"/>
    <x v="10"/>
    <s v="Canvas paintings"/>
    <s v="-Split-"/>
    <n v="70"/>
    <n v="4948.13"/>
    <n v="70"/>
  </r>
  <r>
    <n v="65062"/>
    <s v="In-Kind Goods"/>
    <s v="01/25/2014"/>
    <s v="Journal Entry"/>
    <n v="460"/>
    <x v="0"/>
    <x v="11"/>
    <x v="1"/>
    <x v="10"/>
    <s v="1100 books"/>
    <s v="-Split-"/>
    <n v="2000"/>
    <n v="6948.13"/>
    <n v="2000"/>
  </r>
  <r>
    <n v="65062"/>
    <s v="In-Kind Goods"/>
    <s v="06/13/2014"/>
    <s v="Journal Entry"/>
    <n v="617"/>
    <x v="0"/>
    <x v="11"/>
    <x v="1"/>
    <x v="10"/>
    <s v="dresser for Oliva Reed"/>
    <s v="-Split-"/>
    <n v="50"/>
    <n v="28737.48"/>
    <n v="50"/>
  </r>
  <r>
    <n v="65063"/>
    <s v="In-Kind Services"/>
    <s v="01/25/2014"/>
    <s v="Journal Entry"/>
    <n v="460"/>
    <x v="0"/>
    <x v="11"/>
    <x v="1"/>
    <x v="11"/>
    <s v="floor installation"/>
    <s v="-Split-"/>
    <n v="120"/>
    <n v="7397"/>
    <n v="120"/>
  </r>
  <r>
    <n v="67001"/>
    <s v="Fundraising Expense -  Direct"/>
    <s v="04/03/2014"/>
    <s v="Check"/>
    <m/>
    <x v="241"/>
    <x v="11"/>
    <x v="2"/>
    <x v="7"/>
    <m/>
    <s v="10543 BoA Dallas, Texas 8389"/>
    <n v="237.31"/>
    <n v="46779.82"/>
    <n v="237.31"/>
  </r>
  <r>
    <n v="43400"/>
    <s v="Direct Public Support"/>
    <s v="02/06/2014"/>
    <s v="Deposit"/>
    <m/>
    <x v="3"/>
    <x v="19"/>
    <x v="0"/>
    <x v="1"/>
    <m/>
    <s v="10531 BofA Knoxville"/>
    <n v="100"/>
    <n v="37947.25"/>
    <n v="-100"/>
  </r>
  <r>
    <n v="43400"/>
    <s v="Direct Public Support"/>
    <s v="03/10/2014"/>
    <s v="Deposit"/>
    <m/>
    <x v="3"/>
    <x v="19"/>
    <x v="0"/>
    <x v="1"/>
    <m/>
    <s v="10531 BofA Knoxville"/>
    <n v="200"/>
    <n v="88913.21"/>
    <n v="-200"/>
  </r>
  <r>
    <n v="43400"/>
    <s v="Direct Public Support"/>
    <s v="04/10/2014"/>
    <s v="Deposit"/>
    <m/>
    <x v="3"/>
    <x v="19"/>
    <x v="0"/>
    <x v="1"/>
    <s v="San Ramon"/>
    <s v="10120 BofA Restricted Funds -055:Knoxville - 194"/>
    <n v="1064"/>
    <n v="112352.26"/>
    <n v="-1064"/>
  </r>
  <r>
    <n v="43400"/>
    <s v="Direct Public Support"/>
    <s v="04/21/2014"/>
    <s v="Deposit"/>
    <m/>
    <x v="3"/>
    <x v="19"/>
    <x v="0"/>
    <x v="1"/>
    <m/>
    <s v="10120 BofA Restricted Funds -055:Knoxville - 194"/>
    <n v="515"/>
    <n v="114353.26"/>
    <n v="-515"/>
  </r>
  <r>
    <n v="43400"/>
    <s v="Direct Public Support"/>
    <s v="04/29/2014"/>
    <s v="Deposit"/>
    <m/>
    <x v="3"/>
    <x v="19"/>
    <x v="0"/>
    <x v="1"/>
    <m/>
    <s v="10120 BofA Restricted Funds -055:Knoxville - 194"/>
    <n v="1736.14"/>
    <n v="119494.11"/>
    <n v="-1736.14"/>
  </r>
  <r>
    <n v="43400"/>
    <s v="Direct Public Support"/>
    <s v="05/12/2014"/>
    <s v="Deposit"/>
    <m/>
    <x v="3"/>
    <x v="19"/>
    <x v="0"/>
    <x v="1"/>
    <m/>
    <s v="10120 BofA Restricted Funds -055:Knoxville - 194"/>
    <n v="10758.27"/>
    <n v="157063.53"/>
    <n v="-10758.27"/>
  </r>
  <r>
    <n v="43400"/>
    <s v="Direct Public Support"/>
    <s v="05/12/2014"/>
    <s v="Deposit"/>
    <m/>
    <x v="3"/>
    <x v="19"/>
    <x v="0"/>
    <x v="1"/>
    <m/>
    <s v="10120 BofA Restricted Funds -055:Knoxville - 194"/>
    <n v="20"/>
    <n v="157083.53"/>
    <n v="-20"/>
  </r>
  <r>
    <n v="43400"/>
    <s v="Direct Public Support"/>
    <s v="05/12/2014"/>
    <s v="Deposit"/>
    <m/>
    <x v="3"/>
    <x v="19"/>
    <x v="0"/>
    <x v="1"/>
    <m/>
    <s v="10120 BofA Restricted Funds -055:Knoxville - 194"/>
    <n v="500"/>
    <n v="157583.53"/>
    <n v="-500"/>
  </r>
  <r>
    <n v="43400"/>
    <s v="Direct Public Support"/>
    <s v="05/22/2014"/>
    <s v="Deposit"/>
    <m/>
    <x v="3"/>
    <x v="19"/>
    <x v="0"/>
    <x v="1"/>
    <m/>
    <s v="10120 BofA Restricted Funds -055:Knoxville - 194"/>
    <n v="3521.94"/>
    <n v="165732.95000000001"/>
    <n v="-3521.94"/>
  </r>
  <r>
    <n v="43400"/>
    <s v="Direct Public Support"/>
    <s v="03/15/2014"/>
    <s v="Deposit"/>
    <m/>
    <x v="3"/>
    <x v="20"/>
    <x v="0"/>
    <x v="1"/>
    <m/>
    <s v="10122 BofA Restricted Funds -055:Las Vegas - 246"/>
    <n v="108"/>
    <n v="92212.75"/>
    <n v="-108"/>
  </r>
  <r>
    <n v="43400"/>
    <s v="Direct Public Support"/>
    <s v="06/04/2014"/>
    <s v="Deposit"/>
    <m/>
    <x v="3"/>
    <x v="20"/>
    <x v="0"/>
    <x v="1"/>
    <m/>
    <s v="10122 BofA Restricted Funds -055:Las Vegas - 246"/>
    <n v="48"/>
    <n v="183715.31"/>
    <n v="-48"/>
  </r>
  <r>
    <n v="43400"/>
    <s v="Direct Public Support"/>
    <s v="07/14/2014"/>
    <s v="Deposit"/>
    <m/>
    <x v="3"/>
    <x v="2"/>
    <x v="0"/>
    <x v="1"/>
    <m/>
    <s v="10109 BofA Restricted Funds -055:Boston-3100"/>
    <n v="3050"/>
    <n v="221947.57"/>
    <n v="-3050"/>
  </r>
  <r>
    <n v="43440"/>
    <s v="Gifts in Kind - Goods"/>
    <s v="02/11/2014"/>
    <s v="Journal Entry"/>
    <n v="464"/>
    <x v="0"/>
    <x v="12"/>
    <x v="3"/>
    <x v="9"/>
    <s v="Claire Koreck's room  - tree"/>
    <s v="-Split-"/>
    <n v="200"/>
    <n v="7435.21"/>
    <n v="-200"/>
  </r>
  <r>
    <n v="43440"/>
    <s v="Gifts in Kind - Goods"/>
    <s v="02/11/2014"/>
    <s v="Journal Entry"/>
    <n v="464"/>
    <x v="0"/>
    <x v="12"/>
    <x v="3"/>
    <x v="9"/>
    <s v="Claire Koreck's room  - tree"/>
    <s v="-Split-"/>
    <n v="100"/>
    <n v="7535.21"/>
    <n v="-100"/>
  </r>
  <r>
    <n v="43440"/>
    <s v="Gifts in Kind - Goods"/>
    <s v="02/11/2014"/>
    <s v="Journal Entry"/>
    <n v="464"/>
    <x v="0"/>
    <x v="12"/>
    <x v="3"/>
    <x v="9"/>
    <s v="Claire Koreck's room  paint"/>
    <s v="-Split-"/>
    <n v="140"/>
    <n v="7675.21"/>
    <n v="-140"/>
  </r>
  <r>
    <n v="43440"/>
    <s v="Gifts in Kind - Goods"/>
    <s v="02/11/2014"/>
    <s v="Journal Entry"/>
    <n v="464"/>
    <x v="0"/>
    <x v="12"/>
    <x v="3"/>
    <x v="9"/>
    <s v="Claire Koreck's room - misc donations"/>
    <s v="-Split-"/>
    <n v="190.25"/>
    <n v="7865.46"/>
    <n v="-190.25"/>
  </r>
  <r>
    <n v="43440"/>
    <s v="Gifts in Kind - Goods"/>
    <s v="02/11/2014"/>
    <s v="Journal Entry"/>
    <n v="464"/>
    <x v="0"/>
    <x v="12"/>
    <x v="3"/>
    <x v="9"/>
    <s v="Claire Koreck's room - disc on price"/>
    <s v="-Split-"/>
    <n v="545"/>
    <n v="8410.4599999999991"/>
    <n v="-545"/>
  </r>
  <r>
    <n v="43440"/>
    <s v="Gifts in Kind - Goods"/>
    <s v="02/11/2014"/>
    <s v="Journal Entry"/>
    <n v="464"/>
    <x v="0"/>
    <x v="12"/>
    <x v="3"/>
    <x v="9"/>
    <s v="Claire Koreck's room - 3D wall art"/>
    <s v="-Split-"/>
    <n v="1000"/>
    <n v="9410.4599999999991"/>
    <n v="-1000"/>
  </r>
  <r>
    <n v="43440"/>
    <s v="Gifts in Kind - Goods"/>
    <s v="02/11/2014"/>
    <s v="Journal Entry"/>
    <n v="464"/>
    <x v="0"/>
    <x v="12"/>
    <x v="3"/>
    <x v="9"/>
    <s v="Claire Koreck's room  misc"/>
    <s v="-Split-"/>
    <n v="42.5"/>
    <n v="9452.9599999999991"/>
    <n v="-42.5"/>
  </r>
  <r>
    <n v="43440"/>
    <s v="Gifts in Kind - Goods"/>
    <s v="02/11/2014"/>
    <s v="Journal Entry"/>
    <n v="464"/>
    <x v="0"/>
    <x v="12"/>
    <x v="3"/>
    <x v="9"/>
    <s v="Claire Koreck's room - Jungle decals"/>
    <s v="-Split-"/>
    <n v="129.99"/>
    <n v="9582.9500000000007"/>
    <n v="-129.99"/>
  </r>
  <r>
    <n v="43440"/>
    <s v="Gifts in Kind - Goods"/>
    <s v="02/11/2014"/>
    <s v="Journal Entry"/>
    <n v="464"/>
    <x v="0"/>
    <x v="12"/>
    <x v="3"/>
    <x v="9"/>
    <s v="Claire Koreck's room - misc donations"/>
    <s v="-Split-"/>
    <n v="199"/>
    <n v="9781.9500000000007"/>
    <n v="-199"/>
  </r>
  <r>
    <n v="43440"/>
    <s v="Gifts in Kind - Goods"/>
    <s v="02/22/2014"/>
    <s v="Journal Entry"/>
    <n v="533"/>
    <x v="0"/>
    <x v="12"/>
    <x v="3"/>
    <x v="9"/>
    <s v="Ana Susko Room"/>
    <s v="-Split-"/>
    <n v="50"/>
    <n v="11839.36"/>
    <n v="-50"/>
  </r>
  <r>
    <n v="43440"/>
    <s v="Gifts in Kind - Goods"/>
    <s v="02/22/2014"/>
    <s v="Journal Entry"/>
    <n v="533"/>
    <x v="0"/>
    <x v="12"/>
    <x v="3"/>
    <x v="9"/>
    <s v="Ana Susko Room"/>
    <s v="-Split-"/>
    <n v="25"/>
    <n v="11864.36"/>
    <n v="-25"/>
  </r>
  <r>
    <n v="43440"/>
    <s v="Gifts in Kind - Goods"/>
    <s v="02/22/2014"/>
    <s v="Journal Entry"/>
    <n v="533"/>
    <x v="0"/>
    <x v="12"/>
    <x v="3"/>
    <x v="9"/>
    <s v="Ana Susko Room"/>
    <s v="-Split-"/>
    <n v="65"/>
    <n v="11929.36"/>
    <n v="-65"/>
  </r>
  <r>
    <n v="43440"/>
    <s v="Gifts in Kind - Goods"/>
    <s v="02/22/2014"/>
    <s v="Journal Entry"/>
    <n v="533"/>
    <x v="0"/>
    <x v="12"/>
    <x v="3"/>
    <x v="9"/>
    <s v="Ana Susko Room"/>
    <s v="-Split-"/>
    <n v="16.989999999999998"/>
    <n v="11946.35"/>
    <n v="-16.989999999999998"/>
  </r>
  <r>
    <n v="43440"/>
    <s v="Gifts in Kind - Goods"/>
    <s v="02/22/2014"/>
    <s v="Journal Entry"/>
    <n v="533"/>
    <x v="0"/>
    <x v="12"/>
    <x v="3"/>
    <x v="9"/>
    <s v="Ana Susko Room"/>
    <s v="-Split-"/>
    <n v="60"/>
    <n v="12006.35"/>
    <n v="-60"/>
  </r>
  <r>
    <n v="43440"/>
    <s v="Gifts in Kind - Goods"/>
    <s v="02/22/2014"/>
    <s v="Journal Entry"/>
    <n v="533"/>
    <x v="0"/>
    <x v="12"/>
    <x v="3"/>
    <x v="9"/>
    <s v="Ana Susko Room"/>
    <s v="-Split-"/>
    <n v="40"/>
    <n v="12046.35"/>
    <n v="-40"/>
  </r>
  <r>
    <n v="43440"/>
    <s v="Gifts in Kind - Goods"/>
    <s v="02/22/2014"/>
    <s v="Journal Entry"/>
    <n v="533"/>
    <x v="0"/>
    <x v="12"/>
    <x v="3"/>
    <x v="9"/>
    <s v="Ana Susko Room"/>
    <s v="-Split-"/>
    <n v="44.99"/>
    <n v="12091.34"/>
    <n v="-44.99"/>
  </r>
  <r>
    <n v="43440"/>
    <s v="Gifts in Kind - Goods"/>
    <s v="02/22/2014"/>
    <s v="Journal Entry"/>
    <n v="533"/>
    <x v="0"/>
    <x v="12"/>
    <x v="3"/>
    <x v="9"/>
    <s v="Ana Susko Room"/>
    <s v="-Split-"/>
    <n v="45"/>
    <n v="12136.34"/>
    <n v="-45"/>
  </r>
  <r>
    <n v="43440"/>
    <s v="Gifts in Kind - Goods"/>
    <s v="02/22/2014"/>
    <s v="Journal Entry"/>
    <n v="533"/>
    <x v="0"/>
    <x v="12"/>
    <x v="3"/>
    <x v="9"/>
    <s v="Ana Susko Room"/>
    <s v="-Split-"/>
    <n v="14"/>
    <n v="12150.34"/>
    <n v="-14"/>
  </r>
  <r>
    <n v="43440"/>
    <s v="Gifts in Kind - Goods"/>
    <s v="02/22/2014"/>
    <s v="Journal Entry"/>
    <n v="533"/>
    <x v="0"/>
    <x v="12"/>
    <x v="3"/>
    <x v="9"/>
    <s v="Ana Susko Room"/>
    <s v="-Split-"/>
    <n v="14"/>
    <n v="12164.34"/>
    <n v="-14"/>
  </r>
  <r>
    <n v="43440"/>
    <s v="Gifts in Kind - Goods"/>
    <s v="02/22/2014"/>
    <s v="Journal Entry"/>
    <n v="533"/>
    <x v="0"/>
    <x v="12"/>
    <x v="3"/>
    <x v="9"/>
    <s v="Ana Susko Room"/>
    <s v="-Split-"/>
    <n v="9.5"/>
    <n v="12173.84"/>
    <n v="-9.5"/>
  </r>
  <r>
    <n v="43440"/>
    <s v="Gifts in Kind - Goods"/>
    <s v="02/22/2014"/>
    <s v="Journal Entry"/>
    <n v="533"/>
    <x v="0"/>
    <x v="12"/>
    <x v="3"/>
    <x v="9"/>
    <s v="Ana Susko Room"/>
    <s v="-Split-"/>
    <n v="10"/>
    <n v="12183.84"/>
    <n v="-10"/>
  </r>
  <r>
    <n v="43440"/>
    <s v="Gifts in Kind - Goods"/>
    <s v="02/22/2014"/>
    <s v="Journal Entry"/>
    <n v="533"/>
    <x v="0"/>
    <x v="12"/>
    <x v="3"/>
    <x v="9"/>
    <s v="Ana Susko Room"/>
    <s v="-Split-"/>
    <n v="18"/>
    <n v="12201.84"/>
    <n v="-18"/>
  </r>
  <r>
    <n v="43440"/>
    <s v="Gifts in Kind - Goods"/>
    <s v="02/22/2014"/>
    <s v="Journal Entry"/>
    <n v="533"/>
    <x v="0"/>
    <x v="12"/>
    <x v="3"/>
    <x v="9"/>
    <s v="Ana Susko Room"/>
    <s v="-Split-"/>
    <n v="8"/>
    <n v="12209.84"/>
    <n v="-8"/>
  </r>
  <r>
    <n v="43440"/>
    <s v="Gifts in Kind - Goods"/>
    <s v="02/22/2014"/>
    <s v="Journal Entry"/>
    <n v="533"/>
    <x v="0"/>
    <x v="12"/>
    <x v="3"/>
    <x v="9"/>
    <s v="Ana Susko Room"/>
    <s v="-Split-"/>
    <n v="28"/>
    <n v="12237.84"/>
    <n v="-28"/>
  </r>
  <r>
    <n v="43440"/>
    <s v="Gifts in Kind - Goods"/>
    <s v="02/22/2014"/>
    <s v="Journal Entry"/>
    <n v="533"/>
    <x v="0"/>
    <x v="12"/>
    <x v="3"/>
    <x v="9"/>
    <s v="Ana Susko Room"/>
    <s v="-Split-"/>
    <n v="16.989999999999998"/>
    <n v="12254.83"/>
    <n v="-16.989999999999998"/>
  </r>
  <r>
    <n v="43440"/>
    <s v="Gifts in Kind - Goods"/>
    <s v="02/22/2014"/>
    <s v="Journal Entry"/>
    <n v="533"/>
    <x v="0"/>
    <x v="12"/>
    <x v="3"/>
    <x v="9"/>
    <s v="Ana Susko Room"/>
    <s v="-Split-"/>
    <n v="20"/>
    <n v="12274.83"/>
    <n v="-20"/>
  </r>
  <r>
    <n v="43440"/>
    <s v="Gifts in Kind - Goods"/>
    <s v="02/22/2014"/>
    <s v="Journal Entry"/>
    <n v="533"/>
    <x v="0"/>
    <x v="12"/>
    <x v="3"/>
    <x v="9"/>
    <s v="Ana Susko Room"/>
    <s v="-Split-"/>
    <n v="9.99"/>
    <n v="12284.82"/>
    <n v="-9.99"/>
  </r>
  <r>
    <n v="43440"/>
    <s v="Gifts in Kind - Goods"/>
    <s v="02/22/2014"/>
    <s v="Journal Entry"/>
    <n v="533"/>
    <x v="0"/>
    <x v="12"/>
    <x v="3"/>
    <x v="9"/>
    <s v="Ana Susko Room"/>
    <s v="-Split-"/>
    <n v="25"/>
    <n v="12309.82"/>
    <n v="-25"/>
  </r>
  <r>
    <n v="43440"/>
    <s v="Gifts in Kind - Goods"/>
    <s v="02/22/2014"/>
    <s v="Journal Entry"/>
    <n v="533"/>
    <x v="0"/>
    <x v="12"/>
    <x v="3"/>
    <x v="9"/>
    <s v="Ana Susko Room"/>
    <s v="-Split-"/>
    <n v="9.99"/>
    <n v="12319.81"/>
    <n v="-9.99"/>
  </r>
  <r>
    <n v="43440"/>
    <s v="Gifts in Kind - Goods"/>
    <s v="03/22/2014"/>
    <s v="Journal Entry"/>
    <n v="534"/>
    <x v="0"/>
    <x v="12"/>
    <x v="3"/>
    <x v="9"/>
    <s v="Antonio Santos room"/>
    <s v="-Split-"/>
    <n v="40"/>
    <n v="14419.38"/>
    <n v="-40"/>
  </r>
  <r>
    <n v="43440"/>
    <s v="Gifts in Kind - Goods"/>
    <s v="03/22/2014"/>
    <s v="Journal Entry"/>
    <n v="534"/>
    <x v="0"/>
    <x v="12"/>
    <x v="3"/>
    <x v="9"/>
    <s v="Antonio Santos room"/>
    <s v="-Split-"/>
    <n v="75"/>
    <n v="14494.38"/>
    <n v="-75"/>
  </r>
  <r>
    <n v="43440"/>
    <s v="Gifts in Kind - Goods"/>
    <s v="03/22/2014"/>
    <s v="Journal Entry"/>
    <n v="534"/>
    <x v="0"/>
    <x v="12"/>
    <x v="3"/>
    <x v="9"/>
    <s v="Antonio Santos room"/>
    <s v="-Split-"/>
    <n v="369"/>
    <n v="14863.38"/>
    <n v="-369"/>
  </r>
  <r>
    <n v="43440"/>
    <s v="Gifts in Kind - Goods"/>
    <s v="03/22/2014"/>
    <s v="Journal Entry"/>
    <n v="534"/>
    <x v="0"/>
    <x v="12"/>
    <x v="3"/>
    <x v="9"/>
    <s v="Antonio Santos room"/>
    <s v="-Split-"/>
    <n v="12"/>
    <n v="14875.38"/>
    <n v="-12"/>
  </r>
  <r>
    <n v="43440"/>
    <s v="Gifts in Kind - Goods"/>
    <s v="03/22/2014"/>
    <s v="Journal Entry"/>
    <n v="534"/>
    <x v="0"/>
    <x v="12"/>
    <x v="3"/>
    <x v="9"/>
    <s v="Antonio Santos room"/>
    <s v="-Split-"/>
    <n v="8"/>
    <n v="14883.38"/>
    <n v="-8"/>
  </r>
  <r>
    <n v="43440"/>
    <s v="Gifts in Kind - Goods"/>
    <s v="03/22/2014"/>
    <s v="Journal Entry"/>
    <n v="534"/>
    <x v="0"/>
    <x v="12"/>
    <x v="3"/>
    <x v="9"/>
    <s v="Antonio Santos room"/>
    <s v="-Split-"/>
    <n v="30"/>
    <n v="14913.38"/>
    <n v="-30"/>
  </r>
  <r>
    <n v="43440"/>
    <s v="Gifts in Kind - Goods"/>
    <s v="03/22/2014"/>
    <s v="Journal Entry"/>
    <n v="534"/>
    <x v="0"/>
    <x v="12"/>
    <x v="3"/>
    <x v="9"/>
    <s v="Antonio Santos room"/>
    <s v="-Split-"/>
    <n v="15"/>
    <n v="14928.38"/>
    <n v="-15"/>
  </r>
  <r>
    <n v="43440"/>
    <s v="Gifts in Kind - Goods"/>
    <s v="03/22/2014"/>
    <s v="Journal Entry"/>
    <n v="534"/>
    <x v="0"/>
    <x v="12"/>
    <x v="3"/>
    <x v="9"/>
    <s v="Antonio Santos room"/>
    <s v="-Split-"/>
    <n v="16"/>
    <n v="14944.38"/>
    <n v="-16"/>
  </r>
  <r>
    <n v="43440"/>
    <s v="Gifts in Kind - Goods"/>
    <s v="03/22/2014"/>
    <s v="Journal Entry"/>
    <n v="534"/>
    <x v="0"/>
    <x v="12"/>
    <x v="3"/>
    <x v="9"/>
    <s v="Antonio Santos room"/>
    <s v="-Split-"/>
    <n v="3"/>
    <n v="14947.38"/>
    <n v="-3"/>
  </r>
  <r>
    <n v="43440"/>
    <s v="Gifts in Kind - Goods"/>
    <s v="03/22/2014"/>
    <s v="Journal Entry"/>
    <n v="534"/>
    <x v="0"/>
    <x v="12"/>
    <x v="3"/>
    <x v="9"/>
    <s v="Antonio Santos room"/>
    <s v="-Split-"/>
    <n v="36"/>
    <n v="14983.38"/>
    <n v="-36"/>
  </r>
  <r>
    <n v="43440"/>
    <s v="Gifts in Kind - Goods"/>
    <s v="03/22/2014"/>
    <s v="Journal Entry"/>
    <n v="534"/>
    <x v="0"/>
    <x v="12"/>
    <x v="3"/>
    <x v="9"/>
    <s v="Antonio Santos room"/>
    <s v="-Split-"/>
    <n v="15.25"/>
    <n v="14998.63"/>
    <n v="-15.25"/>
  </r>
  <r>
    <n v="43440"/>
    <s v="Gifts in Kind - Goods"/>
    <s v="03/22/2014"/>
    <s v="Journal Entry"/>
    <n v="534"/>
    <x v="0"/>
    <x v="12"/>
    <x v="3"/>
    <x v="9"/>
    <s v="Antonio Santos room"/>
    <s v="-Split-"/>
    <n v="115"/>
    <n v="15113.63"/>
    <n v="-115"/>
  </r>
  <r>
    <n v="43440"/>
    <s v="Gifts in Kind - Goods"/>
    <s v="03/22/2014"/>
    <s v="Journal Entry"/>
    <n v="534"/>
    <x v="0"/>
    <x v="12"/>
    <x v="3"/>
    <x v="9"/>
    <s v="Antonio Santos room"/>
    <s v="-Split-"/>
    <n v="30"/>
    <n v="15143.63"/>
    <n v="-30"/>
  </r>
  <r>
    <n v="43440"/>
    <s v="Gifts in Kind - Goods"/>
    <s v="03/22/2014"/>
    <s v="Journal Entry"/>
    <n v="534"/>
    <x v="0"/>
    <x v="12"/>
    <x v="3"/>
    <x v="9"/>
    <s v="Antonio Santos room"/>
    <s v="-Split-"/>
    <n v="34"/>
    <n v="15177.63"/>
    <n v="-34"/>
  </r>
  <r>
    <n v="43440"/>
    <s v="Gifts in Kind - Goods"/>
    <s v="03/22/2014"/>
    <s v="Journal Entry"/>
    <n v="534"/>
    <x v="0"/>
    <x v="12"/>
    <x v="3"/>
    <x v="9"/>
    <s v="Antonio Santos room"/>
    <s v="-Split-"/>
    <n v="20"/>
    <n v="15197.63"/>
    <n v="-20"/>
  </r>
  <r>
    <n v="43440"/>
    <s v="Gifts in Kind - Goods"/>
    <s v="03/22/2014"/>
    <s v="Journal Entry"/>
    <n v="534"/>
    <x v="0"/>
    <x v="12"/>
    <x v="3"/>
    <x v="9"/>
    <s v="Antonio Santos room"/>
    <s v="-Split-"/>
    <n v="35"/>
    <n v="15232.63"/>
    <n v="-35"/>
  </r>
  <r>
    <n v="43440"/>
    <s v="Gifts in Kind - Goods"/>
    <s v="03/22/2014"/>
    <s v="Journal Entry"/>
    <n v="534"/>
    <x v="0"/>
    <x v="12"/>
    <x v="3"/>
    <x v="9"/>
    <s v="Antonio Santos room"/>
    <s v="-Split-"/>
    <n v="375"/>
    <n v="15607.63"/>
    <n v="-375"/>
  </r>
  <r>
    <n v="43440"/>
    <s v="Gifts in Kind - Goods"/>
    <s v="03/22/2014"/>
    <s v="Journal Entry"/>
    <n v="534"/>
    <x v="0"/>
    <x v="12"/>
    <x v="3"/>
    <x v="9"/>
    <s v="Antonio Santos room"/>
    <s v="-Split-"/>
    <n v="10"/>
    <n v="15617.63"/>
    <n v="-10"/>
  </r>
  <r>
    <n v="43440"/>
    <s v="Gifts in Kind - Goods"/>
    <s v="03/22/2014"/>
    <s v="Journal Entry"/>
    <n v="534"/>
    <x v="0"/>
    <x v="12"/>
    <x v="3"/>
    <x v="9"/>
    <s v="Antonio Santos room"/>
    <s v="-Split-"/>
    <n v="25"/>
    <n v="15642.63"/>
    <n v="-25"/>
  </r>
  <r>
    <n v="43440"/>
    <s v="Gifts in Kind - Goods"/>
    <s v="03/22/2014"/>
    <s v="Journal Entry"/>
    <n v="534"/>
    <x v="0"/>
    <x v="12"/>
    <x v="3"/>
    <x v="9"/>
    <s v="Antonio Santos room"/>
    <s v="-Split-"/>
    <n v="15"/>
    <n v="15657.63"/>
    <n v="-15"/>
  </r>
  <r>
    <n v="43440"/>
    <s v="Gifts in Kind - Goods"/>
    <s v="03/22/2014"/>
    <s v="Journal Entry"/>
    <n v="534"/>
    <x v="0"/>
    <x v="12"/>
    <x v="3"/>
    <x v="9"/>
    <s v="Antonio Santos room"/>
    <s v="-Split-"/>
    <n v="300"/>
    <n v="15957.63"/>
    <n v="-300"/>
  </r>
  <r>
    <n v="43440"/>
    <s v="Gifts in Kind - Goods"/>
    <s v="03/22/2014"/>
    <s v="Journal Entry"/>
    <n v="534"/>
    <x v="0"/>
    <x v="12"/>
    <x v="3"/>
    <x v="9"/>
    <s v="Antonio Santos room"/>
    <s v="-Split-"/>
    <n v="25"/>
    <n v="15982.63"/>
    <n v="-25"/>
  </r>
  <r>
    <n v="43440"/>
    <s v="Gifts in Kind - Goods"/>
    <s v="03/22/2014"/>
    <s v="Journal Entry"/>
    <n v="534"/>
    <x v="0"/>
    <x v="12"/>
    <x v="3"/>
    <x v="9"/>
    <s v="Antonio Santos room"/>
    <s v="-Split-"/>
    <n v="1500"/>
    <n v="17482.63"/>
    <n v="-1500"/>
  </r>
  <r>
    <n v="43440"/>
    <s v="Gifts in Kind - Goods"/>
    <s v="03/22/2014"/>
    <s v="Journal Entry"/>
    <n v="534"/>
    <x v="0"/>
    <x v="12"/>
    <x v="3"/>
    <x v="9"/>
    <s v="Antonio Santos room"/>
    <s v="-Split-"/>
    <n v="40"/>
    <n v="17522.63"/>
    <n v="-40"/>
  </r>
  <r>
    <n v="43440"/>
    <s v="Gifts in Kind - Goods"/>
    <s v="03/22/2014"/>
    <s v="Journal Entry"/>
    <n v="534"/>
    <x v="0"/>
    <x v="12"/>
    <x v="3"/>
    <x v="9"/>
    <s v="Antonio Santos room"/>
    <s v="-Split-"/>
    <n v="1200"/>
    <n v="18722.63"/>
    <n v="-1200"/>
  </r>
  <r>
    <n v="43440"/>
    <s v="Gifts in Kind - Goods"/>
    <s v="03/22/2014"/>
    <s v="Journal Entry"/>
    <n v="534"/>
    <x v="0"/>
    <x v="12"/>
    <x v="3"/>
    <x v="9"/>
    <s v="Antonio Santos room"/>
    <s v="-Split-"/>
    <n v="535"/>
    <n v="19257.63"/>
    <n v="-535"/>
  </r>
  <r>
    <n v="43440"/>
    <s v="Gifts in Kind - Goods"/>
    <s v="03/22/2014"/>
    <s v="Journal Entry"/>
    <n v="534"/>
    <x v="0"/>
    <x v="12"/>
    <x v="3"/>
    <x v="9"/>
    <s v="Antonio Santos room"/>
    <s v="-Split-"/>
    <n v="90"/>
    <n v="19347.63"/>
    <n v="-90"/>
  </r>
  <r>
    <n v="43440"/>
    <s v="Gifts in Kind - Goods"/>
    <s v="03/22/2014"/>
    <s v="Journal Entry"/>
    <n v="534"/>
    <x v="0"/>
    <x v="12"/>
    <x v="3"/>
    <x v="9"/>
    <s v="Antonio Santos room"/>
    <s v="-Split-"/>
    <n v="24"/>
    <n v="19371.63"/>
    <n v="-24"/>
  </r>
  <r>
    <n v="65015"/>
    <s v="Travel Expense"/>
    <s v="02/12/2014"/>
    <s v="Check"/>
    <m/>
    <x v="242"/>
    <x v="12"/>
    <x v="1"/>
    <x v="15"/>
    <m/>
    <s v="10340 BoA Delaware 5700"/>
    <n v="20"/>
    <n v="714.54"/>
    <n v="20"/>
  </r>
  <r>
    <n v="65020"/>
    <s v="Postage, Mailing Service"/>
    <s v="02/05/2014"/>
    <s v="Check"/>
    <m/>
    <x v="243"/>
    <x v="12"/>
    <x v="1"/>
    <x v="3"/>
    <m/>
    <s v="10340 BoA Delaware 5700"/>
    <n v="13.91"/>
    <n v="559.30999999999995"/>
    <n v="13.91"/>
  </r>
  <r>
    <n v="65020"/>
    <s v="Postage, Mailing Service"/>
    <s v="03/19/2014"/>
    <s v="Check"/>
    <m/>
    <x v="6"/>
    <x v="12"/>
    <x v="1"/>
    <x v="3"/>
    <m/>
    <s v="10340 BoA Delaware 5700"/>
    <n v="42.35"/>
    <n v="803.31"/>
    <n v="42.35"/>
  </r>
  <r>
    <n v="65025"/>
    <s v="Bank Service Charges"/>
    <s v="03/03/2014"/>
    <s v="Check"/>
    <m/>
    <x v="92"/>
    <x v="12"/>
    <x v="1"/>
    <x v="14"/>
    <m/>
    <s v="10340 BoA Delaware 5700"/>
    <n v="12"/>
    <n v="428.72"/>
    <n v="12"/>
  </r>
  <r>
    <n v="65025"/>
    <s v="Bank Service Charges"/>
    <s v="04/01/2014"/>
    <s v="Check"/>
    <m/>
    <x v="92"/>
    <x v="12"/>
    <x v="1"/>
    <x v="14"/>
    <m/>
    <s v="10340 BoA Delaware 5700"/>
    <n v="12"/>
    <n v="703.62"/>
    <n v="12"/>
  </r>
  <r>
    <n v="65025"/>
    <s v="Bank Service Charges"/>
    <s v="05/01/2014"/>
    <s v="Expense"/>
    <m/>
    <x v="92"/>
    <x v="12"/>
    <x v="1"/>
    <x v="14"/>
    <m/>
    <s v="10340 BoA Delaware 5700"/>
    <n v="12"/>
    <n v="887.33"/>
    <n v="12"/>
  </r>
  <r>
    <n v="65025"/>
    <s v="Bank Service Charges"/>
    <s v="06/02/2014"/>
    <s v="Expense"/>
    <m/>
    <x v="92"/>
    <x v="12"/>
    <x v="1"/>
    <x v="14"/>
    <m/>
    <s v="10340 BoA Delaware 5700"/>
    <n v="12"/>
    <n v="1354.96"/>
    <n v="12"/>
  </r>
  <r>
    <n v="65036"/>
    <s v="Volunteer Hospitality"/>
    <s v="02/12/2014"/>
    <s v="Check"/>
    <m/>
    <x v="244"/>
    <x v="12"/>
    <x v="1"/>
    <x v="13"/>
    <m/>
    <s v="10340 BoA Delaware 5700"/>
    <n v="35.65"/>
    <n v="584.63"/>
    <n v="35.65"/>
  </r>
  <r>
    <n v="65036"/>
    <s v="Volunteer Hospitality"/>
    <s v="03/24/2014"/>
    <s v="Check"/>
    <m/>
    <x v="245"/>
    <x v="12"/>
    <x v="1"/>
    <x v="13"/>
    <m/>
    <s v="10340 BoA Delaware 5700"/>
    <n v="78.33"/>
    <n v="3732.12"/>
    <n v="78.33"/>
  </r>
  <r>
    <n v="65040"/>
    <s v="Supplies"/>
    <s v="03/05/2014"/>
    <s v="Check"/>
    <m/>
    <x v="8"/>
    <x v="12"/>
    <x v="1"/>
    <x v="4"/>
    <m/>
    <s v="10340 BoA Delaware 5700"/>
    <n v="99.99"/>
    <n v="875.78"/>
    <n v="99.99"/>
  </r>
  <r>
    <n v="65061"/>
    <s v="Material for Rooms Expense"/>
    <s v="01/17/2014"/>
    <s v="Check"/>
    <m/>
    <x v="246"/>
    <x v="12"/>
    <x v="1"/>
    <x v="5"/>
    <m/>
    <s v="10340 BoA Delaware 5700"/>
    <n v="2595"/>
    <n v="8829.41"/>
    <n v="2595"/>
  </r>
  <r>
    <n v="65061"/>
    <s v="Material for Rooms Expense"/>
    <s v="01/30/2014"/>
    <s v="Check"/>
    <m/>
    <x v="26"/>
    <x v="12"/>
    <x v="1"/>
    <x v="5"/>
    <m/>
    <s v="10340 BoA Delaware 5700"/>
    <n v="105.87"/>
    <n v="24128.81"/>
    <n v="105.87"/>
  </r>
  <r>
    <n v="65061"/>
    <s v="Material for Rooms Expense"/>
    <s v="01/30/2014"/>
    <s v="Check"/>
    <m/>
    <x v="27"/>
    <x v="12"/>
    <x v="1"/>
    <x v="5"/>
    <m/>
    <s v="10340 BoA Delaware 5700"/>
    <n v="20"/>
    <n v="24148.81"/>
    <n v="20"/>
  </r>
  <r>
    <n v="65061"/>
    <s v="Material for Rooms Expense"/>
    <s v="02/07/2014"/>
    <s v="Check"/>
    <m/>
    <x v="19"/>
    <x v="12"/>
    <x v="1"/>
    <x v="5"/>
    <m/>
    <s v="10340 BoA Delaware 5700"/>
    <n v="41.36"/>
    <n v="32010.81"/>
    <n v="41.36"/>
  </r>
  <r>
    <n v="65061"/>
    <s v="Material for Rooms Expense"/>
    <s v="02/07/2014"/>
    <s v="Check"/>
    <m/>
    <x v="228"/>
    <x v="12"/>
    <x v="1"/>
    <x v="5"/>
    <m/>
    <s v="10340 BoA Delaware 5700"/>
    <n v="43.2"/>
    <n v="32054.01"/>
    <n v="43.2"/>
  </r>
  <r>
    <n v="65061"/>
    <s v="Material for Rooms Expense"/>
    <s v="02/10/2014"/>
    <s v="Check"/>
    <n v="414"/>
    <x v="247"/>
    <x v="12"/>
    <x v="1"/>
    <x v="5"/>
    <s v="Claire Koreck Room"/>
    <s v="10180 BofA Spec Spaces National 4695"/>
    <n v="2587.86"/>
    <n v="36108.43"/>
    <n v="2587.86"/>
  </r>
  <r>
    <n v="65061"/>
    <s v="Material for Rooms Expense"/>
    <s v="02/10/2014"/>
    <s v="Check"/>
    <m/>
    <x v="248"/>
    <x v="12"/>
    <x v="1"/>
    <x v="5"/>
    <m/>
    <s v="10340 BoA Delaware 5700"/>
    <n v="33.28"/>
    <n v="37489.56"/>
    <n v="33.28"/>
  </r>
  <r>
    <n v="65061"/>
    <s v="Material for Rooms Expense"/>
    <s v="02/12/2014"/>
    <s v="Check"/>
    <m/>
    <x v="249"/>
    <x v="12"/>
    <x v="1"/>
    <x v="5"/>
    <m/>
    <s v="10340 BoA Delaware 5700"/>
    <n v="111.1"/>
    <n v="40059.57"/>
    <n v="111.1"/>
  </r>
  <r>
    <n v="65061"/>
    <s v="Material for Rooms Expense"/>
    <s v="02/13/2014"/>
    <s v="Check"/>
    <m/>
    <x v="250"/>
    <x v="12"/>
    <x v="1"/>
    <x v="5"/>
    <m/>
    <s v="10340 BoA Delaware 5700"/>
    <n v="1.71"/>
    <n v="40590.65"/>
    <n v="1.71"/>
  </r>
  <r>
    <n v="65061"/>
    <s v="Material for Rooms Expense"/>
    <s v="02/19/2014"/>
    <s v="Check"/>
    <m/>
    <x v="67"/>
    <x v="12"/>
    <x v="1"/>
    <x v="5"/>
    <m/>
    <s v="10340 BoA Delaware 5700"/>
    <n v="299.10000000000002"/>
    <n v="45261.72"/>
    <n v="299.10000000000002"/>
  </r>
  <r>
    <n v="65061"/>
    <s v="Material for Rooms Expense"/>
    <s v="02/24/2014"/>
    <s v="Check"/>
    <m/>
    <x v="67"/>
    <x v="12"/>
    <x v="1"/>
    <x v="5"/>
    <m/>
    <s v="10340 BoA Delaware 5700"/>
    <n v="162.88999999999999"/>
    <n v="52434.39"/>
    <n v="162.88999999999999"/>
  </r>
  <r>
    <n v="65061"/>
    <s v="Material for Rooms Expense"/>
    <s v="02/24/2014"/>
    <s v="Check"/>
    <m/>
    <x v="53"/>
    <x v="12"/>
    <x v="1"/>
    <x v="5"/>
    <m/>
    <s v="10340 BoA Delaware 5700"/>
    <n v="155.47"/>
    <n v="53731.6"/>
    <n v="155.47"/>
  </r>
  <r>
    <n v="65061"/>
    <s v="Material for Rooms Expense"/>
    <s v="02/24/2014"/>
    <s v="Check"/>
    <m/>
    <x v="251"/>
    <x v="12"/>
    <x v="1"/>
    <x v="5"/>
    <m/>
    <s v="10340 BoA Delaware 5700"/>
    <n v="85.8"/>
    <n v="54142.78"/>
    <n v="85.8"/>
  </r>
  <r>
    <n v="65061"/>
    <s v="Material for Rooms Expense"/>
    <s v="02/27/2014"/>
    <s v="Check"/>
    <m/>
    <x v="252"/>
    <x v="12"/>
    <x v="1"/>
    <x v="5"/>
    <m/>
    <s v="10340 BoA Delaware 5700"/>
    <n v="82.11"/>
    <n v="56416.68"/>
    <n v="82.11"/>
  </r>
  <r>
    <n v="65061"/>
    <s v="Material for Rooms Expense"/>
    <s v="02/27/2014"/>
    <s v="Check"/>
    <m/>
    <x v="253"/>
    <x v="12"/>
    <x v="1"/>
    <x v="5"/>
    <m/>
    <s v="10340 BoA Delaware 5700"/>
    <n v="12"/>
    <n v="57229.78"/>
    <n v="12"/>
  </r>
  <r>
    <n v="65061"/>
    <s v="Material for Rooms Expense"/>
    <s v="03/05/2014"/>
    <s v="Check"/>
    <m/>
    <x v="73"/>
    <x v="12"/>
    <x v="1"/>
    <x v="5"/>
    <m/>
    <s v="10340 BoA Delaware 5700"/>
    <n v="670.51"/>
    <n v="62549.83"/>
    <n v="670.51"/>
  </r>
  <r>
    <n v="65061"/>
    <s v="Material for Rooms Expense"/>
    <s v="03/05/2014"/>
    <s v="Check"/>
    <m/>
    <x v="118"/>
    <x v="12"/>
    <x v="1"/>
    <x v="5"/>
    <m/>
    <s v="10340 BoA Delaware 5700"/>
    <n v="196.83"/>
    <n v="63388.83"/>
    <n v="196.83"/>
  </r>
  <r>
    <n v="65061"/>
    <s v="Material for Rooms Expense"/>
    <s v="03/05/2014"/>
    <s v="Check"/>
    <m/>
    <x v="67"/>
    <x v="12"/>
    <x v="1"/>
    <x v="5"/>
    <m/>
    <s v="10340 BoA Delaware 5700"/>
    <n v="792.27"/>
    <n v="64308.26"/>
    <n v="792.27"/>
  </r>
  <r>
    <n v="65061"/>
    <s v="Material for Rooms Expense"/>
    <s v="03/05/2014"/>
    <s v="Check"/>
    <m/>
    <x v="228"/>
    <x v="12"/>
    <x v="1"/>
    <x v="5"/>
    <m/>
    <s v="10340 BoA Delaware 5700"/>
    <n v="22.97"/>
    <n v="64331.23"/>
    <n v="22.97"/>
  </r>
  <r>
    <n v="65061"/>
    <s v="Material for Rooms Expense"/>
    <s v="03/06/2014"/>
    <s v="Check"/>
    <m/>
    <x v="29"/>
    <x v="12"/>
    <x v="1"/>
    <x v="5"/>
    <m/>
    <s v="10340 BoA Delaware 5700"/>
    <n v="184.85"/>
    <n v="65113.61"/>
    <n v="184.85"/>
  </r>
  <r>
    <n v="65061"/>
    <s v="Material for Rooms Expense"/>
    <s v="03/07/2014"/>
    <s v="Check"/>
    <m/>
    <x v="41"/>
    <x v="12"/>
    <x v="1"/>
    <x v="5"/>
    <m/>
    <s v="10340 BoA Delaware 5700"/>
    <n v="150.28"/>
    <n v="65799.41"/>
    <n v="150.28"/>
  </r>
  <r>
    <n v="65061"/>
    <s v="Material for Rooms Expense"/>
    <s v="03/10/2014"/>
    <s v="Deposit"/>
    <m/>
    <x v="67"/>
    <x v="12"/>
    <x v="1"/>
    <x v="5"/>
    <m/>
    <s v="10340 BoA Delaware 5700"/>
    <n v="-213.29"/>
    <n v="66948.649999999994"/>
    <n v="-213.29"/>
  </r>
  <r>
    <n v="65061"/>
    <s v="Material for Rooms Expense"/>
    <s v="03/11/2014"/>
    <s v="Check"/>
    <m/>
    <x v="29"/>
    <x v="12"/>
    <x v="1"/>
    <x v="5"/>
    <m/>
    <s v="10340 BoA Delaware 5700"/>
    <n v="101.52"/>
    <n v="68232.87"/>
    <n v="101.52"/>
  </r>
  <r>
    <n v="65061"/>
    <s v="Material for Rooms Expense"/>
    <s v="03/11/2014"/>
    <s v="Check"/>
    <m/>
    <x v="228"/>
    <x v="12"/>
    <x v="1"/>
    <x v="5"/>
    <m/>
    <s v="10340 BoA Delaware 5700"/>
    <n v="111.31"/>
    <n v="68524.31"/>
    <n v="111.31"/>
  </r>
  <r>
    <n v="65061"/>
    <s v="Material for Rooms Expense"/>
    <s v="03/20/2014"/>
    <s v="Check"/>
    <m/>
    <x v="29"/>
    <x v="12"/>
    <x v="1"/>
    <x v="5"/>
    <m/>
    <s v="10340 BoA Delaware 5700"/>
    <n v="784.6"/>
    <n v="74286.73"/>
    <n v="784.6"/>
  </r>
  <r>
    <n v="65061"/>
    <s v="Material for Rooms Expense"/>
    <s v="03/20/2014"/>
    <s v="Check"/>
    <m/>
    <x v="254"/>
    <x v="12"/>
    <x v="1"/>
    <x v="5"/>
    <m/>
    <s v="10340 BoA Delaware 5700"/>
    <n v="324.51"/>
    <n v="74587.27"/>
    <n v="324.51"/>
  </r>
  <r>
    <n v="65061"/>
    <s v="Material for Rooms Expense"/>
    <s v="03/20/2014"/>
    <s v="Check"/>
    <m/>
    <x v="228"/>
    <x v="12"/>
    <x v="1"/>
    <x v="5"/>
    <m/>
    <s v="10340 BoA Delaware 5700"/>
    <n v="102.42"/>
    <n v="74689.69"/>
    <n v="102.42"/>
  </r>
  <r>
    <n v="65061"/>
    <s v="Material for Rooms Expense"/>
    <s v="03/21/2014"/>
    <s v="Check"/>
    <m/>
    <x v="56"/>
    <x v="12"/>
    <x v="1"/>
    <x v="5"/>
    <m/>
    <s v="10340 BoA Delaware 5700"/>
    <n v="158.4"/>
    <n v="75012.61"/>
    <n v="158.4"/>
  </r>
  <r>
    <n v="65061"/>
    <s v="Material for Rooms Expense"/>
    <s v="03/21/2014"/>
    <s v="Check"/>
    <m/>
    <x v="41"/>
    <x v="12"/>
    <x v="1"/>
    <x v="5"/>
    <m/>
    <s v="10340 BoA Delaware 5700"/>
    <n v="33.119999999999997"/>
    <n v="74909.2"/>
    <n v="33.119999999999997"/>
  </r>
  <r>
    <n v="65061"/>
    <s v="Material for Rooms Expense"/>
    <s v="05/15/2014"/>
    <s v="Check"/>
    <n v="458"/>
    <x v="255"/>
    <x v="12"/>
    <x v="1"/>
    <x v="5"/>
    <s v="Claire's room and Ana's room"/>
    <s v="10180 BofA Spec Spaces National 4695"/>
    <n v="784.48"/>
    <n v="134914.63"/>
    <n v="784.48"/>
  </r>
  <r>
    <n v="65061"/>
    <s v="Material for Rooms Expense"/>
    <s v="05/22/2014"/>
    <s v="Check"/>
    <n v="462"/>
    <x v="247"/>
    <x v="12"/>
    <x v="1"/>
    <x v="5"/>
    <s v="Antonio Santos Room"/>
    <s v="10180 BofA Spec Spaces National 4695"/>
    <n v="295.69"/>
    <n v="143340.51"/>
    <n v="295.69"/>
  </r>
  <r>
    <n v="65062"/>
    <s v="In-Kind Goods"/>
    <s v="02/11/2014"/>
    <s v="Journal Entry"/>
    <n v="464"/>
    <x v="0"/>
    <x v="12"/>
    <x v="1"/>
    <x v="10"/>
    <s v="Claire Koreck's room - discount on price"/>
    <s v="-Split-"/>
    <n v="545"/>
    <n v="7780.21"/>
    <n v="545"/>
  </r>
  <r>
    <n v="65062"/>
    <s v="In-Kind Goods"/>
    <s v="02/11/2014"/>
    <s v="Journal Entry"/>
    <n v="464"/>
    <x v="0"/>
    <x v="12"/>
    <x v="1"/>
    <x v="10"/>
    <s v="Claire Koreck's room - 3D wall art"/>
    <s v="-Split-"/>
    <n v="1000"/>
    <n v="8780.2099999999991"/>
    <n v="1000"/>
  </r>
  <r>
    <n v="65062"/>
    <s v="In-Kind Goods"/>
    <s v="02/11/2014"/>
    <s v="Journal Entry"/>
    <n v="464"/>
    <x v="0"/>
    <x v="12"/>
    <x v="1"/>
    <x v="10"/>
    <s v="Claire Koreck's room - misc donations"/>
    <s v="-Split-"/>
    <n v="199"/>
    <n v="8979.2099999999991"/>
    <n v="199"/>
  </r>
  <r>
    <n v="65062"/>
    <s v="In-Kind Goods"/>
    <s v="02/11/2014"/>
    <s v="Journal Entry"/>
    <n v="464"/>
    <x v="0"/>
    <x v="12"/>
    <x v="1"/>
    <x v="10"/>
    <s v="Claire Koreck's room - Jungle decals"/>
    <s v="-Split-"/>
    <n v="129.99"/>
    <n v="9109.2000000000007"/>
    <n v="129.99"/>
  </r>
  <r>
    <n v="65062"/>
    <s v="In-Kind Goods"/>
    <s v="02/11/2014"/>
    <s v="Journal Entry"/>
    <n v="464"/>
    <x v="0"/>
    <x v="12"/>
    <x v="1"/>
    <x v="10"/>
    <s v="Claire Koreck's room   misc donations"/>
    <s v="-Split-"/>
    <n v="190.25"/>
    <n v="9299.4500000000007"/>
    <n v="190.25"/>
  </r>
  <r>
    <n v="65062"/>
    <s v="In-Kind Goods"/>
    <s v="02/11/2014"/>
    <s v="Journal Entry"/>
    <n v="464"/>
    <x v="0"/>
    <x v="12"/>
    <x v="1"/>
    <x v="10"/>
    <s v="Claire Koreck's room - misc donations"/>
    <s v="-Split-"/>
    <n v="42.5"/>
    <n v="9341.9500000000007"/>
    <n v="42.5"/>
  </r>
  <r>
    <n v="65062"/>
    <s v="In-Kind Goods"/>
    <s v="02/11/2014"/>
    <s v="Journal Entry"/>
    <n v="464"/>
    <x v="0"/>
    <x v="12"/>
    <x v="1"/>
    <x v="10"/>
    <s v="Claire Koreck's room - gift card and dinner for family and friends"/>
    <s v="-Split-"/>
    <n v="200"/>
    <n v="9541.9500000000007"/>
    <n v="200"/>
  </r>
  <r>
    <n v="65062"/>
    <s v="In-Kind Goods"/>
    <s v="02/11/2014"/>
    <s v="Journal Entry"/>
    <n v="464"/>
    <x v="0"/>
    <x v="12"/>
    <x v="1"/>
    <x v="10"/>
    <s v="Claire Koreck's room - tree"/>
    <s v="-Split-"/>
    <n v="100"/>
    <n v="9641.9500000000007"/>
    <n v="100"/>
  </r>
  <r>
    <n v="65062"/>
    <s v="In-Kind Goods"/>
    <s v="02/11/2014"/>
    <s v="Journal Entry"/>
    <n v="464"/>
    <x v="0"/>
    <x v="12"/>
    <x v="1"/>
    <x v="10"/>
    <s v="Claire Koreck's room - paint"/>
    <s v="-Split-"/>
    <n v="140"/>
    <n v="9781.9500000000007"/>
    <n v="140"/>
  </r>
  <r>
    <n v="65062"/>
    <s v="In-Kind Goods"/>
    <s v="02/22/2014"/>
    <s v="Journal Entry"/>
    <n v="533"/>
    <x v="0"/>
    <x v="12"/>
    <x v="1"/>
    <x v="10"/>
    <s v="Ana Susko room"/>
    <s v="-Split-"/>
    <n v="16.989999999999998"/>
    <n v="11806.35"/>
    <n v="16.989999999999998"/>
  </r>
  <r>
    <n v="65062"/>
    <s v="In-Kind Goods"/>
    <s v="02/22/2014"/>
    <s v="Journal Entry"/>
    <n v="533"/>
    <x v="0"/>
    <x v="12"/>
    <x v="1"/>
    <x v="10"/>
    <s v="Ana Susko room"/>
    <s v="-Split-"/>
    <n v="20"/>
    <n v="11826.35"/>
    <n v="20"/>
  </r>
  <r>
    <n v="65062"/>
    <s v="In-Kind Goods"/>
    <s v="02/22/2014"/>
    <s v="Journal Entry"/>
    <n v="533"/>
    <x v="0"/>
    <x v="12"/>
    <x v="1"/>
    <x v="10"/>
    <s v="Ana Susko room"/>
    <s v="-Split-"/>
    <n v="9.99"/>
    <n v="11836.34"/>
    <n v="9.99"/>
  </r>
  <r>
    <n v="65062"/>
    <s v="In-Kind Goods"/>
    <s v="02/22/2014"/>
    <s v="Journal Entry"/>
    <n v="533"/>
    <x v="0"/>
    <x v="12"/>
    <x v="1"/>
    <x v="10"/>
    <s v="Ana Susko room"/>
    <s v="-Split-"/>
    <n v="25"/>
    <n v="11861.34"/>
    <n v="25"/>
  </r>
  <r>
    <n v="65062"/>
    <s v="In-Kind Goods"/>
    <s v="02/22/2014"/>
    <s v="Journal Entry"/>
    <n v="533"/>
    <x v="0"/>
    <x v="12"/>
    <x v="1"/>
    <x v="10"/>
    <s v="Ana Susko room"/>
    <s v="-Split-"/>
    <n v="9.99"/>
    <n v="11871.33"/>
    <n v="9.99"/>
  </r>
  <r>
    <n v="65062"/>
    <s v="In-Kind Goods"/>
    <s v="02/22/2014"/>
    <s v="Journal Entry"/>
    <n v="533"/>
    <x v="0"/>
    <x v="12"/>
    <x v="1"/>
    <x v="10"/>
    <s v="Ana Susko room"/>
    <s v="-Split-"/>
    <n v="50"/>
    <n v="11921.33"/>
    <n v="50"/>
  </r>
  <r>
    <n v="65062"/>
    <s v="In-Kind Goods"/>
    <s v="02/22/2014"/>
    <s v="Journal Entry"/>
    <n v="533"/>
    <x v="0"/>
    <x v="12"/>
    <x v="1"/>
    <x v="10"/>
    <s v="Ana Susko room"/>
    <s v="-Split-"/>
    <n v="25"/>
    <n v="11946.33"/>
    <n v="25"/>
  </r>
  <r>
    <n v="65062"/>
    <s v="In-Kind Goods"/>
    <s v="02/22/2014"/>
    <s v="Journal Entry"/>
    <n v="533"/>
    <x v="0"/>
    <x v="12"/>
    <x v="1"/>
    <x v="10"/>
    <s v="Ana Susko room"/>
    <s v="-Split-"/>
    <n v="65"/>
    <n v="12011.33"/>
    <n v="65"/>
  </r>
  <r>
    <n v="65062"/>
    <s v="In-Kind Goods"/>
    <s v="02/22/2014"/>
    <s v="Journal Entry"/>
    <n v="533"/>
    <x v="0"/>
    <x v="12"/>
    <x v="1"/>
    <x v="10"/>
    <s v="Ana Susko room"/>
    <s v="-Split-"/>
    <n v="16.989999999999998"/>
    <n v="12028.32"/>
    <n v="16.989999999999998"/>
  </r>
  <r>
    <n v="65062"/>
    <s v="In-Kind Goods"/>
    <s v="02/22/2014"/>
    <s v="Journal Entry"/>
    <n v="533"/>
    <x v="0"/>
    <x v="12"/>
    <x v="1"/>
    <x v="10"/>
    <s v="Ana Susko room"/>
    <s v="-Split-"/>
    <n v="60"/>
    <n v="12088.32"/>
    <n v="60"/>
  </r>
  <r>
    <n v="65062"/>
    <s v="In-Kind Goods"/>
    <s v="02/22/2014"/>
    <s v="Journal Entry"/>
    <n v="533"/>
    <x v="0"/>
    <x v="12"/>
    <x v="1"/>
    <x v="10"/>
    <s v="Ana Susko room"/>
    <s v="-Split-"/>
    <n v="40"/>
    <n v="12128.32"/>
    <n v="40"/>
  </r>
  <r>
    <n v="65062"/>
    <s v="In-Kind Goods"/>
    <s v="02/22/2014"/>
    <s v="Journal Entry"/>
    <n v="533"/>
    <x v="0"/>
    <x v="12"/>
    <x v="1"/>
    <x v="10"/>
    <s v="Ana Susko room"/>
    <s v="-Split-"/>
    <n v="44.99"/>
    <n v="12173.31"/>
    <n v="44.99"/>
  </r>
  <r>
    <n v="65062"/>
    <s v="In-Kind Goods"/>
    <s v="02/22/2014"/>
    <s v="Journal Entry"/>
    <n v="533"/>
    <x v="0"/>
    <x v="12"/>
    <x v="1"/>
    <x v="10"/>
    <s v="Ana Susko room"/>
    <s v="-Split-"/>
    <n v="45"/>
    <n v="12218.31"/>
    <n v="45"/>
  </r>
  <r>
    <n v="65062"/>
    <s v="In-Kind Goods"/>
    <s v="02/22/2014"/>
    <s v="Journal Entry"/>
    <n v="533"/>
    <x v="0"/>
    <x v="12"/>
    <x v="1"/>
    <x v="10"/>
    <s v="Ana Susko room"/>
    <s v="-Split-"/>
    <n v="14"/>
    <n v="12232.31"/>
    <n v="14"/>
  </r>
  <r>
    <n v="65062"/>
    <s v="In-Kind Goods"/>
    <s v="02/22/2014"/>
    <s v="Journal Entry"/>
    <n v="533"/>
    <x v="0"/>
    <x v="12"/>
    <x v="1"/>
    <x v="10"/>
    <s v="Ana Susko room"/>
    <s v="-Split-"/>
    <n v="14"/>
    <n v="12246.31"/>
    <n v="14"/>
  </r>
  <r>
    <n v="65062"/>
    <s v="In-Kind Goods"/>
    <s v="02/22/2014"/>
    <s v="Journal Entry"/>
    <n v="533"/>
    <x v="0"/>
    <x v="12"/>
    <x v="1"/>
    <x v="10"/>
    <s v="Ana Susko room"/>
    <s v="-Split-"/>
    <n v="9.5"/>
    <n v="12255.81"/>
    <n v="9.5"/>
  </r>
  <r>
    <n v="65062"/>
    <s v="In-Kind Goods"/>
    <s v="02/22/2014"/>
    <s v="Journal Entry"/>
    <n v="533"/>
    <x v="0"/>
    <x v="12"/>
    <x v="1"/>
    <x v="10"/>
    <s v="Ana Susko room"/>
    <s v="-Split-"/>
    <n v="10"/>
    <n v="12265.81"/>
    <n v="10"/>
  </r>
  <r>
    <n v="65062"/>
    <s v="In-Kind Goods"/>
    <s v="02/22/2014"/>
    <s v="Journal Entry"/>
    <n v="533"/>
    <x v="0"/>
    <x v="12"/>
    <x v="1"/>
    <x v="10"/>
    <s v="Ana Susko room"/>
    <s v="-Split-"/>
    <n v="18"/>
    <n v="12283.81"/>
    <n v="18"/>
  </r>
  <r>
    <n v="65062"/>
    <s v="In-Kind Goods"/>
    <s v="02/22/2014"/>
    <s v="Journal Entry"/>
    <n v="533"/>
    <x v="0"/>
    <x v="12"/>
    <x v="1"/>
    <x v="10"/>
    <s v="Ana Susko room"/>
    <s v="-Split-"/>
    <n v="8"/>
    <n v="12291.81"/>
    <n v="8"/>
  </r>
  <r>
    <n v="65062"/>
    <s v="In-Kind Goods"/>
    <s v="02/22/2014"/>
    <s v="Journal Entry"/>
    <n v="533"/>
    <x v="0"/>
    <x v="12"/>
    <x v="1"/>
    <x v="10"/>
    <s v="Ana Susko room"/>
    <s v="-Split-"/>
    <n v="28"/>
    <n v="12319.81"/>
    <n v="28"/>
  </r>
  <r>
    <n v="65062"/>
    <s v="In-Kind Goods"/>
    <s v="03/22/2014"/>
    <s v="Journal Entry"/>
    <n v="534"/>
    <x v="0"/>
    <x v="12"/>
    <x v="1"/>
    <x v="10"/>
    <s v="Antonio Santos room"/>
    <s v="-Split-"/>
    <n v="3"/>
    <n v="14382.38"/>
    <n v="3"/>
  </r>
  <r>
    <n v="65062"/>
    <s v="In-Kind Goods"/>
    <s v="03/22/2014"/>
    <s v="Journal Entry"/>
    <n v="534"/>
    <x v="0"/>
    <x v="12"/>
    <x v="1"/>
    <x v="10"/>
    <s v="Antonio Santos room"/>
    <s v="-Split-"/>
    <n v="36"/>
    <n v="14418.38"/>
    <n v="36"/>
  </r>
  <r>
    <n v="65062"/>
    <s v="In-Kind Goods"/>
    <s v="03/22/2014"/>
    <s v="Journal Entry"/>
    <n v="534"/>
    <x v="0"/>
    <x v="12"/>
    <x v="1"/>
    <x v="10"/>
    <s v="Antonio Santos room"/>
    <s v="-Split-"/>
    <n v="15.25"/>
    <n v="14433.63"/>
    <n v="15.25"/>
  </r>
  <r>
    <n v="65062"/>
    <s v="In-Kind Goods"/>
    <s v="03/22/2014"/>
    <s v="Journal Entry"/>
    <n v="534"/>
    <x v="0"/>
    <x v="12"/>
    <x v="1"/>
    <x v="10"/>
    <s v="Antonio Santos room"/>
    <s v="-Split-"/>
    <n v="115"/>
    <n v="14548.63"/>
    <n v="115"/>
  </r>
  <r>
    <n v="65062"/>
    <s v="In-Kind Goods"/>
    <s v="03/22/2014"/>
    <s v="Journal Entry"/>
    <n v="534"/>
    <x v="0"/>
    <x v="12"/>
    <x v="1"/>
    <x v="10"/>
    <s v="Antonio Santos room"/>
    <s v="-Split-"/>
    <n v="30"/>
    <n v="14578.63"/>
    <n v="30"/>
  </r>
  <r>
    <n v="65062"/>
    <s v="In-Kind Goods"/>
    <s v="03/22/2014"/>
    <s v="Journal Entry"/>
    <n v="534"/>
    <x v="0"/>
    <x v="12"/>
    <x v="1"/>
    <x v="10"/>
    <s v="Antonio Santos room"/>
    <s v="-Split-"/>
    <n v="34"/>
    <n v="14612.63"/>
    <n v="34"/>
  </r>
  <r>
    <n v="65062"/>
    <s v="In-Kind Goods"/>
    <s v="03/22/2014"/>
    <s v="Journal Entry"/>
    <n v="534"/>
    <x v="0"/>
    <x v="12"/>
    <x v="1"/>
    <x v="10"/>
    <s v="Antonio Santos room"/>
    <s v="-Split-"/>
    <n v="20"/>
    <n v="14632.63"/>
    <n v="20"/>
  </r>
  <r>
    <n v="65062"/>
    <s v="In-Kind Goods"/>
    <s v="03/22/2014"/>
    <s v="Journal Entry"/>
    <n v="534"/>
    <x v="0"/>
    <x v="12"/>
    <x v="1"/>
    <x v="10"/>
    <s v="Antonio Santos room"/>
    <s v="-Split-"/>
    <n v="35"/>
    <n v="14667.63"/>
    <n v="35"/>
  </r>
  <r>
    <n v="65062"/>
    <s v="In-Kind Goods"/>
    <s v="03/22/2014"/>
    <s v="Journal Entry"/>
    <n v="534"/>
    <x v="0"/>
    <x v="12"/>
    <x v="1"/>
    <x v="10"/>
    <s v="Antonio Santos room"/>
    <s v="-Split-"/>
    <n v="375"/>
    <n v="15042.63"/>
    <n v="375"/>
  </r>
  <r>
    <n v="65062"/>
    <s v="In-Kind Goods"/>
    <s v="03/22/2014"/>
    <s v="Journal Entry"/>
    <n v="534"/>
    <x v="0"/>
    <x v="12"/>
    <x v="1"/>
    <x v="10"/>
    <s v="Antonio Santos room"/>
    <s v="-Split-"/>
    <n v="10"/>
    <n v="15052.63"/>
    <n v="10"/>
  </r>
  <r>
    <n v="65062"/>
    <s v="In-Kind Goods"/>
    <s v="03/22/2014"/>
    <s v="Journal Entry"/>
    <n v="534"/>
    <x v="0"/>
    <x v="12"/>
    <x v="1"/>
    <x v="10"/>
    <s v="Antonio Santos room"/>
    <s v="-Split-"/>
    <n v="25"/>
    <n v="15077.63"/>
    <n v="25"/>
  </r>
  <r>
    <n v="65062"/>
    <s v="In-Kind Goods"/>
    <s v="03/22/2014"/>
    <s v="Journal Entry"/>
    <n v="534"/>
    <x v="0"/>
    <x v="12"/>
    <x v="1"/>
    <x v="10"/>
    <s v="Antonio Santos room"/>
    <s v="-Split-"/>
    <n v="15"/>
    <n v="15092.63"/>
    <n v="15"/>
  </r>
  <r>
    <n v="65062"/>
    <s v="In-Kind Goods"/>
    <s v="03/22/2014"/>
    <s v="Journal Entry"/>
    <n v="534"/>
    <x v="0"/>
    <x v="12"/>
    <x v="1"/>
    <x v="10"/>
    <s v="Antonio Santos room"/>
    <s v="-Split-"/>
    <n v="30"/>
    <n v="15122.63"/>
    <n v="30"/>
  </r>
  <r>
    <n v="65062"/>
    <s v="In-Kind Goods"/>
    <s v="03/22/2014"/>
    <s v="Journal Entry"/>
    <n v="534"/>
    <x v="0"/>
    <x v="12"/>
    <x v="1"/>
    <x v="10"/>
    <s v="Antonio Santos room"/>
    <s v="-Split-"/>
    <n v="300"/>
    <n v="15422.63"/>
    <n v="300"/>
  </r>
  <r>
    <n v="65062"/>
    <s v="In-Kind Goods"/>
    <s v="03/22/2014"/>
    <s v="Journal Entry"/>
    <n v="534"/>
    <x v="0"/>
    <x v="12"/>
    <x v="1"/>
    <x v="10"/>
    <s v="Antonio Santos room"/>
    <s v="-Split-"/>
    <n v="25"/>
    <n v="15447.63"/>
    <n v="25"/>
  </r>
  <r>
    <n v="65062"/>
    <s v="In-Kind Goods"/>
    <s v="03/22/2014"/>
    <s v="Journal Entry"/>
    <n v="534"/>
    <x v="0"/>
    <x v="12"/>
    <x v="1"/>
    <x v="10"/>
    <s v="Antonio Santos room"/>
    <s v="-Split-"/>
    <n v="1500"/>
    <n v="16947.63"/>
    <n v="1500"/>
  </r>
  <r>
    <n v="65062"/>
    <s v="In-Kind Goods"/>
    <s v="03/22/2014"/>
    <s v="Journal Entry"/>
    <n v="534"/>
    <x v="0"/>
    <x v="12"/>
    <x v="1"/>
    <x v="10"/>
    <s v="Antonio Santos room"/>
    <s v="-Split-"/>
    <n v="40"/>
    <n v="16987.63"/>
    <n v="40"/>
  </r>
  <r>
    <n v="65062"/>
    <s v="In-Kind Goods"/>
    <s v="03/22/2014"/>
    <s v="Journal Entry"/>
    <n v="534"/>
    <x v="0"/>
    <x v="12"/>
    <x v="1"/>
    <x v="10"/>
    <s v="Antonio Santos room"/>
    <s v="-Split-"/>
    <n v="1200"/>
    <n v="18187.63"/>
    <n v="1200"/>
  </r>
  <r>
    <n v="65062"/>
    <s v="In-Kind Goods"/>
    <s v="03/22/2014"/>
    <s v="Journal Entry"/>
    <n v="534"/>
    <x v="0"/>
    <x v="12"/>
    <x v="1"/>
    <x v="10"/>
    <s v="Antonio Santos room"/>
    <s v="-Split-"/>
    <n v="535"/>
    <n v="18722.63"/>
    <n v="535"/>
  </r>
  <r>
    <n v="65062"/>
    <s v="In-Kind Goods"/>
    <s v="03/22/2014"/>
    <s v="Journal Entry"/>
    <n v="534"/>
    <x v="0"/>
    <x v="12"/>
    <x v="1"/>
    <x v="10"/>
    <s v="Antonio Santos room"/>
    <s v="-Split-"/>
    <n v="90"/>
    <n v="18812.63"/>
    <n v="90"/>
  </r>
  <r>
    <n v="65062"/>
    <s v="In-Kind Goods"/>
    <s v="03/22/2014"/>
    <s v="Journal Entry"/>
    <n v="534"/>
    <x v="0"/>
    <x v="12"/>
    <x v="1"/>
    <x v="10"/>
    <s v="Antonio Santos room"/>
    <s v="-Split-"/>
    <n v="24"/>
    <n v="18836.63"/>
    <n v="24"/>
  </r>
  <r>
    <n v="65062"/>
    <s v="In-Kind Goods"/>
    <s v="03/22/2014"/>
    <s v="Journal Entry"/>
    <n v="534"/>
    <x v="0"/>
    <x v="12"/>
    <x v="1"/>
    <x v="10"/>
    <s v="Antonio Santos room"/>
    <s v="-Split-"/>
    <n v="40"/>
    <n v="18876.63"/>
    <n v="40"/>
  </r>
  <r>
    <n v="65062"/>
    <s v="In-Kind Goods"/>
    <s v="03/22/2014"/>
    <s v="Journal Entry"/>
    <n v="534"/>
    <x v="0"/>
    <x v="12"/>
    <x v="1"/>
    <x v="10"/>
    <s v="Antonio Santos room"/>
    <s v="-Split-"/>
    <n v="75"/>
    <n v="18951.63"/>
    <n v="75"/>
  </r>
  <r>
    <n v="65062"/>
    <s v="In-Kind Goods"/>
    <s v="03/22/2014"/>
    <s v="Journal Entry"/>
    <n v="534"/>
    <x v="0"/>
    <x v="12"/>
    <x v="1"/>
    <x v="10"/>
    <s v="Antonio Santos room"/>
    <s v="-Split-"/>
    <n v="369"/>
    <n v="19320.63"/>
    <n v="369"/>
  </r>
  <r>
    <n v="65062"/>
    <s v="In-Kind Goods"/>
    <s v="03/22/2014"/>
    <s v="Journal Entry"/>
    <n v="534"/>
    <x v="0"/>
    <x v="12"/>
    <x v="1"/>
    <x v="10"/>
    <s v="Antonio Santos room"/>
    <s v="-Split-"/>
    <n v="12"/>
    <n v="19332.63"/>
    <n v="12"/>
  </r>
  <r>
    <n v="65062"/>
    <s v="In-Kind Goods"/>
    <s v="03/22/2014"/>
    <s v="Journal Entry"/>
    <n v="534"/>
    <x v="0"/>
    <x v="12"/>
    <x v="1"/>
    <x v="10"/>
    <s v="Antonio Santos room"/>
    <s v="-Split-"/>
    <n v="8"/>
    <n v="19340.63"/>
    <n v="8"/>
  </r>
  <r>
    <n v="65062"/>
    <s v="In-Kind Goods"/>
    <s v="03/22/2014"/>
    <s v="Journal Entry"/>
    <n v="534"/>
    <x v="0"/>
    <x v="12"/>
    <x v="1"/>
    <x v="10"/>
    <s v="Antonio Santos room"/>
    <s v="-Split-"/>
    <n v="15"/>
    <n v="19355.63"/>
    <n v="15"/>
  </r>
  <r>
    <n v="65062"/>
    <s v="In-Kind Goods"/>
    <s v="03/22/2014"/>
    <s v="Journal Entry"/>
    <n v="534"/>
    <x v="0"/>
    <x v="12"/>
    <x v="1"/>
    <x v="10"/>
    <s v="Antonio Santos room"/>
    <s v="-Split-"/>
    <n v="16"/>
    <n v="19371.63"/>
    <n v="16"/>
  </r>
  <r>
    <n v="67001"/>
    <s v="Fundraising Expense -  Direct"/>
    <s v="06/16/2014"/>
    <s v="Check"/>
    <n v="480"/>
    <x v="256"/>
    <x v="12"/>
    <x v="2"/>
    <x v="7"/>
    <s v="venue  (reimburse Kim Resnick)"/>
    <s v="10180 BofA Spec Spaces National 4695"/>
    <n v="500"/>
    <n v="57529.61"/>
    <n v="500"/>
  </r>
  <r>
    <n v="43400"/>
    <s v="Direct Public Support"/>
    <s v="07/18/2014"/>
    <s v="Deposit"/>
    <m/>
    <x v="3"/>
    <x v="2"/>
    <x v="0"/>
    <x v="1"/>
    <m/>
    <s v="10109 BofA Restricted Funds -055:Boston-3100"/>
    <n v="450"/>
    <n v="227372.61"/>
    <n v="-450"/>
  </r>
  <r>
    <n v="43400"/>
    <s v="Direct Public Support"/>
    <s v="07/22/2014"/>
    <s v="Journal Entry"/>
    <n v="627"/>
    <x v="0"/>
    <x v="2"/>
    <x v="0"/>
    <x v="1"/>
    <s v="paypal"/>
    <s v="-Split-"/>
    <n v="50"/>
    <n v="227447.16"/>
    <n v="-50"/>
  </r>
  <r>
    <n v="43400"/>
    <s v="Direct Public Support"/>
    <s v="08/04/2014"/>
    <s v="Deposit"/>
    <m/>
    <x v="3"/>
    <x v="21"/>
    <x v="0"/>
    <x v="1"/>
    <m/>
    <s v="10147 BofA Restricted Funds -055:Tri-Counties-Michigan 3090"/>
    <n v="700"/>
    <n v="231992.31"/>
    <n v="-700"/>
  </r>
  <r>
    <n v="43400"/>
    <s v="Direct Public Support"/>
    <s v="08/25/2014"/>
    <s v="Deposit"/>
    <m/>
    <x v="3"/>
    <x v="21"/>
    <x v="0"/>
    <x v="1"/>
    <m/>
    <s v="10147 BofA Restricted Funds -055:Tri-Counties-Michigan 3090"/>
    <n v="320"/>
    <n v="239249.86"/>
    <n v="-320"/>
  </r>
  <r>
    <n v="43400"/>
    <s v="Direct Public Support"/>
    <s v="09/25/2014"/>
    <s v="Deposit"/>
    <m/>
    <x v="3"/>
    <x v="21"/>
    <x v="0"/>
    <x v="1"/>
    <m/>
    <s v="10147 BofA Restricted Funds -055:Tri-Counties-Michigan 3090"/>
    <n v="100"/>
    <n v="258841.97"/>
    <n v="-100"/>
  </r>
  <r>
    <n v="43400"/>
    <s v="Direct Public Support"/>
    <s v="10/09/2014"/>
    <s v="Deposit"/>
    <m/>
    <x v="3"/>
    <x v="21"/>
    <x v="0"/>
    <x v="1"/>
    <m/>
    <s v="10147 BofA Restricted Funds -055:Tri-Counties-Michigan 3090"/>
    <n v="200"/>
    <n v="271727.42"/>
    <n v="-200"/>
  </r>
  <r>
    <n v="43400"/>
    <s v="Direct Public Support"/>
    <s v="03/19/2014"/>
    <s v="Deposit"/>
    <m/>
    <x v="3"/>
    <x v="22"/>
    <x v="0"/>
    <x v="1"/>
    <m/>
    <s v="10181 *US Bank National 5014"/>
    <n v="500"/>
    <n v="94008.97"/>
    <n v="-500"/>
  </r>
  <r>
    <n v="43400"/>
    <s v="Direct Public Support"/>
    <s v="05/07/2014"/>
    <s v="Deposit"/>
    <m/>
    <x v="3"/>
    <x v="22"/>
    <x v="0"/>
    <x v="1"/>
    <m/>
    <s v="10522 *US Bank - Milwaukee"/>
    <n v="540"/>
    <n v="144195.26"/>
    <n v="-540"/>
  </r>
  <r>
    <n v="43400"/>
    <s v="Direct Public Support"/>
    <s v="02/24/2014"/>
    <s v="Deposit"/>
    <m/>
    <x v="3"/>
    <x v="23"/>
    <x v="0"/>
    <x v="1"/>
    <m/>
    <s v="10123 BofA Restricted Funds -055:Minneapolis - 4572"/>
    <n v="250"/>
    <n v="70624.399999999994"/>
    <n v="-250"/>
  </r>
  <r>
    <n v="43400"/>
    <s v="Direct Public Support"/>
    <s v="04/29/2014"/>
    <s v="Deposit"/>
    <m/>
    <x v="3"/>
    <x v="23"/>
    <x v="0"/>
    <x v="1"/>
    <m/>
    <s v="10123 BofA Restricted Funds -055:Minneapolis - 4572"/>
    <n v="4000"/>
    <n v="123494.11"/>
    <n v="-4000"/>
  </r>
  <r>
    <n v="43400"/>
    <s v="Direct Public Support"/>
    <s v="05/15/2014"/>
    <s v="Deposit"/>
    <m/>
    <x v="3"/>
    <x v="23"/>
    <x v="0"/>
    <x v="1"/>
    <m/>
    <s v="10123 BofA Restricted Funds -055:Minneapolis - 4572"/>
    <n v="500"/>
    <n v="159133.07999999999"/>
    <n v="-500"/>
  </r>
  <r>
    <n v="43400"/>
    <s v="Direct Public Support"/>
    <s v="05/28/2014"/>
    <s v="Journal Entry"/>
    <n v="536"/>
    <x v="0"/>
    <x v="23"/>
    <x v="0"/>
    <x v="1"/>
    <s v="paypal"/>
    <s v="-Split-"/>
    <n v="300"/>
    <n v="174271.57"/>
    <n v="-300"/>
  </r>
  <r>
    <n v="43400"/>
    <s v="Direct Public Support"/>
    <s v="07/07/2014"/>
    <s v="Deposit"/>
    <m/>
    <x v="3"/>
    <x v="23"/>
    <x v="0"/>
    <x v="1"/>
    <m/>
    <s v="10123 BofA Restricted Funds -055:Minneapolis - 4572"/>
    <n v="4000"/>
    <n v="218872.57"/>
    <n v="-4000"/>
  </r>
  <r>
    <n v="43400"/>
    <s v="Direct Public Support"/>
    <s v="08/05/2014"/>
    <s v="Deposit"/>
    <m/>
    <x v="0"/>
    <x v="23"/>
    <x v="0"/>
    <x v="1"/>
    <m/>
    <s v="10123 BofA Restricted Funds -055:Minneapolis - 4572"/>
    <n v="40"/>
    <n v="222032.31"/>
    <n v="-40"/>
  </r>
  <r>
    <n v="43400"/>
    <s v="Direct Public Support"/>
    <s v="10/01/2014"/>
    <s v="Deposit"/>
    <m/>
    <x v="3"/>
    <x v="23"/>
    <x v="0"/>
    <x v="1"/>
    <m/>
    <s v="10123 BofA Restricted Funds -055:Minneapolis - 4572"/>
    <n v="1230.25"/>
    <n v="262892.21999999997"/>
    <n v="-1230.25"/>
  </r>
  <r>
    <n v="43400"/>
    <s v="Direct Public Support"/>
    <s v="07/15/2014"/>
    <s v="Deposit"/>
    <m/>
    <x v="3"/>
    <x v="24"/>
    <x v="0"/>
    <x v="1"/>
    <m/>
    <s v="10140 BofA Restricted Funds -055:St. Louis - 0123"/>
    <n v="1475"/>
    <n v="223467.57"/>
    <n v="-1475"/>
  </r>
  <r>
    <n v="43400"/>
    <s v="Direct Public Support"/>
    <s v="08/14/2014"/>
    <s v="Deposit"/>
    <m/>
    <x v="3"/>
    <x v="24"/>
    <x v="0"/>
    <x v="1"/>
    <m/>
    <s v="10140 BofA Restricted Funds -055:St. Louis - 0123"/>
    <n v="2500"/>
    <n v="238829.86"/>
    <n v="-2500"/>
  </r>
  <r>
    <n v="43400"/>
    <s v="Direct Public Support"/>
    <s v="10/09/2014"/>
    <s v="Deposit"/>
    <m/>
    <x v="3"/>
    <x v="24"/>
    <x v="0"/>
    <x v="1"/>
    <m/>
    <s v="10140 BofA Restricted Funds -055:St. Louis - 0123"/>
    <n v="4966.91"/>
    <n v="271527.42"/>
    <n v="-4966.91"/>
  </r>
  <r>
    <n v="43400"/>
    <s v="Direct Public Support"/>
    <s v="10/14/2014"/>
    <s v="Deposit"/>
    <m/>
    <x v="3"/>
    <x v="24"/>
    <x v="0"/>
    <x v="1"/>
    <m/>
    <s v="10140 BofA Restricted Funds -055:St. Louis - 0123"/>
    <n v="2655"/>
    <n v="283892.89"/>
    <n v="-2655"/>
  </r>
  <r>
    <n v="43400"/>
    <s v="Direct Public Support"/>
    <s v="10/21/2014"/>
    <s v="Deposit"/>
    <m/>
    <x v="3"/>
    <x v="24"/>
    <x v="0"/>
    <x v="1"/>
    <m/>
    <s v="10140 BofA Restricted Funds -055:St. Louis - 0123"/>
    <n v="1000"/>
    <n v="293635.82"/>
    <n v="-1000"/>
  </r>
  <r>
    <n v="43400"/>
    <s v="Direct Public Support"/>
    <s v="01/09/2014"/>
    <s v="Journal Entry"/>
    <n v="352"/>
    <x v="0"/>
    <x v="0"/>
    <x v="0"/>
    <x v="1"/>
    <s v="paypal"/>
    <s v="-Split-"/>
    <n v="510"/>
    <n v="-23284.89"/>
    <n v="-510"/>
  </r>
  <r>
    <n v="43400"/>
    <s v="Direct Public Support"/>
    <s v="01/09/2014"/>
    <s v="Journal Entry"/>
    <n v="351"/>
    <x v="0"/>
    <x v="0"/>
    <x v="0"/>
    <x v="1"/>
    <m/>
    <s v="-Split-"/>
    <n v="775"/>
    <n v="-22509.89"/>
    <n v="-775"/>
  </r>
  <r>
    <n v="43400"/>
    <s v="Direct Public Support"/>
    <s v="01/09/2014"/>
    <s v="Journal Entry"/>
    <n v="347"/>
    <x v="0"/>
    <x v="0"/>
    <x v="0"/>
    <x v="1"/>
    <m/>
    <s v="-Split-"/>
    <n v="200"/>
    <n v="-22229.89"/>
    <n v="-200"/>
  </r>
  <r>
    <n v="43400"/>
    <s v="Direct Public Support"/>
    <s v="01/14/2014"/>
    <s v="Check"/>
    <n v="1"/>
    <x v="27"/>
    <x v="0"/>
    <x v="0"/>
    <x v="1"/>
    <s v="cashier check to deposit to BoA"/>
    <s v="10181 *US Bank National 5014"/>
    <n v="-10000"/>
    <n v="-29834.89"/>
    <n v="10000"/>
  </r>
  <r>
    <n v="43400"/>
    <s v="Direct Public Support"/>
    <s v="01/14/2014"/>
    <s v="Deposit"/>
    <m/>
    <x v="257"/>
    <x v="0"/>
    <x v="0"/>
    <x v="1"/>
    <m/>
    <s v="10180 BofA Spec Spaces National 4695"/>
    <n v="10000"/>
    <n v="-19834.89"/>
    <n v="-10000"/>
  </r>
  <r>
    <n v="43400"/>
    <s v="Direct Public Support"/>
    <s v="01/14/2014"/>
    <s v="Invoice"/>
    <n v="1001"/>
    <x v="145"/>
    <x v="0"/>
    <x v="0"/>
    <x v="1"/>
    <s v="Nashville Room Makeover for Coby"/>
    <s v="11000 Accounts Receivable"/>
    <n v="3500"/>
    <n v="-16334.89"/>
    <n v="-3500"/>
  </r>
  <r>
    <n v="43400"/>
    <s v="Direct Public Support"/>
    <s v="01/15/2014"/>
    <s v="Deposit"/>
    <m/>
    <x v="3"/>
    <x v="0"/>
    <x v="0"/>
    <x v="1"/>
    <m/>
    <s v="10180 BofA Spec Spaces National 4695"/>
    <n v="500"/>
    <n v="-15314.89"/>
    <n v="-500"/>
  </r>
  <r>
    <n v="43400"/>
    <s v="Direct Public Support"/>
    <s v="01/16/2014"/>
    <s v="Deposit"/>
    <m/>
    <x v="0"/>
    <x v="0"/>
    <x v="0"/>
    <x v="1"/>
    <m/>
    <s v="10180 BofA Spec Spaces National 4695"/>
    <n v="1250"/>
    <n v="-6770.89"/>
    <n v="-1250"/>
  </r>
  <r>
    <n v="43400"/>
    <s v="Direct Public Support"/>
    <s v="01/22/2014"/>
    <s v="Deposit"/>
    <m/>
    <x v="0"/>
    <x v="0"/>
    <x v="0"/>
    <x v="1"/>
    <m/>
    <s v="10180 BofA Spec Spaces National 4695"/>
    <n v="114.32"/>
    <n v="3183.43"/>
    <n v="-114.32"/>
  </r>
  <r>
    <n v="43400"/>
    <s v="Direct Public Support"/>
    <s v="01/22/2014"/>
    <s v="Deposit"/>
    <m/>
    <x v="0"/>
    <x v="0"/>
    <x v="0"/>
    <x v="1"/>
    <m/>
    <s v="10180 BofA Spec Spaces National 4695"/>
    <n v="25"/>
    <n v="4028.43"/>
    <n v="-25"/>
  </r>
  <r>
    <n v="43400"/>
    <s v="Direct Public Support"/>
    <s v="01/27/2014"/>
    <s v="Deposit"/>
    <m/>
    <x v="0"/>
    <x v="0"/>
    <x v="0"/>
    <x v="1"/>
    <m/>
    <s v="10180 BofA Spec Spaces National 4695"/>
    <n v="5000"/>
    <n v="10506.09"/>
    <n v="-5000"/>
  </r>
  <r>
    <n v="43400"/>
    <s v="Direct Public Support"/>
    <s v="01/27/2014"/>
    <s v="Journal Entry"/>
    <n v="401"/>
    <x v="0"/>
    <x v="0"/>
    <x v="0"/>
    <x v="1"/>
    <s v="paypal"/>
    <s v="-Split-"/>
    <n v="582"/>
    <n v="30353.09"/>
    <n v="-582"/>
  </r>
  <r>
    <n v="43400"/>
    <s v="Direct Public Support"/>
    <s v="02/05/2014"/>
    <s v="Deposit"/>
    <m/>
    <x v="3"/>
    <x v="0"/>
    <x v="0"/>
    <x v="1"/>
    <m/>
    <s v="10180 BofA Spec Spaces National 4695"/>
    <n v="123.11"/>
    <n v="35822.25"/>
    <n v="-123.11"/>
  </r>
  <r>
    <n v="43400"/>
    <s v="Direct Public Support"/>
    <s v="02/20/2014"/>
    <s v="Invoice"/>
    <n v="1003"/>
    <x v="145"/>
    <x v="0"/>
    <x v="0"/>
    <x v="1"/>
    <s v="Detroit Room makeover"/>
    <s v="11000 Accounts Receivable"/>
    <n v="5500"/>
    <n v="65537.42"/>
    <n v="-5500"/>
  </r>
  <r>
    <n v="43400"/>
    <s v="Direct Public Support"/>
    <s v="02/24/2014"/>
    <s v="Deposit"/>
    <m/>
    <x v="3"/>
    <x v="0"/>
    <x v="0"/>
    <x v="1"/>
    <m/>
    <s v="10180 BofA Spec Spaces National 4695"/>
    <n v="655.98"/>
    <n v="70374.399999999994"/>
    <n v="-655.98"/>
  </r>
  <r>
    <n v="43400"/>
    <s v="Direct Public Support"/>
    <s v="02/24/2014"/>
    <s v="Journal Entry"/>
    <n v="419"/>
    <x v="0"/>
    <x v="0"/>
    <x v="0"/>
    <x v="1"/>
    <s v="paypal"/>
    <s v="-Split-"/>
    <n v="1680"/>
    <n v="72304.399999999994"/>
    <n v="-1680"/>
  </r>
  <r>
    <n v="43400"/>
    <s v="Direct Public Support"/>
    <s v="03/11/2014"/>
    <s v="Journal Entry"/>
    <n v="446"/>
    <x v="0"/>
    <x v="0"/>
    <x v="0"/>
    <x v="1"/>
    <s v="paypal"/>
    <s v="-Split-"/>
    <n v="4"/>
    <n v="89228.21"/>
    <n v="-4"/>
  </r>
  <r>
    <n v="43400"/>
    <s v="Direct Public Support"/>
    <s v="03/24/2014"/>
    <s v="Journal Entry"/>
    <n v="466"/>
    <x v="0"/>
    <x v="0"/>
    <x v="0"/>
    <x v="1"/>
    <s v="paypal"/>
    <s v="-Split-"/>
    <n v="301"/>
    <n v="95159.97"/>
    <n v="-301"/>
  </r>
  <r>
    <n v="43400"/>
    <s v="Direct Public Support"/>
    <s v="03/25/2014"/>
    <s v="Deposit"/>
    <m/>
    <x v="3"/>
    <x v="0"/>
    <x v="0"/>
    <x v="1"/>
    <m/>
    <s v="10180 BofA Spec Spaces National 4695"/>
    <n v="523.87"/>
    <n v="102454.59"/>
    <n v="-523.87"/>
  </r>
  <r>
    <n v="65015"/>
    <s v="Travel Expense"/>
    <s v="07/28/2014"/>
    <s v="Expense"/>
    <m/>
    <x v="258"/>
    <x v="12"/>
    <x v="1"/>
    <x v="15"/>
    <m/>
    <s v="10340 BoA Delaware 5700"/>
    <n v="21"/>
    <n v="4078.83"/>
    <n v="21"/>
  </r>
  <r>
    <n v="65015"/>
    <s v="Travel Expense"/>
    <s v="07/28/2014"/>
    <s v="Expense"/>
    <m/>
    <x v="259"/>
    <x v="12"/>
    <x v="1"/>
    <x v="15"/>
    <m/>
    <s v="10340 BoA Delaware 5700"/>
    <n v="301.2"/>
    <n v="4380.03"/>
    <n v="301.2"/>
  </r>
  <r>
    <n v="65020"/>
    <s v="Postage, Mailing Service"/>
    <s v="09/22/2014"/>
    <s v="Expense"/>
    <m/>
    <x v="6"/>
    <x v="12"/>
    <x v="1"/>
    <x v="3"/>
    <m/>
    <s v="10340 BoA Delaware 5700"/>
    <n v="15.75"/>
    <n v="3286.72"/>
    <n v="15.75"/>
  </r>
  <r>
    <n v="65025"/>
    <s v="Bank Service Charges"/>
    <s v="07/01/2014"/>
    <s v="Expense"/>
    <m/>
    <x v="92"/>
    <x v="12"/>
    <x v="1"/>
    <x v="14"/>
    <m/>
    <s v="10340 BoA Delaware 5700"/>
    <n v="12"/>
    <n v="1775.52"/>
    <n v="12"/>
  </r>
  <r>
    <n v="65025"/>
    <s v="Bank Service Charges"/>
    <s v="08/01/2014"/>
    <s v="Expense"/>
    <m/>
    <x v="92"/>
    <x v="12"/>
    <x v="1"/>
    <x v="14"/>
    <m/>
    <s v="10340 BoA Delaware 5700"/>
    <n v="12"/>
    <n v="2019.17"/>
    <n v="12"/>
  </r>
  <r>
    <n v="65025"/>
    <s v="Bank Service Charges"/>
    <s v="09/02/2014"/>
    <s v="Expense"/>
    <m/>
    <x v="92"/>
    <x v="12"/>
    <x v="1"/>
    <x v="14"/>
    <m/>
    <s v="10340 BoA Delaware 5700"/>
    <n v="12"/>
    <n v="2148.1999999999998"/>
    <n v="12"/>
  </r>
  <r>
    <n v="65025"/>
    <s v="Bank Service Charges"/>
    <s v="10/30/2014"/>
    <s v="Expense"/>
    <m/>
    <x v="92"/>
    <x v="12"/>
    <x v="1"/>
    <x v="14"/>
    <m/>
    <s v="10340 BoA Delaware 5700"/>
    <n v="35"/>
    <n v="2842.05"/>
    <n v="35"/>
  </r>
  <r>
    <n v="65036"/>
    <s v="Volunteer Hospitality"/>
    <s v="10/16/2014"/>
    <s v="Expense"/>
    <m/>
    <x v="260"/>
    <x v="12"/>
    <x v="1"/>
    <x v="13"/>
    <m/>
    <s v="10340 BoA Delaware 5700"/>
    <n v="36.44"/>
    <n v="7045.85"/>
    <n v="36.44"/>
  </r>
  <r>
    <n v="65061"/>
    <s v="Material for Rooms"/>
    <s v="09/22/2014"/>
    <s v="Expense"/>
    <m/>
    <x v="261"/>
    <x v="12"/>
    <x v="1"/>
    <x v="5"/>
    <m/>
    <s v="10340 BoA Delaware 5700"/>
    <n v="43.49"/>
    <n v="264237.57"/>
    <n v="43.49"/>
  </r>
  <r>
    <n v="65061"/>
    <s v="Material for Rooms"/>
    <s v="10/22/2014"/>
    <s v="Expense"/>
    <m/>
    <x v="137"/>
    <x v="12"/>
    <x v="1"/>
    <x v="5"/>
    <m/>
    <s v="10340 BoA Delaware 5700"/>
    <n v="68"/>
    <n v="297348.28999999998"/>
    <n v="68"/>
  </r>
  <r>
    <n v="65061"/>
    <s v="Material for Rooms"/>
    <s v="10/22/2014"/>
    <s v="Expense"/>
    <m/>
    <x v="137"/>
    <x v="12"/>
    <x v="1"/>
    <x v="5"/>
    <m/>
    <s v="10340 BoA Delaware 5700"/>
    <n v="6.2"/>
    <n v="297405.33"/>
    <n v="6.2"/>
  </r>
  <r>
    <n v="65061"/>
    <s v="Material for Rooms"/>
    <s v="10/23/2014"/>
    <s v="Expense"/>
    <m/>
    <x v="137"/>
    <x v="12"/>
    <x v="1"/>
    <x v="5"/>
    <m/>
    <s v="10340 BoA Delaware 5700"/>
    <n v="165.2"/>
    <n v="297939.51"/>
    <n v="165.2"/>
  </r>
  <r>
    <n v="65061"/>
    <s v="Material for Rooms"/>
    <s v="10/30/2014"/>
    <s v="Expense"/>
    <m/>
    <x v="67"/>
    <x v="12"/>
    <x v="1"/>
    <x v="5"/>
    <m/>
    <s v="10340 BoA Delaware 5700"/>
    <n v="364.97"/>
    <n v="303937.07"/>
    <n v="364.97"/>
  </r>
  <r>
    <n v="65061"/>
    <s v="Material for Rooms"/>
    <s v="10/31/2014"/>
    <s v="Deposit"/>
    <m/>
    <x v="67"/>
    <x v="12"/>
    <x v="1"/>
    <x v="5"/>
    <m/>
    <s v="10340 BoA Delaware 5700"/>
    <n v="-36.5"/>
    <n v="305715.7"/>
    <n v="-36.5"/>
  </r>
  <r>
    <n v="65095"/>
    <s v="Paypal Expense"/>
    <s v="08/11/2014"/>
    <s v="Journal Entry"/>
    <n v="652"/>
    <x v="0"/>
    <x v="12"/>
    <x v="4"/>
    <x v="19"/>
    <s v="paypal"/>
    <s v="-Split-"/>
    <n v="14.1"/>
    <n v="769.69"/>
    <n v="14.1"/>
  </r>
  <r>
    <n v="65095"/>
    <s v="Paypal Expense"/>
    <s v="08/25/2014"/>
    <s v="Journal Entry"/>
    <n v="659"/>
    <x v="0"/>
    <x v="12"/>
    <x v="4"/>
    <x v="19"/>
    <m/>
    <s v="-Split-"/>
    <n v="4.7"/>
    <n v="849.54"/>
    <n v="4.7"/>
  </r>
  <r>
    <n v="65095"/>
    <s v="Paypal Expense"/>
    <s v="09/16/2014"/>
    <s v="Journal Entry"/>
    <n v="670"/>
    <x v="0"/>
    <x v="12"/>
    <x v="4"/>
    <x v="19"/>
    <s v="Design a Dream paypal expense"/>
    <s v="-Split-"/>
    <n v="108.41"/>
    <n v="957.95"/>
    <n v="108.41"/>
  </r>
  <r>
    <n v="65095"/>
    <s v="Paypal Expense"/>
    <s v="09/16/2014"/>
    <s v="Journal Entry"/>
    <n v="672"/>
    <x v="0"/>
    <x v="12"/>
    <x v="4"/>
    <x v="19"/>
    <s v="paypal design a dream"/>
    <s v="-Split-"/>
    <n v="11.95"/>
    <n v="981.81"/>
    <n v="11.95"/>
  </r>
  <r>
    <n v="65095"/>
    <s v="Paypal Expense"/>
    <s v="09/16/2014"/>
    <s v="Journal Entry"/>
    <n v="672"/>
    <x v="0"/>
    <x v="12"/>
    <x v="4"/>
    <x v="19"/>
    <s v="paypal"/>
    <s v="-Split-"/>
    <n v="4.7"/>
    <n v="986.51"/>
    <n v="4.7"/>
  </r>
  <r>
    <n v="65095"/>
    <s v="Paypal Expense"/>
    <s v="10/13/2014"/>
    <s v="Journal Entry"/>
    <n v="716"/>
    <x v="0"/>
    <x v="12"/>
    <x v="4"/>
    <x v="19"/>
    <m/>
    <s v="-Split-"/>
    <n v="3.6"/>
    <n v="1052.48"/>
    <n v="3.6"/>
  </r>
  <r>
    <n v="65095"/>
    <s v="Paypal Expense"/>
    <s v="10/14/2014"/>
    <s v="Journal Entry"/>
    <n v="724"/>
    <x v="0"/>
    <x v="12"/>
    <x v="4"/>
    <x v="19"/>
    <s v="paypal"/>
    <s v="-Split-"/>
    <n v="4.7"/>
    <n v="1071.1199999999999"/>
    <n v="4.7"/>
  </r>
  <r>
    <n v="67001"/>
    <s v="Fundraising Expense -  Direct"/>
    <s v="07/07/2014"/>
    <s v="Expense"/>
    <m/>
    <x v="137"/>
    <x v="12"/>
    <x v="2"/>
    <x v="7"/>
    <s v="Design a Dream - auction item"/>
    <s v="10340 BoA Delaware 5700"/>
    <n v="35"/>
    <n v="64619.76"/>
    <n v="35"/>
  </r>
  <r>
    <n v="67001"/>
    <s v="Fundraising Expense -  Direct"/>
    <s v="07/07/2014"/>
    <s v="Expense"/>
    <m/>
    <x v="137"/>
    <x v="12"/>
    <x v="2"/>
    <x v="7"/>
    <s v="Design a Dream - auction item"/>
    <s v="10340 BoA Delaware 5700"/>
    <n v="2.99"/>
    <n v="64622.75"/>
    <n v="2.99"/>
  </r>
  <r>
    <n v="67001"/>
    <s v="Fundraising Expense -  Direct"/>
    <s v="07/07/2014"/>
    <s v="Expense"/>
    <m/>
    <x v="262"/>
    <x v="12"/>
    <x v="2"/>
    <x v="7"/>
    <s v="Design a Dream - auction item"/>
    <s v="10340 BoA Delaware 5700"/>
    <n v="55"/>
    <n v="64677.75"/>
    <n v="55"/>
  </r>
  <r>
    <n v="67001"/>
    <s v="Fundraising Expense -  Direct"/>
    <s v="07/07/2014"/>
    <s v="Expense"/>
    <m/>
    <x v="263"/>
    <x v="12"/>
    <x v="2"/>
    <x v="7"/>
    <s v="Design a Dream - auction item"/>
    <s v="10340 BoA Delaware 5700"/>
    <n v="24"/>
    <n v="64701.75"/>
    <n v="24"/>
  </r>
  <r>
    <n v="67001"/>
    <s v="Fundraising Expense -  Direct"/>
    <s v="07/08/2014"/>
    <s v="Expense"/>
    <m/>
    <x v="264"/>
    <x v="12"/>
    <x v="2"/>
    <x v="7"/>
    <s v="Design a Dream DJ"/>
    <s v="10340 BoA Delaware 5700"/>
    <n v="400"/>
    <n v="65101.75"/>
    <n v="400"/>
  </r>
  <r>
    <n v="67001"/>
    <s v="Fundraising Expense -  Direct"/>
    <s v="07/10/2014"/>
    <s v="Expense"/>
    <m/>
    <x v="265"/>
    <x v="12"/>
    <x v="2"/>
    <x v="7"/>
    <s v="Design a Dream - Decorations"/>
    <s v="10340 BoA Delaware 5700"/>
    <n v="58.99"/>
    <n v="65160.74"/>
    <n v="58.99"/>
  </r>
  <r>
    <n v="67001"/>
    <s v="Fundraising Expense -  Direct"/>
    <s v="07/10/2014"/>
    <s v="Expense"/>
    <m/>
    <x v="266"/>
    <x v="12"/>
    <x v="2"/>
    <x v="7"/>
    <s v="Design a Dream - Decorations"/>
    <s v="10340 BoA Delaware 5700"/>
    <n v="43.9"/>
    <n v="65204.639999999999"/>
    <n v="43.9"/>
  </r>
  <r>
    <n v="67001"/>
    <s v="Fundraising Expense -  Direct"/>
    <s v="07/11/2014"/>
    <s v="Expense"/>
    <m/>
    <x v="267"/>
    <x v="12"/>
    <x v="2"/>
    <x v="7"/>
    <s v="Design a Dream - Decorations"/>
    <s v="10340 BoA Delaware 5700"/>
    <n v="260.79000000000002"/>
    <n v="65465.43"/>
    <n v="260.79000000000002"/>
  </r>
  <r>
    <n v="67001"/>
    <s v="Fundraising Expense -  Direct"/>
    <s v="07/11/2014"/>
    <s v="Expense"/>
    <m/>
    <x v="33"/>
    <x v="12"/>
    <x v="2"/>
    <x v="7"/>
    <s v="Design a Dream - Decorations"/>
    <s v="10340 BoA Delaware 5700"/>
    <n v="93.98"/>
    <n v="65559.41"/>
    <n v="93.98"/>
  </r>
  <r>
    <n v="67001"/>
    <s v="Fundraising Expense -  Direct"/>
    <s v="07/14/2014"/>
    <s v="Expense"/>
    <m/>
    <x v="33"/>
    <x v="12"/>
    <x v="2"/>
    <x v="7"/>
    <s v="Design a Dream - Decorations"/>
    <s v="10340 BoA Delaware 5700"/>
    <n v="31.55"/>
    <n v="65590.960000000006"/>
    <n v="31.55"/>
  </r>
  <r>
    <n v="67001"/>
    <s v="Fundraising Expense -  Direct"/>
    <s v="07/15/2014"/>
    <s v="Check"/>
    <n v="488"/>
    <x v="268"/>
    <x v="12"/>
    <x v="2"/>
    <x v="7"/>
    <s v="Dream Big - gifts"/>
    <s v="10180 BofA Spec Spaces National 4695"/>
    <n v="627.5"/>
    <n v="66218.460000000006"/>
    <n v="627.5"/>
  </r>
  <r>
    <n v="67001"/>
    <s v="Fundraising Expense -  Direct"/>
    <s v="07/16/2014"/>
    <s v="Expense"/>
    <m/>
    <x v="269"/>
    <x v="12"/>
    <x v="2"/>
    <x v="7"/>
    <s v="Design a Dream - decorations"/>
    <s v="10340 BoA Delaware 5700"/>
    <n v="71.760000000000005"/>
    <n v="66290.22"/>
    <n v="71.760000000000005"/>
  </r>
  <r>
    <n v="67001"/>
    <s v="Fundraising Expense -  Direct"/>
    <s v="07/16/2014"/>
    <s v="Expense"/>
    <m/>
    <x v="270"/>
    <x v="12"/>
    <x v="2"/>
    <x v="7"/>
    <s v="Design a Dream - Auction item"/>
    <s v="10340 BoA Delaware 5700"/>
    <n v="11.5"/>
    <n v="66301.72"/>
    <n v="11.5"/>
  </r>
  <r>
    <n v="67001"/>
    <s v="Fundraising Expense -  Direct"/>
    <s v="07/22/2014"/>
    <s v="Expense"/>
    <m/>
    <x v="137"/>
    <x v="12"/>
    <x v="2"/>
    <x v="7"/>
    <s v="Design a Dream - Auction Item (shipping)"/>
    <s v="10340 BoA Delaware 5700"/>
    <n v="1"/>
    <n v="66302.720000000001"/>
    <n v="1"/>
  </r>
  <r>
    <n v="67001"/>
    <s v="Fundraising Expense -  Direct"/>
    <s v="07/28/2014"/>
    <s v="Expense"/>
    <m/>
    <x v="271"/>
    <x v="12"/>
    <x v="2"/>
    <x v="7"/>
    <s v="Design a Dream Auction item"/>
    <s v="10340 BoA Delaware 5700"/>
    <n v="29.4"/>
    <n v="66332.12"/>
    <n v="29.4"/>
  </r>
  <r>
    <n v="67001"/>
    <s v="Fundraising Expense -  Direct"/>
    <s v="07/31/2014"/>
    <s v="Expense"/>
    <m/>
    <x v="272"/>
    <x v="12"/>
    <x v="2"/>
    <x v="7"/>
    <s v="Design a Dream - Auction item"/>
    <s v="10340 BoA Delaware 5700"/>
    <n v="28.55"/>
    <n v="66860.67"/>
    <n v="28.55"/>
  </r>
  <r>
    <n v="67001"/>
    <s v="Fundraising Expense -  Direct"/>
    <s v="07/31/2014"/>
    <s v="Expense"/>
    <m/>
    <x v="273"/>
    <x v="12"/>
    <x v="2"/>
    <x v="7"/>
    <s v="Design a Dream - Auction item"/>
    <s v="10340 BoA Delaware 5700"/>
    <n v="12.96"/>
    <n v="66873.63"/>
    <n v="12.96"/>
  </r>
  <r>
    <n v="67001"/>
    <s v="Fundraising Expense -  Direct"/>
    <s v="08/04/2014"/>
    <s v="Check"/>
    <n v="1"/>
    <x v="274"/>
    <x v="12"/>
    <x v="2"/>
    <x v="7"/>
    <m/>
    <s v="10117 BofA Restricted Funds -055:Delaware"/>
    <n v="0.49"/>
    <n v="66874.12"/>
    <n v="0.49"/>
  </r>
  <r>
    <n v="67001"/>
    <s v="Fundraising Expense -  Direct"/>
    <s v="08/04/2014"/>
    <s v="Expense"/>
    <m/>
    <x v="41"/>
    <x v="12"/>
    <x v="2"/>
    <x v="7"/>
    <s v="Design a Dream auction items"/>
    <s v="10340 BoA Delaware 5700"/>
    <n v="145.47999999999999"/>
    <n v="67019.600000000006"/>
    <n v="145.47999999999999"/>
  </r>
  <r>
    <n v="67001"/>
    <s v="Fundraising Expense -  Direct"/>
    <s v="08/08/2014"/>
    <s v="Expense"/>
    <m/>
    <x v="26"/>
    <x v="12"/>
    <x v="2"/>
    <x v="7"/>
    <s v="Design a Dream Decorations"/>
    <s v="10340 BoA Delaware 5700"/>
    <n v="54.51"/>
    <n v="67074.11"/>
    <n v="54.51"/>
  </r>
  <r>
    <n v="67001"/>
    <s v="Fundraising Expense -  Direct"/>
    <s v="08/11/2014"/>
    <s v="Expense"/>
    <m/>
    <x v="30"/>
    <x v="12"/>
    <x v="2"/>
    <x v="7"/>
    <s v="Design a Dream Auction items"/>
    <s v="10340 BoA Delaware 5700"/>
    <n v="86.6"/>
    <n v="67160.710000000006"/>
    <n v="86.6"/>
  </r>
  <r>
    <n v="67001"/>
    <s v="Fundraising Expense -  Direct"/>
    <s v="08/11/2014"/>
    <s v="Expense"/>
    <m/>
    <x v="41"/>
    <x v="12"/>
    <x v="2"/>
    <x v="7"/>
    <s v="Design a Dream Decorations"/>
    <s v="10340 BoA Delaware 5700"/>
    <n v="57.43"/>
    <n v="67218.14"/>
    <n v="57.43"/>
  </r>
  <r>
    <n v="67001"/>
    <s v="Fundraising Expense -  Direct"/>
    <s v="08/13/2014"/>
    <s v="Expense"/>
    <m/>
    <x v="275"/>
    <x v="12"/>
    <x v="2"/>
    <x v="7"/>
    <m/>
    <s v="10340 BoA Delaware 5700"/>
    <n v="84.9"/>
    <n v="67303.039999999994"/>
    <n v="84.9"/>
  </r>
  <r>
    <n v="67001"/>
    <s v="Fundraising Expense -  Direct"/>
    <s v="08/15/2014"/>
    <s v="Expense"/>
    <m/>
    <x v="33"/>
    <x v="12"/>
    <x v="2"/>
    <x v="7"/>
    <s v="Design a Dream   Square readers"/>
    <s v="10340 BoA Delaware 5700"/>
    <n v="20.399999999999999"/>
    <n v="67323.44"/>
    <n v="20.399999999999999"/>
  </r>
  <r>
    <n v="67001"/>
    <s v="Fundraising Expense -  Direct"/>
    <s v="08/21/2014"/>
    <s v="Expense"/>
    <m/>
    <x v="39"/>
    <x v="12"/>
    <x v="2"/>
    <x v="7"/>
    <s v="Design a Dream Auction items"/>
    <s v="10340 BoA Delaware 5700"/>
    <n v="276.35000000000002"/>
    <n v="67599.789999999994"/>
    <n v="276.35000000000002"/>
  </r>
  <r>
    <n v="67001"/>
    <s v="Fundraising Expense -  Direct"/>
    <s v="08/21/2014"/>
    <s v="Expense"/>
    <m/>
    <x v="33"/>
    <x v="12"/>
    <x v="2"/>
    <x v="7"/>
    <s v="Design a Dream Decorations"/>
    <s v="10340 BoA Delaware 5700"/>
    <n v="14.99"/>
    <n v="67614.78"/>
    <n v="14.99"/>
  </r>
  <r>
    <n v="67001"/>
    <s v="Fundraising Expense -  Direct"/>
    <s v="08/22/2014"/>
    <s v="Deposit"/>
    <m/>
    <x v="276"/>
    <x v="12"/>
    <x v="2"/>
    <x v="7"/>
    <m/>
    <s v="10340 BoA Delaware 5700"/>
    <n v="-29.99"/>
    <n v="67584.789999999994"/>
    <n v="-29.99"/>
  </r>
  <r>
    <n v="67001"/>
    <s v="Fundraising Expense -  Direct"/>
    <s v="08/22/2014"/>
    <s v="Expense"/>
    <m/>
    <x v="33"/>
    <x v="12"/>
    <x v="2"/>
    <x v="7"/>
    <s v="Design a Dream Decorations"/>
    <s v="10340 BoA Delaware 5700"/>
    <n v="7.49"/>
    <n v="67592.28"/>
    <n v="7.49"/>
  </r>
  <r>
    <n v="67001"/>
    <s v="Fundraising Expense -  Direct"/>
    <s v="08/25/2014"/>
    <s v="Journal Entry"/>
    <n v="659"/>
    <x v="0"/>
    <x v="12"/>
    <x v="2"/>
    <x v="7"/>
    <s v="Design a dream paypal expenses"/>
    <s v="-Split-"/>
    <n v="36.5"/>
    <n v="67628.78"/>
    <n v="36.5"/>
  </r>
  <r>
    <n v="67001"/>
    <s v="Fundraising Expense -  Direct"/>
    <s v="08/25/2014"/>
    <s v="Expense"/>
    <m/>
    <x v="33"/>
    <x v="12"/>
    <x v="2"/>
    <x v="7"/>
    <s v="Design a Dream decorations"/>
    <s v="10340 BoA Delaware 5700"/>
    <n v="6.99"/>
    <n v="67635.77"/>
    <n v="6.99"/>
  </r>
  <r>
    <n v="67001"/>
    <s v="Fundraising Expense -  Direct"/>
    <s v="08/25/2014"/>
    <s v="Expense"/>
    <m/>
    <x v="33"/>
    <x v="12"/>
    <x v="2"/>
    <x v="7"/>
    <m/>
    <s v="10340 BoA Delaware 5700"/>
    <n v="79.989999999999995"/>
    <n v="67715.759999999995"/>
    <n v="79.989999999999995"/>
  </r>
  <r>
    <n v="67001"/>
    <s v="Fundraising Expense -  Direct"/>
    <s v="08/27/2014"/>
    <s v="Expense"/>
    <m/>
    <x v="228"/>
    <x v="12"/>
    <x v="2"/>
    <x v="7"/>
    <s v="Design a Dream Decorations"/>
    <s v="10340 BoA Delaware 5700"/>
    <n v="39.869999999999997"/>
    <n v="67755.63"/>
    <n v="39.869999999999997"/>
  </r>
  <r>
    <n v="67001"/>
    <s v="Fundraising Expense -  Direct"/>
    <s v="08/28/2014"/>
    <s v="Expense"/>
    <m/>
    <x v="277"/>
    <x v="12"/>
    <x v="2"/>
    <x v="7"/>
    <s v="Design a Dream Decorations"/>
    <s v="10340 BoA Delaware 5700"/>
    <n v="85.5"/>
    <n v="67841.13"/>
    <n v="85.5"/>
  </r>
  <r>
    <n v="67001"/>
    <s v="Fundraising Expense -  Direct"/>
    <s v="08/28/2014"/>
    <s v="Expense"/>
    <m/>
    <x v="0"/>
    <x v="12"/>
    <x v="2"/>
    <x v="7"/>
    <s v="Design a Dream Decorations"/>
    <s v="10340 BoA Delaware 5700"/>
    <n v="15.96"/>
    <n v="67857.09"/>
    <n v="15.96"/>
  </r>
  <r>
    <n v="67001"/>
    <s v="Fundraising Expense -  Direct"/>
    <s v="09/08/2014"/>
    <s v="Expense"/>
    <m/>
    <x v="278"/>
    <x v="12"/>
    <x v="2"/>
    <x v="7"/>
    <s v="Design a Dream Decorations"/>
    <s v="10340 BoA Delaware 5700"/>
    <n v="24"/>
    <n v="68063.63"/>
    <n v="24"/>
  </r>
  <r>
    <n v="67001"/>
    <s v="Fundraising Expense -  Direct"/>
    <s v="09/09/2014"/>
    <s v="Expense"/>
    <m/>
    <x v="277"/>
    <x v="12"/>
    <x v="2"/>
    <x v="7"/>
    <m/>
    <s v="10340 BoA Delaware 5700"/>
    <n v="25"/>
    <n v="68088.63"/>
    <n v="25"/>
  </r>
  <r>
    <n v="67001"/>
    <s v="Fundraising Expense -  Direct"/>
    <s v="09/10/2014"/>
    <s v="Expense"/>
    <m/>
    <x v="118"/>
    <x v="12"/>
    <x v="2"/>
    <x v="7"/>
    <m/>
    <s v="10340 BoA Delaware 5700"/>
    <n v="44.98"/>
    <n v="68133.61"/>
    <n v="44.98"/>
  </r>
  <r>
    <n v="67001"/>
    <s v="Fundraising Expense -  Direct"/>
    <s v="09/10/2014"/>
    <s v="Deposit"/>
    <m/>
    <x v="118"/>
    <x v="12"/>
    <x v="2"/>
    <x v="7"/>
    <m/>
    <s v="10340 BoA Delaware 5700"/>
    <n v="-3"/>
    <n v="68130.61"/>
    <n v="-3"/>
  </r>
  <r>
    <n v="67001"/>
    <s v="Fundraising Expense -  Direct"/>
    <s v="09/11/2014"/>
    <s v="Expense"/>
    <m/>
    <x v="9"/>
    <x v="12"/>
    <x v="2"/>
    <x v="7"/>
    <m/>
    <s v="10340 BoA Delaware 5700"/>
    <n v="47.03"/>
    <n v="68177.64"/>
    <n v="47.03"/>
  </r>
  <r>
    <n v="67001"/>
    <s v="Fundraising Expense -  Direct"/>
    <s v="09/15/2014"/>
    <s v="Expense"/>
    <m/>
    <x v="279"/>
    <x v="12"/>
    <x v="2"/>
    <x v="7"/>
    <m/>
    <s v="10340 BoA Delaware 5700"/>
    <n v="5303.4"/>
    <n v="73481.039999999994"/>
    <n v="5303.4"/>
  </r>
  <r>
    <n v="67001"/>
    <s v="Fundraising Expense -  Direct"/>
    <s v="09/15/2014"/>
    <s v="Expense"/>
    <m/>
    <x v="9"/>
    <x v="12"/>
    <x v="2"/>
    <x v="7"/>
    <m/>
    <s v="10340 BoA Delaware 5700"/>
    <n v="51.77"/>
    <n v="73532.81"/>
    <n v="51.77"/>
  </r>
  <r>
    <n v="67001"/>
    <s v="Fundraising Expense -  Direct"/>
    <s v="09/16/2014"/>
    <s v="Expense"/>
    <m/>
    <x v="279"/>
    <x v="12"/>
    <x v="2"/>
    <x v="7"/>
    <m/>
    <s v="10340 BoA Delaware 5700"/>
    <n v="819"/>
    <n v="74351.81"/>
    <n v="819"/>
  </r>
  <r>
    <n v="67001"/>
    <s v="Fundraising Expense -  Direct"/>
    <s v="09/17/2014"/>
    <s v="Expense"/>
    <m/>
    <x v="280"/>
    <x v="12"/>
    <x v="2"/>
    <x v="7"/>
    <m/>
    <s v="10340 BoA Delaware 5700"/>
    <n v="100.17"/>
    <n v="74451.98"/>
    <n v="100.17"/>
  </r>
  <r>
    <n v="67001"/>
    <s v="Fundraising Expense -  Direct"/>
    <s v="09/26/2014"/>
    <s v="Expense"/>
    <m/>
    <x v="281"/>
    <x v="12"/>
    <x v="2"/>
    <x v="7"/>
    <s v="volunteer appreciation"/>
    <s v="10340 BoA Delaware 5700"/>
    <n v="153.6"/>
    <n v="74785.899999999994"/>
    <n v="153.6"/>
  </r>
  <r>
    <n v="43430"/>
    <s v="Gifts in kind - Services"/>
    <s v="05/17/2014"/>
    <s v="Journal Entry"/>
    <n v="618"/>
    <x v="0"/>
    <x v="18"/>
    <x v="3"/>
    <x v="8"/>
    <s v="Painted Mikayla Onken's room"/>
    <s v="-Split-"/>
    <n v="250"/>
    <n v="12617.5"/>
    <n v="-250"/>
  </r>
  <r>
    <n v="43430"/>
    <s v="Gifts in kind - Services"/>
    <s v="05/17/2014"/>
    <s v="Journal Entry"/>
    <n v="618"/>
    <x v="0"/>
    <x v="18"/>
    <x v="3"/>
    <x v="8"/>
    <s v="Placed carpet in Mikayla Onken's room"/>
    <s v="-Split-"/>
    <n v="75"/>
    <n v="12692.5"/>
    <n v="-75"/>
  </r>
  <r>
    <n v="43430"/>
    <s v="Gifts in kind - Services"/>
    <s v="05/17/2014"/>
    <s v="Journal Entry"/>
    <n v="618"/>
    <x v="0"/>
    <x v="18"/>
    <x v="3"/>
    <x v="8"/>
    <s v="Placed carpet in Mikayla Onken's room"/>
    <s v="-Split-"/>
    <n v="75"/>
    <n v="12767.5"/>
    <n v="-75"/>
  </r>
  <r>
    <n v="43440"/>
    <s v="Gifts in Kind - Goods"/>
    <s v="05/17/2014"/>
    <s v="Journal Entry"/>
    <n v="618"/>
    <x v="0"/>
    <x v="18"/>
    <x v="3"/>
    <x v="9"/>
    <s v="Flowers and mulch"/>
    <s v="-Split-"/>
    <n v="142.88999999999999"/>
    <n v="26155.29"/>
    <n v="-142.88999999999999"/>
  </r>
  <r>
    <n v="65060"/>
    <s v="Material for Rooms Expense"/>
    <s v="05/21/2014"/>
    <s v="Deposit"/>
    <m/>
    <x v="19"/>
    <x v="18"/>
    <x v="1"/>
    <x v="5"/>
    <m/>
    <s v="10355 *US Bank- Dubuque-4021"/>
    <n v="-64.19"/>
    <n v="-37.44"/>
    <n v="-64.19"/>
  </r>
  <r>
    <n v="65060"/>
    <s v="Material for Rooms Expense"/>
    <s v="05/21/2014"/>
    <s v="Deposit"/>
    <m/>
    <x v="19"/>
    <x v="18"/>
    <x v="1"/>
    <x v="5"/>
    <m/>
    <s v="10355 *US Bank- Dubuque-4021"/>
    <n v="-21.39"/>
    <n v="-44.84"/>
    <n v="-21.39"/>
  </r>
  <r>
    <n v="65061"/>
    <s v="Material for Rooms Expense"/>
    <s v="04/30/2014"/>
    <s v="Check"/>
    <s v="dbt"/>
    <x v="29"/>
    <x v="18"/>
    <x v="1"/>
    <x v="5"/>
    <m/>
    <s v="10355 *US Bank- Dubuque-4021"/>
    <n v="125.69"/>
    <n v="109548.76"/>
    <n v="125.69"/>
  </r>
  <r>
    <n v="65061"/>
    <s v="Material for Rooms Expense"/>
    <s v="04/30/2014"/>
    <s v="Check"/>
    <s v="dbt"/>
    <x v="282"/>
    <x v="18"/>
    <x v="1"/>
    <x v="5"/>
    <m/>
    <s v="10355 *US Bank- Dubuque-4021"/>
    <n v="223.5"/>
    <n v="109777.61"/>
    <n v="223.5"/>
  </r>
  <r>
    <n v="65061"/>
    <s v="Material for Rooms Expense"/>
    <s v="04/30/2014"/>
    <s v="Check"/>
    <s v="dbt"/>
    <x v="283"/>
    <x v="18"/>
    <x v="1"/>
    <x v="5"/>
    <m/>
    <s v="10355 *US Bank- Dubuque-4021"/>
    <n v="75"/>
    <n v="109862.61"/>
    <n v="75"/>
  </r>
  <r>
    <n v="65061"/>
    <s v="Material for Rooms Expense"/>
    <s v="04/30/2014"/>
    <s v="Check"/>
    <s v="dbt"/>
    <x v="282"/>
    <x v="18"/>
    <x v="1"/>
    <x v="5"/>
    <m/>
    <s v="10355 *US Bank- Dubuque-4021"/>
    <n v="631.91999999999996"/>
    <n v="110494.53"/>
    <n v="631.91999999999996"/>
  </r>
  <r>
    <n v="65061"/>
    <s v="Material for Rooms Expense"/>
    <s v="05/05/2014"/>
    <s v="Deposit"/>
    <m/>
    <x v="282"/>
    <x v="18"/>
    <x v="1"/>
    <x v="5"/>
    <m/>
    <s v="10355 *US Bank- Dubuque-4021"/>
    <n v="-148.72999999999999"/>
    <n v="115830.26"/>
    <n v="-148.72999999999999"/>
  </r>
  <r>
    <n v="65061"/>
    <s v="Material for Rooms Expense"/>
    <s v="05/05/2014"/>
    <s v="Expense"/>
    <m/>
    <x v="41"/>
    <x v="18"/>
    <x v="1"/>
    <x v="5"/>
    <m/>
    <s v="10355 *US Bank- Dubuque-4021"/>
    <n v="53.86"/>
    <n v="115922.27"/>
    <n v="53.86"/>
  </r>
  <r>
    <n v="65061"/>
    <s v="Material for Rooms Expense"/>
    <s v="05/05/2014"/>
    <s v="Expense"/>
    <m/>
    <x v="283"/>
    <x v="18"/>
    <x v="1"/>
    <x v="5"/>
    <m/>
    <s v="10355 *US Bank- Dubuque-4021"/>
    <n v="85.65"/>
    <n v="116033.61"/>
    <n v="85.65"/>
  </r>
  <r>
    <n v="65061"/>
    <s v="Material for Rooms Expense"/>
    <s v="05/06/2014"/>
    <s v="Expense"/>
    <m/>
    <x v="161"/>
    <x v="18"/>
    <x v="1"/>
    <x v="5"/>
    <m/>
    <s v="10355 *US Bank- Dubuque-4021"/>
    <n v="175.3"/>
    <n v="120271.88"/>
    <n v="175.3"/>
  </r>
  <r>
    <n v="65061"/>
    <s v="Material for Rooms Expense"/>
    <s v="05/06/2014"/>
    <s v="Expense"/>
    <m/>
    <x v="29"/>
    <x v="18"/>
    <x v="1"/>
    <x v="5"/>
    <m/>
    <s v="10355 *US Bank- Dubuque-4021"/>
    <n v="604.66"/>
    <n v="121251.03"/>
    <n v="604.66"/>
  </r>
  <r>
    <n v="65061"/>
    <s v="Material for Rooms Expense"/>
    <s v="05/07/2014"/>
    <s v="Expense"/>
    <m/>
    <x v="19"/>
    <x v="18"/>
    <x v="1"/>
    <x v="5"/>
    <m/>
    <s v="10355 *US Bank- Dubuque-4021"/>
    <n v="150.88999999999999"/>
    <n v="121582.79"/>
    <n v="150.88999999999999"/>
  </r>
  <r>
    <n v="65061"/>
    <s v="Material for Rooms Expense"/>
    <s v="05/09/2014"/>
    <s v="Expense"/>
    <m/>
    <x v="284"/>
    <x v="18"/>
    <x v="1"/>
    <x v="5"/>
    <m/>
    <s v="10355 *US Bank- Dubuque-4021"/>
    <n v="28.08"/>
    <n v="126598.11"/>
    <n v="28.08"/>
  </r>
  <r>
    <n v="65061"/>
    <s v="Material for Rooms Expense"/>
    <s v="05/09/2014"/>
    <s v="Expense"/>
    <m/>
    <x v="285"/>
    <x v="18"/>
    <x v="1"/>
    <x v="5"/>
    <m/>
    <s v="10355 *US Bank- Dubuque-4021"/>
    <n v="46.22"/>
    <n v="126644.33"/>
    <n v="46.22"/>
  </r>
  <r>
    <n v="65061"/>
    <s v="Material for Rooms Expense"/>
    <s v="05/13/2014"/>
    <s v="Expense"/>
    <m/>
    <x v="29"/>
    <x v="18"/>
    <x v="1"/>
    <x v="5"/>
    <m/>
    <s v="10355 *US Bank- Dubuque-4021"/>
    <n v="81.78"/>
    <n v="132201.34"/>
    <n v="81.78"/>
  </r>
  <r>
    <n v="65061"/>
    <s v="Material for Rooms Expense"/>
    <s v="05/15/2014"/>
    <s v="Expense"/>
    <m/>
    <x v="23"/>
    <x v="18"/>
    <x v="1"/>
    <x v="5"/>
    <m/>
    <s v="10355 *US Bank- Dubuque-4021"/>
    <n v="230.03"/>
    <n v="132996.25"/>
    <n v="230.03"/>
  </r>
  <r>
    <n v="65061"/>
    <s v="Material for Rooms Expense"/>
    <s v="05/15/2014"/>
    <s v="Deposit"/>
    <m/>
    <x v="29"/>
    <x v="18"/>
    <x v="1"/>
    <x v="5"/>
    <m/>
    <s v="10355 *US Bank- Dubuque-4021"/>
    <n v="-353.04"/>
    <n v="135589.54999999999"/>
    <n v="-353.04"/>
  </r>
  <r>
    <n v="65061"/>
    <s v="Material for Rooms Expense"/>
    <s v="05/15/2014"/>
    <s v="Expense"/>
    <m/>
    <x v="286"/>
    <x v="18"/>
    <x v="1"/>
    <x v="5"/>
    <m/>
    <s v="10355 *US Bank- Dubuque-4021"/>
    <n v="214"/>
    <n v="135803.54999999999"/>
    <n v="214"/>
  </r>
  <r>
    <n v="65061"/>
    <s v="Material for Rooms Expense"/>
    <s v="05/15/2014"/>
    <s v="Deposit"/>
    <m/>
    <x v="287"/>
    <x v="18"/>
    <x v="1"/>
    <x v="5"/>
    <m/>
    <s v="10355 *US Bank- Dubuque-4021"/>
    <n v="-46.22"/>
    <n v="135757.32999999999"/>
    <n v="-46.22"/>
  </r>
  <r>
    <n v="65061"/>
    <s v="Material for Rooms Expense"/>
    <s v="05/15/2014"/>
    <s v="Expense"/>
    <m/>
    <x v="117"/>
    <x v="18"/>
    <x v="1"/>
    <x v="5"/>
    <m/>
    <s v="10355 *US Bank- Dubuque-4021"/>
    <n v="48.14"/>
    <n v="135805.47"/>
    <n v="48.14"/>
  </r>
  <r>
    <n v="65061"/>
    <s v="Material for Rooms Expense"/>
    <s v="05/16/2014"/>
    <s v="Expense"/>
    <m/>
    <x v="19"/>
    <x v="18"/>
    <x v="1"/>
    <x v="5"/>
    <m/>
    <s v="10355 *US Bank- Dubuque-4021"/>
    <n v="42.79"/>
    <n v="136241.76"/>
    <n v="42.79"/>
  </r>
  <r>
    <n v="65061"/>
    <s v="Material for Rooms Expense"/>
    <s v="05/16/2014"/>
    <s v="Deposit"/>
    <m/>
    <x v="282"/>
    <x v="18"/>
    <x v="1"/>
    <x v="5"/>
    <m/>
    <s v="10355 *US Bank- Dubuque-4021"/>
    <n v="-85.43"/>
    <n v="136156.32999999999"/>
    <n v="-85.43"/>
  </r>
  <r>
    <n v="65061"/>
    <s v="Material for Rooms Expense"/>
    <s v="05/16/2014"/>
    <s v="Expense"/>
    <m/>
    <x v="19"/>
    <x v="18"/>
    <x v="1"/>
    <x v="5"/>
    <m/>
    <s v="10355 *US Bank- Dubuque-4021"/>
    <n v="240.57"/>
    <n v="136396.9"/>
    <n v="240.57"/>
  </r>
  <r>
    <n v="65061"/>
    <s v="Material for Rooms Expense"/>
    <s v="05/16/2014"/>
    <s v="Expense"/>
    <m/>
    <x v="29"/>
    <x v="18"/>
    <x v="1"/>
    <x v="5"/>
    <m/>
    <s v="10355 *US Bank- Dubuque-4021"/>
    <n v="98.09"/>
    <n v="136494.99"/>
    <n v="98.09"/>
  </r>
  <r>
    <n v="65061"/>
    <s v="Material for Rooms Expense"/>
    <s v="05/19/2014"/>
    <s v="Expense"/>
    <m/>
    <x v="58"/>
    <x v="18"/>
    <x v="1"/>
    <x v="5"/>
    <m/>
    <s v="10355 *US Bank- Dubuque-4021"/>
    <n v="9.3800000000000008"/>
    <n v="140559.24"/>
    <n v="9.3800000000000008"/>
  </r>
  <r>
    <n v="65061"/>
    <s v="Material for Rooms Expense"/>
    <s v="05/19/2014"/>
    <s v="Expense"/>
    <m/>
    <x v="288"/>
    <x v="18"/>
    <x v="1"/>
    <x v="5"/>
    <m/>
    <s v="10355 *US Bank- Dubuque-4021"/>
    <n v="189"/>
    <n v="140748.24"/>
    <n v="189"/>
  </r>
  <r>
    <n v="65061"/>
    <s v="Material for Rooms Expense"/>
    <s v="05/19/2014"/>
    <s v="Deposit"/>
    <m/>
    <x v="29"/>
    <x v="18"/>
    <x v="1"/>
    <x v="5"/>
    <m/>
    <s v="10355 *US Bank- Dubuque-4021"/>
    <n v="-302.33"/>
    <n v="140445.91"/>
    <n v="-302.33"/>
  </r>
  <r>
    <n v="65061"/>
    <s v="Material for Rooms Expense"/>
    <s v="05/19/2014"/>
    <s v="Expense"/>
    <m/>
    <x v="29"/>
    <x v="18"/>
    <x v="1"/>
    <x v="5"/>
    <m/>
    <s v="10355 *US Bank- Dubuque-4021"/>
    <n v="105.93"/>
    <n v="140551.84"/>
    <n v="105.93"/>
  </r>
  <r>
    <n v="65061"/>
    <s v="Material for Rooms Expense"/>
    <s v="05/19/2014"/>
    <s v="Expense"/>
    <m/>
    <x v="289"/>
    <x v="18"/>
    <x v="1"/>
    <x v="5"/>
    <m/>
    <s v="10355 *US Bank- Dubuque-4021"/>
    <n v="513.6"/>
    <n v="141065.44"/>
    <n v="513.6"/>
  </r>
  <r>
    <n v="65061"/>
    <s v="Material for Rooms Expense"/>
    <s v="05/21/2014"/>
    <s v="Deposit"/>
    <m/>
    <x v="29"/>
    <x v="18"/>
    <x v="1"/>
    <x v="5"/>
    <m/>
    <s v="10355 *US Bank- Dubuque-4021"/>
    <n v="-140.97999999999999"/>
    <n v="142433.60000000001"/>
    <n v="-140.97999999999999"/>
  </r>
  <r>
    <n v="65061"/>
    <s v="Material for Rooms Expense"/>
    <s v="05/28/2014"/>
    <s v="Expense"/>
    <m/>
    <x v="290"/>
    <x v="18"/>
    <x v="1"/>
    <x v="5"/>
    <m/>
    <s v="10355 *US Bank- Dubuque-4021"/>
    <n v="137.06"/>
    <n v="146053.39000000001"/>
    <n v="137.06"/>
  </r>
  <r>
    <n v="65062"/>
    <s v="In-Kind Goods"/>
    <s v="05/17/2014"/>
    <s v="Journal Entry"/>
    <n v="618"/>
    <x v="0"/>
    <x v="18"/>
    <x v="1"/>
    <x v="10"/>
    <s v="Flowers and mulch"/>
    <s v="-Split-"/>
    <n v="142.88999999999999"/>
    <n v="26155.29"/>
    <n v="142.88999999999999"/>
  </r>
  <r>
    <n v="65063"/>
    <s v="In-Kind Services"/>
    <s v="05/17/2014"/>
    <s v="Journal Entry"/>
    <n v="618"/>
    <x v="0"/>
    <x v="18"/>
    <x v="1"/>
    <x v="11"/>
    <s v="Placed carpet in Mikayla Onken's room"/>
    <s v="-Split-"/>
    <n v="75"/>
    <n v="12442.5"/>
    <n v="75"/>
  </r>
  <r>
    <n v="65063"/>
    <s v="In-Kind Services"/>
    <s v="05/17/2014"/>
    <s v="Journal Entry"/>
    <n v="618"/>
    <x v="0"/>
    <x v="18"/>
    <x v="1"/>
    <x v="11"/>
    <s v="Painted Mikayla Onken's room"/>
    <s v="-Split-"/>
    <n v="250"/>
    <n v="12692.5"/>
    <n v="250"/>
  </r>
  <r>
    <n v="65063"/>
    <s v="In-Kind Services"/>
    <s v="05/17/2014"/>
    <s v="Journal Entry"/>
    <n v="618"/>
    <x v="0"/>
    <x v="18"/>
    <x v="1"/>
    <x v="11"/>
    <s v="Placed carpet in Mikayla Onken's room"/>
    <s v="-Split-"/>
    <n v="75"/>
    <n v="12767.5"/>
    <n v="75"/>
  </r>
  <r>
    <n v="43400"/>
    <s v="Direct Public Support"/>
    <s v="03/31/2014"/>
    <s v="Journal Entry"/>
    <n v="475"/>
    <x v="0"/>
    <x v="0"/>
    <x v="0"/>
    <x v="1"/>
    <m/>
    <s v="-Split-"/>
    <n v="625"/>
    <n v="106480.45"/>
    <n v="-625"/>
  </r>
  <r>
    <n v="65025"/>
    <s v="Bank Service Charges"/>
    <s v="09/02/2014"/>
    <s v="Expense"/>
    <m/>
    <x v="92"/>
    <x v="13"/>
    <x v="1"/>
    <x v="14"/>
    <m/>
    <s v="10750 BoA Panama City 7873"/>
    <n v="15"/>
    <n v="2296.1999999999998"/>
    <n v="15"/>
  </r>
  <r>
    <n v="65025"/>
    <s v="Bank Service Charges"/>
    <s v="10/01/2014"/>
    <s v="Expense"/>
    <m/>
    <x v="92"/>
    <x v="13"/>
    <x v="1"/>
    <x v="14"/>
    <m/>
    <s v="10750 BoA Panama City 7873"/>
    <n v="15"/>
    <n v="2527.1"/>
    <n v="15"/>
  </r>
  <r>
    <n v="43400"/>
    <s v="Direct Public Support"/>
    <s v="04/03/2014"/>
    <s v="Deposit"/>
    <m/>
    <x v="3"/>
    <x v="0"/>
    <x v="0"/>
    <x v="1"/>
    <m/>
    <s v="10125 BofA Restricted Funds -055:National"/>
    <n v="13.26"/>
    <n v="108232.57"/>
    <n v="-13.26"/>
  </r>
  <r>
    <n v="43400"/>
    <s v="Direct Public Support"/>
    <s v="04/07/2014"/>
    <s v="Journal Entry"/>
    <n v="479"/>
    <x v="0"/>
    <x v="0"/>
    <x v="0"/>
    <x v="1"/>
    <m/>
    <s v="-Split-"/>
    <n v="920"/>
    <n v="109222.44"/>
    <n v="-920"/>
  </r>
  <r>
    <n v="43400"/>
    <s v="Direct Public Support"/>
    <s v="04/07/2014"/>
    <s v="Journal Entry"/>
    <n v="483"/>
    <x v="0"/>
    <x v="0"/>
    <x v="0"/>
    <x v="1"/>
    <m/>
    <s v="-Split-"/>
    <n v="20"/>
    <n v="109242.44"/>
    <n v="-20"/>
  </r>
  <r>
    <n v="43400"/>
    <s v="Direct Public Support"/>
    <s v="04/07/2014"/>
    <s v="Journal Entry"/>
    <n v="481"/>
    <x v="0"/>
    <x v="0"/>
    <x v="0"/>
    <x v="1"/>
    <m/>
    <s v="-Split-"/>
    <n v="280"/>
    <n v="109522.44"/>
    <n v="-280"/>
  </r>
  <r>
    <n v="43400"/>
    <s v="Direct Public Support"/>
    <s v="04/14/2014"/>
    <s v="Journal Entry"/>
    <n v="500"/>
    <x v="0"/>
    <x v="0"/>
    <x v="0"/>
    <x v="1"/>
    <s v="paypal"/>
    <s v="-Split-"/>
    <n v="1086"/>
    <n v="113438.26"/>
    <n v="-1086"/>
  </r>
  <r>
    <n v="43400"/>
    <s v="Direct Public Support"/>
    <s v="04/23/2014"/>
    <s v="Deposit"/>
    <m/>
    <x v="3"/>
    <x v="0"/>
    <x v="0"/>
    <x v="1"/>
    <m/>
    <s v="10180 BofA Spec Spaces National 4695"/>
    <n v="122.4"/>
    <n v="115411.66"/>
    <n v="-122.4"/>
  </r>
  <r>
    <n v="43400"/>
    <s v="Direct Public Support"/>
    <s v="05/13/2014"/>
    <s v="Deposit"/>
    <m/>
    <x v="291"/>
    <x v="0"/>
    <x v="0"/>
    <x v="1"/>
    <m/>
    <s v="10180 BofA Spec Spaces National 4695"/>
    <n v="24.55"/>
    <n v="157608.07999999999"/>
    <n v="-24.55"/>
  </r>
  <r>
    <n v="43400"/>
    <s v="Direct Public Support"/>
    <s v="05/13/2014"/>
    <s v="Journal Entry"/>
    <n v="524"/>
    <x v="0"/>
    <x v="0"/>
    <x v="0"/>
    <x v="1"/>
    <s v="paypal"/>
    <s v="-Split-"/>
    <n v="270"/>
    <n v="157928.07999999999"/>
    <n v="-270"/>
  </r>
  <r>
    <n v="43400"/>
    <s v="Direct Public Support"/>
    <s v="05/19/2014"/>
    <s v="Deposit"/>
    <m/>
    <x v="70"/>
    <x v="0"/>
    <x v="0"/>
    <x v="1"/>
    <m/>
    <s v="10125 BofA Restricted Funds -055:National"/>
    <n v="500"/>
    <n v="159633.07999999999"/>
    <n v="-500"/>
  </r>
  <r>
    <n v="43400"/>
    <s v="Direct Public Support"/>
    <s v="05/27/2014"/>
    <s v="Check"/>
    <n v="1002"/>
    <x v="292"/>
    <x v="0"/>
    <x v="0"/>
    <x v="1"/>
    <m/>
    <s v="10181 *US Bank National 5014"/>
    <n v="-10000"/>
    <n v="160732.95000000001"/>
    <n v="10000"/>
  </r>
  <r>
    <n v="43400"/>
    <s v="Direct Public Support"/>
    <s v="05/28/2014"/>
    <s v="Deposit"/>
    <m/>
    <x v="3"/>
    <x v="0"/>
    <x v="0"/>
    <x v="1"/>
    <m/>
    <s v="10180 BofA Spec Spaces National 4695"/>
    <n v="825.62"/>
    <n v="163771.57"/>
    <n v="-825.62"/>
  </r>
  <r>
    <n v="65030"/>
    <s v="Printing and Copying"/>
    <s v="08/11/2014"/>
    <s v="Expense"/>
    <m/>
    <x v="147"/>
    <x v="14"/>
    <x v="1"/>
    <x v="20"/>
    <m/>
    <s v="10549 BoA Tampa - 8376"/>
    <n v="95.96"/>
    <n v="5238.3500000000004"/>
    <n v="95.96"/>
  </r>
  <r>
    <n v="65061"/>
    <s v="Material for Rooms"/>
    <s v="07/01/2014"/>
    <s v="Deposit"/>
    <m/>
    <x v="67"/>
    <x v="14"/>
    <x v="1"/>
    <x v="5"/>
    <m/>
    <s v="10549 BoA Tampa - 8376"/>
    <n v="-159.41999999999999"/>
    <n v="195763.35"/>
    <n v="-159.41999999999999"/>
  </r>
  <r>
    <n v="65061"/>
    <s v="Material for Rooms"/>
    <s v="08/01/2014"/>
    <s v="Expense"/>
    <m/>
    <x v="293"/>
    <x v="14"/>
    <x v="1"/>
    <x v="5"/>
    <m/>
    <s v="10549 BoA Tampa - 8376"/>
    <n v="599"/>
    <n v="234176.19"/>
    <n v="599"/>
  </r>
  <r>
    <n v="65061"/>
    <s v="Material for Rooms"/>
    <s v="08/04/2014"/>
    <s v="Expense"/>
    <m/>
    <x v="118"/>
    <x v="14"/>
    <x v="1"/>
    <x v="5"/>
    <m/>
    <s v="10549 BoA Tampa - 8376"/>
    <n v="50.22"/>
    <n v="234434.74"/>
    <n v="50.22"/>
  </r>
  <r>
    <n v="65061"/>
    <s v="Material for Rooms"/>
    <s v="08/05/2014"/>
    <s v="Expense"/>
    <m/>
    <x v="294"/>
    <x v="14"/>
    <x v="1"/>
    <x v="5"/>
    <m/>
    <s v="10549 BoA Tampa - 8376"/>
    <n v="24.08"/>
    <n v="236136.19"/>
    <n v="24.08"/>
  </r>
  <r>
    <n v="65061"/>
    <s v="Material for Rooms"/>
    <s v="08/25/2014"/>
    <s v="Expense"/>
    <m/>
    <x v="293"/>
    <x v="14"/>
    <x v="1"/>
    <x v="5"/>
    <m/>
    <s v="10549 BoA Tampa - 8376"/>
    <n v="58"/>
    <n v="243886"/>
    <n v="58"/>
  </r>
  <r>
    <n v="65061"/>
    <s v="Material for Rooms"/>
    <s v="08/26/2014"/>
    <s v="Expense"/>
    <m/>
    <x v="137"/>
    <x v="14"/>
    <x v="1"/>
    <x v="5"/>
    <m/>
    <s v="10549 BoA Tampa - 8376"/>
    <n v="27.94"/>
    <n v="244235.32"/>
    <n v="27.94"/>
  </r>
  <r>
    <n v="65061"/>
    <s v="Material for Rooms"/>
    <s v="08/27/2014"/>
    <s v="Expense"/>
    <m/>
    <x v="66"/>
    <x v="14"/>
    <x v="1"/>
    <x v="5"/>
    <m/>
    <s v="10549 BoA Tampa - 8376"/>
    <n v="263.63"/>
    <n v="244377.2"/>
    <n v="263.63"/>
  </r>
  <r>
    <n v="65061"/>
    <s v="Material for Rooms"/>
    <s v="08/27/2014"/>
    <s v="Expense"/>
    <m/>
    <x v="295"/>
    <x v="14"/>
    <x v="1"/>
    <x v="5"/>
    <m/>
    <s v="10549 BoA Tampa - 8376"/>
    <n v="33"/>
    <n v="244410.2"/>
    <n v="33"/>
  </r>
  <r>
    <n v="65061"/>
    <s v="Material for Rooms"/>
    <s v="08/27/2014"/>
    <s v="Expense"/>
    <m/>
    <x v="296"/>
    <x v="14"/>
    <x v="1"/>
    <x v="5"/>
    <m/>
    <s v="10549 BoA Tampa - 8376"/>
    <n v="34"/>
    <n v="244444.2"/>
    <n v="34"/>
  </r>
  <r>
    <n v="65061"/>
    <s v="Material for Rooms"/>
    <s v="08/27/2014"/>
    <s v="Expense"/>
    <m/>
    <x v="195"/>
    <x v="14"/>
    <x v="1"/>
    <x v="5"/>
    <m/>
    <s v="10549 BoA Tampa - 8376"/>
    <n v="60.11"/>
    <n v="244536.81"/>
    <n v="60.11"/>
  </r>
  <r>
    <n v="65061"/>
    <s v="Material for Rooms"/>
    <s v="08/27/2014"/>
    <s v="Expense"/>
    <m/>
    <x v="137"/>
    <x v="14"/>
    <x v="1"/>
    <x v="5"/>
    <m/>
    <s v="10549 BoA Tampa - 8376"/>
    <n v="73"/>
    <n v="244609.81"/>
    <n v="73"/>
  </r>
  <r>
    <n v="65061"/>
    <s v="Material for Rooms"/>
    <s v="08/27/2014"/>
    <s v="Expense"/>
    <m/>
    <x v="297"/>
    <x v="14"/>
    <x v="1"/>
    <x v="5"/>
    <m/>
    <s v="10549 BoA Tampa - 8376"/>
    <n v="15"/>
    <n v="244644.3"/>
    <n v="15"/>
  </r>
  <r>
    <n v="65061"/>
    <s v="Material for Rooms"/>
    <s v="08/28/2014"/>
    <s v="Expense"/>
    <m/>
    <x v="67"/>
    <x v="14"/>
    <x v="1"/>
    <x v="5"/>
    <m/>
    <s v="10549 BoA Tampa - 8376"/>
    <n v="85.49"/>
    <n v="244729.79"/>
    <n v="85.49"/>
  </r>
  <r>
    <n v="65061"/>
    <s v="Material for Rooms"/>
    <s v="08/28/2014"/>
    <s v="Expense"/>
    <m/>
    <x v="298"/>
    <x v="14"/>
    <x v="1"/>
    <x v="5"/>
    <m/>
    <s v="10549 BoA Tampa - 8376"/>
    <n v="93.85"/>
    <n v="244823.64"/>
    <n v="93.85"/>
  </r>
  <r>
    <n v="65061"/>
    <s v="Material for Rooms"/>
    <s v="08/28/2014"/>
    <s v="Expense"/>
    <m/>
    <x v="159"/>
    <x v="14"/>
    <x v="1"/>
    <x v="5"/>
    <m/>
    <s v="10549 BoA Tampa - 8376"/>
    <n v="196"/>
    <n v="245470.61"/>
    <n v="196"/>
  </r>
  <r>
    <n v="65061"/>
    <s v="Material for Rooms"/>
    <s v="08/29/2014"/>
    <s v="Expense"/>
    <m/>
    <x v="299"/>
    <x v="14"/>
    <x v="1"/>
    <x v="5"/>
    <m/>
    <s v="10549 BoA Tampa - 8376"/>
    <n v="205.5"/>
    <n v="245767.77"/>
    <n v="205.5"/>
  </r>
  <r>
    <n v="65061"/>
    <s v="Material for Rooms"/>
    <s v="09/02/2014"/>
    <s v="Expense"/>
    <m/>
    <x v="300"/>
    <x v="14"/>
    <x v="1"/>
    <x v="5"/>
    <m/>
    <s v="10549 BoA Tampa - 8376"/>
    <n v="73.45"/>
    <n v="248529.73"/>
    <n v="73.45"/>
  </r>
  <r>
    <n v="65061"/>
    <s v="Material for Rooms"/>
    <s v="09/02/2014"/>
    <s v="Expense"/>
    <m/>
    <x v="137"/>
    <x v="14"/>
    <x v="1"/>
    <x v="5"/>
    <m/>
    <s v="10549 BoA Tampa - 8376"/>
    <n v="26.5"/>
    <n v="248556.23"/>
    <n v="26.5"/>
  </r>
  <r>
    <n v="65061"/>
    <s v="Material for Rooms"/>
    <s v="09/02/2014"/>
    <s v="Expense"/>
    <m/>
    <x v="41"/>
    <x v="14"/>
    <x v="1"/>
    <x v="5"/>
    <m/>
    <s v="10549 BoA Tampa - 8376"/>
    <n v="74.27"/>
    <n v="248630.5"/>
    <n v="74.27"/>
  </r>
  <r>
    <n v="65061"/>
    <s v="Material for Rooms"/>
    <s v="09/03/2014"/>
    <s v="Expense"/>
    <m/>
    <x v="301"/>
    <x v="14"/>
    <x v="1"/>
    <x v="5"/>
    <m/>
    <s v="10549 BoA Tampa - 8376"/>
    <n v="64.83"/>
    <n v="249933.71"/>
    <n v="64.83"/>
  </r>
  <r>
    <n v="65061"/>
    <s v="Material for Rooms"/>
    <s v="09/04/2014"/>
    <s v="Expense"/>
    <m/>
    <x v="164"/>
    <x v="14"/>
    <x v="1"/>
    <x v="5"/>
    <m/>
    <s v="10549 BoA Tampa - 8376"/>
    <n v="15.64"/>
    <n v="250317.12"/>
    <n v="15.64"/>
  </r>
  <r>
    <n v="65061"/>
    <s v="Material for Rooms"/>
    <s v="09/04/2014"/>
    <s v="Deposit"/>
    <m/>
    <x v="299"/>
    <x v="14"/>
    <x v="1"/>
    <x v="5"/>
    <m/>
    <s v="10549 BoA Tampa - 8376"/>
    <n v="-205.5"/>
    <n v="250111.62"/>
    <n v="-205.5"/>
  </r>
  <r>
    <n v="65061"/>
    <s v="Material for Rooms"/>
    <s v="09/08/2014"/>
    <s v="Expense"/>
    <m/>
    <x v="302"/>
    <x v="14"/>
    <x v="1"/>
    <x v="5"/>
    <m/>
    <s v="10549 BoA Tampa - 8376"/>
    <n v="37.450000000000003"/>
    <n v="251414.35"/>
    <n v="37.450000000000003"/>
  </r>
  <r>
    <n v="65061"/>
    <s v="Material for Rooms"/>
    <s v="09/09/2014"/>
    <s v="Deposit"/>
    <m/>
    <x v="303"/>
    <x v="14"/>
    <x v="1"/>
    <x v="5"/>
    <m/>
    <s v="10549 BoA Tampa - 8376"/>
    <n v="-1"/>
    <n v="252263.44"/>
    <n v="-1"/>
  </r>
  <r>
    <n v="65061"/>
    <s v="Material for Rooms"/>
    <s v="09/12/2014"/>
    <s v="Expense"/>
    <m/>
    <x v="118"/>
    <x v="14"/>
    <x v="1"/>
    <x v="5"/>
    <m/>
    <s v="10549 BoA Tampa - 8376"/>
    <n v="39.549999999999997"/>
    <n v="254340.91"/>
    <n v="39.549999999999997"/>
  </r>
  <r>
    <n v="65061"/>
    <s v="Material for Rooms"/>
    <s v="09/12/2014"/>
    <s v="Expense"/>
    <m/>
    <x v="19"/>
    <x v="14"/>
    <x v="1"/>
    <x v="5"/>
    <m/>
    <s v="10549 BoA Tampa - 8376"/>
    <n v="64.19"/>
    <n v="254676.87"/>
    <n v="64.19"/>
  </r>
  <r>
    <n v="65061"/>
    <s v="Material for Rooms"/>
    <s v="09/15/2014"/>
    <s v="Expense"/>
    <m/>
    <x v="293"/>
    <x v="14"/>
    <x v="1"/>
    <x v="5"/>
    <m/>
    <s v="10549 BoA Tampa - 8376"/>
    <n v="86"/>
    <n v="255464.7"/>
    <n v="86"/>
  </r>
  <r>
    <n v="65095"/>
    <s v="Paypal Expense"/>
    <s v="09/29/2014"/>
    <s v="Journal Entry"/>
    <n v="689"/>
    <x v="0"/>
    <x v="14"/>
    <x v="4"/>
    <x v="19"/>
    <s v="wine tasting event"/>
    <s v="-Split-"/>
    <n v="2.5"/>
    <n v="1017.01"/>
    <n v="2.5"/>
  </r>
  <r>
    <n v="65095"/>
    <s v="Paypal Expense"/>
    <s v="10/13/2014"/>
    <s v="Journal Entry"/>
    <n v="716"/>
    <x v="0"/>
    <x v="14"/>
    <x v="4"/>
    <x v="19"/>
    <s v="paypal deposit"/>
    <s v="-Split-"/>
    <n v="11.4"/>
    <n v="1040.1199999999999"/>
    <n v="11.4"/>
  </r>
  <r>
    <n v="65095"/>
    <s v="Paypal Expense"/>
    <s v="10/14/2014"/>
    <s v="Journal Entry"/>
    <n v="724"/>
    <x v="0"/>
    <x v="14"/>
    <x v="4"/>
    <x v="19"/>
    <s v="paypal"/>
    <s v="-Split-"/>
    <n v="13.94"/>
    <n v="1066.42"/>
    <n v="13.94"/>
  </r>
  <r>
    <n v="65095"/>
    <s v="Paypal Expense"/>
    <s v="10/20/2014"/>
    <s v="Journal Entry"/>
    <n v="733"/>
    <x v="0"/>
    <x v="14"/>
    <x v="4"/>
    <x v="19"/>
    <s v="wine tasting"/>
    <s v="-Split-"/>
    <n v="12"/>
    <n v="1103.21"/>
    <n v="12"/>
  </r>
  <r>
    <n v="67001"/>
    <s v="Fundraising Expense -  Direct"/>
    <s v="07/30/2014"/>
    <s v="Expense"/>
    <m/>
    <x v="304"/>
    <x v="14"/>
    <x v="2"/>
    <x v="7"/>
    <m/>
    <s v="10549 BoA Tampa - 8376"/>
    <n v="500"/>
    <n v="66832.12"/>
    <n v="500"/>
  </r>
  <r>
    <n v="67001"/>
    <s v="Fundraising Expense -  Direct"/>
    <s v="09/05/2014"/>
    <s v="Expense"/>
    <m/>
    <x v="7"/>
    <x v="14"/>
    <x v="2"/>
    <x v="7"/>
    <s v="wine tasting invitations"/>
    <s v="10549 BoA Tampa - 8376"/>
    <n v="74.540000000000006"/>
    <n v="68039.63"/>
    <n v="74.540000000000006"/>
  </r>
  <r>
    <n v="67001"/>
    <s v="Fundraising Expense -  Direct"/>
    <s v="10/02/2014"/>
    <s v="Expense"/>
    <m/>
    <x v="30"/>
    <x v="14"/>
    <x v="2"/>
    <x v="7"/>
    <s v="wine tasting decorations"/>
    <s v="10549 BoA Tampa - 8376"/>
    <n v="49.22"/>
    <n v="76342.39"/>
    <n v="49.22"/>
  </r>
  <r>
    <n v="67001"/>
    <s v="Fundraising Expense -  Direct"/>
    <s v="10/06/2014"/>
    <s v="Expense"/>
    <m/>
    <x v="178"/>
    <x v="14"/>
    <x v="2"/>
    <x v="7"/>
    <s v="wine tasting  decorations"/>
    <s v="10549 BoA Tampa - 8376"/>
    <n v="166.05"/>
    <n v="76519.08"/>
    <n v="166.05"/>
  </r>
  <r>
    <n v="67001"/>
    <s v="Fundraising Expense -  Direct"/>
    <s v="10/14/2014"/>
    <s v="Expense"/>
    <m/>
    <x v="305"/>
    <x v="14"/>
    <x v="2"/>
    <x v="7"/>
    <m/>
    <s v="10549 BoA Tampa - 8376"/>
    <n v="177"/>
    <n v="76696.570000000007"/>
    <n v="177"/>
  </r>
  <r>
    <n v="67001"/>
    <s v="Fundraising Expense -  Direct"/>
    <s v="10/14/2014"/>
    <s v="Expense"/>
    <m/>
    <x v="305"/>
    <x v="14"/>
    <x v="2"/>
    <x v="7"/>
    <m/>
    <s v="10549 BoA Tampa - 8376"/>
    <n v="96"/>
    <n v="76792.570000000007"/>
    <n v="96"/>
  </r>
  <r>
    <n v="67001"/>
    <s v="Fundraising Expense -  Direct"/>
    <s v="10/15/2014"/>
    <s v="Expense"/>
    <m/>
    <x v="73"/>
    <x v="14"/>
    <x v="2"/>
    <x v="7"/>
    <s v="wine tasting glasses"/>
    <s v="10549 BoA Tampa - 8376"/>
    <n v="88.39"/>
    <n v="76960.960000000006"/>
    <n v="88.39"/>
  </r>
  <r>
    <n v="67001"/>
    <s v="Fundraising Expense -  Direct"/>
    <s v="10/17/2014"/>
    <s v="Expense"/>
    <m/>
    <x v="306"/>
    <x v="14"/>
    <x v="2"/>
    <x v="7"/>
    <m/>
    <s v="10549 BoA Tampa - 8376"/>
    <n v="80.25"/>
    <n v="77041.210000000006"/>
    <n v="80.25"/>
  </r>
  <r>
    <n v="67001"/>
    <s v="Fundraising Expense -  Direct"/>
    <s v="10/28/2014"/>
    <s v="Check"/>
    <n v="563"/>
    <x v="307"/>
    <x v="14"/>
    <x v="2"/>
    <x v="7"/>
    <s v="wine tasting"/>
    <s v="10180 BofA Spec Spaces National 4695"/>
    <n v="2573.6"/>
    <n v="80915.28"/>
    <n v="2573.6"/>
  </r>
  <r>
    <n v="43400"/>
    <s v="Direct Public Support"/>
    <s v="05/28/2014"/>
    <s v="Deposit"/>
    <m/>
    <x v="3"/>
    <x v="0"/>
    <x v="0"/>
    <x v="1"/>
    <s v="transfer from us bank national account"/>
    <s v="10180 BofA Spec Spaces National 4695"/>
    <n v="10000"/>
    <n v="173971.57"/>
    <n v="-10000"/>
  </r>
  <r>
    <n v="43440"/>
    <s v="Gifts in Kind - Goods"/>
    <s v="01/25/2014"/>
    <s v="Journal Entry"/>
    <n v="511"/>
    <x v="0"/>
    <x v="15"/>
    <x v="3"/>
    <x v="9"/>
    <s v="Erin Culbertson's room"/>
    <s v="-Split-"/>
    <n v="118.71"/>
    <n v="4846.13"/>
    <n v="-118.71"/>
  </r>
  <r>
    <n v="65015"/>
    <s v="Travel Expense"/>
    <s v="03/03/2014"/>
    <s v="Check"/>
    <m/>
    <x v="257"/>
    <x v="15"/>
    <x v="1"/>
    <x v="15"/>
    <m/>
    <s v="10352 * US Bank Green Bay 5006"/>
    <n v="42.17"/>
    <n v="2700.26"/>
    <n v="42.17"/>
  </r>
  <r>
    <n v="65020"/>
    <s v="Postage, Mailing Service"/>
    <s v="01/22/2014"/>
    <s v="Check"/>
    <m/>
    <x v="6"/>
    <x v="15"/>
    <x v="1"/>
    <x v="3"/>
    <m/>
    <s v="10352 * US Bank Green Bay 5006"/>
    <n v="54.02"/>
    <n v="473.51"/>
    <n v="54.02"/>
  </r>
  <r>
    <n v="65020"/>
    <s v="Postage, Mailing Service"/>
    <s v="04/30/2014"/>
    <s v="Check"/>
    <s v="dbt"/>
    <x v="6"/>
    <x v="15"/>
    <x v="1"/>
    <x v="3"/>
    <m/>
    <s v="10352 * US Bank Green Bay 5006"/>
    <n v="10.95"/>
    <n v="1208.52"/>
    <n v="10.95"/>
  </r>
  <r>
    <n v="65036"/>
    <s v="Volunteer Hospitality"/>
    <s v="01/27/2014"/>
    <s v="Check"/>
    <m/>
    <x v="48"/>
    <x v="15"/>
    <x v="1"/>
    <x v="13"/>
    <m/>
    <s v="10352 * US Bank Green Bay 5006"/>
    <n v="73.849999999999994"/>
    <n v="337.89"/>
    <n v="73.849999999999994"/>
  </r>
  <r>
    <n v="65060"/>
    <s v="Material for Rooms Expense"/>
    <s v="05/22/2014"/>
    <s v="Expense"/>
    <m/>
    <x v="193"/>
    <x v="15"/>
    <x v="1"/>
    <x v="5"/>
    <m/>
    <s v="10352 * US Bank Green Bay 5006"/>
    <n v="60.3"/>
    <n v="88.78"/>
    <n v="60.3"/>
  </r>
  <r>
    <n v="65060"/>
    <s v="Material for Rooms Expense"/>
    <s v="05/27/2014"/>
    <s v="Expense"/>
    <m/>
    <x v="193"/>
    <x v="15"/>
    <x v="1"/>
    <x v="5"/>
    <m/>
    <s v="10352 * US Bank Green Bay 5006"/>
    <n v="167.94"/>
    <n v="1672.14"/>
    <n v="167.94"/>
  </r>
  <r>
    <n v="65061"/>
    <s v="Material for Rooms Expense"/>
    <s v="01/08/2014"/>
    <s v="Check"/>
    <m/>
    <x v="257"/>
    <x v="15"/>
    <x v="1"/>
    <x v="5"/>
    <m/>
    <s v="10352 * US Bank Green Bay 5006"/>
    <n v="114.29"/>
    <n v="-5699.78"/>
    <n v="114.29"/>
  </r>
  <r>
    <n v="65061"/>
    <s v="Material for Rooms Expense"/>
    <s v="01/09/2014"/>
    <s v="Check"/>
    <m/>
    <x v="257"/>
    <x v="15"/>
    <x v="1"/>
    <x v="5"/>
    <m/>
    <s v="10352 * US Bank Green Bay 5006"/>
    <n v="91.9"/>
    <n v="-4728.9399999999996"/>
    <n v="91.9"/>
  </r>
  <r>
    <n v="65061"/>
    <s v="Material for Rooms Expense"/>
    <s v="01/13/2014"/>
    <s v="Check"/>
    <m/>
    <x v="257"/>
    <x v="15"/>
    <x v="1"/>
    <x v="5"/>
    <m/>
    <s v="10352 * US Bank Green Bay 5006"/>
    <n v="46.06"/>
    <n v="-222.85"/>
    <n v="46.06"/>
  </r>
  <r>
    <n v="65061"/>
    <s v="Material for Rooms Expense"/>
    <s v="01/13/2014"/>
    <s v="Check"/>
    <m/>
    <x v="257"/>
    <x v="15"/>
    <x v="1"/>
    <x v="5"/>
    <m/>
    <s v="10352 * US Bank Green Bay 5006"/>
    <n v="361.21"/>
    <n v="960.95"/>
    <n v="361.21"/>
  </r>
  <r>
    <n v="65061"/>
    <s v="Material for Rooms Expense"/>
    <s v="01/13/2014"/>
    <s v="Check"/>
    <m/>
    <x v="257"/>
    <x v="15"/>
    <x v="1"/>
    <x v="5"/>
    <m/>
    <s v="10352 * US Bank Green Bay 5006"/>
    <n v="103.03"/>
    <n v="1063.98"/>
    <n v="103.03"/>
  </r>
  <r>
    <n v="65061"/>
    <s v="Material for Rooms Expense"/>
    <s v="01/14/2014"/>
    <s v="Check"/>
    <n v="507"/>
    <x v="308"/>
    <x v="15"/>
    <x v="1"/>
    <x v="5"/>
    <m/>
    <s v="10352 * US Bank Green Bay 5006"/>
    <n v="976.94"/>
    <n v="3465.55"/>
    <n v="976.94"/>
  </r>
  <r>
    <n v="65061"/>
    <s v="Material for Rooms Expense"/>
    <s v="01/14/2014"/>
    <s v="Check"/>
    <m/>
    <x v="309"/>
    <x v="15"/>
    <x v="1"/>
    <x v="5"/>
    <m/>
    <s v="10352 * US Bank Green Bay 5006"/>
    <n v="199.99"/>
    <n v="3665.54"/>
    <n v="199.99"/>
  </r>
  <r>
    <n v="65061"/>
    <s v="Material for Rooms Expense"/>
    <s v="01/16/2014"/>
    <s v="Check"/>
    <m/>
    <x v="53"/>
    <x v="15"/>
    <x v="1"/>
    <x v="5"/>
    <m/>
    <s v="10352 * US Bank Green Bay 5006"/>
    <n v="247.28"/>
    <n v="6129.72"/>
    <n v="247.28"/>
  </r>
  <r>
    <n v="65061"/>
    <s v="Material for Rooms Expense"/>
    <s v="01/21/2014"/>
    <s v="Check"/>
    <m/>
    <x v="310"/>
    <x v="15"/>
    <x v="1"/>
    <x v="5"/>
    <m/>
    <s v="10352 * US Bank Green Bay 5006"/>
    <n v="121.54"/>
    <n v="10380.36"/>
    <n v="121.54"/>
  </r>
  <r>
    <n v="65061"/>
    <s v="Material for Rooms Expense"/>
    <s v="01/23/2014"/>
    <s v="Check"/>
    <m/>
    <x v="311"/>
    <x v="15"/>
    <x v="1"/>
    <x v="5"/>
    <m/>
    <s v="10352 * US Bank Green Bay 5006"/>
    <n v="58.45"/>
    <n v="16826.02"/>
    <n v="58.45"/>
  </r>
  <r>
    <n v="65061"/>
    <s v="Material for Rooms Expense"/>
    <s v="01/28/2014"/>
    <s v="Check"/>
    <m/>
    <x v="29"/>
    <x v="15"/>
    <x v="1"/>
    <x v="5"/>
    <m/>
    <s v="10352 * US Bank Green Bay 5006"/>
    <n v="10.56"/>
    <n v="20429.75"/>
    <n v="10.56"/>
  </r>
  <r>
    <n v="65061"/>
    <s v="Material for Rooms Expense"/>
    <s v="01/30/2014"/>
    <s v="Check"/>
    <n v="510"/>
    <x v="312"/>
    <x v="15"/>
    <x v="1"/>
    <x v="5"/>
    <m/>
    <s v="10352 * US Bank Green Bay 5006"/>
    <n v="453.54"/>
    <n v="23989.84"/>
    <n v="453.54"/>
  </r>
  <r>
    <n v="65061"/>
    <s v="Material for Rooms Expense"/>
    <s v="01/30/2014"/>
    <s v="Check"/>
    <m/>
    <x v="257"/>
    <x v="15"/>
    <x v="1"/>
    <x v="5"/>
    <m/>
    <s v="10352 * US Bank Green Bay 5006"/>
    <n v="19.239999999999998"/>
    <n v="25428.65"/>
    <n v="19.239999999999998"/>
  </r>
  <r>
    <n v="65061"/>
    <s v="Material for Rooms Expense"/>
    <s v="02/10/2014"/>
    <s v="Deposit"/>
    <m/>
    <x v="67"/>
    <x v="15"/>
    <x v="1"/>
    <x v="5"/>
    <m/>
    <s v="10352 * US Bank Green Bay 5006"/>
    <n v="-15.8"/>
    <n v="36677.199999999997"/>
    <n v="-15.8"/>
  </r>
  <r>
    <n v="65061"/>
    <s v="Material for Rooms Expense"/>
    <s v="02/10/2014"/>
    <s v="Deposit"/>
    <m/>
    <x v="67"/>
    <x v="15"/>
    <x v="1"/>
    <x v="5"/>
    <m/>
    <s v="10352 * US Bank Green Bay 5006"/>
    <n v="-25.49"/>
    <n v="36651.71"/>
    <n v="-25.49"/>
  </r>
  <r>
    <n v="65061"/>
    <s v="Material for Rooms Expense"/>
    <s v="02/11/2014"/>
    <s v="Check"/>
    <n v="511"/>
    <x v="313"/>
    <x v="15"/>
    <x v="1"/>
    <x v="5"/>
    <m/>
    <s v="10352 * US Bank Green Bay 5006"/>
    <n v="32.64"/>
    <n v="38643.300000000003"/>
    <n v="32.64"/>
  </r>
  <r>
    <n v="65061"/>
    <s v="Material for Rooms Expense"/>
    <s v="02/11/2014"/>
    <s v="Check"/>
    <n v="508"/>
    <x v="313"/>
    <x v="15"/>
    <x v="1"/>
    <x v="5"/>
    <m/>
    <s v="10352 * US Bank Green Bay 5006"/>
    <n v="103.5"/>
    <n v="39037.660000000003"/>
    <n v="103.5"/>
  </r>
  <r>
    <n v="65061"/>
    <s v="Material for Rooms Expense"/>
    <s v="02/18/2014"/>
    <s v="Check"/>
    <n v="509"/>
    <x v="314"/>
    <x v="15"/>
    <x v="1"/>
    <x v="5"/>
    <m/>
    <s v="10352 * US Bank Green Bay 5006"/>
    <n v="61.13"/>
    <n v="44770.63"/>
    <n v="61.13"/>
  </r>
  <r>
    <n v="65061"/>
    <s v="Material for Rooms Expense"/>
    <s v="05/14/2014"/>
    <s v="Expense"/>
    <m/>
    <x v="315"/>
    <x v="15"/>
    <x v="1"/>
    <x v="5"/>
    <m/>
    <s v="10352 * US Bank Green Bay 5006"/>
    <n v="24.95"/>
    <n v="132241.54999999999"/>
    <n v="24.95"/>
  </r>
  <r>
    <n v="65061"/>
    <s v="Material for Rooms Expense"/>
    <s v="05/19/2014"/>
    <s v="Expense"/>
    <m/>
    <x v="161"/>
    <x v="15"/>
    <x v="1"/>
    <x v="5"/>
    <m/>
    <s v="10352 * US Bank Green Bay 5006"/>
    <n v="44.29"/>
    <n v="139608.67000000001"/>
    <n v="44.29"/>
  </r>
  <r>
    <n v="65061"/>
    <s v="Material for Rooms Expense"/>
    <s v="05/19/2014"/>
    <s v="Expense"/>
    <m/>
    <x v="53"/>
    <x v="15"/>
    <x v="1"/>
    <x v="5"/>
    <m/>
    <s v="10352 * US Bank Green Bay 5006"/>
    <n v="364.74"/>
    <n v="139973.41"/>
    <n v="364.74"/>
  </r>
  <r>
    <n v="65061"/>
    <s v="Material for Rooms Expense"/>
    <s v="05/19/2014"/>
    <s v="Expense"/>
    <m/>
    <x v="316"/>
    <x v="15"/>
    <x v="1"/>
    <x v="5"/>
    <m/>
    <s v="10352 * US Bank Green Bay 5006"/>
    <n v="36.97"/>
    <n v="140010.38"/>
    <n v="36.97"/>
  </r>
  <r>
    <n v="65061"/>
    <s v="Material for Rooms Expense"/>
    <s v="05/19/2014"/>
    <s v="Expense"/>
    <m/>
    <x v="29"/>
    <x v="15"/>
    <x v="1"/>
    <x v="5"/>
    <m/>
    <s v="10352 * US Bank Green Bay 5006"/>
    <n v="88.09"/>
    <n v="140098.47"/>
    <n v="88.09"/>
  </r>
  <r>
    <n v="65061"/>
    <s v="Material for Rooms Expense"/>
    <s v="05/19/2014"/>
    <s v="Expense"/>
    <m/>
    <x v="317"/>
    <x v="15"/>
    <x v="1"/>
    <x v="5"/>
    <m/>
    <s v="10352 * US Bank Green Bay 5006"/>
    <n v="95.35"/>
    <n v="140193.82"/>
    <n v="95.35"/>
  </r>
  <r>
    <n v="65061"/>
    <s v="Material for Rooms Expense"/>
    <s v="05/19/2014"/>
    <s v="Expense"/>
    <m/>
    <x v="19"/>
    <x v="15"/>
    <x v="1"/>
    <x v="5"/>
    <m/>
    <s v="10352 * US Bank Green Bay 5006"/>
    <n v="313.66000000000003"/>
    <n v="140507.48000000001"/>
    <n v="313.66000000000003"/>
  </r>
  <r>
    <n v="65061"/>
    <s v="Material for Rooms Expense"/>
    <s v="05/20/2014"/>
    <s v="Expense"/>
    <m/>
    <x v="318"/>
    <x v="15"/>
    <x v="1"/>
    <x v="5"/>
    <m/>
    <s v="10352 * US Bank Green Bay 5006"/>
    <n v="50"/>
    <n v="141094.46"/>
    <n v="50"/>
  </r>
  <r>
    <n v="65061"/>
    <s v="Material for Rooms Expense"/>
    <s v="05/20/2014"/>
    <s v="Expense"/>
    <m/>
    <x v="33"/>
    <x v="15"/>
    <x v="1"/>
    <x v="5"/>
    <m/>
    <s v="10352 * US Bank Green Bay 5006"/>
    <n v="63.55"/>
    <n v="142026.44"/>
    <n v="63.55"/>
  </r>
  <r>
    <n v="65061"/>
    <s v="Material for Rooms Expense"/>
    <s v="05/21/2014"/>
    <s v="Expense"/>
    <m/>
    <x v="33"/>
    <x v="15"/>
    <x v="1"/>
    <x v="5"/>
    <m/>
    <s v="10352 * US Bank Green Bay 5006"/>
    <n v="187.49"/>
    <n v="142424.65"/>
    <n v="187.49"/>
  </r>
  <r>
    <n v="65061"/>
    <s v="Material for Rooms Expense"/>
    <s v="05/21/2014"/>
    <s v="Expense"/>
    <m/>
    <x v="33"/>
    <x v="15"/>
    <x v="1"/>
    <x v="5"/>
    <m/>
    <s v="10352 * US Bank Green Bay 5006"/>
    <n v="66.95"/>
    <n v="142491.6"/>
    <n v="66.95"/>
  </r>
  <r>
    <n v="65061"/>
    <s v="Material for Rooms Expense"/>
    <s v="05/21/2014"/>
    <s v="Expense"/>
    <m/>
    <x v="33"/>
    <x v="15"/>
    <x v="1"/>
    <x v="5"/>
    <m/>
    <s v="10352 * US Bank Green Bay 5006"/>
    <n v="8.99"/>
    <n v="142500.59"/>
    <n v="8.99"/>
  </r>
  <r>
    <n v="65061"/>
    <s v="Material for Rooms Expense"/>
    <s v="05/21/2014"/>
    <s v="Expense"/>
    <m/>
    <x v="33"/>
    <x v="15"/>
    <x v="1"/>
    <x v="5"/>
    <m/>
    <s v="10352 * US Bank Green Bay 5006"/>
    <n v="73.989999999999995"/>
    <n v="142574.57999999999"/>
    <n v="73.989999999999995"/>
  </r>
  <r>
    <n v="65061"/>
    <s v="Material for Rooms Expense"/>
    <s v="05/22/2014"/>
    <s v="Expense"/>
    <m/>
    <x v="33"/>
    <x v="15"/>
    <x v="1"/>
    <x v="5"/>
    <m/>
    <s v="10352 * US Bank Green Bay 5006"/>
    <n v="66.150000000000006"/>
    <n v="144088.6"/>
    <n v="66.150000000000006"/>
  </r>
  <r>
    <n v="65061"/>
    <s v="Material for Rooms Expense"/>
    <s v="05/27/2014"/>
    <s v="Expense"/>
    <m/>
    <x v="193"/>
    <x v="15"/>
    <x v="1"/>
    <x v="5"/>
    <m/>
    <s v="10352 * US Bank Green Bay 5006"/>
    <n v="25.27"/>
    <n v="144487.5"/>
    <n v="25.27"/>
  </r>
  <r>
    <n v="65061"/>
    <s v="Material for Rooms Expense"/>
    <s v="05/27/2014"/>
    <s v="Expense"/>
    <m/>
    <x v="193"/>
    <x v="15"/>
    <x v="1"/>
    <x v="5"/>
    <m/>
    <s v="10352 * US Bank Green Bay 5006"/>
    <n v="10.02"/>
    <n v="144497.51999999999"/>
    <n v="10.02"/>
  </r>
  <r>
    <n v="65061"/>
    <s v="Material for Rooms Expense"/>
    <s v="05/30/2014"/>
    <s v="Expense"/>
    <m/>
    <x v="58"/>
    <x v="15"/>
    <x v="1"/>
    <x v="5"/>
    <m/>
    <s v="10352 * US Bank Green Bay 5006"/>
    <n v="86.97"/>
    <n v="147408.23000000001"/>
    <n v="86.97"/>
  </r>
  <r>
    <n v="65061"/>
    <s v="Material for Rooms Expense"/>
    <s v="06/02/2014"/>
    <s v="Expense"/>
    <m/>
    <x v="193"/>
    <x v="15"/>
    <x v="1"/>
    <x v="5"/>
    <m/>
    <s v="10352 * US Bank Green Bay 5006"/>
    <n v="145.38"/>
    <n v="150715.06"/>
    <n v="145.38"/>
  </r>
  <r>
    <n v="65061"/>
    <s v="Material for Rooms Expense"/>
    <s v="06/04/2014"/>
    <s v="Expense"/>
    <m/>
    <x v="53"/>
    <x v="15"/>
    <x v="1"/>
    <x v="5"/>
    <m/>
    <s v="10352 * US Bank Green Bay 5006"/>
    <n v="305.39"/>
    <n v="151555.04999999999"/>
    <n v="305.39"/>
  </r>
  <r>
    <n v="65061"/>
    <s v="Material for Rooms Expense"/>
    <s v="06/04/2014"/>
    <s v="Expense"/>
    <m/>
    <x v="58"/>
    <x v="15"/>
    <x v="1"/>
    <x v="5"/>
    <m/>
    <s v="10352 * US Bank Green Bay 5006"/>
    <n v="144.59"/>
    <n v="152678.34"/>
    <n v="144.59"/>
  </r>
  <r>
    <n v="65061"/>
    <s v="Material for Rooms Expense"/>
    <s v="06/04/2014"/>
    <s v="Expense"/>
    <m/>
    <x v="19"/>
    <x v="15"/>
    <x v="1"/>
    <x v="5"/>
    <m/>
    <s v="10352 * US Bank Green Bay 5006"/>
    <n v="692.49"/>
    <n v="153370.82999999999"/>
    <n v="692.49"/>
  </r>
  <r>
    <n v="65061"/>
    <s v="Material for Rooms Expense"/>
    <s v="06/04/2014"/>
    <s v="Expense"/>
    <m/>
    <x v="319"/>
    <x v="15"/>
    <x v="1"/>
    <x v="5"/>
    <m/>
    <s v="10352 * US Bank Green Bay 5006"/>
    <n v="629.91999999999996"/>
    <n v="154000.75"/>
    <n v="629.91999999999996"/>
  </r>
  <r>
    <n v="65061"/>
    <s v="Material for Rooms Expense"/>
    <s v="06/04/2014"/>
    <s v="Expense"/>
    <m/>
    <x v="193"/>
    <x v="15"/>
    <x v="1"/>
    <x v="5"/>
    <m/>
    <s v="10352 * US Bank Green Bay 5006"/>
    <n v="30.67"/>
    <n v="154031.42000000001"/>
    <n v="30.67"/>
  </r>
  <r>
    <n v="65061"/>
    <s v="Material for Rooms Expense"/>
    <s v="06/05/2014"/>
    <s v="Expense"/>
    <m/>
    <x v="58"/>
    <x v="15"/>
    <x v="1"/>
    <x v="5"/>
    <m/>
    <s v="10352 * US Bank Green Bay 5006"/>
    <n v="25.29"/>
    <n v="154728.60999999999"/>
    <n v="25.29"/>
  </r>
  <r>
    <n v="65061"/>
    <s v="Material for Rooms Expense"/>
    <s v="06/05/2014"/>
    <s v="Expense"/>
    <m/>
    <x v="193"/>
    <x v="15"/>
    <x v="1"/>
    <x v="5"/>
    <m/>
    <s v="10352 * US Bank Green Bay 5006"/>
    <n v="230.21"/>
    <n v="154958.82"/>
    <n v="230.21"/>
  </r>
  <r>
    <n v="65061"/>
    <s v="Material for Rooms Expense"/>
    <s v="06/06/2014"/>
    <s v="Expense"/>
    <m/>
    <x v="193"/>
    <x v="15"/>
    <x v="1"/>
    <x v="5"/>
    <m/>
    <s v="10352 * US Bank Green Bay 5006"/>
    <n v="43.41"/>
    <n v="155783.48000000001"/>
    <n v="43.41"/>
  </r>
  <r>
    <n v="65061"/>
    <s v="Material for Rooms Expense"/>
    <s v="06/06/2014"/>
    <s v="Check"/>
    <n v="512"/>
    <x v="313"/>
    <x v="15"/>
    <x v="1"/>
    <x v="5"/>
    <m/>
    <s v="10352 * US Bank Green Bay 5006"/>
    <n v="360.85"/>
    <n v="156144.32999999999"/>
    <n v="360.85"/>
  </r>
  <r>
    <n v="65061"/>
    <s v="Material for Rooms Expense"/>
    <s v="06/06/2014"/>
    <s v="Expense"/>
    <m/>
    <x v="311"/>
    <x v="15"/>
    <x v="1"/>
    <x v="5"/>
    <m/>
    <s v="10352 * US Bank Green Bay 5006"/>
    <n v="155.35"/>
    <n v="163755.82999999999"/>
    <n v="155.35"/>
  </r>
  <r>
    <n v="65061"/>
    <s v="Material for Rooms Expense"/>
    <s v="06/09/2014"/>
    <s v="Expense"/>
    <m/>
    <x v="193"/>
    <x v="15"/>
    <x v="1"/>
    <x v="5"/>
    <m/>
    <s v="10352 * US Bank Green Bay 5006"/>
    <n v="12.64"/>
    <n v="164344.5"/>
    <n v="12.64"/>
  </r>
  <r>
    <n v="65061"/>
    <s v="Material for Rooms Expense"/>
    <s v="06/09/2014"/>
    <s v="Expense"/>
    <m/>
    <x v="310"/>
    <x v="15"/>
    <x v="1"/>
    <x v="5"/>
    <m/>
    <s v="10352 * US Bank Green Bay 5006"/>
    <n v="35.82"/>
    <n v="164380.32"/>
    <n v="35.82"/>
  </r>
  <r>
    <n v="65061"/>
    <s v="Material for Rooms Expense"/>
    <s v="06/09/2014"/>
    <s v="Expense"/>
    <m/>
    <x v="193"/>
    <x v="15"/>
    <x v="1"/>
    <x v="5"/>
    <m/>
    <s v="10352 * US Bank Green Bay 5006"/>
    <n v="6.83"/>
    <n v="164387.15"/>
    <n v="6.83"/>
  </r>
  <r>
    <n v="65061"/>
    <s v="Material for Rooms Expense"/>
    <s v="06/09/2014"/>
    <s v="Expense"/>
    <m/>
    <x v="310"/>
    <x v="15"/>
    <x v="1"/>
    <x v="5"/>
    <m/>
    <s v="10352 * US Bank Green Bay 5006"/>
    <n v="56.71"/>
    <n v="164443.85999999999"/>
    <n v="56.71"/>
  </r>
  <r>
    <n v="65061"/>
    <s v="Material for Rooms Expense"/>
    <s v="06/09/2014"/>
    <s v="Expense"/>
    <m/>
    <x v="30"/>
    <x v="15"/>
    <x v="1"/>
    <x v="5"/>
    <m/>
    <s v="10352 * US Bank Green Bay 5006"/>
    <n v="210.98"/>
    <n v="164654.84"/>
    <n v="210.98"/>
  </r>
  <r>
    <n v="65061"/>
    <s v="Material for Rooms Expense"/>
    <s v="06/09/2014"/>
    <s v="Expense"/>
    <m/>
    <x v="193"/>
    <x v="15"/>
    <x v="1"/>
    <x v="5"/>
    <m/>
    <s v="10352 * US Bank Green Bay 5006"/>
    <n v="26.64"/>
    <n v="164681.48000000001"/>
    <n v="26.64"/>
  </r>
  <r>
    <n v="65061"/>
    <s v="Material for Rooms Expense"/>
    <s v="06/09/2014"/>
    <s v="Expense"/>
    <m/>
    <x v="320"/>
    <x v="15"/>
    <x v="1"/>
    <x v="5"/>
    <m/>
    <s v="10352 * US Bank Green Bay 5006"/>
    <n v="15.05"/>
    <n v="164696.53"/>
    <n v="15.05"/>
  </r>
  <r>
    <n v="65061"/>
    <s v="Material for Rooms Expense"/>
    <s v="06/09/2014"/>
    <s v="Expense"/>
    <m/>
    <x v="58"/>
    <x v="15"/>
    <x v="1"/>
    <x v="5"/>
    <m/>
    <s v="10352 * US Bank Green Bay 5006"/>
    <n v="13.67"/>
    <n v="164710.20000000001"/>
    <n v="13.67"/>
  </r>
  <r>
    <n v="65061"/>
    <s v="Material for Rooms Expense"/>
    <s v="06/10/2014"/>
    <s v="Deposit"/>
    <m/>
    <x v="19"/>
    <x v="15"/>
    <x v="1"/>
    <x v="5"/>
    <m/>
    <s v="10352 * US Bank Green Bay 5006"/>
    <n v="-17"/>
    <n v="165966.07"/>
    <n v="-17"/>
  </r>
  <r>
    <n v="65061"/>
    <s v="Material for Rooms Expense"/>
    <s v="06/10/2014"/>
    <s v="Deposit"/>
    <m/>
    <x v="68"/>
    <x v="15"/>
    <x v="1"/>
    <x v="5"/>
    <m/>
    <s v="10352 * US Bank Green Bay 5006"/>
    <n v="-127.42"/>
    <n v="165838.65"/>
    <n v="-127.42"/>
  </r>
  <r>
    <n v="65061"/>
    <s v="Material for Rooms Expense"/>
    <s v="06/10/2014"/>
    <s v="Deposit"/>
    <m/>
    <x v="58"/>
    <x v="15"/>
    <x v="1"/>
    <x v="5"/>
    <m/>
    <s v="10352 * US Bank Green Bay 5006"/>
    <n v="-10.52"/>
    <n v="165828.13"/>
    <n v="-10.52"/>
  </r>
  <r>
    <n v="65061"/>
    <s v="Material for Rooms Expense"/>
    <s v="06/11/2014"/>
    <s v="Deposit"/>
    <m/>
    <x v="193"/>
    <x v="15"/>
    <x v="1"/>
    <x v="5"/>
    <m/>
    <s v="10352 * US Bank Green Bay 5006"/>
    <n v="-34.94"/>
    <n v="167566.54999999999"/>
    <n v="-34.94"/>
  </r>
  <r>
    <n v="65061"/>
    <s v="Material for Rooms Expense"/>
    <s v="06/12/2014"/>
    <s v="Expense"/>
    <m/>
    <x v="29"/>
    <x v="15"/>
    <x v="1"/>
    <x v="5"/>
    <m/>
    <s v="10352 * US Bank Green Bay 5006"/>
    <n v="13.75"/>
    <n v="169151.65"/>
    <n v="13.75"/>
  </r>
  <r>
    <n v="65061"/>
    <s v="Material for Rooms Expense"/>
    <s v="06/16/2014"/>
    <s v="Deposit"/>
    <m/>
    <x v="19"/>
    <x v="15"/>
    <x v="1"/>
    <x v="5"/>
    <m/>
    <s v="10352 * US Bank Green Bay 5006"/>
    <n v="-39.01"/>
    <n v="170655.95"/>
    <n v="-39.01"/>
  </r>
  <r>
    <n v="65061"/>
    <s v="Material for Rooms Expense"/>
    <s v="06/16/2014"/>
    <s v="Deposit"/>
    <m/>
    <x v="33"/>
    <x v="15"/>
    <x v="1"/>
    <x v="5"/>
    <m/>
    <s v="10352 * US Bank Green Bay 5006"/>
    <n v="-43.65"/>
    <n v="170612.3"/>
    <n v="-43.65"/>
  </r>
  <r>
    <n v="65061"/>
    <s v="Material for Rooms Expense"/>
    <s v="06/18/2014"/>
    <s v="Deposit"/>
    <m/>
    <x v="282"/>
    <x v="15"/>
    <x v="1"/>
    <x v="5"/>
    <m/>
    <s v="10352 * US Bank Green Bay 5006"/>
    <n v="-21.06"/>
    <n v="179877.73"/>
    <n v="-21.06"/>
  </r>
  <r>
    <n v="65061"/>
    <s v="Material for Rooms Expense"/>
    <s v="06/20/2014"/>
    <s v="Expense"/>
    <m/>
    <x v="29"/>
    <x v="15"/>
    <x v="1"/>
    <x v="5"/>
    <m/>
    <s v="10352 * US Bank Green Bay 5006"/>
    <n v="16.010000000000002"/>
    <n v="181115.28"/>
    <n v="16.010000000000002"/>
  </r>
  <r>
    <n v="65062"/>
    <s v="In-Kind Goods"/>
    <s v="01/25/2014"/>
    <s v="Journal Entry"/>
    <n v="511"/>
    <x v="0"/>
    <x v="15"/>
    <x v="1"/>
    <x v="10"/>
    <s v="Erin Culbertson's room"/>
    <s v="-Split-"/>
    <n v="118.71"/>
    <n v="4776.13"/>
    <n v="118.71"/>
  </r>
  <r>
    <n v="43400"/>
    <s v="Direct Public Support"/>
    <s v="06/02/2014"/>
    <s v="Deposit"/>
    <m/>
    <x v="321"/>
    <x v="0"/>
    <x v="0"/>
    <x v="1"/>
    <m/>
    <s v="10125 BofA Restricted Funds -055:National"/>
    <n v="84.69"/>
    <n v="183520.26"/>
    <n v="-84.69"/>
  </r>
  <r>
    <n v="65095"/>
    <s v="Paypal Expense"/>
    <s v="08/25/2014"/>
    <s v="Journal Entry"/>
    <n v="659"/>
    <x v="0"/>
    <x v="16"/>
    <x v="4"/>
    <x v="19"/>
    <m/>
    <s v="-Split-"/>
    <n v="4.7"/>
    <n v="844.84"/>
    <n v="4.7"/>
  </r>
  <r>
    <n v="43400"/>
    <s v="Direct Public Support"/>
    <s v="06/02/2014"/>
    <s v="Deposit"/>
    <m/>
    <x v="321"/>
    <x v="0"/>
    <x v="0"/>
    <x v="1"/>
    <m/>
    <s v="10125 BofA Restricted Funds -055:National"/>
    <n v="47.05"/>
    <n v="183567.31"/>
    <n v="-47.05"/>
  </r>
  <r>
    <n v="43400"/>
    <s v="Direct Public Support"/>
    <s v="06/05/2014"/>
    <s v="Journal Entry"/>
    <n v="564"/>
    <x v="0"/>
    <x v="0"/>
    <x v="0"/>
    <x v="1"/>
    <s v="paypal"/>
    <s v="-Split-"/>
    <n v="471"/>
    <n v="188723.31"/>
    <n v="-471"/>
  </r>
  <r>
    <n v="43400"/>
    <s v="Direct Public Support"/>
    <s v="06/10/2014"/>
    <s v="Deposit"/>
    <m/>
    <x v="322"/>
    <x v="0"/>
    <x v="0"/>
    <x v="1"/>
    <m/>
    <s v="10180 BofA Spec Spaces National 4695"/>
    <n v="10"/>
    <n v="191896.61"/>
    <n v="-10"/>
  </r>
  <r>
    <n v="43400"/>
    <s v="Direct Public Support"/>
    <s v="06/16/2014"/>
    <s v="Invoice"/>
    <n v="1004"/>
    <x v="145"/>
    <x v="0"/>
    <x v="0"/>
    <x v="1"/>
    <s v="New Orleans Room "/>
    <s v="11000 Accounts Receivable"/>
    <n v="3500"/>
    <n v="197000.02"/>
    <n v="-3500"/>
  </r>
  <r>
    <n v="43400"/>
    <s v="Direct Public Support"/>
    <s v="06/24/2014"/>
    <s v="Deposit"/>
    <m/>
    <x v="3"/>
    <x v="0"/>
    <x v="0"/>
    <x v="1"/>
    <m/>
    <s v="10180 BofA Spec Spaces National 4695"/>
    <n v="94.55"/>
    <n v="202929.57"/>
    <n v="-94.55"/>
  </r>
  <r>
    <n v="43400"/>
    <s v="Direct Public Support"/>
    <s v="06/26/2014"/>
    <s v="Journal Entry"/>
    <n v="593"/>
    <x v="0"/>
    <x v="0"/>
    <x v="0"/>
    <x v="1"/>
    <s v="paypal"/>
    <s v="-Split-"/>
    <n v="745"/>
    <n v="203674.57"/>
    <n v="-745"/>
  </r>
  <r>
    <n v="43400"/>
    <s v="Direct Public Support"/>
    <s v="06/26/2014"/>
    <s v="Journal Entry"/>
    <n v="591"/>
    <x v="0"/>
    <x v="0"/>
    <x v="0"/>
    <x v="1"/>
    <s v="paypal"/>
    <s v="-Split-"/>
    <n v="2022.5"/>
    <n v="205697.07"/>
    <n v="-2022.5"/>
  </r>
  <r>
    <n v="43400"/>
    <s v="Direct Public Support"/>
    <s v="07/21/2014"/>
    <s v="Deposit"/>
    <m/>
    <x v="3"/>
    <x v="0"/>
    <x v="0"/>
    <x v="1"/>
    <m/>
    <s v="10180 BofA Spec Spaces National 4695"/>
    <n v="24.55"/>
    <n v="227397.16"/>
    <n v="-24.55"/>
  </r>
  <r>
    <n v="43400"/>
    <s v="Direct Public Support"/>
    <s v="08/04/2014"/>
    <s v="Check"/>
    <n v="1004"/>
    <x v="292"/>
    <x v="0"/>
    <x v="0"/>
    <x v="1"/>
    <m/>
    <s v="10181 *US Bank National 5014"/>
    <n v="-10000"/>
    <n v="221992.31"/>
    <n v="10000"/>
  </r>
  <r>
    <n v="65020"/>
    <s v="Postage, Mailing Service"/>
    <s v="02/14/2014"/>
    <s v="Check"/>
    <m/>
    <x v="6"/>
    <x v="17"/>
    <x v="1"/>
    <x v="3"/>
    <m/>
    <s v="10511 BofA Houston"/>
    <n v="9.8000000000000007"/>
    <n v="585.46"/>
    <n v="9.8000000000000007"/>
  </r>
  <r>
    <n v="65045"/>
    <s v="Rent"/>
    <s v="01/03/2014"/>
    <s v="Check"/>
    <m/>
    <x v="323"/>
    <x v="17"/>
    <x v="1"/>
    <x v="16"/>
    <m/>
    <s v="10511 BofA Houston"/>
    <n v="85"/>
    <n v="85"/>
    <n v="85"/>
  </r>
  <r>
    <n v="65045"/>
    <s v="Rent"/>
    <s v="02/03/2014"/>
    <s v="Check"/>
    <m/>
    <x v="323"/>
    <x v="17"/>
    <x v="1"/>
    <x v="16"/>
    <m/>
    <s v="10511 BofA Houston"/>
    <n v="85"/>
    <n v="744"/>
    <n v="85"/>
  </r>
  <r>
    <n v="65045"/>
    <s v="Rent"/>
    <s v="03/03/2014"/>
    <s v="Check"/>
    <m/>
    <x v="323"/>
    <x v="17"/>
    <x v="1"/>
    <x v="16"/>
    <m/>
    <s v="10511 BofA Houston"/>
    <n v="85"/>
    <n v="1266"/>
    <n v="85"/>
  </r>
  <r>
    <n v="65045"/>
    <s v="Rent"/>
    <s v="04/02/2014"/>
    <s v="Check"/>
    <m/>
    <x v="323"/>
    <x v="17"/>
    <x v="1"/>
    <x v="16"/>
    <m/>
    <s v="10511 BofA Houston"/>
    <n v="85"/>
    <n v="2178.35"/>
    <n v="85"/>
  </r>
  <r>
    <n v="65045"/>
    <s v="Rent"/>
    <s v="05/05/2014"/>
    <s v="Expense"/>
    <m/>
    <x v="323"/>
    <x v="17"/>
    <x v="1"/>
    <x v="16"/>
    <m/>
    <s v="10511 BofA Houston"/>
    <n v="85"/>
    <n v="2890.35"/>
    <n v="85"/>
  </r>
  <r>
    <n v="65045"/>
    <s v="Rent"/>
    <s v="06/03/2014"/>
    <s v="Expense"/>
    <m/>
    <x v="323"/>
    <x v="17"/>
    <x v="1"/>
    <x v="16"/>
    <m/>
    <s v="10511 BofA Houston"/>
    <n v="85"/>
    <n v="3989.35"/>
    <n v="85"/>
  </r>
  <r>
    <n v="65061"/>
    <s v="Material for Rooms Expense"/>
    <s v="01/16/2014"/>
    <s v="Deposit"/>
    <m/>
    <x v="53"/>
    <x v="17"/>
    <x v="1"/>
    <x v="5"/>
    <m/>
    <s v="10511 BofA Houston"/>
    <n v="-15.73"/>
    <n v="6178.25"/>
    <n v="-15.73"/>
  </r>
  <r>
    <n v="65061"/>
    <s v="Material for Rooms Expense"/>
    <s v="01/17/2014"/>
    <s v="Check"/>
    <m/>
    <x v="19"/>
    <x v="17"/>
    <x v="1"/>
    <x v="5"/>
    <m/>
    <s v="10511 BofA Houston"/>
    <n v="12.12"/>
    <n v="9877.7199999999993"/>
    <n v="12.12"/>
  </r>
  <r>
    <n v="65061"/>
    <s v="Material for Rooms Expense"/>
    <s v="01/22/2014"/>
    <s v="Check"/>
    <m/>
    <x v="19"/>
    <x v="17"/>
    <x v="1"/>
    <x v="5"/>
    <m/>
    <s v="10511 BofA Houston"/>
    <n v="162.36000000000001"/>
    <n v="15067.76"/>
    <n v="162.36000000000001"/>
  </r>
  <r>
    <n v="65061"/>
    <s v="Material for Rooms Expense"/>
    <s v="01/29/2014"/>
    <s v="Check"/>
    <m/>
    <x v="19"/>
    <x v="17"/>
    <x v="1"/>
    <x v="5"/>
    <m/>
    <s v="10511 BofA Houston"/>
    <n v="17.309999999999999"/>
    <n v="21140.03"/>
    <n v="17.309999999999999"/>
  </r>
  <r>
    <n v="65061"/>
    <s v="Material for Rooms Expense"/>
    <s v="02/03/2014"/>
    <s v="Check"/>
    <n v="1034"/>
    <x v="324"/>
    <x v="17"/>
    <x v="1"/>
    <x v="5"/>
    <m/>
    <s v="10511 BofA Houston"/>
    <n v="253.73"/>
    <n v="25852.83"/>
    <n v="253.73"/>
  </r>
  <r>
    <n v="65061"/>
    <s v="Material for Rooms Expense"/>
    <s v="02/04/2014"/>
    <s v="Check"/>
    <n v="1035"/>
    <x v="325"/>
    <x v="17"/>
    <x v="1"/>
    <x v="5"/>
    <m/>
    <s v="10511 BofA Houston"/>
    <n v="37.229999999999997"/>
    <n v="29075.88"/>
    <n v="37.229999999999997"/>
  </r>
  <r>
    <n v="65061"/>
    <s v="Material for Rooms Expense"/>
    <s v="04/14/2014"/>
    <s v="Check"/>
    <m/>
    <x v="19"/>
    <x v="17"/>
    <x v="1"/>
    <x v="5"/>
    <m/>
    <s v="10511 BofA Houston"/>
    <n v="135.27000000000001"/>
    <n v="93116.59"/>
    <n v="135.27000000000001"/>
  </r>
  <r>
    <n v="65061"/>
    <s v="Material for Rooms Expense"/>
    <s v="04/17/2014"/>
    <s v="Check"/>
    <m/>
    <x v="73"/>
    <x v="17"/>
    <x v="1"/>
    <x v="5"/>
    <m/>
    <s v="10511 BofA Houston"/>
    <n v="490.78"/>
    <n v="98049.18"/>
    <n v="490.78"/>
  </r>
  <r>
    <n v="65061"/>
    <s v="Material for Rooms Expense"/>
    <s v="04/18/2014"/>
    <s v="Check"/>
    <m/>
    <x v="118"/>
    <x v="17"/>
    <x v="1"/>
    <x v="5"/>
    <m/>
    <s v="10511 BofA Houston"/>
    <n v="184"/>
    <n v="99011.33"/>
    <n v="184"/>
  </r>
  <r>
    <n v="65061"/>
    <s v="Material for Rooms Expense"/>
    <s v="04/21/2014"/>
    <s v="Check"/>
    <m/>
    <x v="19"/>
    <x v="17"/>
    <x v="1"/>
    <x v="5"/>
    <m/>
    <s v="10511 BofA Houston"/>
    <n v="253.77"/>
    <n v="100143.5"/>
    <n v="253.77"/>
  </r>
  <r>
    <n v="65061"/>
    <s v="Material for Rooms Expense"/>
    <s v="04/23/2014"/>
    <s v="Check"/>
    <m/>
    <x v="19"/>
    <x v="17"/>
    <x v="1"/>
    <x v="5"/>
    <m/>
    <s v="10511 BofA Houston"/>
    <n v="148.30000000000001"/>
    <n v="102363.68"/>
    <n v="148.30000000000001"/>
  </r>
  <r>
    <n v="65061"/>
    <s v="Material for Rooms Expense"/>
    <s v="04/24/2014"/>
    <s v="Check"/>
    <m/>
    <x v="161"/>
    <x v="17"/>
    <x v="1"/>
    <x v="5"/>
    <m/>
    <s v="10511 BofA Houston"/>
    <n v="140.71"/>
    <n v="104171.74"/>
    <n v="140.71"/>
  </r>
  <r>
    <n v="65061"/>
    <s v="Material for Rooms Expense"/>
    <s v="04/24/2014"/>
    <s v="Check"/>
    <m/>
    <x v="29"/>
    <x v="17"/>
    <x v="1"/>
    <x v="5"/>
    <m/>
    <s v="10511 BofA Houston"/>
    <n v="88.73"/>
    <n v="104260.47"/>
    <n v="88.73"/>
  </r>
  <r>
    <n v="65061"/>
    <s v="Material for Rooms Expense"/>
    <s v="04/25/2014"/>
    <s v="Check"/>
    <m/>
    <x v="53"/>
    <x v="17"/>
    <x v="1"/>
    <x v="5"/>
    <m/>
    <s v="10511 BofA Houston"/>
    <n v="106.75"/>
    <n v="104931.3"/>
    <n v="106.75"/>
  </r>
  <r>
    <n v="65061"/>
    <s v="Material for Rooms Expense"/>
    <s v="04/28/2014"/>
    <s v="Check"/>
    <m/>
    <x v="53"/>
    <x v="17"/>
    <x v="1"/>
    <x v="5"/>
    <m/>
    <s v="10511 BofA Houston"/>
    <n v="29.36"/>
    <n v="106627.31"/>
    <n v="29.36"/>
  </r>
  <r>
    <n v="65061"/>
    <s v="Material for Rooms Expense"/>
    <s v="04/28/2014"/>
    <s v="Check"/>
    <m/>
    <x v="58"/>
    <x v="17"/>
    <x v="1"/>
    <x v="5"/>
    <m/>
    <s v="10511 BofA Houston"/>
    <n v="7.57"/>
    <n v="106634.88"/>
    <n v="7.57"/>
  </r>
  <r>
    <n v="65061"/>
    <s v="Material for Rooms Expense"/>
    <s v="05/05/2014"/>
    <s v="Expense"/>
    <m/>
    <x v="19"/>
    <x v="17"/>
    <x v="1"/>
    <x v="5"/>
    <m/>
    <s v="10511 BofA Houston"/>
    <n v="78.989999999999995"/>
    <n v="116112.6"/>
    <n v="78.989999999999995"/>
  </r>
  <r>
    <n v="65061"/>
    <s v="Material for Rooms Expense"/>
    <s v="05/08/2014"/>
    <s v="Expense"/>
    <m/>
    <x v="156"/>
    <x v="17"/>
    <x v="1"/>
    <x v="5"/>
    <m/>
    <s v="10511 BofA Houston"/>
    <n v="19.600000000000001"/>
    <n v="124172.58"/>
    <n v="19.600000000000001"/>
  </r>
  <r>
    <n v="65061"/>
    <s v="Material for Rooms Expense"/>
    <s v="05/28/2014"/>
    <s v="Check"/>
    <n v="464"/>
    <x v="324"/>
    <x v="17"/>
    <x v="1"/>
    <x v="5"/>
    <m/>
    <s v="10180 BofA Spec Spaces National 4695"/>
    <n v="258.23"/>
    <n v="146465.19"/>
    <n v="258.23"/>
  </r>
  <r>
    <n v="65061"/>
    <s v="Material for Rooms Expense"/>
    <s v="06/03/2014"/>
    <s v="Deposit"/>
    <m/>
    <x v="19"/>
    <x v="17"/>
    <x v="1"/>
    <x v="5"/>
    <m/>
    <s v="10511 BofA Houston"/>
    <n v="-27.05"/>
    <n v="151026.85999999999"/>
    <n v="-27.05"/>
  </r>
  <r>
    <n v="65061"/>
    <s v="Material for Rooms Expense"/>
    <s v="06/11/2014"/>
    <s v="Check"/>
    <n v="1037"/>
    <x v="326"/>
    <x v="17"/>
    <x v="1"/>
    <x v="5"/>
    <m/>
    <s v="10511 BofA Houston"/>
    <n v="1000"/>
    <n v="168704.24"/>
    <n v="1000"/>
  </r>
  <r>
    <n v="65061"/>
    <s v="Material for Rooms Expense"/>
    <s v="06/18/2014"/>
    <s v="Expense"/>
    <m/>
    <x v="53"/>
    <x v="17"/>
    <x v="1"/>
    <x v="5"/>
    <m/>
    <s v="10511 BofA Houston"/>
    <n v="20.51"/>
    <n v="177300.26"/>
    <n v="20.51"/>
  </r>
  <r>
    <n v="65061"/>
    <s v="Material for Rooms Expense"/>
    <s v="06/25/2014"/>
    <s v="Expense"/>
    <m/>
    <x v="19"/>
    <x v="17"/>
    <x v="1"/>
    <x v="5"/>
    <m/>
    <s v="10511 BofA Houston"/>
    <n v="22.87"/>
    <n v="188137.94"/>
    <n v="22.87"/>
  </r>
  <r>
    <n v="65061"/>
    <s v="Material for Rooms Expense"/>
    <s v="06/30/2014"/>
    <s v="Expense"/>
    <m/>
    <x v="327"/>
    <x v="17"/>
    <x v="1"/>
    <x v="5"/>
    <m/>
    <s v="10511 BofA Houston"/>
    <n v="64.790000000000006"/>
    <n v="193018.61"/>
    <n v="64.790000000000006"/>
  </r>
  <r>
    <n v="43400"/>
    <s v="Direct Public Support"/>
    <s v="08/05/2014"/>
    <s v="Deposit"/>
    <m/>
    <x v="0"/>
    <x v="0"/>
    <x v="0"/>
    <x v="1"/>
    <m/>
    <s v="10180 BofA Spec Spaces National 4695"/>
    <n v="500"/>
    <n v="222532.31"/>
    <n v="-500"/>
  </r>
  <r>
    <n v="43400"/>
    <s v="Direct Public Support"/>
    <s v="08/07/2014"/>
    <s v="Deposit"/>
    <m/>
    <x v="292"/>
    <x v="0"/>
    <x v="0"/>
    <x v="1"/>
    <m/>
    <s v="10125 BofA Restricted Funds -055:National"/>
    <n v="10000"/>
    <n v="232625.31"/>
    <n v="-10000"/>
  </r>
  <r>
    <n v="43400"/>
    <s v="Direct Public Support"/>
    <s v="08/11/2014"/>
    <s v="Deposit"/>
    <m/>
    <x v="0"/>
    <x v="0"/>
    <x v="0"/>
    <x v="1"/>
    <m/>
    <s v="10180 BofA Spec Spaces National 4695"/>
    <n v="1024.55"/>
    <n v="235934.86"/>
    <n v="-1024.55"/>
  </r>
  <r>
    <n v="43400"/>
    <s v="Direct Public Support"/>
    <s v="08/13/2014"/>
    <s v="Deposit"/>
    <m/>
    <x v="328"/>
    <x v="0"/>
    <x v="0"/>
    <x v="1"/>
    <m/>
    <s v="10125 BofA Restricted Funds -055:National"/>
    <n v="10"/>
    <n v="236329.86"/>
    <n v="-10"/>
  </r>
  <r>
    <n v="43400"/>
    <s v="Direct Public Support"/>
    <s v="08/25/2014"/>
    <s v="Journal Entry"/>
    <n v="659"/>
    <x v="0"/>
    <x v="0"/>
    <x v="0"/>
    <x v="1"/>
    <s v="Wear it and Share it"/>
    <s v="-Split-"/>
    <n v="395"/>
    <n v="240644.86"/>
    <n v="-395"/>
  </r>
  <r>
    <n v="43400"/>
    <s v="Direct Public Support"/>
    <s v="09/11/2014"/>
    <s v="Deposit"/>
    <m/>
    <x v="3"/>
    <x v="0"/>
    <x v="0"/>
    <x v="1"/>
    <m/>
    <s v="10180 BofA Spec Spaces National 4695"/>
    <n v="60"/>
    <n v="249247.42"/>
    <n v="-60"/>
  </r>
  <r>
    <n v="65020"/>
    <s v="Postage, Mailing Service"/>
    <s v="07/29/2014"/>
    <s v="Expense"/>
    <m/>
    <x v="243"/>
    <x v="7"/>
    <x v="1"/>
    <x v="3"/>
    <m/>
    <s v="10414 BoA Chicago 8350"/>
    <n v="14.87"/>
    <n v="2041.9"/>
    <n v="14.87"/>
  </r>
  <r>
    <n v="65030"/>
    <s v="Printing and Copying"/>
    <s v="08/05/2014"/>
    <s v="Expense"/>
    <m/>
    <x v="147"/>
    <x v="7"/>
    <x v="1"/>
    <x v="20"/>
    <m/>
    <s v="10414 BoA Chicago 8350"/>
    <n v="23.36"/>
    <n v="2808.69"/>
    <n v="23.36"/>
  </r>
  <r>
    <n v="65030"/>
    <s v="Printing and Copying"/>
    <s v="08/05/2014"/>
    <s v="Expense"/>
    <m/>
    <x v="147"/>
    <x v="7"/>
    <x v="1"/>
    <x v="20"/>
    <m/>
    <s v="10414 BoA Chicago 8350"/>
    <n v="38.24"/>
    <n v="2846.93"/>
    <n v="38.24"/>
  </r>
  <r>
    <n v="65030"/>
    <s v="Printing and Copying"/>
    <s v="09/11/2014"/>
    <s v="Expense"/>
    <m/>
    <x v="329"/>
    <x v="7"/>
    <x v="1"/>
    <x v="20"/>
    <m/>
    <s v="10414 BoA Chicago 8350"/>
    <n v="1512.92"/>
    <n v="7112.16"/>
    <n v="1512.92"/>
  </r>
  <r>
    <n v="65030"/>
    <s v="Printing and Copying"/>
    <s v="10/29/2014"/>
    <s v="Expense"/>
    <m/>
    <x v="147"/>
    <x v="7"/>
    <x v="1"/>
    <x v="20"/>
    <m/>
    <s v="10414 BoA Chicago 8350"/>
    <n v="26.3"/>
    <n v="12219.99"/>
    <n v="26.3"/>
  </r>
  <r>
    <n v="65030"/>
    <s v="Printing and Copying"/>
    <s v="10/29/2014"/>
    <s v="Expense"/>
    <m/>
    <x v="147"/>
    <x v="7"/>
    <x v="1"/>
    <x v="20"/>
    <m/>
    <s v="10414 BoA Chicago 8350"/>
    <n v="40.83"/>
    <n v="12260.82"/>
    <n v="40.83"/>
  </r>
  <r>
    <n v="65036"/>
    <s v="Volunteer Hospitality"/>
    <s v="07/10/2014"/>
    <s v="Expense"/>
    <m/>
    <x v="49"/>
    <x v="7"/>
    <x v="1"/>
    <x v="13"/>
    <m/>
    <s v="10414 BoA Chicago 8350"/>
    <n v="27.57"/>
    <n v="5310.51"/>
    <n v="27.57"/>
  </r>
  <r>
    <n v="65036"/>
    <s v="Volunteer Hospitality"/>
    <s v="08/13/2014"/>
    <s v="Expense"/>
    <m/>
    <x v="330"/>
    <x v="7"/>
    <x v="1"/>
    <x v="13"/>
    <m/>
    <s v="10414 BoA Chicago 8350"/>
    <n v="12.6"/>
    <n v="6087.2"/>
    <n v="12.6"/>
  </r>
  <r>
    <n v="65036"/>
    <s v="Volunteer Hospitality"/>
    <s v="09/09/2014"/>
    <s v="Expense"/>
    <m/>
    <x v="331"/>
    <x v="7"/>
    <x v="1"/>
    <x v="13"/>
    <m/>
    <s v="10414 BoA Chicago 8350"/>
    <n v="66.34"/>
    <n v="6624.25"/>
    <n v="66.34"/>
  </r>
  <r>
    <n v="65036"/>
    <s v="Volunteer Hospitality"/>
    <s v="09/19/2014"/>
    <s v="Expense"/>
    <m/>
    <x v="48"/>
    <x v="7"/>
    <x v="1"/>
    <x v="13"/>
    <m/>
    <s v="10414 BoA Chicago 8350"/>
    <n v="27.41"/>
    <n v="6700.63"/>
    <n v="27.41"/>
  </r>
  <r>
    <n v="65036"/>
    <s v="Volunteer Hospitality"/>
    <s v="09/29/2014"/>
    <s v="Expense"/>
    <m/>
    <x v="332"/>
    <x v="7"/>
    <x v="1"/>
    <x v="13"/>
    <m/>
    <s v="10414 BoA Chicago 8350"/>
    <n v="129.1"/>
    <n v="6829.73"/>
    <n v="129.1"/>
  </r>
  <r>
    <n v="65036"/>
    <s v="Volunteer Hospitality"/>
    <s v="09/29/2014"/>
    <s v="Expense"/>
    <m/>
    <x v="49"/>
    <x v="7"/>
    <x v="1"/>
    <x v="13"/>
    <m/>
    <s v="10414 BoA Chicago 8350"/>
    <n v="37.840000000000003"/>
    <n v="6893.54"/>
    <n v="37.840000000000003"/>
  </r>
  <r>
    <n v="65036"/>
    <s v="Volunteer Hospitality"/>
    <s v="10/07/2014"/>
    <s v="Expense"/>
    <m/>
    <x v="331"/>
    <x v="7"/>
    <x v="1"/>
    <x v="13"/>
    <m/>
    <s v="10414 BoA Chicago 8350"/>
    <n v="46.33"/>
    <n v="6987.19"/>
    <n v="46.33"/>
  </r>
  <r>
    <n v="65040"/>
    <s v="Supplies/Office Expense"/>
    <s v="08/18/2014"/>
    <s v="Expense"/>
    <m/>
    <x v="333"/>
    <x v="7"/>
    <x v="1"/>
    <x v="4"/>
    <m/>
    <s v="10414 BoA Chicago 8350"/>
    <n v="32.76"/>
    <n v="2399.65"/>
    <n v="32.76"/>
  </r>
  <r>
    <n v="65061"/>
    <s v="Material for Rooms"/>
    <s v="07/01/2014"/>
    <s v="Expense"/>
    <m/>
    <x v="148"/>
    <x v="7"/>
    <x v="1"/>
    <x v="5"/>
    <m/>
    <s v="10414 BoA Chicago 8350"/>
    <n v="70.16"/>
    <n v="195833.51"/>
    <n v="70.16"/>
  </r>
  <r>
    <n v="65061"/>
    <s v="Material for Rooms"/>
    <s v="07/01/2014"/>
    <s v="Expense"/>
    <m/>
    <x v="73"/>
    <x v="7"/>
    <x v="1"/>
    <x v="5"/>
    <m/>
    <s v="10414 BoA Chicago 8350"/>
    <n v="408.8"/>
    <n v="196242.31"/>
    <n v="408.8"/>
  </r>
  <r>
    <n v="65061"/>
    <s v="Material for Rooms"/>
    <s v="07/01/2014"/>
    <s v="Expense"/>
    <m/>
    <x v="19"/>
    <x v="7"/>
    <x v="1"/>
    <x v="5"/>
    <m/>
    <s v="10414 BoA Chicago 8350"/>
    <n v="239.24"/>
    <n v="196481.55"/>
    <n v="239.24"/>
  </r>
  <r>
    <n v="65061"/>
    <s v="Material for Rooms"/>
    <s v="07/02/2014"/>
    <s v="Expense"/>
    <m/>
    <x v="31"/>
    <x v="7"/>
    <x v="1"/>
    <x v="5"/>
    <m/>
    <s v="10414 BoA Chicago 8350"/>
    <n v="249.83"/>
    <n v="199233.23"/>
    <n v="249.83"/>
  </r>
  <r>
    <n v="65061"/>
    <s v="Material for Rooms"/>
    <s v="07/02/2014"/>
    <s v="Expense"/>
    <m/>
    <x v="39"/>
    <x v="7"/>
    <x v="1"/>
    <x v="5"/>
    <m/>
    <s v="10414 BoA Chicago 8350"/>
    <n v="151.05000000000001"/>
    <n v="199384.28"/>
    <n v="151.05000000000001"/>
  </r>
  <r>
    <n v="65061"/>
    <s v="Material for Rooms"/>
    <s v="07/02/2014"/>
    <s v="Expense"/>
    <m/>
    <x v="19"/>
    <x v="7"/>
    <x v="1"/>
    <x v="5"/>
    <m/>
    <s v="10414 BoA Chicago 8350"/>
    <n v="15"/>
    <n v="199399.28"/>
    <n v="15"/>
  </r>
  <r>
    <n v="65061"/>
    <s v="Material for Rooms"/>
    <s v="07/02/2014"/>
    <s v="Expense"/>
    <m/>
    <x v="19"/>
    <x v="7"/>
    <x v="1"/>
    <x v="5"/>
    <m/>
    <s v="10414 BoA Chicago 8350"/>
    <n v="74.36"/>
    <n v="199565.75"/>
    <n v="74.36"/>
  </r>
  <r>
    <n v="65061"/>
    <s v="Material for Rooms"/>
    <s v="07/02/2014"/>
    <s v="Expense"/>
    <m/>
    <x v="334"/>
    <x v="7"/>
    <x v="1"/>
    <x v="5"/>
    <m/>
    <s v="10414 BoA Chicago 8350"/>
    <n v="1169.95"/>
    <n v="200735.7"/>
    <n v="1169.95"/>
  </r>
  <r>
    <n v="65061"/>
    <s v="Material for Rooms"/>
    <s v="07/02/2014"/>
    <s v="Expense"/>
    <m/>
    <x v="19"/>
    <x v="7"/>
    <x v="1"/>
    <x v="5"/>
    <m/>
    <s v="10414 BoA Chicago 8350"/>
    <n v="213.44"/>
    <n v="200949.14"/>
    <n v="213.44"/>
  </r>
  <r>
    <n v="65061"/>
    <s v="Material for Rooms"/>
    <s v="07/02/2014"/>
    <s v="Expense"/>
    <m/>
    <x v="58"/>
    <x v="7"/>
    <x v="1"/>
    <x v="5"/>
    <m/>
    <s v="10414 BoA Chicago 8350"/>
    <n v="52.91"/>
    <n v="201054.94"/>
    <n v="52.91"/>
  </r>
  <r>
    <n v="65061"/>
    <s v="Material for Rooms"/>
    <s v="07/03/2014"/>
    <s v="Expense"/>
    <m/>
    <x v="26"/>
    <x v="7"/>
    <x v="1"/>
    <x v="5"/>
    <m/>
    <s v="10414 BoA Chicago 8350"/>
    <n v="58.14"/>
    <n v="201213.03"/>
    <n v="58.14"/>
  </r>
  <r>
    <n v="65061"/>
    <s v="Material for Rooms"/>
    <s v="07/03/2014"/>
    <s v="Expense"/>
    <m/>
    <x v="166"/>
    <x v="7"/>
    <x v="1"/>
    <x v="5"/>
    <m/>
    <s v="10414 BoA Chicago 8350"/>
    <n v="18.34"/>
    <n v="201220.25"/>
    <n v="18.34"/>
  </r>
  <r>
    <n v="65061"/>
    <s v="Material for Rooms"/>
    <s v="07/03/2014"/>
    <s v="Expense"/>
    <m/>
    <x v="73"/>
    <x v="7"/>
    <x v="1"/>
    <x v="5"/>
    <m/>
    <s v="10414 BoA Chicago 8350"/>
    <n v="105.69"/>
    <n v="201413.87"/>
    <n v="105.69"/>
  </r>
  <r>
    <n v="65061"/>
    <s v="Material for Rooms"/>
    <s v="07/07/2014"/>
    <s v="Deposit"/>
    <m/>
    <x v="39"/>
    <x v="7"/>
    <x v="1"/>
    <x v="5"/>
    <m/>
    <s v="10414 BoA Chicago 8350"/>
    <n v="-275.33999999999997"/>
    <n v="201138.53"/>
    <n v="-275.33999999999997"/>
  </r>
  <r>
    <n v="65061"/>
    <s v="Material for Rooms"/>
    <s v="07/07/2014"/>
    <s v="Expense"/>
    <m/>
    <x v="161"/>
    <x v="7"/>
    <x v="1"/>
    <x v="5"/>
    <m/>
    <s v="10414 BoA Chicago 8350"/>
    <n v="18.52"/>
    <n v="201157.05"/>
    <n v="18.52"/>
  </r>
  <r>
    <n v="65061"/>
    <s v="Material for Rooms"/>
    <s v="07/07/2014"/>
    <s v="Expense"/>
    <m/>
    <x v="58"/>
    <x v="7"/>
    <x v="1"/>
    <x v="5"/>
    <m/>
    <s v="10414 BoA Chicago 8350"/>
    <n v="55.91"/>
    <n v="201212.96"/>
    <n v="55.91"/>
  </r>
  <r>
    <n v="65061"/>
    <s v="Material for Rooms"/>
    <s v="07/07/2014"/>
    <s v="Expense"/>
    <m/>
    <x v="41"/>
    <x v="7"/>
    <x v="1"/>
    <x v="5"/>
    <m/>
    <s v="10414 BoA Chicago 8350"/>
    <n v="238.12"/>
    <n v="201451.08"/>
    <n v="238.12"/>
  </r>
  <r>
    <n v="65061"/>
    <s v="Material for Rooms"/>
    <s v="07/07/2014"/>
    <s v="Expense"/>
    <m/>
    <x v="16"/>
    <x v="7"/>
    <x v="1"/>
    <x v="5"/>
    <m/>
    <s v="10414 BoA Chicago 8350"/>
    <n v="68.709999999999994"/>
    <n v="201519.79"/>
    <n v="68.709999999999994"/>
  </r>
  <r>
    <n v="65061"/>
    <s v="Material for Rooms"/>
    <s v="07/07/2014"/>
    <s v="Expense"/>
    <m/>
    <x v="174"/>
    <x v="7"/>
    <x v="1"/>
    <x v="5"/>
    <m/>
    <s v="10414 BoA Chicago 8350"/>
    <n v="37.57"/>
    <n v="201557.36"/>
    <n v="37.57"/>
  </r>
  <r>
    <n v="65061"/>
    <s v="Material for Rooms"/>
    <s v="07/07/2014"/>
    <s v="Expense"/>
    <m/>
    <x v="19"/>
    <x v="7"/>
    <x v="1"/>
    <x v="5"/>
    <m/>
    <s v="10414 BoA Chicago 8350"/>
    <n v="60.49"/>
    <n v="201617.85"/>
    <n v="60.49"/>
  </r>
  <r>
    <n v="65061"/>
    <s v="Material for Rooms"/>
    <s v="07/07/2014"/>
    <s v="Deposit"/>
    <m/>
    <x v="29"/>
    <x v="7"/>
    <x v="1"/>
    <x v="5"/>
    <m/>
    <s v="10414 BoA Chicago 8350"/>
    <n v="-86.12"/>
    <n v="201531.73"/>
    <n v="-86.12"/>
  </r>
  <r>
    <n v="65061"/>
    <s v="Material for Rooms"/>
    <s v="07/07/2014"/>
    <s v="Expense"/>
    <m/>
    <x v="19"/>
    <x v="7"/>
    <x v="1"/>
    <x v="5"/>
    <m/>
    <s v="10414 BoA Chicago 8350"/>
    <n v="457.47"/>
    <n v="201989.2"/>
    <n v="457.47"/>
  </r>
  <r>
    <n v="65061"/>
    <s v="Material for Rooms"/>
    <s v="07/07/2014"/>
    <s v="Deposit"/>
    <m/>
    <x v="19"/>
    <x v="7"/>
    <x v="1"/>
    <x v="5"/>
    <m/>
    <s v="10414 BoA Chicago 8350"/>
    <n v="-320.42"/>
    <n v="201668.78"/>
    <n v="-320.42"/>
  </r>
  <r>
    <n v="65061"/>
    <s v="Material for Rooms"/>
    <s v="07/07/2014"/>
    <s v="Expense"/>
    <m/>
    <x v="168"/>
    <x v="7"/>
    <x v="1"/>
    <x v="5"/>
    <m/>
    <s v="10414 BoA Chicago 8350"/>
    <n v="60.4"/>
    <n v="201729.18"/>
    <n v="60.4"/>
  </r>
  <r>
    <n v="65061"/>
    <s v="Material for Rooms"/>
    <s v="07/07/2014"/>
    <s v="Expense"/>
    <m/>
    <x v="160"/>
    <x v="7"/>
    <x v="1"/>
    <x v="5"/>
    <m/>
    <s v="10414 BoA Chicago 8350"/>
    <n v="89.75"/>
    <n v="201818.93"/>
    <n v="89.75"/>
  </r>
  <r>
    <n v="65061"/>
    <s v="Material for Rooms"/>
    <s v="07/07/2014"/>
    <s v="Deposit"/>
    <m/>
    <x v="19"/>
    <x v="7"/>
    <x v="1"/>
    <x v="5"/>
    <m/>
    <s v="10414 BoA Chicago 8350"/>
    <n v="-261.19"/>
    <n v="201557.74"/>
    <n v="-261.19"/>
  </r>
  <r>
    <n v="65061"/>
    <s v="Material for Rooms"/>
    <s v="07/07/2014"/>
    <s v="Expense"/>
    <m/>
    <x v="19"/>
    <x v="7"/>
    <x v="1"/>
    <x v="5"/>
    <m/>
    <s v="10414 BoA Chicago 8350"/>
    <n v="248.76"/>
    <n v="202966.94"/>
    <n v="248.76"/>
  </r>
  <r>
    <n v="65061"/>
    <s v="Material for Rooms"/>
    <s v="07/07/2014"/>
    <s v="Expense"/>
    <m/>
    <x v="335"/>
    <x v="7"/>
    <x v="1"/>
    <x v="5"/>
    <m/>
    <s v="10414 BoA Chicago 8350"/>
    <n v="171.6"/>
    <n v="203138.54"/>
    <n v="171.6"/>
  </r>
  <r>
    <n v="65061"/>
    <s v="Material for Rooms"/>
    <s v="07/08/2014"/>
    <s v="Expense"/>
    <m/>
    <x v="19"/>
    <x v="7"/>
    <x v="1"/>
    <x v="5"/>
    <m/>
    <s v="10414 BoA Chicago 8350"/>
    <n v="16.190000000000001"/>
    <n v="203154.73"/>
    <n v="16.190000000000001"/>
  </r>
  <r>
    <n v="65061"/>
    <s v="Material for Rooms"/>
    <s v="07/08/2014"/>
    <s v="Expense"/>
    <m/>
    <x v="229"/>
    <x v="7"/>
    <x v="1"/>
    <x v="5"/>
    <m/>
    <s v="10414 BoA Chicago 8350"/>
    <n v="7.51"/>
    <n v="203162.23999999999"/>
    <n v="7.51"/>
  </r>
  <r>
    <n v="65061"/>
    <s v="Material for Rooms"/>
    <s v="07/08/2014"/>
    <s v="Expense"/>
    <m/>
    <x v="53"/>
    <x v="7"/>
    <x v="1"/>
    <x v="5"/>
    <m/>
    <s v="10414 BoA Chicago 8350"/>
    <n v="637.08000000000004"/>
    <n v="203799.32"/>
    <n v="637.08000000000004"/>
  </r>
  <r>
    <n v="65061"/>
    <s v="Material for Rooms"/>
    <s v="07/08/2014"/>
    <s v="Expense"/>
    <m/>
    <x v="186"/>
    <x v="7"/>
    <x v="1"/>
    <x v="5"/>
    <m/>
    <s v="10414 BoA Chicago 8350"/>
    <n v="26.79"/>
    <n v="203826.11"/>
    <n v="26.79"/>
  </r>
  <r>
    <n v="65061"/>
    <s v="Material for Rooms"/>
    <s v="07/08/2014"/>
    <s v="Expense"/>
    <m/>
    <x v="170"/>
    <x v="7"/>
    <x v="1"/>
    <x v="5"/>
    <m/>
    <s v="10414 BoA Chicago 8350"/>
    <n v="4.8600000000000003"/>
    <n v="203830.97"/>
    <n v="4.8600000000000003"/>
  </r>
  <r>
    <n v="65061"/>
    <s v="Material for Rooms"/>
    <s v="07/09/2014"/>
    <s v="Expense"/>
    <m/>
    <x v="58"/>
    <x v="7"/>
    <x v="1"/>
    <x v="5"/>
    <m/>
    <s v="10414 BoA Chicago 8350"/>
    <n v="37.909999999999997"/>
    <n v="203933.85"/>
    <n v="37.909999999999997"/>
  </r>
  <r>
    <n v="65061"/>
    <s v="Material for Rooms"/>
    <s v="07/09/2014"/>
    <s v="Expense"/>
    <m/>
    <x v="67"/>
    <x v="7"/>
    <x v="1"/>
    <x v="5"/>
    <m/>
    <s v="10414 BoA Chicago 8350"/>
    <n v="234.98"/>
    <n v="204168.83"/>
    <n v="234.98"/>
  </r>
  <r>
    <n v="65061"/>
    <s v="Material for Rooms"/>
    <s v="07/09/2014"/>
    <s v="Expense"/>
    <m/>
    <x v="118"/>
    <x v="7"/>
    <x v="1"/>
    <x v="5"/>
    <m/>
    <s v="10414 BoA Chicago 8350"/>
    <n v="16.34"/>
    <n v="204185.17"/>
    <n v="16.34"/>
  </r>
  <r>
    <n v="65061"/>
    <s v="Material for Rooms"/>
    <s v="07/09/2014"/>
    <s v="Expense"/>
    <m/>
    <x v="53"/>
    <x v="7"/>
    <x v="1"/>
    <x v="5"/>
    <m/>
    <s v="10414 BoA Chicago 8350"/>
    <n v="165.34"/>
    <n v="204350.51"/>
    <n v="165.34"/>
  </r>
  <r>
    <n v="65061"/>
    <s v="Material for Rooms"/>
    <s v="07/09/2014"/>
    <s v="Expense"/>
    <m/>
    <x v="166"/>
    <x v="7"/>
    <x v="1"/>
    <x v="5"/>
    <m/>
    <s v="10414 BoA Chicago 8350"/>
    <n v="1.6"/>
    <n v="204352.11"/>
    <n v="1.6"/>
  </r>
  <r>
    <n v="65061"/>
    <s v="Material for Rooms"/>
    <s v="07/10/2014"/>
    <s v="Deposit"/>
    <m/>
    <x v="174"/>
    <x v="7"/>
    <x v="1"/>
    <x v="5"/>
    <m/>
    <s v="10414 BoA Chicago 8350"/>
    <n v="-19.309999999999999"/>
    <n v="208160.6"/>
    <n v="-19.309999999999999"/>
  </r>
  <r>
    <n v="65061"/>
    <s v="Material for Rooms"/>
    <s v="07/10/2014"/>
    <s v="Expense"/>
    <m/>
    <x v="53"/>
    <x v="7"/>
    <x v="1"/>
    <x v="5"/>
    <m/>
    <s v="10414 BoA Chicago 8350"/>
    <n v="84.55"/>
    <n v="208245.15"/>
    <n v="84.55"/>
  </r>
  <r>
    <n v="65061"/>
    <s v="Material for Rooms"/>
    <s v="07/11/2014"/>
    <s v="Check"/>
    <n v="1045"/>
    <x v="201"/>
    <x v="7"/>
    <x v="1"/>
    <x v="5"/>
    <m/>
    <s v="10414 BoA Chicago 8350"/>
    <n v="287.17"/>
    <n v="209527.4"/>
    <n v="287.17"/>
  </r>
  <r>
    <n v="65061"/>
    <s v="Material for Rooms"/>
    <s v="07/14/2014"/>
    <s v="Expense"/>
    <m/>
    <x v="336"/>
    <x v="7"/>
    <x v="1"/>
    <x v="5"/>
    <m/>
    <s v="10414 BoA Chicago 8350"/>
    <n v="36.1"/>
    <n v="213665.99"/>
    <n v="36.1"/>
  </r>
  <r>
    <n v="65061"/>
    <s v="Material for Rooms"/>
    <s v="07/14/2014"/>
    <s v="Expense"/>
    <m/>
    <x v="19"/>
    <x v="7"/>
    <x v="1"/>
    <x v="5"/>
    <m/>
    <s v="10414 BoA Chicago 8350"/>
    <n v="101.47"/>
    <n v="213767.46"/>
    <n v="101.47"/>
  </r>
  <r>
    <n v="65061"/>
    <s v="Material for Rooms"/>
    <s v="07/14/2014"/>
    <s v="Deposit"/>
    <m/>
    <x v="58"/>
    <x v="7"/>
    <x v="1"/>
    <x v="5"/>
    <m/>
    <s v="10414 BoA Chicago 8350"/>
    <n v="-10.76"/>
    <n v="213756.7"/>
    <n v="-10.76"/>
  </r>
  <r>
    <n v="65061"/>
    <s v="Material for Rooms"/>
    <s v="07/16/2014"/>
    <s v="Deposit"/>
    <m/>
    <x v="19"/>
    <x v="7"/>
    <x v="1"/>
    <x v="5"/>
    <m/>
    <s v="10414 BoA Chicago 8350"/>
    <n v="-142.30000000000001"/>
    <n v="215133.64"/>
    <n v="-142.30000000000001"/>
  </r>
  <r>
    <n v="65061"/>
    <s v="Material for Rooms"/>
    <s v="07/16/2014"/>
    <s v="Deposit"/>
    <m/>
    <x v="19"/>
    <x v="7"/>
    <x v="1"/>
    <x v="5"/>
    <m/>
    <s v="10414 BoA Chicago 8350"/>
    <n v="-42.17"/>
    <n v="215091.47"/>
    <n v="-42.17"/>
  </r>
  <r>
    <n v="65061"/>
    <s v="Material for Rooms"/>
    <s v="07/16/2014"/>
    <s v="Deposit"/>
    <m/>
    <x v="19"/>
    <x v="7"/>
    <x v="1"/>
    <x v="5"/>
    <m/>
    <s v="10414 BoA Chicago 8350"/>
    <n v="-71.14"/>
    <n v="215020.33"/>
    <n v="-71.14"/>
  </r>
  <r>
    <n v="65061"/>
    <s v="Material for Rooms"/>
    <s v="07/17/2014"/>
    <s v="Deposit"/>
    <m/>
    <x v="160"/>
    <x v="7"/>
    <x v="1"/>
    <x v="5"/>
    <m/>
    <s v="10414 BoA Chicago 8350"/>
    <n v="-138.35"/>
    <n v="217883.31"/>
    <n v="-138.35"/>
  </r>
  <r>
    <n v="65061"/>
    <s v="Material for Rooms"/>
    <s v="07/18/2014"/>
    <s v="Check"/>
    <n v="1063"/>
    <x v="337"/>
    <x v="7"/>
    <x v="1"/>
    <x v="5"/>
    <m/>
    <s v="10414 BoA Chicago 8350"/>
    <n v="91.85"/>
    <n v="220283.06"/>
    <n v="91.85"/>
  </r>
  <r>
    <n v="65061"/>
    <s v="Material for Rooms"/>
    <s v="07/21/2014"/>
    <s v="Expense"/>
    <m/>
    <x v="338"/>
    <x v="7"/>
    <x v="1"/>
    <x v="5"/>
    <m/>
    <s v="10414 BoA Chicago 8350"/>
    <n v="8.0299999999999994"/>
    <n v="220943.07"/>
    <n v="8.0299999999999994"/>
  </r>
  <r>
    <n v="65061"/>
    <s v="Material for Rooms"/>
    <s v="07/21/2014"/>
    <s v="Deposit"/>
    <m/>
    <x v="67"/>
    <x v="7"/>
    <x v="1"/>
    <x v="5"/>
    <m/>
    <s v="10414 BoA Chicago 8350"/>
    <n v="-135.99"/>
    <n v="220807.08"/>
    <n v="-135.99"/>
  </r>
  <r>
    <n v="65061"/>
    <s v="Material for Rooms"/>
    <s v="07/28/2014"/>
    <s v="Expense"/>
    <m/>
    <x v="14"/>
    <x v="7"/>
    <x v="1"/>
    <x v="5"/>
    <m/>
    <s v="10414 BoA Chicago 8350"/>
    <n v="18.04"/>
    <n v="225790.79"/>
    <n v="18.04"/>
  </r>
  <r>
    <n v="65061"/>
    <s v="Material for Rooms"/>
    <s v="07/28/2014"/>
    <s v="Expense"/>
    <m/>
    <x v="53"/>
    <x v="7"/>
    <x v="1"/>
    <x v="5"/>
    <m/>
    <s v="10414 BoA Chicago 8350"/>
    <n v="58.42"/>
    <n v="225849.21"/>
    <n v="58.42"/>
  </r>
  <r>
    <n v="65061"/>
    <s v="Material for Rooms"/>
    <s v="07/28/2014"/>
    <s v="Expense"/>
    <m/>
    <x v="29"/>
    <x v="7"/>
    <x v="1"/>
    <x v="5"/>
    <m/>
    <s v="10414 BoA Chicago 8350"/>
    <n v="19.89"/>
    <n v="225869.1"/>
    <n v="19.89"/>
  </r>
  <r>
    <n v="65061"/>
    <s v="Material for Rooms"/>
    <s v="07/29/2014"/>
    <s v="Expense"/>
    <m/>
    <x v="114"/>
    <x v="7"/>
    <x v="1"/>
    <x v="5"/>
    <m/>
    <s v="10414 BoA Chicago 8350"/>
    <n v="18.43"/>
    <n v="226090.23999999999"/>
    <n v="18.43"/>
  </r>
  <r>
    <n v="65061"/>
    <s v="Material for Rooms"/>
    <s v="07/29/2014"/>
    <s v="Expense"/>
    <m/>
    <x v="156"/>
    <x v="7"/>
    <x v="1"/>
    <x v="5"/>
    <m/>
    <s v="10414 BoA Chicago 8350"/>
    <n v="13.56"/>
    <n v="226103.8"/>
    <n v="13.56"/>
  </r>
  <r>
    <n v="65061"/>
    <s v="Material for Rooms"/>
    <s v="08/04/2014"/>
    <s v="Deposit"/>
    <m/>
    <x v="339"/>
    <x v="7"/>
    <x v="1"/>
    <x v="5"/>
    <m/>
    <s v="10414 BoA Chicago 8350"/>
    <n v="-26.64"/>
    <n v="234384.52"/>
    <n v="-26.64"/>
  </r>
  <r>
    <n v="65061"/>
    <s v="Material for Rooms"/>
    <s v="08/04/2014"/>
    <s v="Expense"/>
    <m/>
    <x v="53"/>
    <x v="7"/>
    <x v="1"/>
    <x v="5"/>
    <m/>
    <s v="10414 BoA Chicago 8350"/>
    <n v="51.47"/>
    <n v="236027.66"/>
    <n v="51.47"/>
  </r>
  <r>
    <n v="65061"/>
    <s v="Material for Rooms"/>
    <s v="08/11/2014"/>
    <s v="Expense"/>
    <m/>
    <x v="161"/>
    <x v="7"/>
    <x v="1"/>
    <x v="5"/>
    <m/>
    <s v="10414 BoA Chicago 8350"/>
    <n v="136.15"/>
    <n v="239202.68"/>
    <n v="136.15"/>
  </r>
  <r>
    <n v="65061"/>
    <s v="Material for Rooms"/>
    <s v="08/14/2014"/>
    <s v="Expense"/>
    <m/>
    <x v="340"/>
    <x v="7"/>
    <x v="1"/>
    <x v="5"/>
    <m/>
    <s v="10414 BoA Chicago 8350"/>
    <n v="24"/>
    <n v="240333.35"/>
    <n v="24"/>
  </r>
  <r>
    <n v="65061"/>
    <s v="Material for Rooms"/>
    <s v="08/25/2014"/>
    <s v="Expense"/>
    <m/>
    <x v="162"/>
    <x v="7"/>
    <x v="1"/>
    <x v="5"/>
    <m/>
    <s v="10414 BoA Chicago 8350"/>
    <n v="30.49"/>
    <n v="243436.17"/>
    <n v="30.49"/>
  </r>
  <r>
    <n v="65061"/>
    <s v="Material for Rooms"/>
    <s v="08/25/2014"/>
    <s v="Expense"/>
    <m/>
    <x v="160"/>
    <x v="7"/>
    <x v="1"/>
    <x v="5"/>
    <m/>
    <s v="10414 BoA Chicago 8350"/>
    <n v="21.77"/>
    <n v="243757.96"/>
    <n v="21.77"/>
  </r>
  <r>
    <n v="65061"/>
    <s v="Material for Rooms"/>
    <s v="08/26/2014"/>
    <s v="Expense"/>
    <m/>
    <x v="170"/>
    <x v="7"/>
    <x v="1"/>
    <x v="5"/>
    <m/>
    <s v="10414 BoA Chicago 8350"/>
    <n v="12.94"/>
    <n v="244248.26"/>
    <n v="12.94"/>
  </r>
  <r>
    <n v="65061"/>
    <s v="Material for Rooms"/>
    <s v="08/26/2014"/>
    <s v="Expense"/>
    <m/>
    <x v="53"/>
    <x v="7"/>
    <x v="1"/>
    <x v="5"/>
    <m/>
    <s v="10414 BoA Chicago 8350"/>
    <n v="117.18"/>
    <n v="244365.44"/>
    <n v="117.18"/>
  </r>
  <r>
    <n v="65061"/>
    <s v="Material for Rooms"/>
    <s v="08/27/2014"/>
    <s v="Expense"/>
    <m/>
    <x v="39"/>
    <x v="7"/>
    <x v="1"/>
    <x v="5"/>
    <m/>
    <s v="10414 BoA Chicago 8350"/>
    <n v="36.520000000000003"/>
    <n v="244113.57"/>
    <n v="36.520000000000003"/>
  </r>
  <r>
    <n v="65061"/>
    <s v="Material for Rooms"/>
    <s v="08/28/2014"/>
    <s v="Check"/>
    <n v="1046"/>
    <x v="341"/>
    <x v="7"/>
    <x v="1"/>
    <x v="5"/>
    <m/>
    <s v="10414 BoA Chicago 8350"/>
    <n v="221.53"/>
    <n v="245045.17"/>
    <n v="221.53"/>
  </r>
  <r>
    <n v="65061"/>
    <s v="Material for Rooms"/>
    <s v="08/29/2014"/>
    <s v="Expense"/>
    <m/>
    <x v="66"/>
    <x v="7"/>
    <x v="1"/>
    <x v="5"/>
    <m/>
    <s v="10414 BoA Chicago 8350"/>
    <n v="137.05000000000001"/>
    <n v="245607.66"/>
    <n v="137.05000000000001"/>
  </r>
  <r>
    <n v="65061"/>
    <s v="Material for Rooms"/>
    <s v="09/02/2014"/>
    <s v="Expense"/>
    <m/>
    <x v="111"/>
    <x v="7"/>
    <x v="1"/>
    <x v="5"/>
    <m/>
    <s v="10414 BoA Chicago 8350"/>
    <n v="254.95"/>
    <n v="246835.25"/>
    <n v="254.95"/>
  </r>
  <r>
    <n v="65061"/>
    <s v="Material for Rooms"/>
    <s v="09/02/2014"/>
    <s v="Expense"/>
    <m/>
    <x v="342"/>
    <x v="7"/>
    <x v="1"/>
    <x v="5"/>
    <m/>
    <s v="10414 BoA Chicago 8350"/>
    <n v="29.95"/>
    <n v="246865.2"/>
    <n v="29.95"/>
  </r>
  <r>
    <n v="65061"/>
    <s v="Material for Rooms"/>
    <s v="09/02/2014"/>
    <s v="Expense"/>
    <m/>
    <x v="58"/>
    <x v="7"/>
    <x v="1"/>
    <x v="5"/>
    <m/>
    <s v="10414 BoA Chicago 8350"/>
    <n v="34.96"/>
    <n v="247432"/>
    <n v="34.96"/>
  </r>
  <r>
    <n v="65061"/>
    <s v="Material for Rooms"/>
    <s v="09/02/2014"/>
    <s v="Expense"/>
    <m/>
    <x v="343"/>
    <x v="7"/>
    <x v="1"/>
    <x v="5"/>
    <m/>
    <s v="10414 BoA Chicago 8350"/>
    <n v="35"/>
    <n v="247467"/>
    <n v="35"/>
  </r>
  <r>
    <n v="65061"/>
    <s v="Material for Rooms"/>
    <s v="09/02/2014"/>
    <s v="Expense"/>
    <m/>
    <x v="26"/>
    <x v="7"/>
    <x v="1"/>
    <x v="5"/>
    <m/>
    <s v="10414 BoA Chicago 8350"/>
    <n v="28.13"/>
    <n v="247495.13"/>
    <n v="28.13"/>
  </r>
  <r>
    <n v="65061"/>
    <s v="Material for Rooms"/>
    <s v="09/02/2014"/>
    <s v="Expense"/>
    <m/>
    <x v="170"/>
    <x v="7"/>
    <x v="1"/>
    <x v="5"/>
    <m/>
    <s v="10414 BoA Chicago 8350"/>
    <n v="16.16"/>
    <n v="247511.29"/>
    <n v="16.16"/>
  </r>
  <r>
    <n v="65061"/>
    <s v="Material for Rooms"/>
    <s v="09/02/2014"/>
    <s v="Expense"/>
    <m/>
    <x v="344"/>
    <x v="7"/>
    <x v="1"/>
    <x v="5"/>
    <m/>
    <s v="10414 BoA Chicago 8350"/>
    <n v="250"/>
    <n v="247761.29"/>
    <n v="250"/>
  </r>
  <r>
    <n v="65061"/>
    <s v="Material for Rooms"/>
    <s v="09/02/2014"/>
    <s v="Expense"/>
    <m/>
    <x v="174"/>
    <x v="7"/>
    <x v="1"/>
    <x v="5"/>
    <m/>
    <s v="10414 BoA Chicago 8350"/>
    <n v="13.95"/>
    <n v="247775.24"/>
    <n v="13.95"/>
  </r>
  <r>
    <n v="65061"/>
    <s v="Material for Rooms"/>
    <s v="09/02/2014"/>
    <s v="Expense"/>
    <m/>
    <x v="19"/>
    <x v="7"/>
    <x v="1"/>
    <x v="5"/>
    <m/>
    <s v="10414 BoA Chicago 8350"/>
    <n v="49.87"/>
    <n v="247825.11"/>
    <n v="49.87"/>
  </r>
  <r>
    <n v="65061"/>
    <s v="Material for Rooms"/>
    <s v="09/02/2014"/>
    <s v="Expense"/>
    <m/>
    <x v="345"/>
    <x v="7"/>
    <x v="1"/>
    <x v="5"/>
    <m/>
    <s v="10414 BoA Chicago 8350"/>
    <n v="80.11"/>
    <n v="247905.22"/>
    <n v="80.11"/>
  </r>
  <r>
    <n v="65061"/>
    <s v="Material for Rooms"/>
    <s v="09/03/2014"/>
    <s v="Expense"/>
    <m/>
    <x v="33"/>
    <x v="7"/>
    <x v="1"/>
    <x v="5"/>
    <m/>
    <s v="10414 BoA Chicago 8350"/>
    <n v="90.74"/>
    <n v="249149.45"/>
    <n v="90.74"/>
  </r>
  <r>
    <n v="65061"/>
    <s v="Material for Rooms"/>
    <s v="09/03/2014"/>
    <s v="Expense"/>
    <m/>
    <x v="33"/>
    <x v="7"/>
    <x v="1"/>
    <x v="5"/>
    <m/>
    <s v="10414 BoA Chicago 8350"/>
    <n v="280.77"/>
    <n v="249430.22"/>
    <n v="280.77"/>
  </r>
  <r>
    <n v="65061"/>
    <s v="Material for Rooms"/>
    <s v="09/03/2014"/>
    <s v="Expense"/>
    <m/>
    <x v="58"/>
    <x v="7"/>
    <x v="1"/>
    <x v="5"/>
    <m/>
    <s v="10414 BoA Chicago 8350"/>
    <n v="28.22"/>
    <n v="249458.44"/>
    <n v="28.22"/>
  </r>
  <r>
    <n v="65061"/>
    <s v="Material for Rooms"/>
    <s v="09/03/2014"/>
    <s v="Expense"/>
    <m/>
    <x v="41"/>
    <x v="7"/>
    <x v="1"/>
    <x v="5"/>
    <m/>
    <s v="10414 BoA Chicago 8350"/>
    <n v="5.27"/>
    <n v="249770.71"/>
    <n v="5.27"/>
  </r>
  <r>
    <n v="65061"/>
    <s v="Material for Rooms"/>
    <s v="09/03/2014"/>
    <s v="Expense"/>
    <m/>
    <x v="29"/>
    <x v="7"/>
    <x v="1"/>
    <x v="5"/>
    <m/>
    <s v="10414 BoA Chicago 8350"/>
    <n v="12.93"/>
    <n v="249783.64"/>
    <n v="12.93"/>
  </r>
  <r>
    <n v="65061"/>
    <s v="Material for Rooms"/>
    <s v="09/03/2014"/>
    <s v="Expense"/>
    <m/>
    <x v="53"/>
    <x v="7"/>
    <x v="1"/>
    <x v="5"/>
    <m/>
    <s v="10414 BoA Chicago 8350"/>
    <n v="117.18"/>
    <n v="250050.89"/>
    <n v="117.18"/>
  </r>
  <r>
    <n v="65061"/>
    <s v="Material for Rooms"/>
    <s v="09/04/2014"/>
    <s v="Expense"/>
    <m/>
    <x v="88"/>
    <x v="7"/>
    <x v="1"/>
    <x v="5"/>
    <m/>
    <s v="10414 BoA Chicago 8350"/>
    <n v="4.3099999999999996"/>
    <n v="250055.2"/>
    <n v="4.3099999999999996"/>
  </r>
  <r>
    <n v="65061"/>
    <s v="Material for Rooms"/>
    <s v="09/04/2014"/>
    <s v="Expense"/>
    <m/>
    <x v="73"/>
    <x v="7"/>
    <x v="1"/>
    <x v="5"/>
    <m/>
    <s v="10414 BoA Chicago 8350"/>
    <n v="265.25"/>
    <n v="249810.54"/>
    <n v="265.25"/>
  </r>
  <r>
    <n v="65061"/>
    <s v="Material for Rooms"/>
    <s v="09/04/2014"/>
    <s v="Expense"/>
    <m/>
    <x v="67"/>
    <x v="7"/>
    <x v="1"/>
    <x v="5"/>
    <m/>
    <s v="10414 BoA Chicago 8350"/>
    <n v="121.49"/>
    <n v="250267.01"/>
    <n v="121.49"/>
  </r>
  <r>
    <n v="65061"/>
    <s v="Material for Rooms"/>
    <s v="09/04/2014"/>
    <s v="Expense"/>
    <m/>
    <x v="31"/>
    <x v="7"/>
    <x v="1"/>
    <x v="5"/>
    <m/>
    <s v="10414 BoA Chicago 8350"/>
    <n v="34.47"/>
    <n v="250301.48"/>
    <n v="34.47"/>
  </r>
  <r>
    <n v="65061"/>
    <s v="Material for Rooms"/>
    <s v="09/04/2014"/>
    <s v="Expense"/>
    <m/>
    <x v="159"/>
    <x v="7"/>
    <x v="1"/>
    <x v="5"/>
    <m/>
    <s v="10414 BoA Chicago 8350"/>
    <n v="134"/>
    <n v="250245.62"/>
    <n v="134"/>
  </r>
  <r>
    <n v="65061"/>
    <s v="Material for Rooms"/>
    <s v="09/05/2014"/>
    <s v="Expense"/>
    <m/>
    <x v="346"/>
    <x v="7"/>
    <x v="1"/>
    <x v="5"/>
    <m/>
    <s v="10414 BoA Chicago 8350"/>
    <n v="465.07"/>
    <n v="250710.69"/>
    <n v="465.07"/>
  </r>
  <r>
    <n v="65061"/>
    <s v="Material for Rooms"/>
    <s v="09/05/2014"/>
    <s v="Expense"/>
    <m/>
    <x v="41"/>
    <x v="7"/>
    <x v="1"/>
    <x v="5"/>
    <m/>
    <s v="10414 BoA Chicago 8350"/>
    <n v="19.54"/>
    <n v="250687.24"/>
    <n v="19.54"/>
  </r>
  <r>
    <n v="65061"/>
    <s v="Material for Rooms"/>
    <s v="09/05/2014"/>
    <s v="Expense"/>
    <m/>
    <x v="171"/>
    <x v="7"/>
    <x v="1"/>
    <x v="5"/>
    <m/>
    <s v="10414 BoA Chicago 8350"/>
    <n v="5.39"/>
    <n v="250664.18"/>
    <n v="5.39"/>
  </r>
  <r>
    <n v="65061"/>
    <s v="Material for Rooms"/>
    <s v="09/05/2014"/>
    <s v="Expense"/>
    <m/>
    <x v="26"/>
    <x v="7"/>
    <x v="1"/>
    <x v="5"/>
    <m/>
    <s v="10414 BoA Chicago 8350"/>
    <n v="6.87"/>
    <n v="250783.05"/>
    <n v="6.87"/>
  </r>
  <r>
    <n v="65061"/>
    <s v="Material for Rooms"/>
    <s v="09/08/2014"/>
    <s v="Expense"/>
    <m/>
    <x v="347"/>
    <x v="7"/>
    <x v="1"/>
    <x v="5"/>
    <m/>
    <s v="10414 BoA Chicago 8350"/>
    <n v="234.99"/>
    <n v="251950.95"/>
    <n v="234.99"/>
  </r>
  <r>
    <n v="65061"/>
    <s v="Material for Rooms"/>
    <s v="09/08/2014"/>
    <s v="Expense"/>
    <m/>
    <x v="58"/>
    <x v="7"/>
    <x v="1"/>
    <x v="5"/>
    <m/>
    <s v="10414 BoA Chicago 8350"/>
    <n v="18.27"/>
    <n v="251969.22"/>
    <n v="18.27"/>
  </r>
  <r>
    <n v="65061"/>
    <s v="Material for Rooms"/>
    <s v="09/08/2014"/>
    <s v="Deposit"/>
    <m/>
    <x v="53"/>
    <x v="7"/>
    <x v="1"/>
    <x v="5"/>
    <m/>
    <s v="10414 BoA Chicago 8350"/>
    <n v="-117.18"/>
    <n v="251852.04"/>
    <n v="-117.18"/>
  </r>
  <r>
    <n v="65061"/>
    <s v="Material for Rooms"/>
    <s v="09/08/2014"/>
    <s v="Expense"/>
    <m/>
    <x v="53"/>
    <x v="7"/>
    <x v="1"/>
    <x v="5"/>
    <m/>
    <s v="10414 BoA Chicago 8350"/>
    <n v="23.3"/>
    <n v="251875.34"/>
    <n v="23.3"/>
  </r>
  <r>
    <n v="65061"/>
    <s v="Material for Rooms"/>
    <s v="09/08/2014"/>
    <s v="Expense"/>
    <m/>
    <x v="41"/>
    <x v="7"/>
    <x v="1"/>
    <x v="5"/>
    <m/>
    <s v="10414 BoA Chicago 8350"/>
    <n v="72.41"/>
    <n v="251947.75"/>
    <n v="72.41"/>
  </r>
  <r>
    <n v="65061"/>
    <s v="Material for Rooms"/>
    <s v="09/08/2014"/>
    <s v="Expense"/>
    <m/>
    <x v="348"/>
    <x v="7"/>
    <x v="1"/>
    <x v="5"/>
    <m/>
    <s v="10414 BoA Chicago 8350"/>
    <n v="29.09"/>
    <n v="251976.84"/>
    <n v="29.09"/>
  </r>
  <r>
    <n v="65061"/>
    <s v="Material for Rooms"/>
    <s v="09/09/2014"/>
    <s v="Expense"/>
    <m/>
    <x v="349"/>
    <x v="7"/>
    <x v="1"/>
    <x v="5"/>
    <m/>
    <s v="10414 BoA Chicago 8350"/>
    <n v="43.99"/>
    <n v="252020.83"/>
    <n v="43.99"/>
  </r>
  <r>
    <n v="65061"/>
    <s v="Material for Rooms"/>
    <s v="09/09/2014"/>
    <s v="Expense"/>
    <m/>
    <x v="148"/>
    <x v="7"/>
    <x v="1"/>
    <x v="5"/>
    <m/>
    <s v="10414 BoA Chicago 8350"/>
    <n v="72.709999999999994"/>
    <n v="252093.54"/>
    <n v="72.709999999999994"/>
  </r>
  <r>
    <n v="65061"/>
    <s v="Material for Rooms"/>
    <s v="09/09/2014"/>
    <s v="Expense"/>
    <m/>
    <x v="350"/>
    <x v="7"/>
    <x v="1"/>
    <x v="5"/>
    <m/>
    <s v="10414 BoA Chicago 8350"/>
    <n v="97.51"/>
    <n v="252191.05"/>
    <n v="97.51"/>
  </r>
  <r>
    <n v="65061"/>
    <s v="Material for Rooms"/>
    <s v="09/09/2014"/>
    <s v="Expense"/>
    <m/>
    <x v="41"/>
    <x v="7"/>
    <x v="1"/>
    <x v="5"/>
    <m/>
    <s v="10414 BoA Chicago 8350"/>
    <n v="73.39"/>
    <n v="252264.44"/>
    <n v="73.39"/>
  </r>
  <r>
    <n v="65061"/>
    <s v="Material for Rooms"/>
    <s v="09/09/2014"/>
    <s v="Expense"/>
    <m/>
    <x v="96"/>
    <x v="7"/>
    <x v="1"/>
    <x v="5"/>
    <m/>
    <s v="10414 BoA Chicago 8350"/>
    <n v="10.76"/>
    <n v="252274.2"/>
    <n v="10.76"/>
  </r>
  <r>
    <n v="65061"/>
    <s v="Material for Rooms"/>
    <s v="09/10/2014"/>
    <s v="Expense"/>
    <m/>
    <x v="33"/>
    <x v="7"/>
    <x v="1"/>
    <x v="5"/>
    <m/>
    <s v="10414 BoA Chicago 8350"/>
    <n v="35"/>
    <n v="252447.26"/>
    <n v="35"/>
  </r>
  <r>
    <n v="65061"/>
    <s v="Material for Rooms"/>
    <s v="09/10/2014"/>
    <s v="Expense"/>
    <m/>
    <x v="33"/>
    <x v="7"/>
    <x v="1"/>
    <x v="5"/>
    <m/>
    <s v="10414 BoA Chicago 8350"/>
    <n v="12.9"/>
    <n v="252460.16"/>
    <n v="12.9"/>
  </r>
  <r>
    <n v="65061"/>
    <s v="Material for Rooms"/>
    <s v="09/10/2014"/>
    <s v="Expense"/>
    <m/>
    <x v="193"/>
    <x v="7"/>
    <x v="1"/>
    <x v="5"/>
    <m/>
    <s v="10414 BoA Chicago 8350"/>
    <n v="109.58"/>
    <n v="252569.74"/>
    <n v="109.58"/>
  </r>
  <r>
    <n v="65061"/>
    <s v="Material for Rooms"/>
    <s v="09/10/2014"/>
    <s v="Expense"/>
    <m/>
    <x v="53"/>
    <x v="7"/>
    <x v="1"/>
    <x v="5"/>
    <m/>
    <s v="10414 BoA Chicago 8350"/>
    <n v="103.8"/>
    <n v="252673.54"/>
    <n v="103.8"/>
  </r>
  <r>
    <n v="65061"/>
    <s v="Material for Rooms"/>
    <s v="09/10/2014"/>
    <s v="Expense"/>
    <m/>
    <x v="166"/>
    <x v="7"/>
    <x v="1"/>
    <x v="5"/>
    <m/>
    <s v="10414 BoA Chicago 8350"/>
    <n v="4.32"/>
    <n v="252700.69"/>
    <n v="4.32"/>
  </r>
  <r>
    <n v="65061"/>
    <s v="Material for Rooms"/>
    <s v="09/10/2014"/>
    <s v="Expense"/>
    <m/>
    <x v="53"/>
    <x v="7"/>
    <x v="1"/>
    <x v="5"/>
    <m/>
    <s v="10414 BoA Chicago 8350"/>
    <n v="130.71"/>
    <n v="252831.4"/>
    <n v="130.71"/>
  </r>
  <r>
    <n v="65061"/>
    <s v="Material for Rooms"/>
    <s v="09/11/2014"/>
    <s v="Expense"/>
    <m/>
    <x v="170"/>
    <x v="7"/>
    <x v="1"/>
    <x v="5"/>
    <m/>
    <s v="10414 BoA Chicago 8350"/>
    <n v="9.69"/>
    <n v="253111.79"/>
    <n v="9.69"/>
  </r>
  <r>
    <n v="65061"/>
    <s v="Material for Rooms"/>
    <s v="09/11/2014"/>
    <s v="Expense"/>
    <m/>
    <x v="16"/>
    <x v="7"/>
    <x v="1"/>
    <x v="5"/>
    <m/>
    <s v="10414 BoA Chicago 8350"/>
    <n v="81.099999999999994"/>
    <n v="253341.4"/>
    <n v="81.099999999999994"/>
  </r>
  <r>
    <n v="65061"/>
    <s v="Material for Rooms"/>
    <s v="09/11/2014"/>
    <s v="Expense"/>
    <m/>
    <x v="29"/>
    <x v="7"/>
    <x v="1"/>
    <x v="5"/>
    <m/>
    <s v="10414 BoA Chicago 8350"/>
    <n v="56.73"/>
    <n v="253724.12"/>
    <n v="56.73"/>
  </r>
  <r>
    <n v="65061"/>
    <s v="Material for Rooms"/>
    <s v="09/11/2014"/>
    <s v="Expense"/>
    <m/>
    <x v="166"/>
    <x v="7"/>
    <x v="1"/>
    <x v="5"/>
    <m/>
    <s v="10414 BoA Chicago 8350"/>
    <n v="5.53"/>
    <n v="253729.65"/>
    <n v="5.53"/>
  </r>
  <r>
    <n v="65061"/>
    <s v="Material for Rooms"/>
    <s v="09/11/2014"/>
    <s v="Expense"/>
    <m/>
    <x v="39"/>
    <x v="7"/>
    <x v="1"/>
    <x v="5"/>
    <m/>
    <s v="10414 BoA Chicago 8350"/>
    <n v="119.59"/>
    <n v="253849.24"/>
    <n v="119.59"/>
  </r>
  <r>
    <n v="65061"/>
    <s v="Material for Rooms"/>
    <s v="09/12/2014"/>
    <s v="Expense"/>
    <m/>
    <x v="351"/>
    <x v="7"/>
    <x v="1"/>
    <x v="5"/>
    <m/>
    <s v="10414 BoA Chicago 8350"/>
    <n v="109.13"/>
    <n v="254131.36"/>
    <n v="109.13"/>
  </r>
  <r>
    <n v="65061"/>
    <s v="Material for Rooms"/>
    <s v="09/12/2014"/>
    <s v="Expense"/>
    <m/>
    <x v="16"/>
    <x v="7"/>
    <x v="1"/>
    <x v="5"/>
    <m/>
    <s v="10414 BoA Chicago 8350"/>
    <n v="15.1"/>
    <n v="254356.01"/>
    <n v="15.1"/>
  </r>
  <r>
    <n v="65061"/>
    <s v="Material for Rooms"/>
    <s v="09/15/2014"/>
    <s v="Expense"/>
    <m/>
    <x v="352"/>
    <x v="7"/>
    <x v="1"/>
    <x v="5"/>
    <m/>
    <s v="10414 BoA Chicago 8350"/>
    <n v="39.6"/>
    <n v="255504.3"/>
    <n v="39.6"/>
  </r>
  <r>
    <n v="65061"/>
    <s v="Material for Rooms"/>
    <s v="09/15/2014"/>
    <s v="Expense"/>
    <m/>
    <x v="19"/>
    <x v="7"/>
    <x v="1"/>
    <x v="5"/>
    <m/>
    <s v="10414 BoA Chicago 8350"/>
    <n v="13.96"/>
    <n v="255518.26"/>
    <n v="13.96"/>
  </r>
  <r>
    <n v="65061"/>
    <s v="Material for Rooms"/>
    <s v="09/17/2014"/>
    <s v="Expense"/>
    <m/>
    <x v="353"/>
    <x v="7"/>
    <x v="1"/>
    <x v="5"/>
    <m/>
    <s v="10414 BoA Chicago 8350"/>
    <n v="65.39"/>
    <n v="257082"/>
    <n v="65.39"/>
  </r>
  <r>
    <n v="65061"/>
    <s v="Material for Rooms"/>
    <s v="09/17/2014"/>
    <s v="Expense"/>
    <m/>
    <x v="29"/>
    <x v="7"/>
    <x v="1"/>
    <x v="5"/>
    <m/>
    <s v="10414 BoA Chicago 8350"/>
    <n v="12.02"/>
    <n v="257094.02"/>
    <n v="12.02"/>
  </r>
  <r>
    <n v="65061"/>
    <s v="Material for Rooms"/>
    <s v="09/19/2014"/>
    <s v="Check"/>
    <n v="1065"/>
    <x v="201"/>
    <x v="7"/>
    <x v="1"/>
    <x v="5"/>
    <m/>
    <s v="10414 BoA Chicago 8350"/>
    <n v="539.73"/>
    <n v="258558.96"/>
    <n v="539.73"/>
  </r>
  <r>
    <n v="65061"/>
    <s v="Material for Rooms"/>
    <s v="09/19/2014"/>
    <s v="Expense"/>
    <m/>
    <x v="233"/>
    <x v="7"/>
    <x v="1"/>
    <x v="5"/>
    <m/>
    <s v="10414 BoA Chicago 8350"/>
    <n v="200"/>
    <n v="258886.93"/>
    <n v="200"/>
  </r>
  <r>
    <n v="65061"/>
    <s v="Material for Rooms"/>
    <s v="09/22/2014"/>
    <s v="Expense"/>
    <m/>
    <x v="33"/>
    <x v="7"/>
    <x v="1"/>
    <x v="5"/>
    <m/>
    <s v="10414 BoA Chicago 8350"/>
    <n v="107.95"/>
    <n v="262035.4"/>
    <n v="107.95"/>
  </r>
  <r>
    <n v="65061"/>
    <s v="Material for Rooms"/>
    <s v="09/22/2014"/>
    <s v="Expense"/>
    <m/>
    <x v="73"/>
    <x v="7"/>
    <x v="1"/>
    <x v="5"/>
    <m/>
    <s v="10414 BoA Chicago 8350"/>
    <n v="8.69"/>
    <n v="262044.09"/>
    <n v="8.69"/>
  </r>
  <r>
    <n v="65061"/>
    <s v="Material for Rooms"/>
    <s v="09/22/2014"/>
    <s v="Expense"/>
    <m/>
    <x v="26"/>
    <x v="7"/>
    <x v="1"/>
    <x v="5"/>
    <m/>
    <s v="10414 BoA Chicago 8350"/>
    <n v="13.42"/>
    <n v="262057.51"/>
    <n v="13.42"/>
  </r>
  <r>
    <n v="65061"/>
    <s v="Material for Rooms"/>
    <s v="09/23/2014"/>
    <s v="Expense"/>
    <m/>
    <x v="53"/>
    <x v="7"/>
    <x v="1"/>
    <x v="5"/>
    <m/>
    <s v="10414 BoA Chicago 8350"/>
    <n v="57.02"/>
    <n v="265327.23"/>
    <n v="57.02"/>
  </r>
  <r>
    <n v="65061"/>
    <s v="Material for Rooms"/>
    <s v="09/24/2014"/>
    <s v="Deposit"/>
    <m/>
    <x v="161"/>
    <x v="7"/>
    <x v="1"/>
    <x v="5"/>
    <m/>
    <s v="10414 BoA Chicago 8350"/>
    <n v="-26.93"/>
    <n v="266966.81"/>
    <n v="-26.93"/>
  </r>
  <r>
    <n v="65061"/>
    <s v="Material for Rooms"/>
    <s v="09/24/2014"/>
    <s v="Expense"/>
    <m/>
    <x v="33"/>
    <x v="7"/>
    <x v="1"/>
    <x v="5"/>
    <m/>
    <s v="10414 BoA Chicago 8350"/>
    <n v="116.1"/>
    <n v="267228.84999999998"/>
    <n v="116.1"/>
  </r>
  <r>
    <n v="65061"/>
    <s v="Material for Rooms"/>
    <s v="09/24/2014"/>
    <s v="Expense"/>
    <m/>
    <x v="161"/>
    <x v="7"/>
    <x v="1"/>
    <x v="5"/>
    <m/>
    <s v="10414 BoA Chicago 8350"/>
    <n v="107.7"/>
    <n v="267336.55"/>
    <n v="107.7"/>
  </r>
  <r>
    <n v="65061"/>
    <s v="Material for Rooms"/>
    <s v="09/25/2014"/>
    <s v="Expense"/>
    <m/>
    <x v="67"/>
    <x v="7"/>
    <x v="1"/>
    <x v="5"/>
    <m/>
    <s v="10414 BoA Chicago 8350"/>
    <n v="167.67"/>
    <n v="267898.33"/>
    <n v="167.67"/>
  </r>
  <r>
    <n v="65061"/>
    <s v="Material for Rooms"/>
    <s v="09/25/2014"/>
    <s v="Expense"/>
    <m/>
    <x v="166"/>
    <x v="7"/>
    <x v="1"/>
    <x v="5"/>
    <m/>
    <s v="10414 BoA Chicago 8350"/>
    <n v="14.94"/>
    <n v="268376.46999999997"/>
    <n v="14.94"/>
  </r>
  <r>
    <n v="65061"/>
    <s v="Material for Rooms"/>
    <s v="09/26/2014"/>
    <s v="Expense"/>
    <m/>
    <x v="156"/>
    <x v="7"/>
    <x v="1"/>
    <x v="5"/>
    <m/>
    <s v="10414 BoA Chicago 8350"/>
    <n v="32.28"/>
    <n v="269521.08"/>
    <n v="32.28"/>
  </r>
  <r>
    <n v="65061"/>
    <s v="Material for Rooms"/>
    <s v="09/26/2014"/>
    <s v="Expense"/>
    <m/>
    <x v="67"/>
    <x v="7"/>
    <x v="1"/>
    <x v="5"/>
    <m/>
    <s v="10414 BoA Chicago 8350"/>
    <n v="454.28"/>
    <n v="269975.36"/>
    <n v="454.28"/>
  </r>
  <r>
    <n v="65061"/>
    <s v="Material for Rooms"/>
    <s v="09/26/2014"/>
    <s v="Expense"/>
    <m/>
    <x v="53"/>
    <x v="7"/>
    <x v="1"/>
    <x v="5"/>
    <m/>
    <s v="10414 BoA Chicago 8350"/>
    <n v="59.44"/>
    <n v="270070.82"/>
    <n v="59.44"/>
  </r>
  <r>
    <n v="65061"/>
    <s v="Material for Rooms"/>
    <s v="09/29/2014"/>
    <s v="Check"/>
    <n v="1067"/>
    <x v="173"/>
    <x v="7"/>
    <x v="1"/>
    <x v="5"/>
    <m/>
    <s v="10414 BoA Chicago 8350"/>
    <n v="217.82"/>
    <n v="271150.51"/>
    <n v="217.82"/>
  </r>
  <r>
    <n v="65061"/>
    <s v="Material for Rooms"/>
    <s v="09/29/2014"/>
    <s v="Check"/>
    <n v="1068"/>
    <x v="173"/>
    <x v="7"/>
    <x v="1"/>
    <x v="5"/>
    <m/>
    <s v="10414 BoA Chicago 8350"/>
    <n v="104.26"/>
    <n v="271254.77"/>
    <n v="104.26"/>
  </r>
  <r>
    <n v="65061"/>
    <s v="Material for Rooms"/>
    <s v="09/29/2014"/>
    <s v="Deposit"/>
    <m/>
    <x v="100"/>
    <x v="7"/>
    <x v="1"/>
    <x v="5"/>
    <m/>
    <s v="10414 BoA Chicago 8350"/>
    <n v="-21.57"/>
    <n v="271233.2"/>
    <n v="-21.57"/>
  </r>
  <r>
    <n v="65061"/>
    <s v="Material for Rooms"/>
    <s v="09/29/2014"/>
    <s v="Expense"/>
    <m/>
    <x v="26"/>
    <x v="7"/>
    <x v="1"/>
    <x v="5"/>
    <m/>
    <s v="10414 BoA Chicago 8350"/>
    <n v="54.13"/>
    <n v="271287.33"/>
    <n v="54.13"/>
  </r>
  <r>
    <n v="65061"/>
    <s v="Material for Rooms"/>
    <s v="09/29/2014"/>
    <s v="Expense"/>
    <m/>
    <x v="338"/>
    <x v="7"/>
    <x v="1"/>
    <x v="5"/>
    <m/>
    <s v="10414 BoA Chicago 8350"/>
    <n v="21.23"/>
    <n v="271308.56"/>
    <n v="21.23"/>
  </r>
  <r>
    <n v="65061"/>
    <s v="Material for Rooms"/>
    <s v="09/30/2014"/>
    <s v="Expense"/>
    <m/>
    <x v="137"/>
    <x v="7"/>
    <x v="1"/>
    <x v="5"/>
    <m/>
    <s v="10414 BoA Chicago 8350"/>
    <n v="24.58"/>
    <n v="273852.58"/>
    <n v="24.58"/>
  </r>
  <r>
    <n v="65061"/>
    <s v="Material for Rooms"/>
    <s v="09/30/2014"/>
    <s v="Expense"/>
    <m/>
    <x v="19"/>
    <x v="7"/>
    <x v="1"/>
    <x v="5"/>
    <m/>
    <s v="10414 BoA Chicago 8350"/>
    <n v="3.05"/>
    <n v="273855.63"/>
    <n v="3.05"/>
  </r>
  <r>
    <n v="65061"/>
    <s v="Material for Rooms"/>
    <s v="10/01/2014"/>
    <s v="Expense"/>
    <m/>
    <x v="160"/>
    <x v="7"/>
    <x v="1"/>
    <x v="5"/>
    <m/>
    <s v="10414 BoA Chicago 8350"/>
    <n v="37.97"/>
    <n v="274702.46000000002"/>
    <n v="37.97"/>
  </r>
  <r>
    <n v="65061"/>
    <s v="Material for Rooms"/>
    <s v="10/02/2014"/>
    <s v="Expense"/>
    <m/>
    <x v="200"/>
    <x v="7"/>
    <x v="1"/>
    <x v="5"/>
    <m/>
    <s v="10414 BoA Chicago 8350"/>
    <n v="7.55"/>
    <n v="276112.58"/>
    <n v="7.55"/>
  </r>
  <r>
    <n v="65061"/>
    <s v="Material for Rooms"/>
    <s v="10/03/2014"/>
    <s v="Expense"/>
    <m/>
    <x v="354"/>
    <x v="7"/>
    <x v="1"/>
    <x v="5"/>
    <m/>
    <s v="10414 BoA Chicago 8350"/>
    <n v="229.99"/>
    <n v="277208.84000000003"/>
    <n v="229.99"/>
  </r>
  <r>
    <n v="65061"/>
    <s v="Material for Rooms"/>
    <s v="10/06/2014"/>
    <s v="Expense"/>
    <m/>
    <x v="29"/>
    <x v="7"/>
    <x v="1"/>
    <x v="5"/>
    <m/>
    <s v="10414 BoA Chicago 8350"/>
    <n v="32.369999999999997"/>
    <n v="279022.53999999998"/>
    <n v="32.369999999999997"/>
  </r>
  <r>
    <n v="65061"/>
    <s v="Material for Rooms"/>
    <s v="10/06/2014"/>
    <s v="Deposit"/>
    <m/>
    <x v="67"/>
    <x v="7"/>
    <x v="1"/>
    <x v="5"/>
    <m/>
    <s v="10414 BoA Chicago 8350"/>
    <n v="-93.45"/>
    <n v="278929.09000000003"/>
    <n v="-93.45"/>
  </r>
  <r>
    <n v="65061"/>
    <s v="Material for Rooms"/>
    <s v="10/06/2014"/>
    <s v="Expense"/>
    <m/>
    <x v="19"/>
    <x v="7"/>
    <x v="1"/>
    <x v="5"/>
    <m/>
    <s v="10414 BoA Chicago 8350"/>
    <n v="9.11"/>
    <n v="278938.2"/>
    <n v="9.11"/>
  </r>
  <r>
    <n v="65061"/>
    <s v="Material for Rooms"/>
    <s v="10/06/2014"/>
    <s v="Expense"/>
    <m/>
    <x v="53"/>
    <x v="7"/>
    <x v="1"/>
    <x v="5"/>
    <m/>
    <s v="10414 BoA Chicago 8350"/>
    <n v="8.6199999999999992"/>
    <n v="280175.17"/>
    <n v="8.6199999999999992"/>
  </r>
  <r>
    <n v="65061"/>
    <s v="Material for Rooms"/>
    <s v="10/06/2014"/>
    <s v="Expense"/>
    <m/>
    <x v="355"/>
    <x v="7"/>
    <x v="1"/>
    <x v="5"/>
    <m/>
    <s v="10414 BoA Chicago 8350"/>
    <n v="57.32"/>
    <n v="280232.49"/>
    <n v="57.32"/>
  </r>
  <r>
    <n v="65061"/>
    <s v="Material for Rooms"/>
    <s v="10/08/2014"/>
    <s v="Expense"/>
    <m/>
    <x v="58"/>
    <x v="7"/>
    <x v="1"/>
    <x v="5"/>
    <m/>
    <s v="10414 BoA Chicago 8350"/>
    <n v="17.22"/>
    <n v="283128.44"/>
    <n v="17.22"/>
  </r>
  <r>
    <n v="65061"/>
    <s v="Material for Rooms"/>
    <s v="10/08/2014"/>
    <s v="Expense"/>
    <m/>
    <x v="160"/>
    <x v="7"/>
    <x v="1"/>
    <x v="5"/>
    <m/>
    <s v="10414 BoA Chicago 8350"/>
    <n v="122.26"/>
    <n v="285985.42"/>
    <n v="122.26"/>
  </r>
  <r>
    <n v="65061"/>
    <s v="Material for Rooms"/>
    <s v="10/09/2014"/>
    <s v="Expense"/>
    <m/>
    <x v="19"/>
    <x v="7"/>
    <x v="1"/>
    <x v="5"/>
    <m/>
    <s v="10414 BoA Chicago 8350"/>
    <n v="56.37"/>
    <n v="287968.90000000002"/>
    <n v="56.37"/>
  </r>
  <r>
    <n v="65061"/>
    <s v="Material for Rooms"/>
    <s v="10/10/2014"/>
    <s v="Expense"/>
    <m/>
    <x v="355"/>
    <x v="7"/>
    <x v="1"/>
    <x v="5"/>
    <m/>
    <s v="10414 BoA Chicago 8350"/>
    <n v="57.32"/>
    <n v="288865.27"/>
    <n v="57.32"/>
  </r>
  <r>
    <n v="65061"/>
    <s v="Material for Rooms"/>
    <s v="10/14/2014"/>
    <s v="Expense"/>
    <m/>
    <x v="142"/>
    <x v="7"/>
    <x v="1"/>
    <x v="5"/>
    <m/>
    <s v="10414 BoA Chicago 8350"/>
    <n v="143.62"/>
    <n v="289576.73"/>
    <n v="143.62"/>
  </r>
  <r>
    <n v="65061"/>
    <s v="Material for Rooms"/>
    <s v="10/14/2014"/>
    <s v="Expense"/>
    <m/>
    <x v="204"/>
    <x v="7"/>
    <x v="1"/>
    <x v="5"/>
    <m/>
    <s v="10414 BoA Chicago 8350"/>
    <n v="4.28"/>
    <n v="289581.01"/>
    <n v="4.28"/>
  </r>
  <r>
    <n v="65061"/>
    <s v="Material for Rooms"/>
    <s v="10/14/2014"/>
    <s v="Expense"/>
    <m/>
    <x v="73"/>
    <x v="7"/>
    <x v="1"/>
    <x v="5"/>
    <m/>
    <s v="10414 BoA Chicago 8350"/>
    <n v="56.65"/>
    <n v="289637.65999999997"/>
    <n v="56.65"/>
  </r>
  <r>
    <n v="65061"/>
    <s v="Material for Rooms"/>
    <s v="10/14/2014"/>
    <s v="Expense"/>
    <m/>
    <x v="160"/>
    <x v="7"/>
    <x v="1"/>
    <x v="5"/>
    <m/>
    <s v="10414 BoA Chicago 8350"/>
    <n v="210.86"/>
    <n v="289848.52"/>
    <n v="210.86"/>
  </r>
  <r>
    <n v="65061"/>
    <s v="Material for Rooms"/>
    <s v="10/14/2014"/>
    <s v="Expense"/>
    <m/>
    <x v="19"/>
    <x v="7"/>
    <x v="1"/>
    <x v="5"/>
    <m/>
    <s v="10414 BoA Chicago 8350"/>
    <n v="120.32"/>
    <n v="289968.84000000003"/>
    <n v="120.32"/>
  </r>
  <r>
    <n v="65061"/>
    <s v="Material for Rooms"/>
    <s v="10/15/2014"/>
    <s v="Expense"/>
    <m/>
    <x v="31"/>
    <x v="7"/>
    <x v="1"/>
    <x v="5"/>
    <m/>
    <s v="10414 BoA Chicago 8350"/>
    <n v="220.48"/>
    <n v="291444.05"/>
    <n v="220.48"/>
  </r>
  <r>
    <n v="65061"/>
    <s v="Material for Rooms"/>
    <s v="10/17/2014"/>
    <s v="Expense"/>
    <m/>
    <x v="19"/>
    <x v="7"/>
    <x v="1"/>
    <x v="5"/>
    <m/>
    <s v="10414 BoA Chicago 8350"/>
    <n v="52.97"/>
    <n v="295316.53999999998"/>
    <n v="52.97"/>
  </r>
  <r>
    <n v="65061"/>
    <s v="Material for Rooms"/>
    <s v="10/20/2014"/>
    <s v="Check"/>
    <n v="1069"/>
    <x v="201"/>
    <x v="7"/>
    <x v="1"/>
    <x v="5"/>
    <m/>
    <s v="10414 BoA Chicago 8350"/>
    <n v="187.96"/>
    <n v="296023.32"/>
    <n v="187.96"/>
  </r>
  <r>
    <n v="65061"/>
    <s v="Material for Rooms"/>
    <s v="10/20/2014"/>
    <s v="Expense"/>
    <m/>
    <x v="164"/>
    <x v="7"/>
    <x v="1"/>
    <x v="5"/>
    <m/>
    <s v="10414 BoA Chicago 8350"/>
    <n v="41.88"/>
    <n v="296065.2"/>
    <n v="41.88"/>
  </r>
  <r>
    <n v="65061"/>
    <s v="Material for Rooms"/>
    <s v="10/20/2014"/>
    <s v="Expense"/>
    <m/>
    <x v="73"/>
    <x v="7"/>
    <x v="1"/>
    <x v="5"/>
    <m/>
    <s v="10414 BoA Chicago 8350"/>
    <n v="107.83"/>
    <n v="296173.03000000003"/>
    <n v="107.83"/>
  </r>
  <r>
    <n v="65061"/>
    <s v="Material for Rooms"/>
    <s v="10/20/2014"/>
    <s v="Expense"/>
    <m/>
    <x v="41"/>
    <x v="7"/>
    <x v="1"/>
    <x v="5"/>
    <m/>
    <s v="10414 BoA Chicago 8350"/>
    <n v="38.369999999999997"/>
    <n v="296211.40000000002"/>
    <n v="38.369999999999997"/>
  </r>
  <r>
    <n v="65061"/>
    <s v="Material for Rooms"/>
    <s v="10/20/2014"/>
    <s v="Expense"/>
    <m/>
    <x v="192"/>
    <x v="7"/>
    <x v="1"/>
    <x v="5"/>
    <m/>
    <s v="10414 BoA Chicago 8350"/>
    <n v="16.760000000000002"/>
    <n v="296228.15999999997"/>
    <n v="16.760000000000002"/>
  </r>
  <r>
    <n v="65061"/>
    <s v="Material for Rooms"/>
    <s v="10/20/2014"/>
    <s v="Expense"/>
    <m/>
    <x v="162"/>
    <x v="7"/>
    <x v="1"/>
    <x v="5"/>
    <m/>
    <s v="10414 BoA Chicago 8350"/>
    <n v="8.6999999999999993"/>
    <n v="296236.86"/>
    <n v="8.6999999999999993"/>
  </r>
  <r>
    <n v="65061"/>
    <s v="Material for Rooms"/>
    <s v="10/20/2014"/>
    <s v="Expense"/>
    <m/>
    <x v="14"/>
    <x v="7"/>
    <x v="1"/>
    <x v="5"/>
    <m/>
    <s v="10414 BoA Chicago 8350"/>
    <n v="1.94"/>
    <n v="296238.8"/>
    <n v="1.94"/>
  </r>
  <r>
    <n v="65061"/>
    <s v="Material for Rooms"/>
    <s v="10/21/2014"/>
    <s v="Expense"/>
    <m/>
    <x v="356"/>
    <x v="7"/>
    <x v="1"/>
    <x v="5"/>
    <m/>
    <s v="10414 BoA Chicago 8350"/>
    <n v="367.58"/>
    <n v="296986.94"/>
    <n v="367.58"/>
  </r>
  <r>
    <n v="65061"/>
    <s v="Material for Rooms"/>
    <s v="10/21/2014"/>
    <s v="Expense"/>
    <m/>
    <x v="204"/>
    <x v="7"/>
    <x v="1"/>
    <x v="5"/>
    <m/>
    <s v="10414 BoA Chicago 8350"/>
    <n v="9.15"/>
    <n v="296996.09000000003"/>
    <n v="9.15"/>
  </r>
  <r>
    <n v="65061"/>
    <s v="Material for Rooms"/>
    <s v="10/21/2014"/>
    <s v="Expense"/>
    <m/>
    <x v="29"/>
    <x v="7"/>
    <x v="1"/>
    <x v="5"/>
    <m/>
    <s v="10414 BoA Chicago 8350"/>
    <n v="29.69"/>
    <n v="297025.78000000003"/>
    <n v="29.69"/>
  </r>
  <r>
    <n v="65061"/>
    <s v="Material for Rooms"/>
    <s v="10/22/2014"/>
    <s v="Expense"/>
    <m/>
    <x v="233"/>
    <x v="7"/>
    <x v="1"/>
    <x v="5"/>
    <m/>
    <s v="10414 BoA Chicago 8350"/>
    <n v="67.78"/>
    <n v="297280.28999999998"/>
    <n v="67.78"/>
  </r>
  <r>
    <n v="65061"/>
    <s v="Material for Rooms"/>
    <s v="10/22/2014"/>
    <s v="Expense"/>
    <m/>
    <x v="166"/>
    <x v="7"/>
    <x v="1"/>
    <x v="5"/>
    <m/>
    <s v="10414 BoA Chicago 8350"/>
    <n v="1.07"/>
    <n v="297349.36"/>
    <n v="1.07"/>
  </r>
  <r>
    <n v="65061"/>
    <s v="Material for Rooms"/>
    <s v="10/22/2014"/>
    <s v="Expense"/>
    <m/>
    <x v="58"/>
    <x v="7"/>
    <x v="1"/>
    <x v="5"/>
    <m/>
    <s v="10414 BoA Chicago 8350"/>
    <n v="43.55"/>
    <n v="297392.90999999997"/>
    <n v="43.55"/>
  </r>
  <r>
    <n v="65061"/>
    <s v="Material for Rooms"/>
    <s v="10/22/2014"/>
    <s v="Expense"/>
    <m/>
    <x v="53"/>
    <x v="7"/>
    <x v="1"/>
    <x v="5"/>
    <m/>
    <s v="10414 BoA Chicago 8350"/>
    <n v="6.22"/>
    <n v="297399.13"/>
    <n v="6.22"/>
  </r>
  <r>
    <n v="65061"/>
    <s v="Material for Rooms"/>
    <s v="10/23/2014"/>
    <s v="Expense"/>
    <m/>
    <x v="39"/>
    <x v="7"/>
    <x v="1"/>
    <x v="5"/>
    <m/>
    <s v="10414 BoA Chicago 8350"/>
    <n v="133.27000000000001"/>
    <n v="297619.51"/>
    <n v="133.27000000000001"/>
  </r>
  <r>
    <n v="65061"/>
    <s v="Material for Rooms"/>
    <s v="10/23/2014"/>
    <s v="Expense"/>
    <m/>
    <x v="16"/>
    <x v="7"/>
    <x v="1"/>
    <x v="5"/>
    <m/>
    <s v="10414 BoA Chicago 8350"/>
    <n v="45.18"/>
    <n v="297984.69"/>
    <n v="45.18"/>
  </r>
  <r>
    <n v="65061"/>
    <s v="Material for Rooms"/>
    <s v="10/24/2014"/>
    <s v="Expense"/>
    <m/>
    <x v="58"/>
    <x v="7"/>
    <x v="1"/>
    <x v="5"/>
    <m/>
    <s v="10414 BoA Chicago 8350"/>
    <n v="5.41"/>
    <n v="298721.68"/>
    <n v="5.41"/>
  </r>
  <r>
    <n v="65061"/>
    <s v="Material for Rooms"/>
    <s v="10/27/2014"/>
    <s v="Deposit"/>
    <m/>
    <x v="161"/>
    <x v="7"/>
    <x v="1"/>
    <x v="5"/>
    <m/>
    <s v="10414 BoA Chicago 8350"/>
    <n v="-18.260000000000002"/>
    <n v="298754.17"/>
    <n v="-18.260000000000002"/>
  </r>
  <r>
    <n v="65061"/>
    <s v="Material for Rooms"/>
    <s v="10/28/2014"/>
    <s v="Expense"/>
    <m/>
    <x v="19"/>
    <x v="7"/>
    <x v="1"/>
    <x v="5"/>
    <m/>
    <s v="10414 BoA Chicago 8350"/>
    <n v="113.11"/>
    <n v="299910.05"/>
    <n v="113.11"/>
  </r>
  <r>
    <n v="65061"/>
    <s v="Material for Rooms"/>
    <s v="10/28/2014"/>
    <s v="Expense"/>
    <m/>
    <x v="19"/>
    <x v="7"/>
    <x v="1"/>
    <x v="5"/>
    <m/>
    <s v="10414 BoA Chicago 8350"/>
    <n v="228.57"/>
    <n v="301793.44"/>
    <n v="228.57"/>
  </r>
  <r>
    <n v="65061"/>
    <s v="Material for Rooms"/>
    <s v="10/29/2014"/>
    <s v="Expense"/>
    <m/>
    <x v="67"/>
    <x v="7"/>
    <x v="1"/>
    <x v="5"/>
    <m/>
    <s v="10414 BoA Chicago 8350"/>
    <n v="44.33"/>
    <n v="302675.56"/>
    <n v="44.33"/>
  </r>
  <r>
    <n v="65061"/>
    <s v="Material for Rooms"/>
    <s v="10/29/2014"/>
    <s v="Expense"/>
    <m/>
    <x v="67"/>
    <x v="7"/>
    <x v="1"/>
    <x v="5"/>
    <m/>
    <s v="10414 BoA Chicago 8350"/>
    <n v="91.79"/>
    <n v="302767.34999999998"/>
    <n v="91.79"/>
  </r>
  <r>
    <n v="65061"/>
    <s v="Material for Rooms"/>
    <s v="10/29/2014"/>
    <s v="Expense"/>
    <m/>
    <x v="39"/>
    <x v="7"/>
    <x v="1"/>
    <x v="5"/>
    <m/>
    <s v="10414 BoA Chicago 8350"/>
    <n v="22.49"/>
    <n v="302934.07"/>
    <n v="22.49"/>
  </r>
  <r>
    <n v="65061"/>
    <s v="Material for Rooms"/>
    <s v="10/29/2014"/>
    <s v="Expense"/>
    <m/>
    <x v="19"/>
    <x v="7"/>
    <x v="1"/>
    <x v="5"/>
    <m/>
    <s v="10414 BoA Chicago 8350"/>
    <n v="29.74"/>
    <n v="302963.81"/>
    <n v="29.74"/>
  </r>
  <r>
    <n v="65061"/>
    <s v="Material for Rooms"/>
    <s v="10/29/2014"/>
    <s v="Expense"/>
    <m/>
    <x v="19"/>
    <x v="7"/>
    <x v="1"/>
    <x v="5"/>
    <m/>
    <s v="10414 BoA Chicago 8350"/>
    <n v="16.989999999999998"/>
    <n v="302980.8"/>
    <n v="16.989999999999998"/>
  </r>
  <r>
    <n v="65061"/>
    <s v="Material for Rooms"/>
    <s v="10/30/2014"/>
    <s v="Expense"/>
    <m/>
    <x v="39"/>
    <x v="7"/>
    <x v="1"/>
    <x v="5"/>
    <m/>
    <s v="10414 BoA Chicago 8350"/>
    <n v="588.5"/>
    <n v="304762.94"/>
    <n v="588.5"/>
  </r>
  <r>
    <n v="65061"/>
    <s v="Material for Rooms"/>
    <s v="10/30/2014"/>
    <s v="Expense"/>
    <m/>
    <x v="9"/>
    <x v="7"/>
    <x v="1"/>
    <x v="5"/>
    <m/>
    <s v="10414 BoA Chicago 8350"/>
    <n v="34.11"/>
    <n v="304797.05"/>
    <n v="34.11"/>
  </r>
  <r>
    <n v="65061"/>
    <s v="Material for Rooms"/>
    <s v="10/31/2014"/>
    <s v="Expense"/>
    <m/>
    <x v="160"/>
    <x v="7"/>
    <x v="1"/>
    <x v="5"/>
    <m/>
    <s v="10414 BoA Chicago 8350"/>
    <n v="332.92"/>
    <n v="306316.62"/>
    <n v="332.92"/>
  </r>
  <r>
    <n v="65095"/>
    <s v="Paypal Expense"/>
    <s v="09/29/2014"/>
    <s v="Journal Entry"/>
    <n v="689"/>
    <x v="0"/>
    <x v="7"/>
    <x v="4"/>
    <x v="19"/>
    <m/>
    <s v="-Split-"/>
    <n v="6.06"/>
    <n v="1009.51"/>
    <n v="6.06"/>
  </r>
  <r>
    <n v="43400"/>
    <s v="Direct Public Support"/>
    <s v="09/15/2014"/>
    <s v="Invoice"/>
    <n v="1005"/>
    <x v="145"/>
    <x v="0"/>
    <x v="0"/>
    <x v="1"/>
    <s v="St. Louis Room Makeover"/>
    <s v="11000 Accounts Receivable"/>
    <n v="5500"/>
    <n v="254747.42"/>
    <n v="-5500"/>
  </r>
  <r>
    <n v="65061"/>
    <s v="Material for Rooms"/>
    <s v="07/09/2014"/>
    <s v="Expense"/>
    <m/>
    <x v="329"/>
    <x v="18"/>
    <x v="1"/>
    <x v="5"/>
    <m/>
    <s v="10355 *US Bank- Dubuque-4021"/>
    <n v="1695"/>
    <n v="207625.47"/>
    <n v="1695"/>
  </r>
  <r>
    <n v="65061"/>
    <s v="Material for Rooms"/>
    <s v="07/10/2014"/>
    <s v="Expense"/>
    <m/>
    <x v="58"/>
    <x v="18"/>
    <x v="1"/>
    <x v="5"/>
    <m/>
    <s v="10355 *US Bank- Dubuque-4021"/>
    <n v="172.54"/>
    <n v="208683.72"/>
    <n v="172.54"/>
  </r>
  <r>
    <n v="65061"/>
    <s v="Material for Rooms"/>
    <s v="07/10/2014"/>
    <s v="Expense"/>
    <m/>
    <x v="73"/>
    <x v="18"/>
    <x v="1"/>
    <x v="5"/>
    <m/>
    <s v="10355 *US Bank- Dubuque-4021"/>
    <n v="250"/>
    <n v="208933.72"/>
    <n v="250"/>
  </r>
  <r>
    <n v="65061"/>
    <s v="Material for Rooms"/>
    <s v="07/10/2014"/>
    <s v="Expense"/>
    <m/>
    <x v="26"/>
    <x v="18"/>
    <x v="1"/>
    <x v="5"/>
    <m/>
    <s v="10355 *US Bank- Dubuque-4021"/>
    <n v="46.58"/>
    <n v="208980.3"/>
    <n v="46.58"/>
  </r>
  <r>
    <n v="65061"/>
    <s v="Material for Rooms"/>
    <s v="07/10/2014"/>
    <s v="Expense"/>
    <m/>
    <x v="357"/>
    <x v="18"/>
    <x v="1"/>
    <x v="5"/>
    <m/>
    <s v="10355 *US Bank- Dubuque-4021"/>
    <n v="31.95"/>
    <n v="209012.25"/>
    <n v="31.95"/>
  </r>
  <r>
    <n v="65061"/>
    <s v="Material for Rooms"/>
    <s v="07/14/2014"/>
    <s v="Expense"/>
    <m/>
    <x v="283"/>
    <x v="18"/>
    <x v="1"/>
    <x v="5"/>
    <m/>
    <s v="10355 *US Bank- Dubuque-4021"/>
    <n v="160.65"/>
    <n v="213917.35"/>
    <n v="160.65"/>
  </r>
  <r>
    <n v="65061"/>
    <s v="Material for Rooms"/>
    <s v="07/14/2014"/>
    <s v="Expense"/>
    <m/>
    <x v="29"/>
    <x v="18"/>
    <x v="1"/>
    <x v="5"/>
    <m/>
    <s v="10355 *US Bank- Dubuque-4021"/>
    <n v="214.03"/>
    <n v="214131.38"/>
    <n v="214.03"/>
  </r>
  <r>
    <n v="65061"/>
    <s v="Material for Rooms"/>
    <s v="07/14/2014"/>
    <s v="Expense"/>
    <m/>
    <x v="358"/>
    <x v="18"/>
    <x v="1"/>
    <x v="5"/>
    <m/>
    <s v="10355 *US Bank- Dubuque-4021"/>
    <n v="257.66000000000003"/>
    <n v="214389.04"/>
    <n v="257.66000000000003"/>
  </r>
  <r>
    <n v="65061"/>
    <s v="Material for Rooms"/>
    <s v="07/16/2014"/>
    <s v="Expense"/>
    <m/>
    <x v="311"/>
    <x v="18"/>
    <x v="1"/>
    <x v="5"/>
    <m/>
    <s v="10355 *US Bank- Dubuque-4021"/>
    <n v="59.68"/>
    <n v="215080.01"/>
    <n v="59.68"/>
  </r>
  <r>
    <n v="65061"/>
    <s v="Material for Rooms"/>
    <s v="07/16/2014"/>
    <s v="Expense"/>
    <m/>
    <x v="19"/>
    <x v="18"/>
    <x v="1"/>
    <x v="5"/>
    <m/>
    <s v="10355 *US Bank- Dubuque-4021"/>
    <n v="63.41"/>
    <n v="215143.42"/>
    <n v="63.41"/>
  </r>
  <r>
    <n v="65061"/>
    <s v="Material for Rooms"/>
    <s v="07/16/2014"/>
    <s v="Expense"/>
    <m/>
    <x v="19"/>
    <x v="18"/>
    <x v="1"/>
    <x v="5"/>
    <m/>
    <s v="10355 *US Bank- Dubuque-4021"/>
    <n v="217.94"/>
    <n v="215361.36"/>
    <n v="217.94"/>
  </r>
  <r>
    <n v="65061"/>
    <s v="Material for Rooms"/>
    <s v="07/17/2014"/>
    <s v="Expense"/>
    <m/>
    <x v="193"/>
    <x v="18"/>
    <x v="1"/>
    <x v="5"/>
    <m/>
    <s v="10355 *US Bank- Dubuque-4021"/>
    <n v="288.26"/>
    <n v="216475.01"/>
    <n v="288.26"/>
  </r>
  <r>
    <n v="65061"/>
    <s v="Material for Rooms"/>
    <s v="07/17/2014"/>
    <s v="Expense"/>
    <m/>
    <x v="288"/>
    <x v="18"/>
    <x v="1"/>
    <x v="5"/>
    <m/>
    <s v="10355 *US Bank- Dubuque-4021"/>
    <n v="335.5"/>
    <n v="216810.51"/>
    <n v="335.5"/>
  </r>
  <r>
    <n v="65061"/>
    <s v="Material for Rooms"/>
    <s v="07/18/2014"/>
    <s v="Expense"/>
    <m/>
    <x v="289"/>
    <x v="18"/>
    <x v="1"/>
    <x v="5"/>
    <m/>
    <s v="10355 *US Bank- Dubuque-4021"/>
    <n v="170.13"/>
    <n v="219484.71"/>
    <n v="170.13"/>
  </r>
  <r>
    <n v="65061"/>
    <s v="Material for Rooms"/>
    <s v="07/21/2014"/>
    <s v="Expense"/>
    <m/>
    <x v="193"/>
    <x v="18"/>
    <x v="1"/>
    <x v="5"/>
    <m/>
    <s v="10355 *US Bank- Dubuque-4021"/>
    <n v="44.67"/>
    <n v="222307.04"/>
    <n v="44.67"/>
  </r>
  <r>
    <n v="65061"/>
    <s v="Material for Rooms"/>
    <s v="07/21/2014"/>
    <s v="Deposit"/>
    <m/>
    <x v="358"/>
    <x v="18"/>
    <x v="1"/>
    <x v="5"/>
    <m/>
    <s v="10355 *US Bank- Dubuque-4021"/>
    <n v="-53.48"/>
    <n v="222253.56"/>
    <n v="-53.48"/>
  </r>
  <r>
    <n v="65061"/>
    <s v="Material for Rooms"/>
    <s v="07/21/2014"/>
    <s v="Deposit"/>
    <m/>
    <x v="193"/>
    <x v="18"/>
    <x v="1"/>
    <x v="5"/>
    <m/>
    <s v="10355 *US Bank- Dubuque-4021"/>
    <n v="-60.04"/>
    <n v="222193.52"/>
    <n v="-60.04"/>
  </r>
  <r>
    <n v="65061"/>
    <s v="Material for Rooms"/>
    <s v="07/21/2014"/>
    <s v="Expense"/>
    <m/>
    <x v="58"/>
    <x v="18"/>
    <x v="1"/>
    <x v="5"/>
    <m/>
    <s v="10355 *US Bank- Dubuque-4021"/>
    <n v="44.72"/>
    <n v="222238.24"/>
    <n v="44.72"/>
  </r>
  <r>
    <n v="65061"/>
    <s v="Material for Rooms"/>
    <s v="08/08/2014"/>
    <s v="Deposit"/>
    <m/>
    <x v="19"/>
    <x v="18"/>
    <x v="1"/>
    <x v="5"/>
    <m/>
    <s v="10355 *US Bank- Dubuque-4021"/>
    <n v="-39.57"/>
    <n v="238277.1"/>
    <n v="-39.57"/>
  </r>
  <r>
    <n v="65061"/>
    <s v="Material for Rooms"/>
    <s v="08/08/2014"/>
    <s v="Deposit"/>
    <m/>
    <x v="282"/>
    <x v="18"/>
    <x v="1"/>
    <x v="5"/>
    <m/>
    <s v="10355 *US Bank- Dubuque-4021"/>
    <n v="-32.06"/>
    <n v="238245.04"/>
    <n v="-32.06"/>
  </r>
  <r>
    <n v="65061"/>
    <s v="Material for Rooms"/>
    <s v="08/08/2014"/>
    <s v="Deposit"/>
    <m/>
    <x v="282"/>
    <x v="18"/>
    <x v="1"/>
    <x v="5"/>
    <m/>
    <s v="10355 *US Bank- Dubuque-4021"/>
    <n v="-41.69"/>
    <n v="238203.35"/>
    <n v="-41.69"/>
  </r>
  <r>
    <n v="65061"/>
    <s v="Material for Rooms"/>
    <s v="08/11/2014"/>
    <s v="Deposit"/>
    <m/>
    <x v="58"/>
    <x v="18"/>
    <x v="1"/>
    <x v="5"/>
    <m/>
    <s v="10355 *US Bank- Dubuque-4021"/>
    <n v="-45.47"/>
    <n v="239148.81"/>
    <n v="-45.47"/>
  </r>
  <r>
    <n v="65061"/>
    <s v="Material for Rooms"/>
    <s v="08/11/2014"/>
    <s v="Deposit"/>
    <m/>
    <x v="58"/>
    <x v="18"/>
    <x v="1"/>
    <x v="5"/>
    <m/>
    <s v="10355 *US Bank- Dubuque-4021"/>
    <n v="-34.700000000000003"/>
    <n v="239114.11"/>
    <n v="-34.700000000000003"/>
  </r>
  <r>
    <n v="65061"/>
    <s v="Material for Rooms"/>
    <s v="08/27/2014"/>
    <s v="Deposit"/>
    <m/>
    <x v="73"/>
    <x v="18"/>
    <x v="1"/>
    <x v="5"/>
    <m/>
    <s v="10355 *US Bank- Dubuque-4021"/>
    <n v="-250"/>
    <n v="244115.44"/>
    <n v="-250"/>
  </r>
  <r>
    <n v="65061"/>
    <s v="Material for Rooms"/>
    <s v="09/02/2014"/>
    <s v="Expense"/>
    <m/>
    <x v="19"/>
    <x v="18"/>
    <x v="1"/>
    <x v="5"/>
    <m/>
    <s v="10355 *US Bank- Dubuque-4021"/>
    <n v="126.07"/>
    <n v="245893.84"/>
    <n v="126.07"/>
  </r>
  <r>
    <n v="65061"/>
    <s v="Material for Rooms"/>
    <s v="09/02/2014"/>
    <s v="Expense"/>
    <m/>
    <x v="29"/>
    <x v="18"/>
    <x v="1"/>
    <x v="5"/>
    <m/>
    <s v="10355 *US Bank- Dubuque-4021"/>
    <n v="511.46"/>
    <n v="246580.3"/>
    <n v="511.46"/>
  </r>
  <r>
    <n v="65061"/>
    <s v="Material for Rooms"/>
    <s v="09/02/2014"/>
    <s v="Expense"/>
    <m/>
    <x v="359"/>
    <x v="18"/>
    <x v="1"/>
    <x v="5"/>
    <m/>
    <s v="10355 *US Bank- Dubuque-4021"/>
    <n v="140"/>
    <n v="248770.5"/>
    <n v="140"/>
  </r>
  <r>
    <n v="65061"/>
    <s v="Material for Rooms"/>
    <s v="09/02/2014"/>
    <s v="Expense"/>
    <m/>
    <x v="19"/>
    <x v="18"/>
    <x v="1"/>
    <x v="5"/>
    <m/>
    <s v="10355 *US Bank- Dubuque-4021"/>
    <n v="31.79"/>
    <n v="248912.19"/>
    <n v="31.79"/>
  </r>
  <r>
    <n v="65061"/>
    <s v="Material for Rooms"/>
    <s v="09/03/2014"/>
    <s v="Expense"/>
    <m/>
    <x v="19"/>
    <x v="18"/>
    <x v="1"/>
    <x v="5"/>
    <m/>
    <s v="10355 *US Bank- Dubuque-4021"/>
    <n v="132.62"/>
    <n v="249044.81"/>
    <n v="132.62"/>
  </r>
  <r>
    <n v="65061"/>
    <s v="Material for Rooms"/>
    <s v="09/03/2014"/>
    <s v="Expense"/>
    <m/>
    <x v="19"/>
    <x v="18"/>
    <x v="1"/>
    <x v="5"/>
    <m/>
    <s v="10355 *US Bank- Dubuque-4021"/>
    <n v="13.9"/>
    <n v="249058.71"/>
    <n v="13.9"/>
  </r>
  <r>
    <n v="65061"/>
    <s v="Material for Rooms"/>
    <s v="09/03/2014"/>
    <s v="Expense"/>
    <m/>
    <x v="360"/>
    <x v="18"/>
    <x v="1"/>
    <x v="5"/>
    <m/>
    <s v="10355 *US Bank- Dubuque-4021"/>
    <n v="307"/>
    <n v="249765.44"/>
    <n v="307"/>
  </r>
  <r>
    <n v="65061"/>
    <s v="Material for Rooms"/>
    <s v="09/08/2014"/>
    <s v="Expense"/>
    <m/>
    <x v="289"/>
    <x v="18"/>
    <x v="1"/>
    <x v="5"/>
    <m/>
    <s v="10355 *US Bank- Dubuque-4021"/>
    <n v="593.85"/>
    <n v="251376.9"/>
    <n v="593.85"/>
  </r>
  <r>
    <n v="65061"/>
    <s v="Material for Rooms"/>
    <s v="09/10/2014"/>
    <s v="Expense"/>
    <m/>
    <x v="283"/>
    <x v="18"/>
    <x v="1"/>
    <x v="5"/>
    <m/>
    <s v="10355 *US Bank- Dubuque-4021"/>
    <n v="120"/>
    <n v="252412.26"/>
    <n v="120"/>
  </r>
  <r>
    <n v="65061"/>
    <s v="Material for Rooms"/>
    <s v="09/11/2014"/>
    <s v="Expense"/>
    <m/>
    <x v="29"/>
    <x v="18"/>
    <x v="1"/>
    <x v="5"/>
    <m/>
    <s v="10355 *US Bank- Dubuque-4021"/>
    <n v="248.95"/>
    <n v="253102.1"/>
    <n v="248.95"/>
  </r>
  <r>
    <n v="65061"/>
    <s v="Material for Rooms"/>
    <s v="09/12/2014"/>
    <s v="Expense"/>
    <m/>
    <x v="58"/>
    <x v="18"/>
    <x v="1"/>
    <x v="5"/>
    <m/>
    <s v="10355 *US Bank- Dubuque-4021"/>
    <n v="135.01"/>
    <n v="254022.23"/>
    <n v="135.01"/>
  </r>
  <r>
    <n v="65061"/>
    <s v="Material for Rooms"/>
    <s v="09/16/2014"/>
    <s v="Expense"/>
    <m/>
    <x v="19"/>
    <x v="18"/>
    <x v="1"/>
    <x v="5"/>
    <m/>
    <s v="10355 *US Bank- Dubuque-4021"/>
    <n v="123.23"/>
    <n v="256376.8"/>
    <n v="123.23"/>
  </r>
  <r>
    <n v="65061"/>
    <s v="Material for Rooms"/>
    <s v="09/16/2014"/>
    <s v="Expense"/>
    <m/>
    <x v="19"/>
    <x v="18"/>
    <x v="1"/>
    <x v="5"/>
    <m/>
    <s v="10355 *US Bank- Dubuque-4021"/>
    <n v="197.91"/>
    <n v="256574.71"/>
    <n v="197.91"/>
  </r>
  <r>
    <n v="65061"/>
    <s v="Material for Rooms"/>
    <s v="09/16/2014"/>
    <s v="Deposit"/>
    <m/>
    <x v="19"/>
    <x v="18"/>
    <x v="1"/>
    <x v="5"/>
    <m/>
    <s v="10355 *US Bank- Dubuque-4021"/>
    <n v="-104.89"/>
    <n v="256626.5"/>
    <n v="-104.89"/>
  </r>
  <r>
    <n v="65061"/>
    <s v="Material for Rooms"/>
    <s v="09/16/2014"/>
    <s v="Expense"/>
    <m/>
    <x v="19"/>
    <x v="18"/>
    <x v="1"/>
    <x v="5"/>
    <m/>
    <s v="10355 *US Bank- Dubuque-4021"/>
    <n v="144.15"/>
    <n v="256786.65"/>
    <n v="144.15"/>
  </r>
  <r>
    <n v="65061"/>
    <s v="Material for Rooms"/>
    <s v="09/17/2014"/>
    <s v="Expense"/>
    <m/>
    <x v="19"/>
    <x v="18"/>
    <x v="1"/>
    <x v="5"/>
    <m/>
    <s v="10355 *US Bank- Dubuque-4021"/>
    <n v="63.59"/>
    <n v="256850.24"/>
    <n v="63.59"/>
  </r>
  <r>
    <n v="65061"/>
    <s v="Material for Rooms"/>
    <s v="09/22/2014"/>
    <s v="Expense"/>
    <m/>
    <x v="58"/>
    <x v="18"/>
    <x v="1"/>
    <x v="5"/>
    <m/>
    <s v="10355 *US Bank- Dubuque-4021"/>
    <n v="18.37"/>
    <n v="262547.84000000003"/>
    <n v="18.37"/>
  </r>
  <r>
    <n v="65061"/>
    <s v="Material for Rooms"/>
    <s v="09/22/2014"/>
    <s v="Expense"/>
    <m/>
    <x v="58"/>
    <x v="18"/>
    <x v="1"/>
    <x v="5"/>
    <m/>
    <s v="10355 *US Bank- Dubuque-4021"/>
    <n v="20.48"/>
    <n v="262568.32000000001"/>
    <n v="20.48"/>
  </r>
  <r>
    <n v="65061"/>
    <s v="Material for Rooms"/>
    <s v="09/22/2014"/>
    <s v="Expense"/>
    <m/>
    <x v="283"/>
    <x v="18"/>
    <x v="1"/>
    <x v="5"/>
    <m/>
    <s v="10355 *US Bank- Dubuque-4021"/>
    <n v="70.8"/>
    <n v="262639.12"/>
    <n v="70.8"/>
  </r>
  <r>
    <n v="65061"/>
    <s v="Material for Rooms"/>
    <s v="09/24/2014"/>
    <s v="Expense"/>
    <m/>
    <x v="16"/>
    <x v="18"/>
    <x v="1"/>
    <x v="5"/>
    <m/>
    <s v="10355 *US Bank- Dubuque-4021"/>
    <n v="60.6"/>
    <n v="267027.40999999997"/>
    <n v="60.6"/>
  </r>
  <r>
    <n v="65061"/>
    <s v="Material for Rooms"/>
    <s v="09/24/2014"/>
    <s v="Expense"/>
    <m/>
    <x v="29"/>
    <x v="18"/>
    <x v="1"/>
    <x v="5"/>
    <m/>
    <s v="10355 *US Bank- Dubuque-4021"/>
    <n v="85.34"/>
    <n v="267112.75"/>
    <n v="85.34"/>
  </r>
  <r>
    <n v="65061"/>
    <s v="Material for Rooms"/>
    <s v="09/25/2014"/>
    <s v="Expense"/>
    <m/>
    <x v="311"/>
    <x v="18"/>
    <x v="1"/>
    <x v="5"/>
    <m/>
    <s v="10355 *US Bank- Dubuque-4021"/>
    <n v="121.12"/>
    <n v="268386.01"/>
    <n v="121.12"/>
  </r>
  <r>
    <n v="65061"/>
    <s v="Material for Rooms"/>
    <s v="09/25/2014"/>
    <s v="Deposit"/>
    <m/>
    <x v="282"/>
    <x v="18"/>
    <x v="1"/>
    <x v="5"/>
    <m/>
    <s v="10355 *US Bank- Dubuque-4021"/>
    <n v="-24.48"/>
    <n v="268361.53000000003"/>
    <n v="-24.48"/>
  </r>
  <r>
    <n v="65061"/>
    <s v="Material for Rooms"/>
    <s v="09/26/2014"/>
    <s v="Expense"/>
    <m/>
    <x v="193"/>
    <x v="18"/>
    <x v="1"/>
    <x v="5"/>
    <m/>
    <s v="10355 *US Bank- Dubuque-4021"/>
    <n v="40.79"/>
    <n v="269488.8"/>
    <n v="40.79"/>
  </r>
  <r>
    <n v="65061"/>
    <s v="Material for Rooms"/>
    <s v="09/26/2014"/>
    <s v="Expense"/>
    <m/>
    <x v="58"/>
    <x v="18"/>
    <x v="1"/>
    <x v="5"/>
    <m/>
    <s v="10355 *US Bank- Dubuque-4021"/>
    <n v="44.44"/>
    <n v="270011.38"/>
    <n v="44.44"/>
  </r>
  <r>
    <n v="43400"/>
    <s v="Direct Public Support"/>
    <s v="09/16/2014"/>
    <s v="Journal Entry"/>
    <n v="670"/>
    <x v="0"/>
    <x v="0"/>
    <x v="0"/>
    <x v="1"/>
    <s v="Wear it and Share it"/>
    <s v="-Split-"/>
    <n v="170"/>
    <n v="256017.42"/>
    <n v="-170"/>
  </r>
  <r>
    <n v="43400"/>
    <s v="Direct Public Support"/>
    <s v="09/17/2014"/>
    <s v="Deposit"/>
    <m/>
    <x v="3"/>
    <x v="0"/>
    <x v="0"/>
    <x v="1"/>
    <m/>
    <s v="10180 BofA Spec Spaces National 4695"/>
    <n v="24.55"/>
    <n v="256691.97"/>
    <n v="-24.55"/>
  </r>
  <r>
    <n v="43400"/>
    <s v="Direct Public Support"/>
    <s v="09/29/2014"/>
    <s v="Journal Entry"/>
    <n v="689"/>
    <x v="0"/>
    <x v="0"/>
    <x v="0"/>
    <x v="1"/>
    <m/>
    <s v="-Split-"/>
    <n v="200"/>
    <n v="259041.97"/>
    <n v="-200"/>
  </r>
  <r>
    <n v="43400"/>
    <s v="Direct Public Support"/>
    <s v="09/29/2014"/>
    <s v="Journal Entry"/>
    <n v="695"/>
    <x v="0"/>
    <x v="0"/>
    <x v="0"/>
    <x v="1"/>
    <s v="National's 15% of Design a dream - reclassify"/>
    <s v="-Split-"/>
    <n v="-3489.76"/>
    <n v="259641.97"/>
    <n v="3489.76"/>
  </r>
  <r>
    <n v="43400"/>
    <s v="Direct Public Support"/>
    <s v="10/13/2014"/>
    <s v="Journal Entry"/>
    <n v="716"/>
    <x v="0"/>
    <x v="0"/>
    <x v="0"/>
    <x v="1"/>
    <m/>
    <s v="-Split-"/>
    <n v="0.1"/>
    <n v="277797.52"/>
    <n v="-0.1"/>
  </r>
  <r>
    <n v="43400"/>
    <s v="Direct Public Support"/>
    <s v="10/14/2014"/>
    <s v="Deposit"/>
    <m/>
    <x v="361"/>
    <x v="0"/>
    <x v="0"/>
    <x v="1"/>
    <m/>
    <s v="10125 BofA Restricted Funds -055:National"/>
    <n v="6000"/>
    <n v="284998.89"/>
    <n v="-6000"/>
  </r>
  <r>
    <n v="43400"/>
    <s v="Direct Public Support"/>
    <s v="10/14/2014"/>
    <s v="Journal Entry"/>
    <n v="724"/>
    <x v="0"/>
    <x v="0"/>
    <x v="0"/>
    <x v="1"/>
    <s v="paypal"/>
    <s v="-Split-"/>
    <n v="1"/>
    <n v="284999.89"/>
    <n v="-1"/>
  </r>
  <r>
    <n v="43400"/>
    <s v="Direct Public Support"/>
    <s v="10/14/2014"/>
    <s v="Check"/>
    <n v="1005"/>
    <x v="292"/>
    <x v="0"/>
    <x v="0"/>
    <x v="1"/>
    <m/>
    <s v="10181 *US Bank National 5014"/>
    <n v="-6000"/>
    <n v="279199.89"/>
    <n v="6000"/>
  </r>
  <r>
    <n v="43400"/>
    <s v="Direct Public Support"/>
    <s v="10/21/2014"/>
    <s v="Deposit"/>
    <m/>
    <x v="3"/>
    <x v="0"/>
    <x v="0"/>
    <x v="1"/>
    <m/>
    <s v="10180 BofA Spec Spaces National 4695"/>
    <n v="24.55"/>
    <n v="286147.44"/>
    <n v="-24.55"/>
  </r>
  <r>
    <n v="43440"/>
    <s v="Gifts in Kind - Goods"/>
    <s v="03/15/2014"/>
    <s v="Journal Entry"/>
    <n v="487"/>
    <x v="0"/>
    <x v="19"/>
    <x v="3"/>
    <x v="9"/>
    <s v="building materials"/>
    <s v="-Split-"/>
    <n v="406.43"/>
    <n v="14379.38"/>
    <n v="-406.43"/>
  </r>
  <r>
    <n v="65015"/>
    <s v="Travel Expense"/>
    <s v="01/16/2014"/>
    <s v="Check"/>
    <m/>
    <x v="362"/>
    <x v="19"/>
    <x v="1"/>
    <x v="15"/>
    <m/>
    <s v="10531 BofA Knoxville"/>
    <n v="52.62"/>
    <n v="87.7"/>
    <n v="52.62"/>
  </r>
  <r>
    <n v="65015"/>
    <s v="Travel Expense"/>
    <s v="01/21/2014"/>
    <s v="Check"/>
    <m/>
    <x v="101"/>
    <x v="19"/>
    <x v="1"/>
    <x v="15"/>
    <m/>
    <s v="10531 BofA Knoxville"/>
    <n v="90"/>
    <n v="177.7"/>
    <n v="90"/>
  </r>
  <r>
    <n v="65015"/>
    <s v="Travel Expense"/>
    <s v="01/21/2014"/>
    <s v="Check"/>
    <m/>
    <x v="362"/>
    <x v="19"/>
    <x v="1"/>
    <x v="15"/>
    <m/>
    <s v="10531 BofA Knoxville"/>
    <n v="74.34"/>
    <n v="494.04"/>
    <n v="74.34"/>
  </r>
  <r>
    <n v="65015"/>
    <s v="Travel Expense"/>
    <s v="02/18/2014"/>
    <s v="Check"/>
    <m/>
    <x v="363"/>
    <x v="19"/>
    <x v="1"/>
    <x v="15"/>
    <m/>
    <s v="10531 BofA Knoxville"/>
    <n v="53.71"/>
    <n v="1225.98"/>
    <n v="53.71"/>
  </r>
  <r>
    <n v="65015"/>
    <s v="Travel Expense"/>
    <s v="03/17/2014"/>
    <s v="Check"/>
    <m/>
    <x v="363"/>
    <x v="19"/>
    <x v="1"/>
    <x v="15"/>
    <m/>
    <s v="10531 BofA Knoxville"/>
    <n v="90"/>
    <n v="2790.26"/>
    <n v="90"/>
  </r>
  <r>
    <n v="65015"/>
    <s v="Travel Expense"/>
    <s v="05/12/2014"/>
    <s v="Expense"/>
    <m/>
    <x v="364"/>
    <x v="19"/>
    <x v="1"/>
    <x v="15"/>
    <m/>
    <s v="10531 BofA Knoxville"/>
    <n v="21.5"/>
    <n v="3074.18"/>
    <n v="21.5"/>
  </r>
  <r>
    <n v="65015"/>
    <s v="Travel Expense"/>
    <s v="06/23/2014"/>
    <s v="Expense"/>
    <m/>
    <x v="364"/>
    <x v="19"/>
    <x v="1"/>
    <x v="15"/>
    <m/>
    <s v="10531 BofA Knoxville"/>
    <n v="63.78"/>
    <n v="3365.42"/>
    <n v="63.78"/>
  </r>
  <r>
    <n v="65015"/>
    <s v="Travel Expense"/>
    <s v="06/25/2014"/>
    <s v="Expense"/>
    <m/>
    <x v="101"/>
    <x v="19"/>
    <x v="1"/>
    <x v="15"/>
    <m/>
    <s v="10531 BofA Knoxville"/>
    <n v="63.53"/>
    <n v="3698.95"/>
    <n v="63.53"/>
  </r>
  <r>
    <n v="65015"/>
    <s v="Travel Expense"/>
    <s v="06/26/2014"/>
    <s v="Expense"/>
    <m/>
    <x v="101"/>
    <x v="19"/>
    <x v="1"/>
    <x v="15"/>
    <m/>
    <s v="10531 BofA Knoxville"/>
    <n v="8.26"/>
    <n v="3707.21"/>
    <n v="8.26"/>
  </r>
  <r>
    <n v="65015"/>
    <s v="Travel Expense"/>
    <s v="06/26/2014"/>
    <s v="Expense"/>
    <m/>
    <x v="363"/>
    <x v="19"/>
    <x v="1"/>
    <x v="15"/>
    <m/>
    <s v="10531 BofA Knoxville"/>
    <n v="58"/>
    <n v="3765.21"/>
    <n v="58"/>
  </r>
  <r>
    <n v="65025"/>
    <s v="Bank Service Charges"/>
    <s v="06/27/2014"/>
    <s v="Expense"/>
    <m/>
    <x v="92"/>
    <x v="19"/>
    <x v="1"/>
    <x v="14"/>
    <m/>
    <s v="10531 BofA Knoxville"/>
    <n v="35"/>
    <n v="1603.91"/>
    <n v="35"/>
  </r>
  <r>
    <n v="65036"/>
    <s v="Volunteer Hospitality"/>
    <s v="05/12/2014"/>
    <s v="Expense"/>
    <m/>
    <x v="149"/>
    <x v="19"/>
    <x v="1"/>
    <x v="13"/>
    <m/>
    <s v="10531 BofA Knoxville"/>
    <n v="45"/>
    <n v="4577.1499999999996"/>
    <n v="45"/>
  </r>
  <r>
    <n v="65036"/>
    <s v="Volunteer Hospitality"/>
    <s v="05/12/2014"/>
    <s v="Expense"/>
    <m/>
    <x v="365"/>
    <x v="19"/>
    <x v="1"/>
    <x v="13"/>
    <m/>
    <s v="10531 BofA Knoxville"/>
    <n v="90"/>
    <n v="4730.09"/>
    <n v="90"/>
  </r>
  <r>
    <n v="65036"/>
    <s v="Volunteer Hospitality"/>
    <s v="06/25/2014"/>
    <s v="Expense"/>
    <m/>
    <x v="366"/>
    <x v="19"/>
    <x v="1"/>
    <x v="13"/>
    <m/>
    <s v="10531 BofA Knoxville"/>
    <n v="123.1"/>
    <n v="5232.29"/>
    <n v="123.1"/>
  </r>
  <r>
    <n v="65061"/>
    <s v="Material for Rooms Expense"/>
    <s v="01/13/2014"/>
    <s v="Check"/>
    <m/>
    <x v="19"/>
    <x v="19"/>
    <x v="1"/>
    <x v="5"/>
    <m/>
    <s v="10531 BofA Knoxville"/>
    <n v="55.98"/>
    <n v="1647.75"/>
    <n v="55.98"/>
  </r>
  <r>
    <n v="65061"/>
    <s v="Material for Rooms Expense"/>
    <s v="01/13/2014"/>
    <s v="Check"/>
    <m/>
    <x v="23"/>
    <x v="19"/>
    <x v="1"/>
    <x v="5"/>
    <m/>
    <s v="10531 BofA Knoxville"/>
    <n v="309.98"/>
    <n v="1957.73"/>
    <n v="309.98"/>
  </r>
  <r>
    <n v="65061"/>
    <s v="Material for Rooms Expense"/>
    <s v="01/14/2014"/>
    <s v="Check"/>
    <m/>
    <x v="367"/>
    <x v="19"/>
    <x v="1"/>
    <x v="5"/>
    <m/>
    <s v="10531 BofA Knoxville"/>
    <n v="77.94"/>
    <n v="3809.98"/>
    <n v="77.94"/>
  </r>
  <r>
    <n v="65061"/>
    <s v="Material for Rooms Expense"/>
    <s v="01/15/2014"/>
    <s v="Check"/>
    <m/>
    <x v="19"/>
    <x v="19"/>
    <x v="1"/>
    <x v="5"/>
    <m/>
    <s v="10531 BofA Knoxville"/>
    <n v="319.94"/>
    <n v="4661.46"/>
    <n v="319.94"/>
  </r>
  <r>
    <n v="65061"/>
    <s v="Material for Rooms Expense"/>
    <s v="01/17/2014"/>
    <s v="Check"/>
    <n v="399"/>
    <x v="368"/>
    <x v="19"/>
    <x v="1"/>
    <x v="5"/>
    <s v="Kobe Lowe's room Nashville gas reimbursement"/>
    <s v="10180 BofA Spec Spaces National 4695"/>
    <n v="56.16"/>
    <n v="6234.41"/>
    <n v="56.16"/>
  </r>
  <r>
    <n v="65061"/>
    <s v="Material for Rooms Expense"/>
    <s v="01/21/2014"/>
    <s v="Check"/>
    <m/>
    <x v="16"/>
    <x v="19"/>
    <x v="1"/>
    <x v="5"/>
    <m/>
    <s v="10531 BofA Knoxville"/>
    <n v="314.5"/>
    <n v="11935.14"/>
    <n v="314.5"/>
  </r>
  <r>
    <n v="65061"/>
    <s v="Material for Rooms Expense"/>
    <s v="02/18/2014"/>
    <s v="Check"/>
    <m/>
    <x v="29"/>
    <x v="19"/>
    <x v="1"/>
    <x v="5"/>
    <m/>
    <s v="10531 BofA Knoxville"/>
    <n v="125.38"/>
    <n v="44163.54"/>
    <n v="125.38"/>
  </r>
  <r>
    <n v="65061"/>
    <s v="Material for Rooms Expense"/>
    <s v="02/18/2014"/>
    <s v="Check"/>
    <m/>
    <x v="29"/>
    <x v="19"/>
    <x v="1"/>
    <x v="5"/>
    <m/>
    <s v="10531 BofA Knoxville"/>
    <n v="179"/>
    <n v="44342.54"/>
    <n v="179"/>
  </r>
  <r>
    <n v="65061"/>
    <s v="Material for Rooms Expense"/>
    <s v="02/18/2014"/>
    <s v="Check"/>
    <m/>
    <x v="369"/>
    <x v="19"/>
    <x v="1"/>
    <x v="5"/>
    <m/>
    <s v="10531 BofA Knoxville"/>
    <n v="38.229999999999997"/>
    <n v="44887.62"/>
    <n v="38.229999999999997"/>
  </r>
  <r>
    <n v="65061"/>
    <s v="Material for Rooms Expense"/>
    <s v="03/07/2014"/>
    <s v="Check"/>
    <n v="419"/>
    <x v="368"/>
    <x v="19"/>
    <x v="1"/>
    <x v="5"/>
    <m/>
    <s v="10180 BofA Spec Spaces National 4695"/>
    <n v="0"/>
    <n v="65924.41"/>
    <n v="0"/>
  </r>
  <r>
    <n v="65061"/>
    <s v="Material for Rooms Expense"/>
    <s v="03/07/2014"/>
    <s v="Check"/>
    <n v="420"/>
    <x v="370"/>
    <x v="19"/>
    <x v="1"/>
    <x v="5"/>
    <m/>
    <s v="10180 BofA Spec Spaces National 4695"/>
    <n v="962.59"/>
    <n v="67105.490000000005"/>
    <n v="962.59"/>
  </r>
  <r>
    <n v="65061"/>
    <s v="Material for Rooms Expense"/>
    <s v="03/17/2014"/>
    <s v="Check"/>
    <m/>
    <x v="371"/>
    <x v="19"/>
    <x v="1"/>
    <x v="5"/>
    <m/>
    <s v="10531 BofA Knoxville"/>
    <n v="249"/>
    <n v="72906.94"/>
    <n v="249"/>
  </r>
  <r>
    <n v="65061"/>
    <s v="Material for Rooms Expense"/>
    <s v="04/03/2014"/>
    <s v="Check"/>
    <n v="432"/>
    <x v="370"/>
    <x v="19"/>
    <x v="1"/>
    <x v="5"/>
    <s v="reimbursement"/>
    <s v="10180 BofA Spec Spaces National 4695"/>
    <n v="242.32"/>
    <n v="86133.85"/>
    <n v="242.32"/>
  </r>
  <r>
    <n v="65061"/>
    <s v="Material for Rooms Expense"/>
    <s v="04/03/2014"/>
    <s v="Check"/>
    <m/>
    <x v="370"/>
    <x v="19"/>
    <x v="1"/>
    <x v="5"/>
    <m/>
    <s v="10531 BofA Knoxville"/>
    <n v="242.32"/>
    <n v="86376.17"/>
    <n v="242.32"/>
  </r>
  <r>
    <n v="65061"/>
    <s v="Material for Rooms Expense"/>
    <s v="04/17/2014"/>
    <s v="Check"/>
    <m/>
    <x v="19"/>
    <x v="19"/>
    <x v="1"/>
    <x v="5"/>
    <m/>
    <s v="10531 BofA Knoxville"/>
    <n v="152.21"/>
    <n v="97595.38"/>
    <n v="152.21"/>
  </r>
  <r>
    <n v="65061"/>
    <s v="Material for Rooms Expense"/>
    <s v="04/17/2014"/>
    <s v="Check"/>
    <m/>
    <x v="19"/>
    <x v="19"/>
    <x v="1"/>
    <x v="5"/>
    <m/>
    <s v="10531 BofA Knoxville"/>
    <n v="163.9"/>
    <n v="98213.08"/>
    <n v="163.9"/>
  </r>
  <r>
    <n v="65061"/>
    <s v="Material for Rooms Expense"/>
    <s v="04/17/2014"/>
    <s v="Check"/>
    <m/>
    <x v="132"/>
    <x v="19"/>
    <x v="1"/>
    <x v="5"/>
    <m/>
    <s v="10531 BofA Knoxville"/>
    <n v="67.400000000000006"/>
    <n v="98280.48"/>
    <n v="67.400000000000006"/>
  </r>
  <r>
    <n v="65061"/>
    <s v="Material for Rooms Expense"/>
    <s v="04/17/2014"/>
    <s v="Check"/>
    <m/>
    <x v="132"/>
    <x v="19"/>
    <x v="1"/>
    <x v="5"/>
    <m/>
    <s v="10531 BofA Knoxville"/>
    <n v="106.17"/>
    <n v="98406.65"/>
    <n v="106.17"/>
  </r>
  <r>
    <n v="65061"/>
    <s v="Material for Rooms Expense"/>
    <s v="04/18/2014"/>
    <s v="Check"/>
    <m/>
    <x v="19"/>
    <x v="19"/>
    <x v="1"/>
    <x v="5"/>
    <m/>
    <s v="10531 BofA Knoxville"/>
    <n v="92.4"/>
    <n v="98499.05"/>
    <n v="92.4"/>
  </r>
  <r>
    <n v="65061"/>
    <s v="Material for Rooms Expense"/>
    <s v="04/18/2014"/>
    <s v="Check"/>
    <m/>
    <x v="0"/>
    <x v="19"/>
    <x v="1"/>
    <x v="5"/>
    <m/>
    <s v="10531 BofA Knoxville"/>
    <n v="6.51"/>
    <n v="98505.56"/>
    <n v="6.51"/>
  </r>
  <r>
    <n v="65061"/>
    <s v="Material for Rooms Expense"/>
    <s v="04/18/2014"/>
    <s v="Check"/>
    <m/>
    <x v="142"/>
    <x v="19"/>
    <x v="1"/>
    <x v="5"/>
    <m/>
    <s v="10531 BofA Knoxville"/>
    <n v="16.3"/>
    <n v="98633.87"/>
    <n v="16.3"/>
  </r>
  <r>
    <n v="65061"/>
    <s v="Material for Rooms Expense"/>
    <s v="04/18/2014"/>
    <s v="Check"/>
    <m/>
    <x v="26"/>
    <x v="19"/>
    <x v="1"/>
    <x v="5"/>
    <m/>
    <s v="10531 BofA Knoxville"/>
    <n v="11.94"/>
    <n v="99097.22"/>
    <n v="11.94"/>
  </r>
  <r>
    <n v="65061"/>
    <s v="Material for Rooms Expense"/>
    <s v="04/21/2014"/>
    <s v="Check"/>
    <m/>
    <x v="234"/>
    <x v="19"/>
    <x v="1"/>
    <x v="5"/>
    <m/>
    <s v="10531 BofA Knoxville"/>
    <n v="11.95"/>
    <n v="99508.65"/>
    <n v="11.95"/>
  </r>
  <r>
    <n v="65061"/>
    <s v="Material for Rooms Expense"/>
    <s v="04/21/2014"/>
    <s v="Check"/>
    <m/>
    <x v="372"/>
    <x v="19"/>
    <x v="1"/>
    <x v="5"/>
    <m/>
    <s v="10531 BofA Knoxville"/>
    <n v="13"/>
    <n v="99758.5"/>
    <n v="13"/>
  </r>
  <r>
    <n v="65061"/>
    <s v="Material for Rooms Expense"/>
    <s v="04/21/2014"/>
    <s v="Check"/>
    <m/>
    <x v="29"/>
    <x v="19"/>
    <x v="1"/>
    <x v="5"/>
    <m/>
    <s v="10531 BofA Knoxville"/>
    <n v="56.42"/>
    <n v="99889.73"/>
    <n v="56.42"/>
  </r>
  <r>
    <n v="65061"/>
    <s v="Material for Rooms Expense"/>
    <s v="04/21/2014"/>
    <s v="Check"/>
    <m/>
    <x v="373"/>
    <x v="19"/>
    <x v="1"/>
    <x v="5"/>
    <m/>
    <s v="10531 BofA Knoxville"/>
    <n v="43.49"/>
    <n v="100357.27"/>
    <n v="43.49"/>
  </r>
  <r>
    <n v="65061"/>
    <s v="Material for Rooms Expense"/>
    <s v="04/21/2014"/>
    <s v="Check"/>
    <m/>
    <x v="374"/>
    <x v="19"/>
    <x v="1"/>
    <x v="5"/>
    <m/>
    <s v="10531 BofA Knoxville"/>
    <n v="150"/>
    <n v="101439.33"/>
    <n v="150"/>
  </r>
  <r>
    <n v="65061"/>
    <s v="Material for Rooms Expense"/>
    <s v="05/05/2014"/>
    <s v="Expense"/>
    <m/>
    <x v="58"/>
    <x v="19"/>
    <x v="1"/>
    <x v="5"/>
    <m/>
    <s v="10531 BofA Knoxville"/>
    <n v="19.05"/>
    <n v="115893.35"/>
    <n v="19.05"/>
  </r>
  <r>
    <n v="65061"/>
    <s v="Material for Rooms Expense"/>
    <s v="05/06/2014"/>
    <s v="Expense"/>
    <m/>
    <x v="375"/>
    <x v="19"/>
    <x v="1"/>
    <x v="5"/>
    <m/>
    <s v="10531 BofA Knoxville"/>
    <n v="171.99"/>
    <n v="120646.37"/>
    <n v="171.99"/>
  </r>
  <r>
    <n v="65061"/>
    <s v="Material for Rooms Expense"/>
    <s v="05/09/2014"/>
    <s v="Expense"/>
    <m/>
    <x v="16"/>
    <x v="19"/>
    <x v="1"/>
    <x v="5"/>
    <m/>
    <s v="10531 BofA Knoxville"/>
    <n v="395.25"/>
    <n v="127139.86"/>
    <n v="395.25"/>
  </r>
  <r>
    <n v="65061"/>
    <s v="Material for Rooms Expense"/>
    <s v="05/09/2014"/>
    <s v="Expense"/>
    <m/>
    <x v="29"/>
    <x v="19"/>
    <x v="1"/>
    <x v="5"/>
    <m/>
    <s v="10531 BofA Knoxville"/>
    <n v="758.69"/>
    <n v="127898.55"/>
    <n v="758.69"/>
  </r>
  <r>
    <n v="65061"/>
    <s v="Material for Rooms Expense"/>
    <s v="05/09/2014"/>
    <s v="Expense"/>
    <m/>
    <x v="68"/>
    <x v="19"/>
    <x v="1"/>
    <x v="5"/>
    <m/>
    <s v="10531 BofA Knoxville"/>
    <n v="462.97"/>
    <n v="128361.52"/>
    <n v="462.97"/>
  </r>
  <r>
    <n v="65061"/>
    <s v="Material for Rooms Expense"/>
    <s v="05/09/2014"/>
    <s v="Expense"/>
    <m/>
    <x v="29"/>
    <x v="19"/>
    <x v="1"/>
    <x v="5"/>
    <m/>
    <s v="10531 BofA Knoxville"/>
    <n v="227.96"/>
    <n v="128589.48"/>
    <n v="227.96"/>
  </r>
  <r>
    <n v="65061"/>
    <s v="Material for Rooms Expense"/>
    <s v="05/12/2014"/>
    <s v="Expense"/>
    <m/>
    <x v="376"/>
    <x v="19"/>
    <x v="1"/>
    <x v="5"/>
    <m/>
    <s v="10531 BofA Knoxville"/>
    <n v="16.43"/>
    <n v="128677.37"/>
    <n v="16.43"/>
  </r>
  <r>
    <n v="65061"/>
    <s v="Material for Rooms Expense"/>
    <s v="05/12/2014"/>
    <s v="Expense"/>
    <m/>
    <x v="377"/>
    <x v="19"/>
    <x v="1"/>
    <x v="5"/>
    <m/>
    <s v="10531 BofA Knoxville"/>
    <n v="400"/>
    <n v="129077.37"/>
    <n v="400"/>
  </r>
  <r>
    <n v="65061"/>
    <s v="Material for Rooms Expense"/>
    <s v="05/12/2014"/>
    <s v="Expense"/>
    <m/>
    <x v="29"/>
    <x v="19"/>
    <x v="1"/>
    <x v="5"/>
    <m/>
    <s v="10531 BofA Knoxville"/>
    <n v="25.84"/>
    <n v="129103.21"/>
    <n v="25.84"/>
  </r>
  <r>
    <n v="65061"/>
    <s v="Material for Rooms Expense"/>
    <s v="05/12/2014"/>
    <s v="Expense"/>
    <m/>
    <x v="287"/>
    <x v="19"/>
    <x v="1"/>
    <x v="5"/>
    <m/>
    <s v="10531 BofA Knoxville"/>
    <n v="303.81"/>
    <n v="131731.65"/>
    <n v="303.81"/>
  </r>
  <r>
    <n v="65061"/>
    <s v="Material for Rooms Expense"/>
    <s v="05/12/2014"/>
    <s v="Expense"/>
    <m/>
    <x v="378"/>
    <x v="19"/>
    <x v="1"/>
    <x v="5"/>
    <m/>
    <s v="10531 BofA Knoxville"/>
    <n v="31.82"/>
    <n v="131763.47"/>
    <n v="31.82"/>
  </r>
  <r>
    <n v="65061"/>
    <s v="Material for Rooms Expense"/>
    <s v="05/13/2014"/>
    <s v="Expense"/>
    <m/>
    <x v="33"/>
    <x v="19"/>
    <x v="1"/>
    <x v="5"/>
    <m/>
    <s v="10531 BofA Knoxville"/>
    <n v="134.55000000000001"/>
    <n v="131898.01999999999"/>
    <n v="134.55000000000001"/>
  </r>
  <r>
    <n v="65061"/>
    <s v="Material for Rooms Expense"/>
    <s v="05/15/2014"/>
    <s v="Expense"/>
    <m/>
    <x v="379"/>
    <x v="19"/>
    <x v="1"/>
    <x v="5"/>
    <m/>
    <s v="10531 BofA Knoxville"/>
    <n v="1100"/>
    <n v="134130.15"/>
    <n v="1100"/>
  </r>
  <r>
    <n v="65061"/>
    <s v="Material for Rooms Expense"/>
    <s v="05/21/2014"/>
    <s v="Check"/>
    <n v="459"/>
    <x v="370"/>
    <x v="19"/>
    <x v="1"/>
    <x v="5"/>
    <s v="reimbursement"/>
    <s v="10180 BofA Spec Spaces National 4695"/>
    <n v="167.53"/>
    <n v="142193.97"/>
    <n v="167.53"/>
  </r>
  <r>
    <n v="65061"/>
    <s v="Material for Rooms Expense"/>
    <s v="06/11/2014"/>
    <s v="Expense"/>
    <m/>
    <x v="29"/>
    <x v="19"/>
    <x v="1"/>
    <x v="5"/>
    <m/>
    <s v="10531 BofA Knoxville"/>
    <n v="256"/>
    <n v="169050.32"/>
    <n v="256"/>
  </r>
  <r>
    <n v="65061"/>
    <s v="Material for Rooms Expense"/>
    <s v="06/23/2014"/>
    <s v="Expense"/>
    <m/>
    <x v="16"/>
    <x v="19"/>
    <x v="1"/>
    <x v="5"/>
    <m/>
    <s v="10531 BofA Knoxville"/>
    <n v="278.73"/>
    <n v="183054.26"/>
    <n v="278.73"/>
  </r>
  <r>
    <n v="65061"/>
    <s v="Material for Rooms Expense"/>
    <s v="06/23/2014"/>
    <s v="Expense"/>
    <m/>
    <x v="380"/>
    <x v="19"/>
    <x v="1"/>
    <x v="5"/>
    <m/>
    <s v="10531 BofA Knoxville"/>
    <n v="47.01"/>
    <n v="183101.27"/>
    <n v="47.01"/>
  </r>
  <r>
    <n v="65061"/>
    <s v="Material for Rooms Expense"/>
    <s v="06/23/2014"/>
    <s v="Expense"/>
    <m/>
    <x v="16"/>
    <x v="19"/>
    <x v="1"/>
    <x v="5"/>
    <m/>
    <s v="10531 BofA Knoxville"/>
    <n v="96.45"/>
    <n v="183197.72"/>
    <n v="96.45"/>
  </r>
  <r>
    <n v="65061"/>
    <s v="Material for Rooms Expense"/>
    <s v="06/25/2014"/>
    <s v="Expense"/>
    <m/>
    <x v="338"/>
    <x v="19"/>
    <x v="1"/>
    <x v="5"/>
    <m/>
    <s v="10531 BofA Knoxville"/>
    <n v="35.96"/>
    <n v="187744.2"/>
    <n v="35.96"/>
  </r>
  <r>
    <n v="65061"/>
    <s v="Material for Rooms Expense"/>
    <s v="06/27/2014"/>
    <s v="Expense"/>
    <m/>
    <x v="381"/>
    <x v="19"/>
    <x v="1"/>
    <x v="5"/>
    <m/>
    <s v="10531 BofA Knoxville"/>
    <n v="619.20000000000005"/>
    <n v="191654.15"/>
    <n v="619.20000000000005"/>
  </r>
  <r>
    <n v="65062"/>
    <s v="In-Kind Goods"/>
    <s v="03/15/2014"/>
    <s v="Journal Entry"/>
    <n v="487"/>
    <x v="0"/>
    <x v="19"/>
    <x v="1"/>
    <x v="10"/>
    <s v="building materials"/>
    <s v="-Split-"/>
    <n v="406.43"/>
    <n v="14379.38"/>
    <n v="406.43"/>
  </r>
  <r>
    <n v="43400"/>
    <s v="Direct Public Support"/>
    <s v="10/21/2014"/>
    <s v="Deposit"/>
    <m/>
    <x v="0"/>
    <x v="0"/>
    <x v="0"/>
    <x v="1"/>
    <m/>
    <s v="10125 BofA Restricted Funds -055:National"/>
    <n v="3500"/>
    <n v="289647.44"/>
    <n v="-3500"/>
  </r>
  <r>
    <n v="43400"/>
    <s v="Direct Public Support"/>
    <s v="10/21/2014"/>
    <s v="Deposit"/>
    <m/>
    <x v="0"/>
    <x v="0"/>
    <x v="0"/>
    <x v="1"/>
    <m/>
    <s v="10125 BofA Restricted Funds -055:National"/>
    <n v="184"/>
    <n v="289831.44"/>
    <n v="-184"/>
  </r>
  <r>
    <n v="65025"/>
    <s v="Bank Service Charges"/>
    <s v="01/02/2014"/>
    <s v="Check"/>
    <m/>
    <x v="92"/>
    <x v="20"/>
    <x v="1"/>
    <x v="14"/>
    <m/>
    <s v="10546 BofA Las Vegas"/>
    <n v="15"/>
    <n v="60"/>
    <n v="15"/>
  </r>
  <r>
    <n v="65025"/>
    <s v="Bank Service Charges"/>
    <s v="02/03/2014"/>
    <s v="Check"/>
    <m/>
    <x v="92"/>
    <x v="20"/>
    <x v="1"/>
    <x v="14"/>
    <m/>
    <s v="10546 BofA Las Vegas"/>
    <n v="15"/>
    <n v="264.2"/>
    <n v="15"/>
  </r>
  <r>
    <n v="65025"/>
    <s v="Bank Service Charges"/>
    <s v="03/03/2014"/>
    <s v="Check"/>
    <m/>
    <x v="92"/>
    <x v="20"/>
    <x v="1"/>
    <x v="14"/>
    <m/>
    <s v="10546 BofA Las Vegas"/>
    <n v="15"/>
    <n v="443.72"/>
    <n v="15"/>
  </r>
  <r>
    <n v="65025"/>
    <s v="Bank Service Charges"/>
    <s v="04/01/2014"/>
    <s v="Check"/>
    <m/>
    <x v="92"/>
    <x v="20"/>
    <x v="1"/>
    <x v="14"/>
    <m/>
    <s v="10546 BofA Las Vegas"/>
    <n v="15"/>
    <n v="634.66999999999996"/>
    <n v="15"/>
  </r>
  <r>
    <n v="65025"/>
    <s v="Bank Service Charges"/>
    <s v="05/01/2014"/>
    <s v="Expense"/>
    <m/>
    <x v="92"/>
    <x v="20"/>
    <x v="1"/>
    <x v="14"/>
    <m/>
    <s v="10546 BofA Las Vegas"/>
    <n v="15"/>
    <n v="1022.28"/>
    <n v="15"/>
  </r>
  <r>
    <n v="65025"/>
    <s v="Bank Service Charges"/>
    <s v="06/02/2014"/>
    <s v="Expense"/>
    <m/>
    <x v="92"/>
    <x v="20"/>
    <x v="1"/>
    <x v="14"/>
    <m/>
    <s v="10546 BofA Las Vegas"/>
    <n v="15"/>
    <n v="1411.96"/>
    <n v="15"/>
  </r>
  <r>
    <n v="65060"/>
    <s v="Material for Rooms Expense"/>
    <s v="05/23/2014"/>
    <s v="Expense"/>
    <m/>
    <x v="27"/>
    <x v="20"/>
    <x v="1"/>
    <x v="5"/>
    <m/>
    <s v="10546 BofA Las Vegas"/>
    <n v="102"/>
    <n v="1322.2"/>
    <n v="102"/>
  </r>
  <r>
    <n v="43400"/>
    <s v="Direct Public Support"/>
    <s v="10/21/2014"/>
    <s v="Deposit"/>
    <m/>
    <x v="0"/>
    <x v="0"/>
    <x v="0"/>
    <x v="1"/>
    <m/>
    <s v="10125 BofA Restricted Funds -055:National"/>
    <n v="2500"/>
    <n v="292331.44"/>
    <n v="-2500"/>
  </r>
  <r>
    <n v="43400"/>
    <s v="Direct Public Support"/>
    <s v="10/21/2014"/>
    <s v="Deposit"/>
    <m/>
    <x v="0"/>
    <x v="0"/>
    <x v="0"/>
    <x v="1"/>
    <m/>
    <s v="10125 BofA Restricted Funds -055:National"/>
    <n v="250"/>
    <n v="292581.44"/>
    <n v="-250"/>
  </r>
  <r>
    <n v="43400"/>
    <s v="Direct Public Support"/>
    <s v="10/24/2014"/>
    <s v="Journal Entry"/>
    <n v="740"/>
    <x v="0"/>
    <x v="0"/>
    <x v="0"/>
    <x v="1"/>
    <s v="make a wish amount to San Antonio"/>
    <s v="-Split-"/>
    <n v="0"/>
    <n v="293835.82"/>
    <n v="0"/>
  </r>
  <r>
    <n v="43430"/>
    <s v="Gifts in kind - Services"/>
    <s v="07/25/2014"/>
    <s v="Journal Entry"/>
    <n v="684"/>
    <x v="0"/>
    <x v="2"/>
    <x v="3"/>
    <x v="8"/>
    <s v="5 hours of labor floor tile and firelplace tile"/>
    <s v="-Split-"/>
    <n v="1750"/>
    <n v="23865.5"/>
    <n v="-1750"/>
  </r>
  <r>
    <n v="43430"/>
    <s v="Gifts in kind - Services"/>
    <s v="07/25/2014"/>
    <s v="Journal Entry"/>
    <n v="684"/>
    <x v="0"/>
    <x v="2"/>
    <x v="3"/>
    <x v="8"/>
    <s v="4 men/ 2 days of work Riley's room"/>
    <s v="-Split-"/>
    <n v="6000"/>
    <n v="29865.5"/>
    <n v="-6000"/>
  </r>
  <r>
    <n v="43430"/>
    <s v="Gifts in kind - Services"/>
    <s v="07/25/2014"/>
    <s v="Journal Entry"/>
    <n v="684"/>
    <x v="0"/>
    <x v="2"/>
    <x v="3"/>
    <x v="8"/>
    <s v="hotel and carpenter to build secret bookcase"/>
    <s v="-Split-"/>
    <n v="1290"/>
    <n v="31155.5"/>
    <n v="-1290"/>
  </r>
  <r>
    <n v="43430"/>
    <s v="Gifts in kind - Services"/>
    <s v="07/25/2014"/>
    <s v="Journal Entry"/>
    <n v="684"/>
    <x v="0"/>
    <x v="2"/>
    <x v="3"/>
    <x v="8"/>
    <s v="carpet install"/>
    <s v="-Split-"/>
    <n v="850"/>
    <n v="32005.5"/>
    <n v="-850"/>
  </r>
  <r>
    <n v="43430"/>
    <s v="Gifts in kind - Services"/>
    <s v="07/25/2014"/>
    <s v="Journal Entry"/>
    <n v="684"/>
    <x v="0"/>
    <x v="2"/>
    <x v="3"/>
    <x v="8"/>
    <s v="photography for Riley's room"/>
    <s v="-Split-"/>
    <n v="4125"/>
    <n v="36130.5"/>
    <n v="-4125"/>
  </r>
  <r>
    <n v="43440"/>
    <s v="Gifts in Kind - Goods"/>
    <s v="07/25/2014"/>
    <s v="Journal Entry"/>
    <n v="684"/>
    <x v="0"/>
    <x v="2"/>
    <x v="3"/>
    <x v="9"/>
    <s v="Canvas print"/>
    <s v="-Split-"/>
    <n v="146"/>
    <n v="38690.53"/>
    <n v="-146"/>
  </r>
  <r>
    <n v="43440"/>
    <s v="Gifts in Kind - Goods"/>
    <s v="07/25/2014"/>
    <s v="Journal Entry"/>
    <n v="684"/>
    <x v="0"/>
    <x v="2"/>
    <x v="3"/>
    <x v="9"/>
    <s v="donated 3 meals a day for 3 days for volunteers"/>
    <s v="-Split-"/>
    <n v="1800"/>
    <n v="40490.53"/>
    <n v="-1800"/>
  </r>
  <r>
    <n v="43440"/>
    <s v="Gifts in Kind - Goods"/>
    <s v="07/25/2014"/>
    <s v="Journal Entry"/>
    <n v="684"/>
    <x v="0"/>
    <x v="2"/>
    <x v="3"/>
    <x v="9"/>
    <s v="materials"/>
    <s v="-Split-"/>
    <n v="200"/>
    <n v="40690.53"/>
    <n v="-200"/>
  </r>
  <r>
    <n v="43440"/>
    <s v="Gifts in Kind - Goods"/>
    <s v="07/25/2014"/>
    <s v="Journal Entry"/>
    <n v="684"/>
    <x v="0"/>
    <x v="2"/>
    <x v="3"/>
    <x v="9"/>
    <s v="paint"/>
    <s v="-Split-"/>
    <n v="391"/>
    <n v="41081.53"/>
    <n v="-391"/>
  </r>
  <r>
    <n v="43440"/>
    <s v="Gifts in Kind - Goods"/>
    <s v="07/25/2014"/>
    <s v="Journal Entry"/>
    <n v="684"/>
    <x v="0"/>
    <x v="2"/>
    <x v="3"/>
    <x v="9"/>
    <s v="sectional sofa"/>
    <s v="-Split-"/>
    <n v="650"/>
    <n v="41731.53"/>
    <n v="-650"/>
  </r>
  <r>
    <n v="43440"/>
    <s v="Gifts in Kind - Goods"/>
    <s v="07/25/2014"/>
    <s v="Journal Entry"/>
    <n v="684"/>
    <x v="0"/>
    <x v="2"/>
    <x v="3"/>
    <x v="9"/>
    <s v="cake, legos"/>
    <s v="-Split-"/>
    <n v="1018"/>
    <n v="42749.53"/>
    <n v="-1018"/>
  </r>
  <r>
    <n v="43440"/>
    <s v="Gifts in Kind - Goods"/>
    <s v="07/25/2014"/>
    <s v="Journal Entry"/>
    <n v="684"/>
    <x v="0"/>
    <x v="2"/>
    <x v="3"/>
    <x v="9"/>
    <s v="cork tile and bunk bed"/>
    <s v="-Split-"/>
    <n v="375"/>
    <n v="43124.53"/>
    <n v="-375"/>
  </r>
  <r>
    <n v="43440"/>
    <s v="Gifts in Kind - Goods"/>
    <s v="07/25/2014"/>
    <s v="Journal Entry"/>
    <n v="684"/>
    <x v="0"/>
    <x v="2"/>
    <x v="3"/>
    <x v="9"/>
    <s v="wall decals"/>
    <s v="-Split-"/>
    <n v="157"/>
    <n v="43281.53"/>
    <n v="-157"/>
  </r>
  <r>
    <n v="43440"/>
    <s v="Gifts in Kind - Goods"/>
    <s v="07/25/2014"/>
    <s v="Journal Entry"/>
    <n v="684"/>
    <x v="0"/>
    <x v="2"/>
    <x v="3"/>
    <x v="9"/>
    <s v="Carpet tiles"/>
    <s v="-Split-"/>
    <n v="3200"/>
    <n v="46481.53"/>
    <n v="-3200"/>
  </r>
  <r>
    <n v="65020"/>
    <s v="Postage, Mailing Service"/>
    <s v="08/12/2014"/>
    <s v="Expense"/>
    <m/>
    <x v="6"/>
    <x v="2"/>
    <x v="1"/>
    <x v="3"/>
    <m/>
    <s v="10405 BoA Boston 3100"/>
    <n v="29.4"/>
    <n v="2402.42"/>
    <n v="29.4"/>
  </r>
  <r>
    <n v="65036"/>
    <s v="Volunteer Hospitality"/>
    <s v="07/24/2014"/>
    <s v="Expense"/>
    <m/>
    <x v="382"/>
    <x v="2"/>
    <x v="1"/>
    <x v="13"/>
    <m/>
    <s v="10405 BoA Boston 3100"/>
    <n v="77.150000000000006"/>
    <n v="5475.86"/>
    <n v="77.150000000000006"/>
  </r>
  <r>
    <n v="65061"/>
    <s v="Material for Rooms"/>
    <s v="07/23/2014"/>
    <s v="Expense"/>
    <m/>
    <x v="311"/>
    <x v="2"/>
    <x v="1"/>
    <x v="5"/>
    <m/>
    <s v="10405 BoA Boston 3100"/>
    <n v="51.45"/>
    <n v="222750.09"/>
    <n v="51.45"/>
  </r>
  <r>
    <n v="65061"/>
    <s v="Material for Rooms"/>
    <s v="07/23/2014"/>
    <s v="Expense"/>
    <m/>
    <x v="73"/>
    <x v="2"/>
    <x v="1"/>
    <x v="5"/>
    <m/>
    <s v="10405 BoA Boston 3100"/>
    <n v="1571.71"/>
    <n v="224321.8"/>
    <n v="1571.71"/>
  </r>
  <r>
    <n v="65061"/>
    <s v="Material for Rooms"/>
    <s v="07/24/2014"/>
    <s v="Expense"/>
    <m/>
    <x v="19"/>
    <x v="2"/>
    <x v="1"/>
    <x v="5"/>
    <m/>
    <s v="10405 BoA Boston 3100"/>
    <n v="128.53"/>
    <n v="224450.33"/>
    <n v="128.53"/>
  </r>
  <r>
    <n v="65061"/>
    <s v="Material for Rooms"/>
    <s v="07/24/2014"/>
    <s v="Expense"/>
    <m/>
    <x v="383"/>
    <x v="2"/>
    <x v="1"/>
    <x v="5"/>
    <m/>
    <s v="10405 BoA Boston 3100"/>
    <n v="30"/>
    <n v="224509.64"/>
    <n v="30"/>
  </r>
  <r>
    <n v="65061"/>
    <s v="Material for Rooms"/>
    <s v="07/24/2014"/>
    <s v="Expense"/>
    <m/>
    <x v="384"/>
    <x v="2"/>
    <x v="1"/>
    <x v="5"/>
    <m/>
    <s v="10405 BoA Boston 3100"/>
    <n v="300"/>
    <n v="224809.64"/>
    <n v="300"/>
  </r>
  <r>
    <n v="65061"/>
    <s v="Material for Rooms"/>
    <s v="07/24/2014"/>
    <s v="Deposit"/>
    <m/>
    <x v="384"/>
    <x v="2"/>
    <x v="1"/>
    <x v="5"/>
    <m/>
    <s v="10405 BoA Boston 3100"/>
    <n v="-119.38"/>
    <n v="224690.26"/>
    <n v="-119.38"/>
  </r>
  <r>
    <n v="65061"/>
    <s v="Material for Rooms"/>
    <s v="07/25/2014"/>
    <s v="Expense"/>
    <m/>
    <x v="53"/>
    <x v="2"/>
    <x v="1"/>
    <x v="5"/>
    <m/>
    <s v="10405 BoA Boston 3100"/>
    <n v="172.41"/>
    <n v="225062.67"/>
    <n v="172.41"/>
  </r>
  <r>
    <n v="65061"/>
    <s v="Material for Rooms"/>
    <s v="07/28/2014"/>
    <s v="Expense"/>
    <m/>
    <x v="53"/>
    <x v="2"/>
    <x v="1"/>
    <x v="5"/>
    <m/>
    <s v="10405 BoA Boston 3100"/>
    <n v="23.6"/>
    <n v="225086.27"/>
    <n v="23.6"/>
  </r>
  <r>
    <n v="65061"/>
    <s v="Material for Rooms"/>
    <s v="07/28/2014"/>
    <s v="Expense"/>
    <m/>
    <x v="385"/>
    <x v="2"/>
    <x v="1"/>
    <x v="5"/>
    <m/>
    <s v="10405 BoA Boston 3100"/>
    <n v="110.24"/>
    <n v="225321.51"/>
    <n v="110.24"/>
  </r>
  <r>
    <n v="65061"/>
    <s v="Material for Rooms"/>
    <s v="07/28/2014"/>
    <s v="Expense"/>
    <m/>
    <x v="53"/>
    <x v="2"/>
    <x v="1"/>
    <x v="5"/>
    <m/>
    <s v="10405 BoA Boston 3100"/>
    <n v="256.7"/>
    <n v="225578.21"/>
    <n v="256.7"/>
  </r>
  <r>
    <n v="65061"/>
    <s v="Material for Rooms"/>
    <s v="07/28/2014"/>
    <s v="Expense"/>
    <m/>
    <x v="19"/>
    <x v="2"/>
    <x v="1"/>
    <x v="5"/>
    <m/>
    <s v="10405 BoA Boston 3100"/>
    <n v="123.94"/>
    <n v="225702.15"/>
    <n v="123.94"/>
  </r>
  <r>
    <n v="65061"/>
    <s v="Material for Rooms"/>
    <s v="07/28/2014"/>
    <s v="Expense"/>
    <m/>
    <x v="386"/>
    <x v="2"/>
    <x v="1"/>
    <x v="5"/>
    <m/>
    <s v="10405 BoA Boston 3100"/>
    <n v="70.599999999999994"/>
    <n v="225772.75"/>
    <n v="70.599999999999994"/>
  </r>
  <r>
    <n v="65061"/>
    <s v="Material for Rooms"/>
    <s v="07/30/2014"/>
    <s v="Check"/>
    <n v="500"/>
    <x v="42"/>
    <x v="2"/>
    <x v="1"/>
    <x v="5"/>
    <m/>
    <s v="10180 BofA Spec Spaces National 4695"/>
    <n v="793.93"/>
    <n v="228152.62"/>
    <n v="793.93"/>
  </r>
  <r>
    <n v="65061"/>
    <s v="Material for Rooms"/>
    <s v="07/31/2014"/>
    <s v="Deposit"/>
    <m/>
    <x v="19"/>
    <x v="2"/>
    <x v="1"/>
    <x v="5"/>
    <m/>
    <s v="10405 BoA Boston 3100"/>
    <n v="-39.979999999999997"/>
    <n v="232011.53"/>
    <n v="-39.979999999999997"/>
  </r>
  <r>
    <n v="65061"/>
    <s v="Material for Rooms"/>
    <s v="08/11/2014"/>
    <s v="Expense"/>
    <m/>
    <x v="19"/>
    <x v="2"/>
    <x v="1"/>
    <x v="5"/>
    <m/>
    <s v="10405 BoA Boston 3100"/>
    <n v="7.42"/>
    <n v="238295.17"/>
    <n v="7.42"/>
  </r>
  <r>
    <n v="65061"/>
    <s v="Material for Rooms"/>
    <s v="08/12/2014"/>
    <s v="Expense"/>
    <m/>
    <x v="19"/>
    <x v="2"/>
    <x v="1"/>
    <x v="5"/>
    <m/>
    <s v="10405 BoA Boston 3100"/>
    <n v="22.28"/>
    <n v="239486.91"/>
    <n v="22.28"/>
  </r>
  <r>
    <n v="65062"/>
    <s v="In-Kind Goods"/>
    <s v="07/25/2014"/>
    <s v="Journal Entry"/>
    <n v="684"/>
    <x v="0"/>
    <x v="2"/>
    <x v="1"/>
    <x v="10"/>
    <m/>
    <s v="-Split-"/>
    <n v="1800"/>
    <n v="40344.53"/>
    <n v="1800"/>
  </r>
  <r>
    <n v="65062"/>
    <s v="In-Kind Goods"/>
    <s v="07/25/2014"/>
    <s v="Journal Entry"/>
    <n v="684"/>
    <x v="0"/>
    <x v="2"/>
    <x v="1"/>
    <x v="10"/>
    <m/>
    <s v="-Split-"/>
    <n v="1018"/>
    <n v="41362.53"/>
    <n v="1018"/>
  </r>
  <r>
    <n v="65062"/>
    <s v="In-Kind Goods"/>
    <s v="07/25/2014"/>
    <s v="Journal Entry"/>
    <n v="684"/>
    <x v="0"/>
    <x v="2"/>
    <x v="1"/>
    <x v="10"/>
    <m/>
    <s v="-Split-"/>
    <n v="375"/>
    <n v="41737.53"/>
    <n v="375"/>
  </r>
  <r>
    <n v="65062"/>
    <s v="In-Kind Goods"/>
    <s v="07/25/2014"/>
    <s v="Journal Entry"/>
    <n v="684"/>
    <x v="0"/>
    <x v="2"/>
    <x v="1"/>
    <x v="10"/>
    <m/>
    <s v="-Split-"/>
    <n v="3200"/>
    <n v="44937.53"/>
    <n v="3200"/>
  </r>
  <r>
    <n v="65062"/>
    <s v="In-Kind Goods"/>
    <s v="07/25/2014"/>
    <s v="Journal Entry"/>
    <n v="684"/>
    <x v="0"/>
    <x v="2"/>
    <x v="1"/>
    <x v="10"/>
    <m/>
    <s v="-Split-"/>
    <n v="157"/>
    <n v="45094.53"/>
    <n v="157"/>
  </r>
  <r>
    <n v="65062"/>
    <s v="In-Kind Goods"/>
    <s v="07/25/2014"/>
    <s v="Journal Entry"/>
    <n v="684"/>
    <x v="0"/>
    <x v="2"/>
    <x v="1"/>
    <x v="10"/>
    <m/>
    <s v="-Split-"/>
    <n v="391"/>
    <n v="45485.53"/>
    <n v="391"/>
  </r>
  <r>
    <n v="65062"/>
    <s v="In-Kind Goods"/>
    <s v="07/25/2014"/>
    <s v="Journal Entry"/>
    <n v="684"/>
    <x v="0"/>
    <x v="2"/>
    <x v="1"/>
    <x v="10"/>
    <m/>
    <s v="-Split-"/>
    <n v="650"/>
    <n v="46135.53"/>
    <n v="650"/>
  </r>
  <r>
    <n v="65062"/>
    <s v="In-Kind Goods"/>
    <s v="07/25/2014"/>
    <s v="Journal Entry"/>
    <n v="684"/>
    <x v="0"/>
    <x v="2"/>
    <x v="1"/>
    <x v="10"/>
    <m/>
    <s v="-Split-"/>
    <n v="200"/>
    <n v="46335.53"/>
    <n v="200"/>
  </r>
  <r>
    <n v="65062"/>
    <s v="In-Kind Goods"/>
    <s v="07/25/2014"/>
    <s v="Journal Entry"/>
    <n v="684"/>
    <x v="0"/>
    <x v="2"/>
    <x v="1"/>
    <x v="10"/>
    <m/>
    <s v="-Split-"/>
    <n v="146"/>
    <n v="46481.53"/>
    <n v="146"/>
  </r>
  <r>
    <n v="65062"/>
    <s v="In-Kind Goods"/>
    <s v="07/25/2014"/>
    <s v="Journal Entry"/>
    <n v="684"/>
    <x v="0"/>
    <x v="2"/>
    <x v="1"/>
    <x v="10"/>
    <m/>
    <s v="-Split-"/>
    <n v="1290"/>
    <n v="23405.5"/>
    <n v="1290"/>
  </r>
  <r>
    <n v="65062"/>
    <s v="In-Kind Goods"/>
    <s v="07/25/2014"/>
    <s v="Journal Entry"/>
    <n v="684"/>
    <x v="0"/>
    <x v="2"/>
    <x v="1"/>
    <x v="10"/>
    <m/>
    <s v="-Split-"/>
    <n v="850"/>
    <n v="24255.5"/>
    <n v="850"/>
  </r>
  <r>
    <n v="65062"/>
    <s v="In-Kind Goods"/>
    <s v="07/25/2014"/>
    <s v="Journal Entry"/>
    <n v="684"/>
    <x v="0"/>
    <x v="2"/>
    <x v="1"/>
    <x v="10"/>
    <m/>
    <s v="-Split-"/>
    <n v="4125"/>
    <n v="28380.5"/>
    <n v="4125"/>
  </r>
  <r>
    <n v="65062"/>
    <s v="In-Kind Goods"/>
    <s v="07/25/2014"/>
    <s v="Journal Entry"/>
    <n v="684"/>
    <x v="0"/>
    <x v="2"/>
    <x v="1"/>
    <x v="10"/>
    <m/>
    <s v="-Split-"/>
    <n v="1750"/>
    <n v="30130.5"/>
    <n v="1750"/>
  </r>
  <r>
    <n v="65062"/>
    <s v="In-Kind Goods"/>
    <s v="07/25/2014"/>
    <s v="Journal Entry"/>
    <n v="684"/>
    <x v="0"/>
    <x v="2"/>
    <x v="1"/>
    <x v="10"/>
    <m/>
    <s v="-Split-"/>
    <n v="6000"/>
    <n v="36130.5"/>
    <n v="6000"/>
  </r>
  <r>
    <n v="65025"/>
    <s v="Bank Service Charges"/>
    <s v="01/02/2014"/>
    <s v="Check"/>
    <n v="2"/>
    <x v="92"/>
    <x v="25"/>
    <x v="1"/>
    <x v="14"/>
    <m/>
    <s v="10435 BoA Miami-Mitchell"/>
    <n v="17"/>
    <n v="77"/>
    <n v="17"/>
  </r>
  <r>
    <n v="65025"/>
    <s v="Bank Service Charges"/>
    <s v="03/03/2014"/>
    <s v="Check"/>
    <s v="dbt"/>
    <x v="92"/>
    <x v="25"/>
    <x v="1"/>
    <x v="14"/>
    <m/>
    <s v="10435 BoA Miami-Mitchell"/>
    <n v="17"/>
    <n v="489.72"/>
    <n v="17"/>
  </r>
  <r>
    <n v="65025"/>
    <s v="Bank Service Charges"/>
    <s v="05/13/2014"/>
    <s v="Deposit"/>
    <m/>
    <x v="92"/>
    <x v="25"/>
    <x v="1"/>
    <x v="14"/>
    <m/>
    <s v="10435 BoA Miami-Mitchell"/>
    <n v="-17"/>
    <n v="1321.23"/>
    <n v="-17"/>
  </r>
  <r>
    <n v="43400"/>
    <s v="Direct Public Support"/>
    <s v="10/26/2014"/>
    <s v="Invoice"/>
    <n v="1006"/>
    <x v="145"/>
    <x v="0"/>
    <x v="0"/>
    <x v="1"/>
    <s v="Cleveland Room"/>
    <s v="11000 Accounts Receivable"/>
    <n v="5500"/>
    <n v="304335.82"/>
    <n v="-5500"/>
  </r>
  <r>
    <n v="43400"/>
    <s v="Direct Public Support"/>
    <s v="02/05/2014"/>
    <s v="Deposit"/>
    <m/>
    <x v="3"/>
    <x v="26"/>
    <x v="0"/>
    <x v="1"/>
    <m/>
    <s v="10129 BofA Restricted Funds -055:NEPA - 4608"/>
    <n v="2000"/>
    <n v="37847.25"/>
    <n v="-2000"/>
  </r>
  <r>
    <n v="43400"/>
    <s v="Direct Public Support"/>
    <s v="03/11/2014"/>
    <s v="Deposit"/>
    <m/>
    <x v="3"/>
    <x v="26"/>
    <x v="0"/>
    <x v="1"/>
    <m/>
    <s v="10910 BoA NEPA 8719"/>
    <n v="1"/>
    <n v="88914.21"/>
    <n v="-1"/>
  </r>
  <r>
    <n v="43400"/>
    <s v="Direct Public Support"/>
    <s v="03/11/2014"/>
    <s v="Deposit"/>
    <m/>
    <x v="3"/>
    <x v="26"/>
    <x v="0"/>
    <x v="1"/>
    <m/>
    <s v="10910 BoA NEPA 8719"/>
    <n v="1"/>
    <n v="89229.21"/>
    <n v="-1"/>
  </r>
  <r>
    <n v="65061"/>
    <s v="Material for Rooms"/>
    <s v="08/07/2014"/>
    <s v="Expense"/>
    <m/>
    <x v="231"/>
    <x v="21"/>
    <x v="1"/>
    <x v="5"/>
    <m/>
    <s v="10445 BoA Tri-Counties Michigan 3090"/>
    <n v="31.79"/>
    <n v="237005.27"/>
    <n v="31.79"/>
  </r>
  <r>
    <n v="65061"/>
    <s v="Material for Rooms"/>
    <s v="09/02/2014"/>
    <s v="Expense"/>
    <m/>
    <x v="387"/>
    <x v="21"/>
    <x v="1"/>
    <x v="5"/>
    <m/>
    <s v="10445 BoA Tri-Counties Michigan 3090"/>
    <n v="50"/>
    <n v="248820.5"/>
    <n v="50"/>
  </r>
  <r>
    <n v="43400"/>
    <s v="Direct Public Support"/>
    <s v="09/09/2014"/>
    <s v="Deposit"/>
    <m/>
    <x v="3"/>
    <x v="20"/>
    <x v="0"/>
    <x v="1"/>
    <m/>
    <s v="10122 BofA Restricted Funds -055:Las Vegas - 246"/>
    <n v="84"/>
    <n v="249162.42"/>
    <n v="-84"/>
  </r>
  <r>
    <n v="43400"/>
    <s v="Direct Public Support"/>
    <s v="10/24/2014"/>
    <s v="Deposit"/>
    <m/>
    <x v="3"/>
    <x v="20"/>
    <x v="0"/>
    <x v="1"/>
    <m/>
    <s v="10122 BofA Restricted Funds -055:Las Vegas - 246"/>
    <n v="200"/>
    <n v="293835.82"/>
    <n v="-200"/>
  </r>
  <r>
    <n v="43400"/>
    <s v="Direct Public Support"/>
    <s v="04/30/2014"/>
    <s v="Deposit"/>
    <m/>
    <x v="3"/>
    <x v="1"/>
    <x v="0"/>
    <x v="1"/>
    <m/>
    <s v="10516 BofA New York"/>
    <n v="100"/>
    <n v="124989.11"/>
    <n v="-100"/>
  </r>
  <r>
    <n v="43400"/>
    <s v="Direct Public Support"/>
    <s v="07/22/2014"/>
    <s v="Journal Entry"/>
    <n v="625"/>
    <x v="0"/>
    <x v="1"/>
    <x v="0"/>
    <x v="1"/>
    <s v="paypal"/>
    <s v="-Split-"/>
    <n v="20"/>
    <n v="227467.16"/>
    <n v="-20"/>
  </r>
  <r>
    <n v="43400"/>
    <s v="Direct Public Support"/>
    <s v="08/25/2014"/>
    <s v="Journal Entry"/>
    <n v="659"/>
    <x v="0"/>
    <x v="1"/>
    <x v="0"/>
    <x v="1"/>
    <s v="paypal"/>
    <s v="-Split-"/>
    <n v="435"/>
    <n v="239809.86"/>
    <n v="-435"/>
  </r>
  <r>
    <n v="43400"/>
    <s v="Direct Public Support"/>
    <s v="10/21/2014"/>
    <s v="Deposit"/>
    <m/>
    <x v="3"/>
    <x v="1"/>
    <x v="0"/>
    <x v="1"/>
    <m/>
    <s v="10106 BofA Restricted Funds -055:BofA Albequerque - 233"/>
    <n v="54.38"/>
    <n v="292635.82"/>
    <n v="-54.38"/>
  </r>
  <r>
    <n v="43400"/>
    <s v="Direct Public Support"/>
    <s v="04/30/2014"/>
    <s v="Deposit"/>
    <m/>
    <x v="3"/>
    <x v="27"/>
    <x v="0"/>
    <x v="1"/>
    <m/>
    <s v="10516 BofA New York"/>
    <n v="1395"/>
    <n v="124889.11"/>
    <n v="-1395"/>
  </r>
  <r>
    <n v="43400"/>
    <s v="Direct Public Support"/>
    <s v="07/01/2014"/>
    <s v="Deposit"/>
    <m/>
    <x v="3"/>
    <x v="27"/>
    <x v="0"/>
    <x v="1"/>
    <m/>
    <s v="10130 BofA Restricted Funds -055:Long Island - 165"/>
    <n v="3580"/>
    <n v="214822.57"/>
    <n v="-3580"/>
  </r>
  <r>
    <n v="43440"/>
    <s v="Gifts in Kind - Goods"/>
    <s v="01/20/2014"/>
    <s v="Journal Entry"/>
    <n v="463"/>
    <x v="0"/>
    <x v="22"/>
    <x v="3"/>
    <x v="9"/>
    <s v="Connor Semenske room"/>
    <s v="-Split-"/>
    <n v="61.08"/>
    <n v="4161.96"/>
    <n v="-61.08"/>
  </r>
  <r>
    <n v="43440"/>
    <s v="Gifts in Kind - Goods"/>
    <s v="01/20/2014"/>
    <s v="Journal Entry"/>
    <n v="463"/>
    <x v="0"/>
    <x v="22"/>
    <x v="3"/>
    <x v="9"/>
    <s v="Connor Semenske room"/>
    <s v="-Split-"/>
    <n v="8.32"/>
    <n v="4170.28"/>
    <n v="-8.32"/>
  </r>
  <r>
    <n v="43440"/>
    <s v="Gifts in Kind - Goods"/>
    <s v="01/20/2014"/>
    <s v="Journal Entry"/>
    <n v="463"/>
    <x v="0"/>
    <x v="22"/>
    <x v="3"/>
    <x v="9"/>
    <s v="Connor Semenske room"/>
    <s v="-Split-"/>
    <n v="64.64"/>
    <n v="4234.92"/>
    <n v="-64.64"/>
  </r>
  <r>
    <n v="43400"/>
    <s v="Direct Public Support"/>
    <s v="07/30/2014"/>
    <s v="Deposit"/>
    <m/>
    <x v="3"/>
    <x v="3"/>
    <x v="0"/>
    <x v="1"/>
    <m/>
    <s v="10108 BofA Restricted Funds -055:Buffalo - 259"/>
    <n v="1130.68"/>
    <n v="230477.84"/>
    <n v="-1130.68"/>
  </r>
  <r>
    <n v="43400"/>
    <s v="Direct Public Support"/>
    <s v="08/06/2014"/>
    <s v="Deposit"/>
    <m/>
    <x v="3"/>
    <x v="3"/>
    <x v="0"/>
    <x v="1"/>
    <m/>
    <s v="10108 BofA Restricted Funds -055:Buffalo - 259"/>
    <n v="50"/>
    <n v="222607.31"/>
    <n v="-50"/>
  </r>
  <r>
    <n v="43400"/>
    <s v="Direct Public Support"/>
    <s v="09/17/2014"/>
    <s v="Deposit"/>
    <m/>
    <x v="3"/>
    <x v="3"/>
    <x v="0"/>
    <x v="1"/>
    <m/>
    <s v="10108 BofA Restricted Funds -055:Buffalo - 259"/>
    <n v="1700"/>
    <n v="258391.97"/>
    <n v="-1700"/>
  </r>
  <r>
    <n v="43400"/>
    <s v="Direct Public Support"/>
    <s v="09/29/2014"/>
    <s v="Journal Entry"/>
    <n v="689"/>
    <x v="0"/>
    <x v="3"/>
    <x v="0"/>
    <x v="1"/>
    <m/>
    <s v="-Split-"/>
    <n v="272"/>
    <n v="260161.97"/>
    <n v="-272"/>
  </r>
  <r>
    <n v="43400"/>
    <s v="Direct Public Support"/>
    <s v="10/20/2014"/>
    <s v="Deposit"/>
    <m/>
    <x v="3"/>
    <x v="3"/>
    <x v="0"/>
    <x v="1"/>
    <m/>
    <s v="10108 BofA Restricted Funds -055:Buffalo - 259"/>
    <n v="230"/>
    <n v="286122.89"/>
    <n v="-230"/>
  </r>
  <r>
    <n v="43400"/>
    <s v="Direct Public Support"/>
    <s v="10/29/2014"/>
    <s v="Deposit"/>
    <m/>
    <x v="3"/>
    <x v="3"/>
    <x v="0"/>
    <x v="1"/>
    <m/>
    <s v="10108 BofA Restricted Funds -055:Buffalo - 259"/>
    <n v="1500"/>
    <n v="310853.82"/>
    <n v="-1500"/>
  </r>
  <r>
    <n v="43400"/>
    <s v="Direct Public Support"/>
    <s v="07/07/2014"/>
    <s v="Deposit"/>
    <m/>
    <x v="3"/>
    <x v="28"/>
    <x v="0"/>
    <x v="1"/>
    <m/>
    <s v="10146 BofA Restricted Funds -055:Triangle - 4585"/>
    <n v="25"/>
    <n v="218897.57"/>
    <n v="-25"/>
  </r>
  <r>
    <n v="43400"/>
    <s v="Direct Public Support"/>
    <s v="07/18/2014"/>
    <s v="Deposit"/>
    <m/>
    <x v="3"/>
    <x v="28"/>
    <x v="0"/>
    <x v="1"/>
    <m/>
    <s v="10146 BofA Restricted Funds -055:Triangle - 4585"/>
    <n v="3395.04"/>
    <n v="226922.61"/>
    <n v="-3395.04"/>
  </r>
  <r>
    <n v="43400"/>
    <s v="Direct Public Support"/>
    <s v="07/23/2014"/>
    <s v="Journal Entry"/>
    <n v="636"/>
    <x v="0"/>
    <x v="28"/>
    <x v="0"/>
    <x v="1"/>
    <s v="paypal"/>
    <s v="-Split-"/>
    <n v="1025"/>
    <n v="229082.16"/>
    <n v="-1025"/>
  </r>
  <r>
    <n v="43400"/>
    <s v="Direct Public Support"/>
    <s v="07/29/2014"/>
    <s v="Journal Entry"/>
    <n v="638"/>
    <x v="0"/>
    <x v="28"/>
    <x v="0"/>
    <x v="1"/>
    <s v="paypal"/>
    <s v="-Split-"/>
    <n v="265"/>
    <n v="229347.16"/>
    <n v="-265"/>
  </r>
  <r>
    <n v="43400"/>
    <s v="Direct Public Support"/>
    <s v="08/05/2014"/>
    <s v="Deposit"/>
    <m/>
    <x v="3"/>
    <x v="28"/>
    <x v="0"/>
    <x v="1"/>
    <m/>
    <s v="10146 BofA Restricted Funds -055:Triangle - 4585"/>
    <n v="25"/>
    <n v="222557.31"/>
    <n v="-25"/>
  </r>
  <r>
    <n v="43400"/>
    <s v="Direct Public Support"/>
    <s v="08/11/2014"/>
    <s v="Journal Entry"/>
    <n v="652"/>
    <x v="0"/>
    <x v="28"/>
    <x v="0"/>
    <x v="1"/>
    <s v="Madison's room"/>
    <s v="-Split-"/>
    <n v="2285"/>
    <n v="234910.31"/>
    <n v="-2285"/>
  </r>
  <r>
    <n v="43400"/>
    <s v="Direct Public Support"/>
    <s v="08/25/2014"/>
    <s v="Deposit"/>
    <m/>
    <x v="3"/>
    <x v="28"/>
    <x v="0"/>
    <x v="1"/>
    <m/>
    <s v="10146 BofA Restricted Funds -055:Triangle - 4585"/>
    <n v="95"/>
    <n v="239344.86"/>
    <n v="-95"/>
  </r>
  <r>
    <n v="43400"/>
    <s v="Direct Public Support"/>
    <s v="08/25/2014"/>
    <s v="Journal Entry"/>
    <n v="659"/>
    <x v="0"/>
    <x v="28"/>
    <x v="0"/>
    <x v="1"/>
    <s v="paypal"/>
    <s v="-Split-"/>
    <n v="30"/>
    <n v="239374.86"/>
    <n v="-30"/>
  </r>
  <r>
    <n v="43400"/>
    <s v="Direct Public Support"/>
    <s v="09/09/2014"/>
    <s v="Deposit"/>
    <m/>
    <x v="3"/>
    <x v="28"/>
    <x v="0"/>
    <x v="1"/>
    <m/>
    <s v="10146 BofA Restricted Funds -055:Triangle - 4585"/>
    <n v="25"/>
    <n v="249187.42"/>
    <n v="-25"/>
  </r>
  <r>
    <n v="43400"/>
    <s v="Direct Public Support"/>
    <s v="10/10/2014"/>
    <s v="Deposit"/>
    <m/>
    <x v="3"/>
    <x v="28"/>
    <x v="0"/>
    <x v="1"/>
    <m/>
    <s v="10146 BofA Restricted Funds -055:Triangle - 4585"/>
    <n v="25"/>
    <n v="277792.42"/>
    <n v="-25"/>
  </r>
  <r>
    <n v="43400"/>
    <s v="Direct Public Support"/>
    <s v="10/13/2014"/>
    <s v="Journal Entry"/>
    <n v="716"/>
    <x v="0"/>
    <x v="28"/>
    <x v="0"/>
    <x v="1"/>
    <m/>
    <s v="-Split-"/>
    <n v="75"/>
    <n v="278522.52"/>
    <n v="-75"/>
  </r>
  <r>
    <n v="43400"/>
    <s v="Direct Public Support"/>
    <s v="02/08/2014"/>
    <s v="Deposit"/>
    <m/>
    <x v="3"/>
    <x v="29"/>
    <x v="0"/>
    <x v="1"/>
    <m/>
    <s v="10203 *US Bank Wisc Restr 4595:Northshore"/>
    <n v="270"/>
    <n v="38217.25"/>
    <n v="-270"/>
  </r>
  <r>
    <n v="43400"/>
    <s v="Direct Public Support"/>
    <s v="03/06/2014"/>
    <s v="Deposit"/>
    <m/>
    <x v="3"/>
    <x v="29"/>
    <x v="0"/>
    <x v="1"/>
    <m/>
    <s v="10201 *US Bank Wisc Restr 4595:Wisconsin Restricted"/>
    <n v="500"/>
    <n v="85213.21"/>
    <n v="-500"/>
  </r>
  <r>
    <n v="43400"/>
    <s v="Direct Public Support"/>
    <s v="03/25/2014"/>
    <s v="Deposit"/>
    <m/>
    <x v="3"/>
    <x v="29"/>
    <x v="0"/>
    <x v="1"/>
    <m/>
    <s v="10203 *US Bank Wisc Restr 4595:Northshore"/>
    <n v="304"/>
    <n v="102758.59"/>
    <n v="-304"/>
  </r>
  <r>
    <n v="43400"/>
    <s v="Direct Public Support"/>
    <s v="03/31/2014"/>
    <s v="Deposit"/>
    <m/>
    <x v="3"/>
    <x v="29"/>
    <x v="0"/>
    <x v="1"/>
    <m/>
    <s v="10203 *US Bank Wisc Restr 4595:Northshore"/>
    <n v="756.86"/>
    <n v="105855.45"/>
    <n v="-756.86"/>
  </r>
  <r>
    <n v="62145"/>
    <s v="Website Design"/>
    <s v="02/03/2014"/>
    <s v="Check"/>
    <n v="1052"/>
    <x v="388"/>
    <x v="22"/>
    <x v="1"/>
    <x v="12"/>
    <m/>
    <s v="10522 *US Bank - Milwaukee"/>
    <n v="362.5"/>
    <n v="362.5"/>
    <n v="362.5"/>
  </r>
  <r>
    <n v="62145"/>
    <s v="Website Design"/>
    <s v="02/03/2014"/>
    <s v="Check"/>
    <n v="1053"/>
    <x v="388"/>
    <x v="22"/>
    <x v="1"/>
    <x v="12"/>
    <m/>
    <s v="10522 *US Bank - Milwaukee"/>
    <n v="400"/>
    <n v="762.5"/>
    <n v="400"/>
  </r>
  <r>
    <n v="65020"/>
    <s v="Postage, Mailing Service"/>
    <s v="01/21/2014"/>
    <s v="Check"/>
    <m/>
    <x v="389"/>
    <x v="22"/>
    <x v="1"/>
    <x v="3"/>
    <m/>
    <s v="10522 *US Bank - Milwaukee"/>
    <n v="21.45"/>
    <n v="412.5"/>
    <n v="21.45"/>
  </r>
  <r>
    <n v="65020"/>
    <s v="Postage, Mailing Service"/>
    <s v="03/27/2014"/>
    <s v="Check"/>
    <m/>
    <x v="389"/>
    <x v="22"/>
    <x v="1"/>
    <x v="3"/>
    <m/>
    <s v="10522 *US Bank - Milwaukee"/>
    <n v="13.06"/>
    <n v="927.2"/>
    <n v="13.06"/>
  </r>
  <r>
    <n v="65020"/>
    <s v="Postage, Mailing Service"/>
    <s v="04/09/2014"/>
    <s v="Check"/>
    <m/>
    <x v="6"/>
    <x v="22"/>
    <x v="1"/>
    <x v="3"/>
    <m/>
    <s v="10522 *US Bank - Milwaukee"/>
    <n v="19.940000000000001"/>
    <n v="992.92"/>
    <n v="19.940000000000001"/>
  </r>
  <r>
    <n v="65020"/>
    <s v="Postage, Mailing Service"/>
    <s v="04/28/2014"/>
    <s v="Check"/>
    <m/>
    <x v="389"/>
    <x v="22"/>
    <x v="1"/>
    <x v="3"/>
    <m/>
    <s v="10522 *US Bank - Milwaukee"/>
    <n v="56.98"/>
    <n v="1161.03"/>
    <n v="56.98"/>
  </r>
  <r>
    <n v="65020"/>
    <s v="Postage, Mailing Service"/>
    <s v="05/09/2014"/>
    <s v="Expense"/>
    <m/>
    <x v="389"/>
    <x v="22"/>
    <x v="1"/>
    <x v="3"/>
    <m/>
    <s v="10522 *US Bank - Milwaukee"/>
    <n v="5.37"/>
    <n v="1324.56"/>
    <n v="5.37"/>
  </r>
  <r>
    <n v="65020"/>
    <s v="Postage, Mailing Service"/>
    <s v="05/21/2014"/>
    <s v="Expense"/>
    <m/>
    <x v="389"/>
    <x v="22"/>
    <x v="1"/>
    <x v="3"/>
    <m/>
    <s v="10522 *US Bank - Milwaukee"/>
    <n v="192"/>
    <n v="1523.55"/>
    <n v="192"/>
  </r>
  <r>
    <n v="65020"/>
    <s v="Postage, Mailing Service"/>
    <s v="06/02/2014"/>
    <s v="Expense"/>
    <m/>
    <x v="389"/>
    <x v="22"/>
    <x v="1"/>
    <x v="3"/>
    <m/>
    <s v="10522 *US Bank - Milwaukee"/>
    <n v="12.83"/>
    <n v="1542.08"/>
    <n v="12.83"/>
  </r>
  <r>
    <n v="65025"/>
    <s v="Bank Service Charges"/>
    <s v="02/14/2014"/>
    <s v="Check"/>
    <m/>
    <x v="257"/>
    <x v="22"/>
    <x v="1"/>
    <x v="14"/>
    <m/>
    <s v="10522 *US Bank - Milwaukee"/>
    <n v="10"/>
    <n v="415.2"/>
    <n v="10"/>
  </r>
  <r>
    <n v="65030"/>
    <s v="Printing and Copying"/>
    <s v="03/26/2014"/>
    <s v="Check"/>
    <m/>
    <x v="390"/>
    <x v="22"/>
    <x v="1"/>
    <x v="20"/>
    <m/>
    <s v="10522 *US Bank - Milwaukee"/>
    <n v="3.88"/>
    <n v="449.91"/>
    <n v="3.88"/>
  </r>
  <r>
    <n v="65030"/>
    <s v="Printing and Copying"/>
    <s v="04/02/2014"/>
    <s v="Check"/>
    <m/>
    <x v="390"/>
    <x v="22"/>
    <x v="1"/>
    <x v="20"/>
    <m/>
    <s v="10522 *US Bank - Milwaukee"/>
    <n v="29.05"/>
    <n v="713.72"/>
    <n v="29.05"/>
  </r>
  <r>
    <n v="65030"/>
    <s v="Printing and Copying"/>
    <s v="04/04/2014"/>
    <s v="Check"/>
    <m/>
    <x v="257"/>
    <x v="22"/>
    <x v="1"/>
    <x v="20"/>
    <m/>
    <s v="10522 *US Bank - Milwaukee"/>
    <n v="98.02"/>
    <n v="811.74"/>
    <n v="98.02"/>
  </r>
  <r>
    <n v="65030"/>
    <s v="Printing and Copying"/>
    <s v="04/08/2014"/>
    <s v="Check"/>
    <m/>
    <x v="390"/>
    <x v="22"/>
    <x v="1"/>
    <x v="20"/>
    <m/>
    <s v="10522 *US Bank - Milwaukee"/>
    <n v="8.0399999999999991"/>
    <n v="819.78"/>
    <n v="8.0399999999999991"/>
  </r>
  <r>
    <n v="65030"/>
    <s v="Printing and Copying"/>
    <s v="04/14/2014"/>
    <s v="Check"/>
    <m/>
    <x v="257"/>
    <x v="22"/>
    <x v="1"/>
    <x v="20"/>
    <m/>
    <s v="10522 *US Bank - Milwaukee"/>
    <n v="8"/>
    <n v="1579.78"/>
    <n v="8"/>
  </r>
  <r>
    <n v="65030"/>
    <s v="Printing and Copying"/>
    <s v="04/28/2014"/>
    <s v="Check"/>
    <m/>
    <x v="390"/>
    <x v="22"/>
    <x v="1"/>
    <x v="20"/>
    <m/>
    <s v="10522 *US Bank - Milwaukee"/>
    <n v="9.14"/>
    <n v="1638.92"/>
    <n v="9.14"/>
  </r>
  <r>
    <n v="65030"/>
    <s v="Printing and Copying"/>
    <s v="05/05/2014"/>
    <s v="Expense"/>
    <m/>
    <x v="391"/>
    <x v="22"/>
    <x v="1"/>
    <x v="20"/>
    <m/>
    <s v="10522 *US Bank - Milwaukee"/>
    <n v="152.46"/>
    <n v="1791.38"/>
    <n v="152.46"/>
  </r>
  <r>
    <n v="65030"/>
    <s v="Printing and Copying"/>
    <s v="05/14/2014"/>
    <s v="Expense"/>
    <m/>
    <x v="257"/>
    <x v="22"/>
    <x v="1"/>
    <x v="20"/>
    <m/>
    <s v="10522 *US Bank - Milwaukee"/>
    <n v="25"/>
    <n v="1816.38"/>
    <n v="25"/>
  </r>
  <r>
    <n v="65030"/>
    <s v="Printing and Copying"/>
    <s v="06/16/2014"/>
    <s v="Expense"/>
    <m/>
    <x v="391"/>
    <x v="22"/>
    <x v="1"/>
    <x v="20"/>
    <m/>
    <s v="10522 *US Bank - Milwaukee"/>
    <n v="59.32"/>
    <n v="2127.1999999999998"/>
    <n v="59.32"/>
  </r>
  <r>
    <n v="65030"/>
    <s v="Printing and Copying"/>
    <s v="06/16/2014"/>
    <s v="Expense"/>
    <m/>
    <x v="391"/>
    <x v="22"/>
    <x v="1"/>
    <x v="20"/>
    <m/>
    <s v="10522 *US Bank - Milwaukee"/>
    <n v="119.37"/>
    <n v="2246.5700000000002"/>
    <n v="119.37"/>
  </r>
  <r>
    <n v="65036"/>
    <s v="Volunteer Hospitality"/>
    <s v="01/22/2014"/>
    <s v="Check"/>
    <m/>
    <x v="392"/>
    <x v="22"/>
    <x v="1"/>
    <x v="13"/>
    <m/>
    <s v="10522 *US Bank - Milwaukee"/>
    <n v="99.73"/>
    <n v="123.93"/>
    <n v="99.73"/>
  </r>
  <r>
    <n v="65036"/>
    <s v="Volunteer Hospitality"/>
    <s v="03/04/2014"/>
    <s v="Check"/>
    <n v="1061"/>
    <x v="393"/>
    <x v="22"/>
    <x v="5"/>
    <x v="13"/>
    <m/>
    <s v="10522 *US Bank - Milwaukee"/>
    <n v="2527.36"/>
    <n v="3485.14"/>
    <n v="2527.36"/>
  </r>
  <r>
    <n v="65040"/>
    <s v="Supplies"/>
    <s v="03/03/2014"/>
    <s v="Check"/>
    <m/>
    <x v="156"/>
    <x v="22"/>
    <x v="1"/>
    <x v="4"/>
    <m/>
    <s v="10522 *US Bank - Milwaukee"/>
    <n v="48.98"/>
    <n v="775.79"/>
    <n v="48.98"/>
  </r>
  <r>
    <n v="65040"/>
    <s v="Supplies"/>
    <s v="03/25/2014"/>
    <s v="Check"/>
    <m/>
    <x v="156"/>
    <x v="22"/>
    <x v="1"/>
    <x v="4"/>
    <m/>
    <s v="10522 *US Bank - Milwaukee"/>
    <n v="82.15"/>
    <n v="1074.1400000000001"/>
    <n v="82.15"/>
  </r>
  <r>
    <n v="65060"/>
    <s v="Material for Rooms Expense"/>
    <s v="05/19/2014"/>
    <s v="Expense"/>
    <m/>
    <x v="394"/>
    <x v="22"/>
    <x v="1"/>
    <x v="5"/>
    <m/>
    <s v="10522 *US Bank - Milwaukee"/>
    <n v="26.75"/>
    <n v="26.75"/>
    <n v="26.75"/>
  </r>
  <r>
    <n v="65061"/>
    <s v="Material for Rooms Expense"/>
    <s v="01/02/2014"/>
    <s v="Check"/>
    <m/>
    <x v="257"/>
    <x v="22"/>
    <x v="1"/>
    <x v="5"/>
    <m/>
    <s v="10522 *US Bank - Milwaukee"/>
    <n v="546.48"/>
    <n v="-9251.5"/>
    <n v="546.48"/>
  </r>
  <r>
    <n v="65061"/>
    <s v="Material for Rooms Expense"/>
    <s v="01/06/2014"/>
    <s v="Check"/>
    <m/>
    <x v="161"/>
    <x v="22"/>
    <x v="1"/>
    <x v="5"/>
    <m/>
    <s v="10522 *US Bank - Milwaukee"/>
    <n v="47.49"/>
    <n v="-7651.6"/>
    <n v="47.49"/>
  </r>
  <r>
    <n v="65061"/>
    <s v="Material for Rooms Expense"/>
    <s v="01/08/2014"/>
    <s v="Check"/>
    <m/>
    <x v="33"/>
    <x v="22"/>
    <x v="1"/>
    <x v="5"/>
    <m/>
    <s v="10522 *US Bank - Milwaukee"/>
    <n v="26.39"/>
    <n v="-6097.72"/>
    <n v="26.39"/>
  </r>
  <r>
    <n v="65061"/>
    <s v="Material for Rooms Expense"/>
    <s v="01/08/2014"/>
    <s v="Check"/>
    <m/>
    <x v="33"/>
    <x v="22"/>
    <x v="1"/>
    <x v="5"/>
    <m/>
    <s v="10522 *US Bank - Milwaukee"/>
    <n v="71"/>
    <n v="-6026.72"/>
    <n v="71"/>
  </r>
  <r>
    <n v="65061"/>
    <s v="Material for Rooms Expense"/>
    <s v="01/08/2014"/>
    <s v="Check"/>
    <m/>
    <x v="33"/>
    <x v="22"/>
    <x v="1"/>
    <x v="5"/>
    <m/>
    <s v="10522 *US Bank - Milwaukee"/>
    <n v="44.33"/>
    <n v="-5982.39"/>
    <n v="44.33"/>
  </r>
  <r>
    <n v="65061"/>
    <s v="Material for Rooms Expense"/>
    <s v="01/08/2014"/>
    <s v="Check"/>
    <m/>
    <x v="33"/>
    <x v="22"/>
    <x v="1"/>
    <x v="5"/>
    <m/>
    <s v="10522 *US Bank - Milwaukee"/>
    <n v="66.790000000000006"/>
    <n v="-5915.6"/>
    <n v="66.790000000000006"/>
  </r>
  <r>
    <n v="65061"/>
    <s v="Material for Rooms Expense"/>
    <s v="01/08/2014"/>
    <s v="Check"/>
    <m/>
    <x v="33"/>
    <x v="22"/>
    <x v="1"/>
    <x v="5"/>
    <m/>
    <s v="10522 *US Bank - Milwaukee"/>
    <n v="101.53"/>
    <n v="-5814.07"/>
    <n v="101.53"/>
  </r>
  <r>
    <n v="65061"/>
    <s v="Material for Rooms Expense"/>
    <s v="01/09/2014"/>
    <s v="Check"/>
    <m/>
    <x v="33"/>
    <x v="22"/>
    <x v="1"/>
    <x v="5"/>
    <m/>
    <s v="10522 *US Bank - Milwaukee"/>
    <n v="72.489999999999995"/>
    <n v="-4656.45"/>
    <n v="72.489999999999995"/>
  </r>
  <r>
    <n v="65061"/>
    <s v="Material for Rooms Expense"/>
    <s v="01/09/2014"/>
    <s v="Check"/>
    <m/>
    <x v="29"/>
    <x v="22"/>
    <x v="1"/>
    <x v="5"/>
    <m/>
    <s v="10522 *US Bank - Milwaukee"/>
    <n v="63.3"/>
    <n v="-4593.1499999999996"/>
    <n v="63.3"/>
  </r>
  <r>
    <n v="65061"/>
    <s v="Material for Rooms Expense"/>
    <s v="01/09/2014"/>
    <s v="Check"/>
    <m/>
    <x v="257"/>
    <x v="22"/>
    <x v="1"/>
    <x v="5"/>
    <m/>
    <s v="10522 *US Bank - Milwaukee"/>
    <n v="202.64"/>
    <n v="-4390.51"/>
    <n v="202.64"/>
  </r>
  <r>
    <n v="65061"/>
    <s v="Material for Rooms Expense"/>
    <s v="01/13/2014"/>
    <s v="Check"/>
    <m/>
    <x v="204"/>
    <x v="22"/>
    <x v="1"/>
    <x v="5"/>
    <m/>
    <s v="10522 *US Bank - Milwaukee"/>
    <n v="35.1"/>
    <n v="1234.54"/>
    <n v="35.1"/>
  </r>
  <r>
    <n v="65061"/>
    <s v="Material for Rooms Expense"/>
    <s v="01/13/2014"/>
    <s v="Check"/>
    <m/>
    <x v="390"/>
    <x v="22"/>
    <x v="1"/>
    <x v="5"/>
    <m/>
    <s v="10522 *US Bank - Milwaukee"/>
    <n v="6"/>
    <n v="1240.54"/>
    <n v="6"/>
  </r>
  <r>
    <n v="65061"/>
    <s v="Material for Rooms Expense"/>
    <s v="01/13/2014"/>
    <s v="Check"/>
    <m/>
    <x v="0"/>
    <x v="22"/>
    <x v="1"/>
    <x v="5"/>
    <m/>
    <s v="10522 *US Bank - Milwaukee"/>
    <n v="229"/>
    <n v="1469.54"/>
    <n v="229"/>
  </r>
  <r>
    <n v="65061"/>
    <s v="Material for Rooms Expense"/>
    <s v="01/14/2014"/>
    <s v="Check"/>
    <m/>
    <x v="395"/>
    <x v="22"/>
    <x v="1"/>
    <x v="5"/>
    <m/>
    <s v="10522 *US Bank - Milwaukee"/>
    <n v="66.5"/>
    <n v="3732.04"/>
    <n v="66.5"/>
  </r>
  <r>
    <n v="65061"/>
    <s v="Material for Rooms Expense"/>
    <s v="01/15/2014"/>
    <s v="Check"/>
    <m/>
    <x v="0"/>
    <x v="22"/>
    <x v="1"/>
    <x v="5"/>
    <m/>
    <s v="10522 *US Bank - Milwaukee"/>
    <n v="29.54"/>
    <n v="5570.48"/>
    <n v="29.54"/>
  </r>
  <r>
    <n v="65061"/>
    <s v="Material for Rooms Expense"/>
    <s v="01/16/2014"/>
    <s v="Check"/>
    <m/>
    <x v="19"/>
    <x v="22"/>
    <x v="1"/>
    <x v="5"/>
    <m/>
    <s v="10522 *US Bank - Milwaukee"/>
    <n v="44.72"/>
    <n v="5812.67"/>
    <n v="44.72"/>
  </r>
  <r>
    <n v="65061"/>
    <s v="Material for Rooms Expense"/>
    <s v="01/17/2014"/>
    <s v="Check"/>
    <m/>
    <x v="156"/>
    <x v="22"/>
    <x v="1"/>
    <x v="5"/>
    <m/>
    <s v="10522 *US Bank - Milwaukee"/>
    <n v="14.54"/>
    <n v="9772.9500000000007"/>
    <n v="14.54"/>
  </r>
  <r>
    <n v="65061"/>
    <s v="Material for Rooms Expense"/>
    <s v="01/17/2014"/>
    <s v="Check"/>
    <m/>
    <x v="26"/>
    <x v="22"/>
    <x v="1"/>
    <x v="5"/>
    <m/>
    <s v="10522 *US Bank - Milwaukee"/>
    <n v="92.65"/>
    <n v="9865.6"/>
    <n v="92.65"/>
  </r>
  <r>
    <n v="65061"/>
    <s v="Material for Rooms Expense"/>
    <s v="01/21/2014"/>
    <s v="Check"/>
    <m/>
    <x v="396"/>
    <x v="22"/>
    <x v="1"/>
    <x v="5"/>
    <m/>
    <s v="10522 *US Bank - Milwaukee"/>
    <n v="24.21"/>
    <n v="9975.66"/>
    <n v="24.21"/>
  </r>
  <r>
    <n v="65061"/>
    <s v="Material for Rooms Expense"/>
    <s v="01/21/2014"/>
    <s v="Check"/>
    <m/>
    <x v="397"/>
    <x v="22"/>
    <x v="1"/>
    <x v="5"/>
    <m/>
    <s v="10522 *US Bank - Milwaukee"/>
    <n v="37.01"/>
    <n v="10107.44"/>
    <n v="37.01"/>
  </r>
  <r>
    <n v="65061"/>
    <s v="Material for Rooms Expense"/>
    <s v="01/21/2014"/>
    <s v="Check"/>
    <m/>
    <x v="395"/>
    <x v="22"/>
    <x v="1"/>
    <x v="5"/>
    <m/>
    <s v="10522 *US Bank - Milwaukee"/>
    <n v="151.38"/>
    <n v="10258.82"/>
    <n v="151.38"/>
  </r>
  <r>
    <n v="65061"/>
    <s v="Material for Rooms Expense"/>
    <s v="01/21/2014"/>
    <s v="Deposit"/>
    <m/>
    <x v="396"/>
    <x v="22"/>
    <x v="1"/>
    <x v="5"/>
    <m/>
    <s v="10522 *US Bank - Milwaukee"/>
    <n v="-12.43"/>
    <n v="10367.93"/>
    <n v="-12.43"/>
  </r>
  <r>
    <n v="65061"/>
    <s v="Material for Rooms Expense"/>
    <s v="01/21/2014"/>
    <s v="Check"/>
    <m/>
    <x v="338"/>
    <x v="22"/>
    <x v="1"/>
    <x v="5"/>
    <m/>
    <s v="10522 *US Bank - Milwaukee"/>
    <n v="374.87"/>
    <n v="12749.56"/>
    <n v="374.87"/>
  </r>
  <r>
    <n v="65061"/>
    <s v="Material for Rooms Expense"/>
    <s v="01/21/2014"/>
    <s v="Check"/>
    <m/>
    <x v="338"/>
    <x v="22"/>
    <x v="1"/>
    <x v="5"/>
    <m/>
    <s v="10522 *US Bank - Milwaukee"/>
    <n v="8.6300000000000008"/>
    <n v="12758.19"/>
    <n v="8.6300000000000008"/>
  </r>
  <r>
    <n v="65061"/>
    <s v="Material for Rooms Expense"/>
    <s v="01/22/2014"/>
    <s v="Check"/>
    <m/>
    <x v="68"/>
    <x v="22"/>
    <x v="1"/>
    <x v="5"/>
    <m/>
    <s v="10522 *US Bank - Milwaukee"/>
    <n v="114.08"/>
    <n v="14905.4"/>
    <n v="114.08"/>
  </r>
  <r>
    <n v="65061"/>
    <s v="Material for Rooms Expense"/>
    <s v="02/03/2014"/>
    <s v="Check"/>
    <n v="1050"/>
    <x v="398"/>
    <x v="22"/>
    <x v="1"/>
    <x v="5"/>
    <m/>
    <s v="10522 *US Bank - Milwaukee"/>
    <n v="500"/>
    <n v="27863.38"/>
    <n v="500"/>
  </r>
  <r>
    <n v="65061"/>
    <s v="Material for Rooms Expense"/>
    <s v="03/03/2014"/>
    <s v="Check"/>
    <n v="1000"/>
    <x v="399"/>
    <x v="22"/>
    <x v="1"/>
    <x v="5"/>
    <s v="Gianni reimbursement"/>
    <s v="10181 *US Bank National 5014"/>
    <n v="3315.2"/>
    <n v="61095.360000000001"/>
    <n v="3315.2"/>
  </r>
  <r>
    <n v="65061"/>
    <s v="Material for Rooms Expense"/>
    <s v="04/01/2014"/>
    <s v="Check"/>
    <n v="1066"/>
    <x v="400"/>
    <x v="22"/>
    <x v="1"/>
    <x v="5"/>
    <m/>
    <s v="10522 *US Bank - Milwaukee"/>
    <n v="200"/>
    <n v="82653.539999999994"/>
    <n v="200"/>
  </r>
  <r>
    <n v="65061"/>
    <s v="Material for Rooms Expense"/>
    <s v="05/02/2014"/>
    <s v="Check"/>
    <m/>
    <x v="156"/>
    <x v="22"/>
    <x v="1"/>
    <x v="5"/>
    <m/>
    <s v="10522 *US Bank - Milwaukee"/>
    <n v="32.96"/>
    <n v="114555.42"/>
    <n v="32.96"/>
  </r>
  <r>
    <n v="65061"/>
    <s v="Material for Rooms Expense"/>
    <s v="05/08/2014"/>
    <s v="Check"/>
    <n v="1056"/>
    <x v="401"/>
    <x v="22"/>
    <x v="1"/>
    <x v="5"/>
    <m/>
    <s v="10522 *US Bank - Milwaukee"/>
    <n v="64.22"/>
    <n v="124249.56"/>
    <n v="64.22"/>
  </r>
  <r>
    <n v="65061"/>
    <s v="Material for Rooms Expense"/>
    <s v="05/22/2014"/>
    <s v="Expense"/>
    <m/>
    <x v="68"/>
    <x v="22"/>
    <x v="1"/>
    <x v="5"/>
    <m/>
    <s v="10522 *US Bank - Milwaukee"/>
    <n v="132.72"/>
    <n v="144295.35"/>
    <n v="132.72"/>
  </r>
  <r>
    <n v="65062"/>
    <s v="In-Kind Goods"/>
    <s v="01/20/2014"/>
    <s v="Journal Entry"/>
    <n v="463"/>
    <x v="0"/>
    <x v="22"/>
    <x v="1"/>
    <x v="10"/>
    <s v="Connor Semenske room"/>
    <s v="-Split-"/>
    <n v="8.32"/>
    <n v="4109.2"/>
    <n v="8.32"/>
  </r>
  <r>
    <n v="65062"/>
    <s v="In-Kind Goods"/>
    <s v="01/20/2014"/>
    <s v="Journal Entry"/>
    <n v="463"/>
    <x v="0"/>
    <x v="22"/>
    <x v="1"/>
    <x v="10"/>
    <s v="Connor Semenske room"/>
    <s v="-Split-"/>
    <n v="64.64"/>
    <n v="4173.84"/>
    <n v="64.64"/>
  </r>
  <r>
    <n v="65062"/>
    <s v="In-Kind Goods"/>
    <s v="01/20/2014"/>
    <s v="Journal Entry"/>
    <n v="463"/>
    <x v="0"/>
    <x v="22"/>
    <x v="1"/>
    <x v="10"/>
    <s v="Connor Semenske room"/>
    <s v="-Split-"/>
    <n v="61.08"/>
    <n v="4234.92"/>
    <n v="61.08"/>
  </r>
  <r>
    <n v="65090"/>
    <s v="Advertising Expense"/>
    <s v="01/23/2014"/>
    <s v="Check"/>
    <m/>
    <x v="402"/>
    <x v="22"/>
    <x v="1"/>
    <x v="6"/>
    <m/>
    <s v="10522 *US Bank - Milwaukee"/>
    <n v="32.99"/>
    <n v="32.99"/>
    <n v="32.99"/>
  </r>
  <r>
    <n v="65090"/>
    <s v="Advertising Expense"/>
    <s v="01/24/2014"/>
    <s v="Check"/>
    <m/>
    <x v="402"/>
    <x v="22"/>
    <x v="1"/>
    <x v="6"/>
    <m/>
    <s v="10522 *US Bank - Milwaukee"/>
    <n v="71.5"/>
    <n v="104.49"/>
    <n v="71.5"/>
  </r>
  <r>
    <n v="65090"/>
    <s v="Advertising Expense"/>
    <s v="05/02/2014"/>
    <s v="Check"/>
    <n v="1071"/>
    <x v="388"/>
    <x v="22"/>
    <x v="1"/>
    <x v="6"/>
    <m/>
    <s v="10522 *US Bank - Milwaukee"/>
    <n v="275"/>
    <n v="508.33"/>
    <n v="275"/>
  </r>
  <r>
    <n v="67001"/>
    <s v="Fundraising Expense -  Direct"/>
    <s v="01/13/2014"/>
    <s v="Check"/>
    <m/>
    <x v="403"/>
    <x v="22"/>
    <x v="2"/>
    <x v="7"/>
    <m/>
    <s v="10522 *US Bank - Milwaukee"/>
    <n v="999.96"/>
    <n v="-1290.02"/>
    <n v="999.96"/>
  </r>
  <r>
    <n v="67001"/>
    <s v="Fundraising Expense -  Direct"/>
    <s v="01/21/2014"/>
    <s v="Check"/>
    <m/>
    <x v="156"/>
    <x v="22"/>
    <x v="2"/>
    <x v="7"/>
    <s v="postage"/>
    <s v="10522 *US Bank - Milwaukee"/>
    <n v="276"/>
    <n v="-185.86"/>
    <n v="276"/>
  </r>
  <r>
    <n v="67001"/>
    <s v="Fundraising Expense -  Direct"/>
    <s v="01/21/2014"/>
    <s v="Check"/>
    <n v="1049"/>
    <x v="404"/>
    <x v="22"/>
    <x v="2"/>
    <x v="7"/>
    <m/>
    <s v="10522 *US Bank - Milwaukee"/>
    <n v="480.8"/>
    <n v="294.94"/>
    <n v="480.8"/>
  </r>
  <r>
    <n v="67001"/>
    <s v="Fundraising Expense -  Direct"/>
    <s v="01/24/2014"/>
    <s v="Check"/>
    <n v="1048"/>
    <x v="405"/>
    <x v="22"/>
    <x v="2"/>
    <x v="7"/>
    <s v="catering deposit"/>
    <s v="10522 *US Bank - Milwaukee"/>
    <n v="2000"/>
    <n v="2294.94"/>
    <n v="2000"/>
  </r>
  <r>
    <n v="67001"/>
    <s v="Fundraising Expense -  Direct"/>
    <s v="02/03/2014"/>
    <s v="Check"/>
    <n v="1051"/>
    <x v="388"/>
    <x v="22"/>
    <x v="2"/>
    <x v="7"/>
    <s v="Logo"/>
    <s v="10522 *US Bank - Milwaukee"/>
    <n v="750"/>
    <n v="3092.73"/>
    <n v="750"/>
  </r>
  <r>
    <n v="67001"/>
    <s v="Fundraising Expense -  Direct"/>
    <s v="02/04/2014"/>
    <s v="Check"/>
    <m/>
    <x v="156"/>
    <x v="22"/>
    <x v="2"/>
    <x v="7"/>
    <m/>
    <s v="10522 *US Bank - Milwaukee"/>
    <n v="147.47999999999999"/>
    <n v="3240.21"/>
    <n v="147.47999999999999"/>
  </r>
  <r>
    <n v="67001"/>
    <s v="Fundraising Expense -  Direct"/>
    <s v="02/10/2014"/>
    <s v="Check"/>
    <m/>
    <x v="404"/>
    <x v="22"/>
    <x v="2"/>
    <x v="7"/>
    <s v="lunch meeting for Gala"/>
    <s v="10522 *US Bank - Milwaukee"/>
    <n v="364.8"/>
    <n v="5907.26"/>
    <n v="364.8"/>
  </r>
  <r>
    <n v="67001"/>
    <s v="Fundraising Expense -  Direct"/>
    <s v="02/14/2014"/>
    <s v="Check"/>
    <m/>
    <x v="156"/>
    <x v="22"/>
    <x v="2"/>
    <x v="7"/>
    <m/>
    <s v="10522 *US Bank - Milwaukee"/>
    <n v="59.18"/>
    <n v="6430.94"/>
    <n v="59.18"/>
  </r>
  <r>
    <n v="67001"/>
    <s v="Fundraising Expense -  Direct"/>
    <s v="02/18/2014"/>
    <s v="Check"/>
    <m/>
    <x v="27"/>
    <x v="22"/>
    <x v="2"/>
    <x v="7"/>
    <s v="Volunteer hospitality for gala"/>
    <s v="10522 *US Bank - Milwaukee"/>
    <n v="275.8"/>
    <n v="6706.74"/>
    <n v="275.8"/>
  </r>
  <r>
    <n v="67001"/>
    <s v="Fundraising Expense -  Direct"/>
    <s v="02/18/2014"/>
    <s v="Check"/>
    <m/>
    <x v="156"/>
    <x v="22"/>
    <x v="2"/>
    <x v="7"/>
    <m/>
    <s v="10522 *US Bank - Milwaukee"/>
    <n v="8.44"/>
    <n v="6715.18"/>
    <n v="8.44"/>
  </r>
  <r>
    <n v="67001"/>
    <s v="Fundraising Expense -  Direct"/>
    <s v="02/18/2014"/>
    <s v="Check"/>
    <m/>
    <x v="396"/>
    <x v="22"/>
    <x v="2"/>
    <x v="7"/>
    <m/>
    <s v="10522 *US Bank - Milwaukee"/>
    <n v="11.69"/>
    <n v="6726.87"/>
    <n v="11.69"/>
  </r>
  <r>
    <n v="67001"/>
    <s v="Fundraising Expense -  Direct"/>
    <s v="02/18/2014"/>
    <s v="Check"/>
    <m/>
    <x v="396"/>
    <x v="22"/>
    <x v="2"/>
    <x v="7"/>
    <m/>
    <s v="10522 *US Bank - Milwaukee"/>
    <n v="10.8"/>
    <n v="6737.67"/>
    <n v="10.8"/>
  </r>
  <r>
    <n v="67001"/>
    <s v="Fundraising Expense -  Direct"/>
    <s v="02/18/2014"/>
    <s v="Check"/>
    <m/>
    <x v="391"/>
    <x v="22"/>
    <x v="2"/>
    <x v="7"/>
    <s v="Printing invitations"/>
    <s v="10522 *US Bank - Milwaukee"/>
    <n v="1228.0999999999999"/>
    <n v="7965.77"/>
    <n v="1228.0999999999999"/>
  </r>
  <r>
    <n v="67001"/>
    <s v="Fundraising Expense -  Direct"/>
    <s v="02/18/2014"/>
    <s v="Check"/>
    <m/>
    <x v="406"/>
    <x v="22"/>
    <x v="2"/>
    <x v="7"/>
    <m/>
    <s v="10522 *US Bank - Milwaukee"/>
    <n v="75"/>
    <n v="8040.77"/>
    <n v="75"/>
  </r>
  <r>
    <n v="67001"/>
    <s v="Fundraising Expense -  Direct"/>
    <s v="02/18/2014"/>
    <s v="Check"/>
    <m/>
    <x v="407"/>
    <x v="22"/>
    <x v="2"/>
    <x v="7"/>
    <m/>
    <s v="10522 *US Bank - Milwaukee"/>
    <n v="113.7"/>
    <n v="8154.47"/>
    <n v="113.7"/>
  </r>
  <r>
    <n v="67001"/>
    <s v="Fundraising Expense -  Direct"/>
    <s v="02/20/2014"/>
    <s v="Check"/>
    <n v="1055"/>
    <x v="408"/>
    <x v="22"/>
    <x v="2"/>
    <x v="7"/>
    <m/>
    <s v="10522 *US Bank - Milwaukee"/>
    <n v="414.93"/>
    <n v="8569.4"/>
    <n v="414.93"/>
  </r>
  <r>
    <n v="67001"/>
    <s v="Fundraising Expense -  Direct"/>
    <s v="02/21/2014"/>
    <s v="Check"/>
    <m/>
    <x v="338"/>
    <x v="22"/>
    <x v="2"/>
    <x v="7"/>
    <m/>
    <s v="10522 *US Bank - Milwaukee"/>
    <n v="21.08"/>
    <n v="8757.48"/>
    <n v="21.08"/>
  </r>
  <r>
    <n v="67001"/>
    <s v="Fundraising Expense -  Direct"/>
    <s v="02/24/2014"/>
    <s v="Check"/>
    <m/>
    <x v="41"/>
    <x v="22"/>
    <x v="2"/>
    <x v="7"/>
    <m/>
    <s v="10522 *US Bank - Milwaukee"/>
    <n v="68.239999999999995"/>
    <n v="8832.23"/>
    <n v="68.239999999999995"/>
  </r>
  <r>
    <n v="67001"/>
    <s v="Fundraising Expense -  Direct"/>
    <s v="02/26/2014"/>
    <s v="Check"/>
    <n v="1058"/>
    <x v="408"/>
    <x v="22"/>
    <x v="2"/>
    <x v="7"/>
    <m/>
    <s v="10522 *US Bank - Milwaukee"/>
    <n v="50"/>
    <n v="9132.23"/>
    <n v="50"/>
  </r>
  <r>
    <n v="67001"/>
    <s v="Fundraising Expense -  Direct"/>
    <s v="02/26/2014"/>
    <s v="Check"/>
    <m/>
    <x v="409"/>
    <x v="22"/>
    <x v="2"/>
    <x v="7"/>
    <s v="Printing"/>
    <s v="10522 *US Bank - Milwaukee"/>
    <n v="386.77"/>
    <n v="9519"/>
    <n v="386.77"/>
  </r>
  <r>
    <n v="67001"/>
    <s v="Fundraising Expense -  Direct"/>
    <s v="02/27/2014"/>
    <s v="Check"/>
    <m/>
    <x v="338"/>
    <x v="22"/>
    <x v="2"/>
    <x v="7"/>
    <m/>
    <s v="10522 *US Bank - Milwaukee"/>
    <n v="104.85"/>
    <n v="9748.34"/>
    <n v="104.85"/>
  </r>
  <r>
    <n v="67001"/>
    <s v="Fundraising Expense -  Direct"/>
    <s v="02/27/2014"/>
    <s v="Check"/>
    <m/>
    <x v="410"/>
    <x v="22"/>
    <x v="2"/>
    <x v="7"/>
    <m/>
    <s v="10522 *US Bank - Milwaukee"/>
    <n v="315.64"/>
    <n v="10213.98"/>
    <n v="315.64"/>
  </r>
  <r>
    <n v="67001"/>
    <s v="Fundraising Expense -  Direct"/>
    <s v="02/28/2014"/>
    <s v="Check"/>
    <n v="1068"/>
    <x v="411"/>
    <x v="22"/>
    <x v="2"/>
    <x v="7"/>
    <s v="decorations"/>
    <s v="10522 *US Bank - Milwaukee"/>
    <n v="225"/>
    <n v="10438.98"/>
    <n v="225"/>
  </r>
  <r>
    <n v="67001"/>
    <s v="Fundraising Expense -  Direct"/>
    <s v="02/28/2014"/>
    <s v="Check"/>
    <n v="1057"/>
    <x v="412"/>
    <x v="22"/>
    <x v="2"/>
    <x v="7"/>
    <m/>
    <s v="10522 *US Bank - Milwaukee"/>
    <n v="100"/>
    <n v="10538.98"/>
    <n v="100"/>
  </r>
  <r>
    <n v="67001"/>
    <s v="Fundraising Expense -  Direct"/>
    <s v="03/03/2014"/>
    <s v="Check"/>
    <m/>
    <x v="257"/>
    <x v="22"/>
    <x v="2"/>
    <x v="7"/>
    <m/>
    <s v="10522 *US Bank - Milwaukee"/>
    <n v="204.74"/>
    <n v="10763.32"/>
    <n v="204.74"/>
  </r>
  <r>
    <n v="67001"/>
    <s v="Fundraising Expense -  Direct"/>
    <s v="03/03/2014"/>
    <s v="Check"/>
    <m/>
    <x v="413"/>
    <x v="22"/>
    <x v="2"/>
    <x v="7"/>
    <m/>
    <s v="10522 *US Bank - Milwaukee"/>
    <n v="227.9"/>
    <n v="10991.22"/>
    <n v="227.9"/>
  </r>
  <r>
    <n v="67001"/>
    <s v="Fundraising Expense -  Direct"/>
    <s v="03/03/2014"/>
    <s v="Check"/>
    <m/>
    <x v="257"/>
    <x v="22"/>
    <x v="2"/>
    <x v="7"/>
    <m/>
    <s v="10522 *US Bank - Milwaukee"/>
    <n v="113.95"/>
    <n v="11105.17"/>
    <n v="113.95"/>
  </r>
  <r>
    <n v="67001"/>
    <s v="Fundraising Expense -  Direct"/>
    <s v="03/03/2014"/>
    <s v="Check"/>
    <m/>
    <x v="413"/>
    <x v="22"/>
    <x v="2"/>
    <x v="7"/>
    <m/>
    <s v="10522 *US Bank - Milwaukee"/>
    <n v="113.95"/>
    <n v="11219.12"/>
    <n v="113.95"/>
  </r>
  <r>
    <n v="67001"/>
    <s v="Fundraising Expense -  Direct"/>
    <s v="03/03/2014"/>
    <s v="Check"/>
    <m/>
    <x v="413"/>
    <x v="22"/>
    <x v="2"/>
    <x v="7"/>
    <m/>
    <s v="10522 *US Bank - Milwaukee"/>
    <n v="113.95"/>
    <n v="11333.07"/>
    <n v="113.95"/>
  </r>
  <r>
    <n v="67001"/>
    <s v="Fundraising Expense -  Direct"/>
    <s v="03/03/2014"/>
    <s v="Check"/>
    <m/>
    <x v="413"/>
    <x v="22"/>
    <x v="2"/>
    <x v="7"/>
    <m/>
    <s v="10522 *US Bank - Milwaukee"/>
    <n v="113.95"/>
    <n v="11447.02"/>
    <n v="113.95"/>
  </r>
  <r>
    <n v="67001"/>
    <s v="Fundraising Expense -  Direct"/>
    <s v="03/03/2014"/>
    <s v="Check"/>
    <m/>
    <x v="405"/>
    <x v="22"/>
    <x v="2"/>
    <x v="7"/>
    <m/>
    <s v="10522 *US Bank - Milwaukee"/>
    <n v="1000"/>
    <n v="12447.02"/>
    <n v="1000"/>
  </r>
  <r>
    <n v="67001"/>
    <s v="Fundraising Expense -  Direct"/>
    <s v="03/03/2014"/>
    <s v="Check"/>
    <m/>
    <x v="405"/>
    <x v="22"/>
    <x v="2"/>
    <x v="7"/>
    <m/>
    <s v="10522 *US Bank - Milwaukee"/>
    <n v="1000"/>
    <n v="13447.02"/>
    <n v="1000"/>
  </r>
  <r>
    <n v="67001"/>
    <s v="Fundraising Expense -  Direct"/>
    <s v="03/04/2014"/>
    <s v="Check"/>
    <m/>
    <x v="389"/>
    <x v="22"/>
    <x v="2"/>
    <x v="7"/>
    <s v="Program gift bags"/>
    <s v="10522 *US Bank - Milwaukee"/>
    <n v="22"/>
    <n v="13469.02"/>
    <n v="22"/>
  </r>
  <r>
    <n v="67001"/>
    <s v="Fundraising Expense -  Direct"/>
    <s v="03/04/2014"/>
    <s v="Check"/>
    <n v="1062"/>
    <x v="414"/>
    <x v="22"/>
    <x v="2"/>
    <x v="7"/>
    <m/>
    <s v="10522 *US Bank - Milwaukee"/>
    <n v="500"/>
    <n v="13969.02"/>
    <n v="500"/>
  </r>
  <r>
    <n v="67001"/>
    <s v="Fundraising Expense -  Direct"/>
    <s v="03/04/2014"/>
    <s v="Check"/>
    <n v="1054"/>
    <x v="415"/>
    <x v="22"/>
    <x v="2"/>
    <x v="7"/>
    <s v="auctioneer"/>
    <s v="10522 *US Bank - Milwaukee"/>
    <n v="2150"/>
    <n v="16119.02"/>
    <n v="2150"/>
  </r>
  <r>
    <n v="67001"/>
    <s v="Fundraising Expense -  Direct"/>
    <s v="03/05/2014"/>
    <s v="Check"/>
    <n v="1060"/>
    <x v="416"/>
    <x v="22"/>
    <x v="2"/>
    <x v="7"/>
    <m/>
    <s v="10522 *US Bank - Milwaukee"/>
    <n v="2412.5"/>
    <n v="18531.52"/>
    <n v="2412.5"/>
  </r>
  <r>
    <n v="67001"/>
    <s v="Fundraising Expense -  Direct"/>
    <s v="03/07/2014"/>
    <s v="Deposit"/>
    <m/>
    <x v="417"/>
    <x v="22"/>
    <x v="2"/>
    <x v="7"/>
    <s v="fees for greater giving"/>
    <s v="10522 *US Bank - Milwaukee"/>
    <n v="3404.19"/>
    <n v="21935.71"/>
    <n v="3404.19"/>
  </r>
  <r>
    <n v="67001"/>
    <s v="Fundraising Expense -  Direct"/>
    <s v="03/07/2014"/>
    <s v="Check"/>
    <m/>
    <x v="397"/>
    <x v="22"/>
    <x v="2"/>
    <x v="7"/>
    <s v="Gifts for Volunteers"/>
    <s v="10522 *US Bank - Milwaukee"/>
    <n v="561.16999999999996"/>
    <n v="22496.880000000001"/>
    <n v="561.16999999999996"/>
  </r>
  <r>
    <n v="67001"/>
    <s v="Fundraising Expense -  Direct"/>
    <s v="03/10/2014"/>
    <s v="Check"/>
    <m/>
    <x v="0"/>
    <x v="22"/>
    <x v="2"/>
    <x v="7"/>
    <s v="auction item"/>
    <s v="10522 *US Bank - Milwaukee"/>
    <n v="905.59"/>
    <n v="23402.47"/>
    <n v="905.59"/>
  </r>
  <r>
    <n v="67001"/>
    <s v="Fundraising Expense -  Direct"/>
    <s v="03/11/2014"/>
    <s v="Check"/>
    <n v="1059"/>
    <x v="408"/>
    <x v="22"/>
    <x v="2"/>
    <x v="7"/>
    <s v="Office expenses - auction"/>
    <s v="10522 *US Bank - Milwaukee"/>
    <n v="18.46"/>
    <n v="25481.599999999999"/>
    <n v="18.46"/>
  </r>
  <r>
    <n v="67001"/>
    <s v="Fundraising Expense -  Direct"/>
    <s v="03/11/2014"/>
    <s v="Check"/>
    <n v="1064"/>
    <x v="408"/>
    <x v="22"/>
    <x v="2"/>
    <x v="7"/>
    <s v="Decorations"/>
    <s v="10522 *US Bank - Milwaukee"/>
    <n v="44.28"/>
    <n v="25525.88"/>
    <n v="44.28"/>
  </r>
  <r>
    <n v="67001"/>
    <s v="Fundraising Expense -  Direct"/>
    <s v="03/17/2014"/>
    <s v="Check"/>
    <m/>
    <x v="156"/>
    <x v="22"/>
    <x v="2"/>
    <x v="7"/>
    <s v="Stamps and postage"/>
    <s v="10522 *US Bank - Milwaukee"/>
    <n v="98"/>
    <n v="25623.88"/>
    <n v="98"/>
  </r>
  <r>
    <n v="67001"/>
    <s v="Fundraising Expense -  Direct"/>
    <s v="03/17/2014"/>
    <s v="Check"/>
    <n v="1063"/>
    <x v="418"/>
    <x v="22"/>
    <x v="2"/>
    <x v="7"/>
    <m/>
    <s v="10522 *US Bank - Milwaukee"/>
    <n v="18728.490000000002"/>
    <n v="44352.37"/>
    <n v="18728.490000000002"/>
  </r>
  <r>
    <n v="67001"/>
    <s v="Fundraising Expense -  Direct"/>
    <s v="03/24/2014"/>
    <s v="Check"/>
    <m/>
    <x v="391"/>
    <x v="22"/>
    <x v="2"/>
    <x v="7"/>
    <s v="printing"/>
    <s v="10522 *US Bank - Milwaukee"/>
    <n v="229.04"/>
    <n v="44581.41"/>
    <n v="229.04"/>
  </r>
  <r>
    <n v="67001"/>
    <s v="Fundraising Expense -  Direct"/>
    <s v="03/24/2014"/>
    <s v="Check"/>
    <m/>
    <x v="391"/>
    <x v="22"/>
    <x v="2"/>
    <x v="7"/>
    <s v="printing"/>
    <s v="10522 *US Bank - Milwaukee"/>
    <n v="1550.59"/>
    <n v="46132"/>
    <n v="1550.59"/>
  </r>
  <r>
    <n v="67001"/>
    <s v="Fundraising Expense -  Direct"/>
    <s v="03/24/2014"/>
    <s v="Check"/>
    <m/>
    <x v="156"/>
    <x v="22"/>
    <x v="2"/>
    <x v="7"/>
    <s v="mailing"/>
    <s v="10522 *US Bank - Milwaukee"/>
    <n v="57.44"/>
    <n v="46189.440000000002"/>
    <n v="57.44"/>
  </r>
  <r>
    <n v="67001"/>
    <s v="Fundraising Expense -  Direct"/>
    <s v="03/25/2014"/>
    <s v="Check"/>
    <m/>
    <x v="389"/>
    <x v="22"/>
    <x v="2"/>
    <x v="7"/>
    <m/>
    <s v="10522 *US Bank - Milwaukee"/>
    <n v="1.98"/>
    <n v="46191.42"/>
    <n v="1.98"/>
  </r>
  <r>
    <n v="67001"/>
    <s v="Fundraising Expense -  Direct"/>
    <s v="03/27/2014"/>
    <s v="Check"/>
    <m/>
    <x v="419"/>
    <x v="22"/>
    <x v="2"/>
    <x v="7"/>
    <m/>
    <s v="10522 *US Bank - Milwaukee"/>
    <n v="45"/>
    <n v="46486.42"/>
    <n v="45"/>
  </r>
  <r>
    <n v="67001"/>
    <s v="Fundraising Expense -  Direct"/>
    <s v="03/31/2014"/>
    <s v="Check"/>
    <m/>
    <x v="389"/>
    <x v="22"/>
    <x v="2"/>
    <x v="7"/>
    <m/>
    <s v="10522 *US Bank - Milwaukee"/>
    <n v="19.170000000000002"/>
    <n v="46542.51"/>
    <n v="19.170000000000002"/>
  </r>
  <r>
    <n v="67001"/>
    <s v="Fundraising Expense -  Direct"/>
    <s v="04/03/2014"/>
    <s v="Check"/>
    <n v="1067"/>
    <x v="420"/>
    <x v="22"/>
    <x v="2"/>
    <x v="7"/>
    <m/>
    <s v="10522 *US Bank - Milwaukee"/>
    <n v="13.3"/>
    <n v="46793.120000000003"/>
    <n v="13.3"/>
  </r>
  <r>
    <n v="67001"/>
    <s v="Fundraising Expense -  Direct"/>
    <s v="04/22/2014"/>
    <s v="Check"/>
    <n v="1069"/>
    <x v="421"/>
    <x v="22"/>
    <x v="2"/>
    <x v="7"/>
    <m/>
    <s v="10522 *US Bank - Milwaukee"/>
    <n v="1547.14"/>
    <n v="53130.87"/>
    <n v="1547.14"/>
  </r>
  <r>
    <n v="67001"/>
    <s v="Fundraising Expense -  Direct"/>
    <s v="04/22/2014"/>
    <s v="Check"/>
    <n v="1070"/>
    <x v="422"/>
    <x v="22"/>
    <x v="2"/>
    <x v="7"/>
    <s v="Decorations"/>
    <s v="10522 *US Bank - Milwaukee"/>
    <n v="75"/>
    <n v="53244.11"/>
    <n v="75"/>
  </r>
  <r>
    <n v="67001"/>
    <s v="Fundraising Expense -  Direct"/>
    <s v="05/02/2014"/>
    <s v="Check"/>
    <n v="1071"/>
    <x v="388"/>
    <x v="22"/>
    <x v="2"/>
    <x v="7"/>
    <s v="Gala"/>
    <s v="10522 *US Bank - Milwaukee"/>
    <n v="1000"/>
    <n v="55596.11"/>
    <n v="1000"/>
  </r>
  <r>
    <n v="43400"/>
    <s v="Direct Public Support"/>
    <s v="04/07/2014"/>
    <s v="Deposit"/>
    <m/>
    <x v="3"/>
    <x v="29"/>
    <x v="0"/>
    <x v="1"/>
    <m/>
    <s v="10903 *US Bank Wisc-Northshore"/>
    <n v="16.87"/>
    <n v="108302.44"/>
    <n v="-16.87"/>
  </r>
  <r>
    <n v="43400"/>
    <s v="Direct Public Support"/>
    <s v="05/08/2014"/>
    <s v="Deposit"/>
    <m/>
    <x v="3"/>
    <x v="29"/>
    <x v="0"/>
    <x v="1"/>
    <m/>
    <s v="10203 *US Bank Wisc Restr 4595:Northshore"/>
    <n v="300"/>
    <n v="145105.26"/>
    <n v="-300"/>
  </r>
  <r>
    <n v="43400"/>
    <s v="Direct Public Support"/>
    <s v="07/31/2014"/>
    <s v="Deposit"/>
    <m/>
    <x v="3"/>
    <x v="10"/>
    <x v="0"/>
    <x v="1"/>
    <m/>
    <s v="10211 *US Bank-Ohio Restricted 4603:Columbus Restricted"/>
    <n v="254.47"/>
    <n v="230732.31"/>
    <n v="-254.47"/>
  </r>
  <r>
    <n v="43400"/>
    <s v="Direct Public Support"/>
    <s v="07/31/2014"/>
    <s v="Deposit"/>
    <m/>
    <x v="3"/>
    <x v="10"/>
    <x v="0"/>
    <x v="1"/>
    <m/>
    <s v="10211 *US Bank-Ohio Restricted 4603:Columbus Restricted"/>
    <n v="100"/>
    <n v="230832.31"/>
    <n v="-100"/>
  </r>
  <r>
    <n v="43430"/>
    <s v="Gifts in kind - Services"/>
    <s v="06/21/2014"/>
    <s v="Journal Entry"/>
    <n v="619"/>
    <x v="0"/>
    <x v="23"/>
    <x v="3"/>
    <x v="8"/>
    <s v="Duvet cover and roman shade"/>
    <s v="-Split-"/>
    <n v="928"/>
    <n v="19450.5"/>
    <n v="-928"/>
  </r>
  <r>
    <n v="43440"/>
    <s v="Gifts in Kind - Goods"/>
    <s v="06/21/2014"/>
    <s v="Journal Entry"/>
    <n v="619"/>
    <x v="0"/>
    <x v="23"/>
    <x v="3"/>
    <x v="9"/>
    <s v="Flooring Materials"/>
    <s v="-Split-"/>
    <n v="675"/>
    <n v="29412.48"/>
    <n v="-675"/>
  </r>
  <r>
    <n v="43440"/>
    <s v="Gifts in Kind - Goods"/>
    <s v="06/21/2014"/>
    <s v="Journal Entry"/>
    <n v="619"/>
    <x v="0"/>
    <x v="23"/>
    <x v="3"/>
    <x v="9"/>
    <s v="closet system"/>
    <s v="-Split-"/>
    <n v="774.57"/>
    <n v="30187.05"/>
    <n v="-774.57"/>
  </r>
  <r>
    <n v="65025"/>
    <s v="Bank Service Charges"/>
    <s v="06/02/2014"/>
    <s v="Expense"/>
    <m/>
    <x v="92"/>
    <x v="23"/>
    <x v="1"/>
    <x v="14"/>
    <m/>
    <s v="10465 BofA Minneapolis"/>
    <n v="35"/>
    <n v="1446.96"/>
    <n v="35"/>
  </r>
  <r>
    <n v="65036"/>
    <s v="Volunteer Hospitality"/>
    <s v="06/02/2014"/>
    <s v="Expense"/>
    <m/>
    <x v="423"/>
    <x v="23"/>
    <x v="1"/>
    <x v="13"/>
    <m/>
    <s v="10465 BofA Minneapolis"/>
    <n v="67.459999999999994"/>
    <n v="5013.26"/>
    <n v="67.459999999999994"/>
  </r>
  <r>
    <n v="65036"/>
    <s v="Volunteer Hospitality"/>
    <s v="06/23/2014"/>
    <s v="Expense"/>
    <m/>
    <x v="423"/>
    <x v="23"/>
    <x v="1"/>
    <x v="13"/>
    <m/>
    <s v="10465 BofA Minneapolis"/>
    <n v="41.76"/>
    <n v="5083.4799999999996"/>
    <n v="41.76"/>
  </r>
  <r>
    <n v="65060"/>
    <s v="Material for Rooms Expense"/>
    <s v="05/23/2014"/>
    <s v="Expense"/>
    <m/>
    <x v="424"/>
    <x v="23"/>
    <x v="1"/>
    <x v="5"/>
    <m/>
    <s v="10465 BofA Minneapolis"/>
    <n v="388"/>
    <n v="951.78"/>
    <n v="388"/>
  </r>
  <r>
    <n v="65060"/>
    <s v="Material for Rooms Expense"/>
    <s v="05/27/2014"/>
    <s v="Expense"/>
    <m/>
    <x v="425"/>
    <x v="23"/>
    <x v="1"/>
    <x v="5"/>
    <m/>
    <s v="10465 BofA Minneapolis"/>
    <n v="182"/>
    <n v="1504.2"/>
    <n v="182"/>
  </r>
  <r>
    <n v="65061"/>
    <s v="Material for Rooms Expense"/>
    <s v="01/10/2014"/>
    <s v="Check"/>
    <n v="1010"/>
    <x v="426"/>
    <x v="23"/>
    <x v="1"/>
    <x v="5"/>
    <m/>
    <s v="10465 BofA Minneapolis"/>
    <n v="1958.53"/>
    <n v="-1646.75"/>
    <n v="1958.53"/>
  </r>
  <r>
    <n v="65061"/>
    <s v="Material for Rooms Expense"/>
    <s v="04/03/2014"/>
    <s v="Check"/>
    <m/>
    <x v="19"/>
    <x v="23"/>
    <x v="1"/>
    <x v="5"/>
    <m/>
    <s v="10465 BofA Minneapolis"/>
    <n v="47.15"/>
    <n v="85870.67"/>
    <n v="47.15"/>
  </r>
  <r>
    <n v="65061"/>
    <s v="Material for Rooms Expense"/>
    <s v="04/03/2014"/>
    <s v="Check"/>
    <m/>
    <x v="19"/>
    <x v="23"/>
    <x v="1"/>
    <x v="5"/>
    <m/>
    <s v="10465 BofA Minneapolis"/>
    <n v="3.43"/>
    <n v="85874.1"/>
    <n v="3.43"/>
  </r>
  <r>
    <n v="65061"/>
    <s v="Material for Rooms Expense"/>
    <s v="04/07/2014"/>
    <s v="Check"/>
    <m/>
    <x v="427"/>
    <x v="23"/>
    <x v="1"/>
    <x v="5"/>
    <m/>
    <s v="10465 BofA Minneapolis"/>
    <n v="9"/>
    <n v="88486.94"/>
    <n v="9"/>
  </r>
  <r>
    <n v="65061"/>
    <s v="Material for Rooms Expense"/>
    <s v="05/07/2014"/>
    <s v="Expense"/>
    <m/>
    <x v="246"/>
    <x v="23"/>
    <x v="1"/>
    <x v="5"/>
    <m/>
    <s v="10465 BofA Minneapolis"/>
    <n v="1378.8"/>
    <n v="123375.92"/>
    <n v="1378.8"/>
  </r>
  <r>
    <n v="65061"/>
    <s v="Material for Rooms Expense"/>
    <s v="05/08/2014"/>
    <s v="Expense"/>
    <m/>
    <x v="0"/>
    <x v="23"/>
    <x v="1"/>
    <x v="5"/>
    <m/>
    <s v="10465 BofA Minneapolis"/>
    <n v="173.95"/>
    <n v="125156.04"/>
    <n v="173.95"/>
  </r>
  <r>
    <n v="65061"/>
    <s v="Material for Rooms Expense"/>
    <s v="05/12/2014"/>
    <s v="Expense"/>
    <m/>
    <x v="159"/>
    <x v="23"/>
    <x v="1"/>
    <x v="5"/>
    <m/>
    <s v="10465 BofA Minneapolis"/>
    <n v="199.99"/>
    <n v="129303.2"/>
    <n v="199.99"/>
  </r>
  <r>
    <n v="65061"/>
    <s v="Material for Rooms Expense"/>
    <s v="05/16/2014"/>
    <s v="Expense"/>
    <m/>
    <x v="428"/>
    <x v="23"/>
    <x v="1"/>
    <x v="5"/>
    <m/>
    <s v="10465 BofA Minneapolis"/>
    <n v="119.64"/>
    <n v="135948.10999999999"/>
    <n v="119.64"/>
  </r>
  <r>
    <n v="65061"/>
    <s v="Material for Rooms Expense"/>
    <s v="05/22/2014"/>
    <s v="Expense"/>
    <m/>
    <x v="73"/>
    <x v="23"/>
    <x v="1"/>
    <x v="5"/>
    <m/>
    <s v="10465 BofA Minneapolis"/>
    <n v="547.78"/>
    <n v="143888.29"/>
    <n v="547.78"/>
  </r>
  <r>
    <n v="65061"/>
    <s v="Material for Rooms Expense"/>
    <s v="05/28/2014"/>
    <s v="Expense"/>
    <m/>
    <x v="53"/>
    <x v="23"/>
    <x v="1"/>
    <x v="5"/>
    <m/>
    <s v="10465 BofA Minneapolis"/>
    <n v="61.17"/>
    <n v="146526.35999999999"/>
    <n v="61.17"/>
  </r>
  <r>
    <n v="65061"/>
    <s v="Material for Rooms Expense"/>
    <s v="06/02/2014"/>
    <s v="Expense"/>
    <m/>
    <x v="14"/>
    <x v="23"/>
    <x v="1"/>
    <x v="5"/>
    <m/>
    <s v="10465 BofA Minneapolis"/>
    <n v="17.670000000000002"/>
    <n v="150548.34"/>
    <n v="17.670000000000002"/>
  </r>
  <r>
    <n v="65061"/>
    <s v="Material for Rooms Expense"/>
    <s v="06/04/2014"/>
    <s v="Expense"/>
    <m/>
    <x v="26"/>
    <x v="23"/>
    <x v="1"/>
    <x v="5"/>
    <m/>
    <s v="10465 BofA Minneapolis"/>
    <n v="4.99"/>
    <n v="154036.41"/>
    <n v="4.99"/>
  </r>
  <r>
    <n v="65061"/>
    <s v="Material for Rooms Expense"/>
    <s v="06/05/2014"/>
    <s v="Expense"/>
    <m/>
    <x v="41"/>
    <x v="23"/>
    <x v="1"/>
    <x v="5"/>
    <m/>
    <s v="10465 BofA Minneapolis"/>
    <n v="22.91"/>
    <n v="154660.1"/>
    <n v="22.91"/>
  </r>
  <r>
    <n v="65061"/>
    <s v="Material for Rooms Expense"/>
    <s v="06/09/2014"/>
    <s v="Expense"/>
    <m/>
    <x v="53"/>
    <x v="23"/>
    <x v="1"/>
    <x v="5"/>
    <m/>
    <s v="10465 BofA Minneapolis"/>
    <n v="138.81"/>
    <n v="164849.01"/>
    <n v="138.81"/>
  </r>
  <r>
    <n v="65061"/>
    <s v="Material for Rooms Expense"/>
    <s v="06/16/2014"/>
    <s v="Check"/>
    <n v="476"/>
    <x v="429"/>
    <x v="23"/>
    <x v="1"/>
    <x v="5"/>
    <m/>
    <s v="10180 BofA Spec Spaces National 4695"/>
    <n v="539.36"/>
    <n v="170255.13"/>
    <n v="539.36"/>
  </r>
  <r>
    <n v="65061"/>
    <s v="Material for Rooms Expense"/>
    <s v="06/16/2014"/>
    <s v="Check"/>
    <n v="481"/>
    <x v="426"/>
    <x v="23"/>
    <x v="1"/>
    <x v="5"/>
    <m/>
    <s v="10180 BofA Spec Spaces National 4695"/>
    <n v="285.93"/>
    <n v="170694.96"/>
    <n v="285.93"/>
  </r>
  <r>
    <n v="65061"/>
    <s v="Material for Rooms Expense"/>
    <s v="06/18/2014"/>
    <s v="Expense"/>
    <m/>
    <x v="73"/>
    <x v="23"/>
    <x v="1"/>
    <x v="5"/>
    <m/>
    <s v="10465 BofA Minneapolis"/>
    <n v="867.86"/>
    <n v="178405.9"/>
    <n v="867.86"/>
  </r>
  <r>
    <n v="65061"/>
    <s v="Material for Rooms Expense"/>
    <s v="06/20/2014"/>
    <s v="Expense"/>
    <m/>
    <x v="430"/>
    <x v="23"/>
    <x v="1"/>
    <x v="5"/>
    <m/>
    <s v="10465 BofA Minneapolis"/>
    <n v="13"/>
    <n v="180789.24"/>
    <n v="13"/>
  </r>
  <r>
    <n v="65061"/>
    <s v="Material for Rooms Expense"/>
    <s v="06/20/2014"/>
    <s v="Expense"/>
    <m/>
    <x v="26"/>
    <x v="23"/>
    <x v="1"/>
    <x v="5"/>
    <m/>
    <s v="10465 BofA Minneapolis"/>
    <n v="27.29"/>
    <n v="180816.53"/>
    <n v="27.29"/>
  </r>
  <r>
    <n v="65061"/>
    <s v="Material for Rooms Expense"/>
    <s v="06/23/2014"/>
    <s v="Expense"/>
    <m/>
    <x v="431"/>
    <x v="23"/>
    <x v="1"/>
    <x v="5"/>
    <m/>
    <s v="10465 BofA Minneapolis"/>
    <n v="6.78"/>
    <n v="181309.61"/>
    <n v="6.78"/>
  </r>
  <r>
    <n v="65061"/>
    <s v="Material for Rooms Expense"/>
    <s v="06/23/2014"/>
    <s v="Expense"/>
    <m/>
    <x v="56"/>
    <x v="23"/>
    <x v="1"/>
    <x v="5"/>
    <m/>
    <s v="10465 BofA Minneapolis"/>
    <n v="79.989999999999995"/>
    <n v="183829.91"/>
    <n v="79.989999999999995"/>
  </r>
  <r>
    <n v="65062"/>
    <s v="In-Kind Goods"/>
    <s v="06/21/2014"/>
    <s v="Journal Entry"/>
    <n v="619"/>
    <x v="0"/>
    <x v="23"/>
    <x v="1"/>
    <x v="10"/>
    <s v="Flooring Materials"/>
    <s v="-Split-"/>
    <n v="675"/>
    <n v="29412.48"/>
    <n v="675"/>
  </r>
  <r>
    <n v="65062"/>
    <s v="In-Kind Goods"/>
    <s v="06/21/2014"/>
    <s v="Journal Entry"/>
    <n v="619"/>
    <x v="0"/>
    <x v="23"/>
    <x v="1"/>
    <x v="10"/>
    <s v="Closet system"/>
    <s v="-Split-"/>
    <n v="774.57"/>
    <n v="30187.05"/>
    <n v="774.57"/>
  </r>
  <r>
    <n v="65063"/>
    <s v="In-Kind Services"/>
    <s v="06/21/2014"/>
    <s v="Journal Entry"/>
    <n v="619"/>
    <x v="0"/>
    <x v="23"/>
    <x v="1"/>
    <x v="11"/>
    <s v="Duvet cover and roman shade"/>
    <s v="-Split-"/>
    <n v="928"/>
    <n v="19450.5"/>
    <n v="928"/>
  </r>
  <r>
    <n v="43400"/>
    <s v="Direct Public Support"/>
    <s v="10/30/2014"/>
    <s v="Deposit"/>
    <m/>
    <x v="3"/>
    <x v="10"/>
    <x v="0"/>
    <x v="1"/>
    <m/>
    <s v="10211 *US Bank-Ohio Restricted 4603:Columbus Restricted"/>
    <n v="269.79000000000002"/>
    <n v="313543.61"/>
    <n v="-269.79000000000002"/>
  </r>
  <r>
    <n v="43400"/>
    <s v="Direct Public Support"/>
    <s v="03/12/2014"/>
    <s v="Deposit"/>
    <m/>
    <x v="3"/>
    <x v="8"/>
    <x v="0"/>
    <x v="1"/>
    <m/>
    <s v="10132 BofA Restricted Funds -055:Orange County - 071"/>
    <n v="1000"/>
    <n v="90971.25"/>
    <n v="-1000"/>
  </r>
  <r>
    <n v="43400"/>
    <s v="Direct Public Support"/>
    <s v="06/03/2014"/>
    <s v="Deposit"/>
    <m/>
    <x v="3"/>
    <x v="13"/>
    <x v="0"/>
    <x v="1"/>
    <m/>
    <s v="10133 BofA Restricted Funds -055:Panama City"/>
    <n v="100"/>
    <n v="183667.31"/>
    <n v="-100"/>
  </r>
  <r>
    <n v="43400"/>
    <s v="Direct Public Support"/>
    <s v="07/07/2014"/>
    <s v="Deposit"/>
    <m/>
    <x v="3"/>
    <x v="26"/>
    <x v="0"/>
    <x v="1"/>
    <m/>
    <s v="10129 BofA Restricted Funds -055:NEPA - 4608"/>
    <n v="50"/>
    <n v="214872.57"/>
    <n v="-50"/>
  </r>
  <r>
    <n v="43400"/>
    <s v="Direct Public Support"/>
    <s v="10/16/2014"/>
    <s v="Deposit"/>
    <m/>
    <x v="432"/>
    <x v="30"/>
    <x v="0"/>
    <x v="1"/>
    <m/>
    <s v="10134 BofA Restricted Funds -055:Pittsburgh - Metro 3133"/>
    <n v="2500"/>
    <n v="286392.89"/>
    <n v="-2500"/>
  </r>
  <r>
    <n v="65020"/>
    <s v="Postage, Mailing Service"/>
    <s v="07/09/2014"/>
    <s v="Expense"/>
    <m/>
    <x v="7"/>
    <x v="23"/>
    <x v="1"/>
    <x v="3"/>
    <m/>
    <s v="10465 BofA Minneapolis"/>
    <n v="30.93"/>
    <n v="1697.74"/>
    <n v="30.93"/>
  </r>
  <r>
    <n v="65020"/>
    <s v="Postage, Mailing Service"/>
    <s v="10/06/2014"/>
    <s v="Expense"/>
    <m/>
    <x v="7"/>
    <x v="23"/>
    <x v="1"/>
    <x v="3"/>
    <m/>
    <s v="10465 BofA Minneapolis"/>
    <n v="24.65"/>
    <n v="3445.13"/>
    <n v="24.65"/>
  </r>
  <r>
    <n v="65040"/>
    <s v="Supplies/Office Expense"/>
    <s v="09/22/2014"/>
    <s v="Expense"/>
    <m/>
    <x v="8"/>
    <x v="23"/>
    <x v="1"/>
    <x v="4"/>
    <m/>
    <s v="10465 BofA Minneapolis"/>
    <n v="16.079999999999998"/>
    <n v="2544.6999999999998"/>
    <n v="16.079999999999998"/>
  </r>
  <r>
    <n v="65061"/>
    <s v="Material for Rooms"/>
    <s v="07/21/2014"/>
    <s v="Expense"/>
    <m/>
    <x v="433"/>
    <x v="23"/>
    <x v="1"/>
    <x v="5"/>
    <m/>
    <s v="10465 BofA Minneapolis"/>
    <n v="157"/>
    <n v="221029.81"/>
    <n v="157"/>
  </r>
  <r>
    <n v="65061"/>
    <s v="Material for Rooms"/>
    <s v="07/28/2014"/>
    <s v="Expense"/>
    <m/>
    <x v="31"/>
    <x v="23"/>
    <x v="1"/>
    <x v="5"/>
    <m/>
    <s v="10465 BofA Minneapolis"/>
    <n v="125"/>
    <n v="225211.27"/>
    <n v="125"/>
  </r>
  <r>
    <n v="65061"/>
    <s v="Material for Rooms"/>
    <s v="07/29/2014"/>
    <s v="Expense"/>
    <m/>
    <x v="434"/>
    <x v="23"/>
    <x v="1"/>
    <x v="5"/>
    <m/>
    <s v="10465 BofA Minneapolis"/>
    <n v="63.73"/>
    <n v="226195.83"/>
    <n v="63.73"/>
  </r>
  <r>
    <n v="65061"/>
    <s v="Material for Rooms"/>
    <s v="07/30/2014"/>
    <s v="Expense"/>
    <m/>
    <x v="435"/>
    <x v="23"/>
    <x v="1"/>
    <x v="5"/>
    <m/>
    <s v="10465 BofA Minneapolis"/>
    <n v="144.71"/>
    <n v="227358.69"/>
    <n v="144.71"/>
  </r>
  <r>
    <n v="65061"/>
    <s v="Material for Rooms"/>
    <s v="07/30/2014"/>
    <s v="Expense"/>
    <m/>
    <x v="436"/>
    <x v="23"/>
    <x v="1"/>
    <x v="5"/>
    <m/>
    <s v="10465 BofA Minneapolis"/>
    <n v="109"/>
    <n v="228261.62"/>
    <n v="109"/>
  </r>
  <r>
    <n v="65061"/>
    <s v="Material for Rooms"/>
    <s v="07/31/2014"/>
    <s v="Expense"/>
    <m/>
    <x v="160"/>
    <x v="23"/>
    <x v="1"/>
    <x v="5"/>
    <m/>
    <s v="10465 BofA Minneapolis"/>
    <n v="394"/>
    <n v="232405.53"/>
    <n v="394"/>
  </r>
  <r>
    <n v="65061"/>
    <s v="Material for Rooms"/>
    <s v="07/31/2014"/>
    <s v="Expense"/>
    <m/>
    <x v="137"/>
    <x v="23"/>
    <x v="1"/>
    <x v="5"/>
    <m/>
    <s v="10465 BofA Minneapolis"/>
    <n v="8"/>
    <n v="232413.53"/>
    <n v="8"/>
  </r>
  <r>
    <n v="65061"/>
    <s v="Material for Rooms"/>
    <s v="07/31/2014"/>
    <s v="Expense"/>
    <m/>
    <x v="66"/>
    <x v="23"/>
    <x v="1"/>
    <x v="5"/>
    <m/>
    <s v="10465 BofA Minneapolis"/>
    <n v="279.10000000000002"/>
    <n v="232692.63"/>
    <n v="279.10000000000002"/>
  </r>
  <r>
    <n v="65061"/>
    <s v="Material for Rooms"/>
    <s v="07/31/2014"/>
    <s v="Check"/>
    <n v="501"/>
    <x v="426"/>
    <x v="23"/>
    <x v="1"/>
    <x v="5"/>
    <s v="Angelina's room reimbursement"/>
    <s v="10180 BofA Spec Spaces National 4695"/>
    <n v="184.91"/>
    <n v="232902.54"/>
    <n v="184.91"/>
  </r>
  <r>
    <n v="65061"/>
    <s v="Material for Rooms"/>
    <s v="07/31/2014"/>
    <s v="Expense"/>
    <m/>
    <x v="137"/>
    <x v="23"/>
    <x v="1"/>
    <x v="5"/>
    <m/>
    <s v="10465 BofA Minneapolis"/>
    <n v="70.5"/>
    <n v="233274.04"/>
    <n v="70.5"/>
  </r>
  <r>
    <n v="65061"/>
    <s v="Material for Rooms"/>
    <s v="08/04/2014"/>
    <s v="Expense"/>
    <m/>
    <x v="137"/>
    <x v="23"/>
    <x v="1"/>
    <x v="5"/>
    <m/>
    <s v="10465 BofA Minneapolis"/>
    <n v="75"/>
    <n v="234637.82"/>
    <n v="75"/>
  </r>
  <r>
    <n v="65061"/>
    <s v="Material for Rooms"/>
    <s v="08/04/2014"/>
    <s v="Expense"/>
    <m/>
    <x v="70"/>
    <x v="23"/>
    <x v="1"/>
    <x v="5"/>
    <m/>
    <s v="10465 BofA Minneapolis"/>
    <n v="89.81"/>
    <n v="234727.63"/>
    <n v="89.81"/>
  </r>
  <r>
    <n v="65061"/>
    <s v="Material for Rooms"/>
    <s v="08/05/2014"/>
    <s v="Deposit"/>
    <m/>
    <x v="137"/>
    <x v="23"/>
    <x v="1"/>
    <x v="5"/>
    <m/>
    <s v="10465 BofA Minneapolis"/>
    <n v="-2.41"/>
    <n v="236112.11"/>
    <n v="-2.41"/>
  </r>
  <r>
    <n v="65061"/>
    <s v="Material for Rooms"/>
    <s v="08/06/2014"/>
    <s v="Expense"/>
    <m/>
    <x v="33"/>
    <x v="23"/>
    <x v="1"/>
    <x v="5"/>
    <m/>
    <s v="10465 BofA Minneapolis"/>
    <n v="56.67"/>
    <n v="236611.85"/>
    <n v="56.67"/>
  </r>
  <r>
    <n v="65061"/>
    <s v="Material for Rooms"/>
    <s v="08/07/2014"/>
    <s v="Expense"/>
    <m/>
    <x v="33"/>
    <x v="23"/>
    <x v="1"/>
    <x v="5"/>
    <m/>
    <s v="10465 BofA Minneapolis"/>
    <n v="149"/>
    <n v="237154.27"/>
    <n v="149"/>
  </r>
  <r>
    <n v="65061"/>
    <s v="Material for Rooms"/>
    <s v="08/07/2014"/>
    <s v="Expense"/>
    <m/>
    <x v="159"/>
    <x v="23"/>
    <x v="1"/>
    <x v="5"/>
    <m/>
    <s v="10465 BofA Minneapolis"/>
    <n v="301.94"/>
    <n v="237492.08"/>
    <n v="301.94"/>
  </r>
  <r>
    <n v="65061"/>
    <s v="Material for Rooms"/>
    <s v="08/11/2014"/>
    <s v="Expense"/>
    <m/>
    <x v="26"/>
    <x v="23"/>
    <x v="1"/>
    <x v="5"/>
    <m/>
    <s v="10465 BofA Minneapolis"/>
    <n v="34.82"/>
    <n v="239148.93"/>
    <n v="34.82"/>
  </r>
  <r>
    <n v="65061"/>
    <s v="Material for Rooms"/>
    <s v="08/11/2014"/>
    <s v="Expense"/>
    <m/>
    <x v="56"/>
    <x v="23"/>
    <x v="1"/>
    <x v="5"/>
    <m/>
    <s v="10465 BofA Minneapolis"/>
    <n v="108.32"/>
    <n v="239257.25"/>
    <n v="108.32"/>
  </r>
  <r>
    <n v="65061"/>
    <s v="Material for Rooms"/>
    <s v="08/11/2014"/>
    <s v="Expense"/>
    <m/>
    <x v="437"/>
    <x v="23"/>
    <x v="1"/>
    <x v="5"/>
    <m/>
    <s v="10465 BofA Minneapolis"/>
    <n v="17.43"/>
    <n v="239274.68"/>
    <n v="17.43"/>
  </r>
  <r>
    <n v="65061"/>
    <s v="Material for Rooms"/>
    <s v="08/11/2014"/>
    <s v="Expense"/>
    <m/>
    <x v="53"/>
    <x v="23"/>
    <x v="1"/>
    <x v="5"/>
    <m/>
    <s v="10465 BofA Minneapolis"/>
    <n v="14.98"/>
    <n v="239289.66"/>
    <n v="14.98"/>
  </r>
  <r>
    <n v="65061"/>
    <s v="Material for Rooms"/>
    <s v="08/11/2014"/>
    <s v="Expense"/>
    <m/>
    <x v="438"/>
    <x v="23"/>
    <x v="1"/>
    <x v="5"/>
    <m/>
    <s v="10465 BofA Minneapolis"/>
    <n v="94.98"/>
    <n v="239384.64"/>
    <n v="94.98"/>
  </r>
  <r>
    <n v="65061"/>
    <s v="Material for Rooms"/>
    <s v="08/11/2014"/>
    <s v="Expense"/>
    <m/>
    <x v="332"/>
    <x v="23"/>
    <x v="1"/>
    <x v="5"/>
    <m/>
    <s v="10465 BofA Minneapolis"/>
    <n v="50"/>
    <n v="239434.64"/>
    <n v="50"/>
  </r>
  <r>
    <n v="65061"/>
    <s v="Material for Rooms"/>
    <s v="08/18/2014"/>
    <s v="Expense"/>
    <m/>
    <x v="439"/>
    <x v="23"/>
    <x v="1"/>
    <x v="5"/>
    <m/>
    <s v="10465 BofA Minneapolis"/>
    <n v="8.19"/>
    <n v="241806.25"/>
    <n v="8.19"/>
  </r>
  <r>
    <n v="65061"/>
    <s v="Material for Rooms"/>
    <s v="08/18/2014"/>
    <s v="Expense"/>
    <m/>
    <x v="53"/>
    <x v="23"/>
    <x v="1"/>
    <x v="5"/>
    <m/>
    <s v="10465 BofA Minneapolis"/>
    <n v="8.5299999999999994"/>
    <n v="241814.78"/>
    <n v="8.5299999999999994"/>
  </r>
  <r>
    <n v="65061"/>
    <s v="Material for Rooms"/>
    <s v="08/18/2014"/>
    <s v="Expense"/>
    <m/>
    <x v="70"/>
    <x v="23"/>
    <x v="1"/>
    <x v="5"/>
    <m/>
    <s v="10465 BofA Minneapolis"/>
    <n v="50.05"/>
    <n v="241864.83"/>
    <n v="50.05"/>
  </r>
  <r>
    <n v="65061"/>
    <s v="Material for Rooms"/>
    <s v="08/18/2014"/>
    <s v="Expense"/>
    <m/>
    <x v="53"/>
    <x v="23"/>
    <x v="1"/>
    <x v="5"/>
    <m/>
    <s v="10465 BofA Minneapolis"/>
    <n v="12.97"/>
    <n v="241877.8"/>
    <n v="12.97"/>
  </r>
  <r>
    <n v="65061"/>
    <s v="Material for Rooms"/>
    <s v="08/18/2014"/>
    <s v="Expense"/>
    <m/>
    <x v="53"/>
    <x v="23"/>
    <x v="1"/>
    <x v="5"/>
    <m/>
    <s v="10465 BofA Minneapolis"/>
    <n v="12.79"/>
    <n v="241890.59"/>
    <n v="12.79"/>
  </r>
  <r>
    <n v="65061"/>
    <s v="Material for Rooms"/>
    <s v="08/18/2014"/>
    <s v="Expense"/>
    <m/>
    <x v="53"/>
    <x v="23"/>
    <x v="1"/>
    <x v="5"/>
    <m/>
    <s v="10465 BofA Minneapolis"/>
    <n v="16"/>
    <n v="241906.59"/>
    <n v="16"/>
  </r>
  <r>
    <n v="65061"/>
    <s v="Material for Rooms"/>
    <s v="08/18/2014"/>
    <s v="Expense"/>
    <m/>
    <x v="338"/>
    <x v="23"/>
    <x v="1"/>
    <x v="5"/>
    <m/>
    <s v="10465 BofA Minneapolis"/>
    <n v="6.64"/>
    <n v="241913.23"/>
    <n v="6.64"/>
  </r>
  <r>
    <n v="65061"/>
    <s v="Material for Rooms"/>
    <s v="08/18/2014"/>
    <s v="Expense"/>
    <m/>
    <x v="53"/>
    <x v="23"/>
    <x v="1"/>
    <x v="5"/>
    <m/>
    <s v="10465 BofA Minneapolis"/>
    <n v="7.97"/>
    <n v="241921.2"/>
    <n v="7.97"/>
  </r>
  <r>
    <n v="65061"/>
    <s v="Material for Rooms"/>
    <s v="08/19/2014"/>
    <s v="Deposit"/>
    <m/>
    <x v="339"/>
    <x v="23"/>
    <x v="1"/>
    <x v="5"/>
    <m/>
    <s v="10465 BofA Minneapolis"/>
    <n v="-56.61"/>
    <n v="242280.82"/>
    <n v="-56.61"/>
  </r>
  <r>
    <n v="65061"/>
    <s v="Material for Rooms"/>
    <s v="09/02/2014"/>
    <s v="Deposit"/>
    <m/>
    <x v="440"/>
    <x v="23"/>
    <x v="1"/>
    <x v="5"/>
    <m/>
    <s v="10465 BofA Minneapolis"/>
    <n v="-29.98"/>
    <n v="247397.04"/>
    <n v="-29.98"/>
  </r>
  <r>
    <n v="65061"/>
    <s v="Material for Rooms"/>
    <s v="09/23/2014"/>
    <s v="Expense"/>
    <m/>
    <x v="19"/>
    <x v="23"/>
    <x v="1"/>
    <x v="5"/>
    <m/>
    <s v="10465 BofA Minneapolis"/>
    <n v="7.52"/>
    <n v="264385.09000000003"/>
    <n v="7.52"/>
  </r>
  <r>
    <n v="65061"/>
    <s v="Material for Rooms"/>
    <s v="09/23/2014"/>
    <s v="Check"/>
    <n v="534"/>
    <x v="426"/>
    <x v="23"/>
    <x v="1"/>
    <x v="5"/>
    <s v="Kate's room reimbursement"/>
    <s v="10180 BofA Spec Spaces National 4695"/>
    <n v="334.38"/>
    <n v="265234.61"/>
    <n v="334.38"/>
  </r>
  <r>
    <n v="65061"/>
    <s v="Material for Rooms"/>
    <s v="09/29/2014"/>
    <s v="Expense"/>
    <m/>
    <x v="88"/>
    <x v="23"/>
    <x v="1"/>
    <x v="5"/>
    <m/>
    <s v="10465 BofA Minneapolis"/>
    <n v="16.09"/>
    <n v="271446.2"/>
    <n v="16.09"/>
  </r>
  <r>
    <n v="65061"/>
    <s v="Material for Rooms"/>
    <s v="09/29/2014"/>
    <s v="Expense"/>
    <m/>
    <x v="26"/>
    <x v="23"/>
    <x v="1"/>
    <x v="5"/>
    <m/>
    <s v="10465 BofA Minneapolis"/>
    <n v="119.79"/>
    <n v="271565.99"/>
    <n v="119.79"/>
  </r>
  <r>
    <n v="65061"/>
    <s v="Material for Rooms"/>
    <s v="09/30/2014"/>
    <s v="Expense"/>
    <m/>
    <x v="33"/>
    <x v="23"/>
    <x v="1"/>
    <x v="5"/>
    <m/>
    <s v="10465 BofA Minneapolis"/>
    <n v="106.15"/>
    <n v="273961.78000000003"/>
    <n v="106.15"/>
  </r>
  <r>
    <n v="65061"/>
    <s v="Material for Rooms"/>
    <s v="10/02/2014"/>
    <s v="Expense"/>
    <m/>
    <x v="26"/>
    <x v="23"/>
    <x v="1"/>
    <x v="5"/>
    <m/>
    <s v="10465 BofA Minneapolis"/>
    <n v="15"/>
    <n v="276871.52"/>
    <n v="15"/>
  </r>
  <r>
    <n v="65061"/>
    <s v="Material for Rooms"/>
    <s v="10/06/2014"/>
    <s v="Expense"/>
    <m/>
    <x v="8"/>
    <x v="23"/>
    <x v="1"/>
    <x v="5"/>
    <m/>
    <s v="10465 BofA Minneapolis"/>
    <n v="31.07"/>
    <n v="277482.28999999998"/>
    <n v="31.07"/>
  </r>
  <r>
    <n v="65061"/>
    <s v="Material for Rooms"/>
    <s v="10/06/2014"/>
    <s v="Expense"/>
    <m/>
    <x v="441"/>
    <x v="23"/>
    <x v="1"/>
    <x v="5"/>
    <m/>
    <s v="10465 BofA Minneapolis"/>
    <n v="11.32"/>
    <n v="280482.34999999998"/>
    <n v="11.32"/>
  </r>
  <r>
    <n v="65061"/>
    <s v="Material for Rooms"/>
    <s v="10/20/2014"/>
    <s v="Deposit"/>
    <m/>
    <x v="26"/>
    <x v="23"/>
    <x v="1"/>
    <x v="5"/>
    <m/>
    <s v="10465 BofA Minneapolis"/>
    <n v="-62.13"/>
    <n v="295485.88"/>
    <n v="-62.13"/>
  </r>
  <r>
    <n v="65061"/>
    <s v="Material for Rooms"/>
    <s v="10/28/2014"/>
    <s v="Check"/>
    <n v="564"/>
    <x v="442"/>
    <x v="23"/>
    <x v="1"/>
    <x v="5"/>
    <s v="Angelina's room reimbursement"/>
    <s v="10180 BofA Spec Spaces National 4695"/>
    <n v="70.2"/>
    <n v="299664.62"/>
    <n v="70.2"/>
  </r>
  <r>
    <n v="65061"/>
    <s v="Material for Rooms"/>
    <s v="10/30/2014"/>
    <s v="Expense"/>
    <m/>
    <x v="137"/>
    <x v="23"/>
    <x v="1"/>
    <x v="5"/>
    <m/>
    <s v="10465 BofA Minneapolis"/>
    <n v="40.950000000000003"/>
    <n v="304092.28000000003"/>
    <n v="40.950000000000003"/>
  </r>
  <r>
    <n v="65061"/>
    <s v="Material for Rooms"/>
    <s v="10/30/2014"/>
    <s v="Expense"/>
    <m/>
    <x v="443"/>
    <x v="23"/>
    <x v="1"/>
    <x v="5"/>
    <m/>
    <s v="10465 BofA Minneapolis"/>
    <n v="42.45"/>
    <n v="304174.44"/>
    <n v="42.45"/>
  </r>
  <r>
    <n v="65061"/>
    <s v="Material for Rooms"/>
    <s v="10/31/2014"/>
    <s v="Expense"/>
    <m/>
    <x v="444"/>
    <x v="23"/>
    <x v="1"/>
    <x v="5"/>
    <m/>
    <s v="10465 BofA Minneapolis"/>
    <n v="329.15"/>
    <n v="305126.2"/>
    <n v="329.15"/>
  </r>
  <r>
    <n v="43400"/>
    <s v="Direct Public Support"/>
    <s v="10/28/2014"/>
    <s v="Journal Entry"/>
    <n v="746"/>
    <x v="0"/>
    <x v="30"/>
    <x v="0"/>
    <x v="1"/>
    <m/>
    <s v="-Split-"/>
    <n v="94"/>
    <n v="309353.82"/>
    <n v="-94"/>
  </r>
  <r>
    <n v="43400"/>
    <s v="Direct Public Support"/>
    <s v="10/01/2014"/>
    <s v="Deposit"/>
    <m/>
    <x v="3"/>
    <x v="31"/>
    <x v="0"/>
    <x v="1"/>
    <m/>
    <s v="10138 BofA Restricted Funds -055:Pittsburgh - 220(SWPA)"/>
    <n v="1500"/>
    <n v="261661.97"/>
    <n v="-1500"/>
  </r>
  <r>
    <n v="43400"/>
    <s v="Direct Public Support"/>
    <s v="01/16/2014"/>
    <s v="Deposit"/>
    <m/>
    <x v="0"/>
    <x v="30"/>
    <x v="0"/>
    <x v="1"/>
    <m/>
    <s v="10134 BofA Restricted Funds -055:Pittsburgh - Metro 3133"/>
    <n v="100"/>
    <n v="-9987.89"/>
    <n v="-100"/>
  </r>
  <r>
    <n v="43400"/>
    <s v="Direct Public Support"/>
    <s v="01/16/2014"/>
    <s v="Deposit"/>
    <m/>
    <x v="0"/>
    <x v="30"/>
    <x v="0"/>
    <x v="1"/>
    <m/>
    <s v="10134 BofA Restricted Funds -055:Pittsburgh - Metro 3133"/>
    <n v="1967"/>
    <n v="-8020.89"/>
    <n v="-1967"/>
  </r>
  <r>
    <n v="43400"/>
    <s v="Direct Public Support"/>
    <s v="04/03/2014"/>
    <s v="Deposit"/>
    <m/>
    <x v="3"/>
    <x v="30"/>
    <x v="0"/>
    <x v="1"/>
    <m/>
    <s v="10134 BofA Restricted Funds -055:Pittsburgh - Metro 3133"/>
    <n v="692.67"/>
    <n v="108219.31"/>
    <n v="-692.67"/>
  </r>
  <r>
    <n v="65020"/>
    <s v="Postage, Mailing Service"/>
    <s v="07/18/2014"/>
    <s v="Expense"/>
    <m/>
    <x v="445"/>
    <x v="24"/>
    <x v="1"/>
    <x v="3"/>
    <m/>
    <s v="10461 BofA St Louis"/>
    <n v="6.99"/>
    <n v="1956.63"/>
    <n v="6.99"/>
  </r>
  <r>
    <n v="65020"/>
    <s v="Postage, Mailing Service"/>
    <s v="08/18/2014"/>
    <s v="Expense"/>
    <m/>
    <x v="445"/>
    <x v="24"/>
    <x v="1"/>
    <x v="3"/>
    <m/>
    <s v="10461 BofA St Louis"/>
    <n v="6.99"/>
    <n v="2506.3000000000002"/>
    <n v="6.99"/>
  </r>
  <r>
    <n v="65020"/>
    <s v="Postage, Mailing Service"/>
    <s v="09/18/2014"/>
    <s v="Expense"/>
    <m/>
    <x v="445"/>
    <x v="24"/>
    <x v="1"/>
    <x v="3"/>
    <m/>
    <s v="10461 BofA St Louis"/>
    <n v="6.99"/>
    <n v="3260.22"/>
    <n v="6.99"/>
  </r>
  <r>
    <n v="65020"/>
    <s v="Postage, Mailing Service"/>
    <s v="10/21/2014"/>
    <s v="Expense"/>
    <m/>
    <x v="445"/>
    <x v="24"/>
    <x v="1"/>
    <x v="3"/>
    <m/>
    <s v="10461 BofA St Louis"/>
    <n v="6.99"/>
    <n v="3484.81"/>
    <n v="6.99"/>
  </r>
  <r>
    <n v="65025"/>
    <s v="Bank Service Charges"/>
    <s v="10/06/2014"/>
    <s v="Expense"/>
    <m/>
    <x v="92"/>
    <x v="24"/>
    <x v="1"/>
    <x v="14"/>
    <m/>
    <s v="10461 BofA St Louis"/>
    <n v="35"/>
    <n v="2595.0500000000002"/>
    <n v="35"/>
  </r>
  <r>
    <n v="65025"/>
    <s v="Bank Service Charges"/>
    <s v="10/06/2014"/>
    <s v="Expense"/>
    <m/>
    <x v="92"/>
    <x v="24"/>
    <x v="1"/>
    <x v="14"/>
    <m/>
    <s v="10461 BofA St Louis"/>
    <n v="35"/>
    <n v="2630.05"/>
    <n v="35"/>
  </r>
  <r>
    <n v="65025"/>
    <s v="Bank Service Charges"/>
    <s v="10/06/2014"/>
    <s v="Expense"/>
    <m/>
    <x v="92"/>
    <x v="24"/>
    <x v="1"/>
    <x v="14"/>
    <m/>
    <s v="10461 BofA St Louis"/>
    <n v="35"/>
    <n v="2665.05"/>
    <n v="35"/>
  </r>
  <r>
    <n v="65025"/>
    <s v="Bank Service Charges"/>
    <s v="10/06/2014"/>
    <s v="Expense"/>
    <m/>
    <x v="92"/>
    <x v="24"/>
    <x v="1"/>
    <x v="14"/>
    <m/>
    <s v="10461 BofA St Louis"/>
    <n v="35"/>
    <n v="2700.05"/>
    <n v="35"/>
  </r>
  <r>
    <n v="65025"/>
    <s v="Bank Service Charges"/>
    <s v="10/08/2014"/>
    <s v="Expense"/>
    <m/>
    <x v="92"/>
    <x v="24"/>
    <x v="1"/>
    <x v="14"/>
    <m/>
    <s v="10461 BofA St Louis"/>
    <n v="35"/>
    <n v="2735.05"/>
    <n v="35"/>
  </r>
  <r>
    <n v="65036"/>
    <s v="Volunteer Hospitality"/>
    <s v="08/21/2014"/>
    <s v="Check"/>
    <n v="1027"/>
    <x v="446"/>
    <x v="24"/>
    <x v="1"/>
    <x v="13"/>
    <m/>
    <s v="10461 BofA St Louis"/>
    <n v="94.96"/>
    <n v="6224.77"/>
    <n v="94.96"/>
  </r>
  <r>
    <n v="65045"/>
    <s v="Rent/Storage"/>
    <s v="07/02/2014"/>
    <s v="Expense"/>
    <m/>
    <x v="447"/>
    <x v="24"/>
    <x v="1"/>
    <x v="16"/>
    <m/>
    <s v="10461 BofA St Louis"/>
    <n v="50"/>
    <n v="4214.3500000000004"/>
    <n v="50"/>
  </r>
  <r>
    <n v="65045"/>
    <s v="Rent/Storage"/>
    <s v="08/04/2014"/>
    <s v="Expense"/>
    <m/>
    <x v="447"/>
    <x v="24"/>
    <x v="1"/>
    <x v="16"/>
    <m/>
    <s v="10461 BofA St Louis"/>
    <n v="50"/>
    <n v="5318.35"/>
    <n v="50"/>
  </r>
  <r>
    <n v="65045"/>
    <s v="Rent/Storage"/>
    <s v="09/03/2014"/>
    <s v="Expense"/>
    <m/>
    <x v="447"/>
    <x v="24"/>
    <x v="1"/>
    <x v="16"/>
    <m/>
    <s v="10461 BofA St Louis"/>
    <n v="50"/>
    <n v="5538.35"/>
    <n v="50"/>
  </r>
  <r>
    <n v="65045"/>
    <s v="Rent/Storage"/>
    <s v="10/02/2014"/>
    <s v="Expense"/>
    <m/>
    <x v="447"/>
    <x v="24"/>
    <x v="1"/>
    <x v="16"/>
    <m/>
    <s v="10461 BofA St Louis"/>
    <n v="50"/>
    <n v="5678.35"/>
    <n v="50"/>
  </r>
  <r>
    <n v="65061"/>
    <s v="Material for Rooms"/>
    <s v="07/10/2014"/>
    <s v="Expense"/>
    <m/>
    <x v="118"/>
    <x v="24"/>
    <x v="1"/>
    <x v="5"/>
    <m/>
    <s v="10461 BofA St Louis"/>
    <n v="140.30000000000001"/>
    <n v="207811.14"/>
    <n v="140.30000000000001"/>
  </r>
  <r>
    <n v="65061"/>
    <s v="Material for Rooms"/>
    <s v="07/10/2014"/>
    <s v="Expense"/>
    <m/>
    <x v="118"/>
    <x v="24"/>
    <x v="1"/>
    <x v="5"/>
    <m/>
    <s v="10461 BofA St Louis"/>
    <n v="78.78"/>
    <n v="207889.92000000001"/>
    <n v="78.78"/>
  </r>
  <r>
    <n v="65061"/>
    <s v="Material for Rooms"/>
    <s v="07/10/2014"/>
    <s v="Check"/>
    <n v="1025"/>
    <x v="448"/>
    <x v="24"/>
    <x v="1"/>
    <x v="5"/>
    <m/>
    <s v="10461 BofA St Louis"/>
    <n v="199"/>
    <n v="209211.25"/>
    <n v="199"/>
  </r>
  <r>
    <n v="65061"/>
    <s v="Material for Rooms"/>
    <s v="07/14/2014"/>
    <s v="Expense"/>
    <m/>
    <x v="449"/>
    <x v="24"/>
    <x v="1"/>
    <x v="5"/>
    <m/>
    <s v="10461 BofA St Louis"/>
    <n v="1538"/>
    <n v="211977.97"/>
    <n v="1538"/>
  </r>
  <r>
    <n v="65061"/>
    <s v="Material for Rooms"/>
    <s v="07/15/2014"/>
    <s v="Expense"/>
    <m/>
    <x v="118"/>
    <x v="24"/>
    <x v="1"/>
    <x v="5"/>
    <m/>
    <s v="10461 BofA St Louis"/>
    <n v="107.94"/>
    <n v="214776.97"/>
    <n v="107.94"/>
  </r>
  <r>
    <n v="65061"/>
    <s v="Material for Rooms"/>
    <s v="07/16/2014"/>
    <s v="Expense"/>
    <m/>
    <x v="161"/>
    <x v="24"/>
    <x v="1"/>
    <x v="5"/>
    <m/>
    <s v="10461 BofA St Louis"/>
    <n v="19.79"/>
    <n v="215028"/>
    <n v="19.79"/>
  </r>
  <r>
    <n v="65061"/>
    <s v="Material for Rooms"/>
    <s v="07/16/2014"/>
    <s v="Expense"/>
    <m/>
    <x v="19"/>
    <x v="24"/>
    <x v="1"/>
    <x v="5"/>
    <m/>
    <s v="10461 BofA St Louis"/>
    <n v="50.83"/>
    <n v="215619.20000000001"/>
    <n v="50.83"/>
  </r>
  <r>
    <n v="65061"/>
    <s v="Material for Rooms"/>
    <s v="07/16/2014"/>
    <s v="Expense"/>
    <m/>
    <x v="118"/>
    <x v="24"/>
    <x v="1"/>
    <x v="5"/>
    <m/>
    <s v="10461 BofA St Louis"/>
    <n v="365.81"/>
    <n v="215985.01"/>
    <n v="365.81"/>
  </r>
  <r>
    <n v="65061"/>
    <s v="Material for Rooms"/>
    <s v="07/16/2014"/>
    <s v="Expense"/>
    <m/>
    <x v="161"/>
    <x v="24"/>
    <x v="1"/>
    <x v="5"/>
    <m/>
    <s v="10461 BofA St Louis"/>
    <n v="26.85"/>
    <n v="216048.2"/>
    <n v="26.85"/>
  </r>
  <r>
    <n v="65061"/>
    <s v="Material for Rooms"/>
    <s v="07/16/2014"/>
    <s v="Expense"/>
    <m/>
    <x v="161"/>
    <x v="24"/>
    <x v="1"/>
    <x v="5"/>
    <m/>
    <s v="10461 BofA St Louis"/>
    <n v="31.16"/>
    <n v="216079.35999999999"/>
    <n v="31.16"/>
  </r>
  <r>
    <n v="65061"/>
    <s v="Material for Rooms"/>
    <s v="07/16/2014"/>
    <s v="Expense"/>
    <m/>
    <x v="19"/>
    <x v="24"/>
    <x v="1"/>
    <x v="5"/>
    <m/>
    <s v="10461 BofA St Louis"/>
    <n v="31.64"/>
    <n v="216111"/>
    <n v="31.64"/>
  </r>
  <r>
    <n v="65061"/>
    <s v="Material for Rooms"/>
    <s v="07/16/2014"/>
    <s v="Expense"/>
    <m/>
    <x v="118"/>
    <x v="24"/>
    <x v="1"/>
    <x v="5"/>
    <m/>
    <s v="10461 BofA St Louis"/>
    <n v="43.16"/>
    <n v="216154.16"/>
    <n v="43.16"/>
  </r>
  <r>
    <n v="65061"/>
    <s v="Material for Rooms"/>
    <s v="07/16/2014"/>
    <s v="Expense"/>
    <m/>
    <x v="19"/>
    <x v="24"/>
    <x v="1"/>
    <x v="5"/>
    <m/>
    <s v="10461 BofA St Louis"/>
    <n v="32.590000000000003"/>
    <n v="216186.75"/>
    <n v="32.590000000000003"/>
  </r>
  <r>
    <n v="65061"/>
    <s v="Material for Rooms"/>
    <s v="07/17/2014"/>
    <s v="Expense"/>
    <m/>
    <x v="26"/>
    <x v="24"/>
    <x v="1"/>
    <x v="5"/>
    <m/>
    <s v="10461 BofA St Louis"/>
    <n v="13.02"/>
    <n v="218013.56"/>
    <n v="13.02"/>
  </r>
  <r>
    <n v="65061"/>
    <s v="Material for Rooms"/>
    <s v="07/17/2014"/>
    <s v="Expense"/>
    <m/>
    <x v="450"/>
    <x v="24"/>
    <x v="1"/>
    <x v="5"/>
    <m/>
    <s v="10461 BofA St Louis"/>
    <n v="8.1"/>
    <n v="218021.66"/>
    <n v="8.1"/>
  </r>
  <r>
    <n v="65061"/>
    <s v="Material for Rooms"/>
    <s v="07/17/2014"/>
    <s v="Expense"/>
    <m/>
    <x v="53"/>
    <x v="24"/>
    <x v="1"/>
    <x v="5"/>
    <m/>
    <s v="10461 BofA St Louis"/>
    <n v="190.54"/>
    <n v="218073.85"/>
    <n v="190.54"/>
  </r>
  <r>
    <n v="65061"/>
    <s v="Material for Rooms"/>
    <s v="07/17/2014"/>
    <s v="Deposit"/>
    <m/>
    <x v="451"/>
    <x v="24"/>
    <x v="1"/>
    <x v="5"/>
    <m/>
    <s v="10461 BofA St Louis"/>
    <n v="-52"/>
    <n v="218021.85"/>
    <n v="-52"/>
  </r>
  <r>
    <n v="65061"/>
    <s v="Material for Rooms"/>
    <s v="07/18/2014"/>
    <s v="Deposit"/>
    <m/>
    <x v="118"/>
    <x v="24"/>
    <x v="1"/>
    <x v="5"/>
    <m/>
    <s v="10461 BofA St Louis"/>
    <n v="-140.30000000000001"/>
    <n v="219617.17"/>
    <n v="-140.30000000000001"/>
  </r>
  <r>
    <n v="65061"/>
    <s v="Material for Rooms"/>
    <s v="07/18/2014"/>
    <s v="Expense"/>
    <m/>
    <x v="53"/>
    <x v="24"/>
    <x v="1"/>
    <x v="5"/>
    <m/>
    <s v="10461 BofA St Louis"/>
    <n v="11.67"/>
    <n v="219628.84"/>
    <n v="11.67"/>
  </r>
  <r>
    <n v="65061"/>
    <s v="Material for Rooms"/>
    <s v="07/18/2014"/>
    <s v="Deposit"/>
    <m/>
    <x v="118"/>
    <x v="24"/>
    <x v="1"/>
    <x v="5"/>
    <m/>
    <s v="10461 BofA St Louis"/>
    <n v="-78.78"/>
    <n v="219550.06"/>
    <n v="-78.78"/>
  </r>
  <r>
    <n v="65061"/>
    <s v="Material for Rooms"/>
    <s v="07/18/2014"/>
    <s v="Expense"/>
    <m/>
    <x v="53"/>
    <x v="24"/>
    <x v="1"/>
    <x v="5"/>
    <m/>
    <s v="10461 BofA St Louis"/>
    <n v="11.78"/>
    <n v="219561.84"/>
    <n v="11.78"/>
  </r>
  <r>
    <n v="65061"/>
    <s v="Material for Rooms"/>
    <s v="07/18/2014"/>
    <s v="Expense"/>
    <m/>
    <x v="452"/>
    <x v="24"/>
    <x v="1"/>
    <x v="5"/>
    <m/>
    <s v="10461 BofA St Louis"/>
    <n v="154"/>
    <n v="219715.84"/>
    <n v="154"/>
  </r>
  <r>
    <n v="65061"/>
    <s v="Material for Rooms"/>
    <s v="07/18/2014"/>
    <s v="Expense"/>
    <m/>
    <x v="19"/>
    <x v="24"/>
    <x v="1"/>
    <x v="5"/>
    <m/>
    <s v="10461 BofA St Louis"/>
    <n v="20.82"/>
    <n v="219736.66"/>
    <n v="20.82"/>
  </r>
  <r>
    <n v="65061"/>
    <s v="Material for Rooms"/>
    <s v="07/21/2014"/>
    <s v="Expense"/>
    <m/>
    <x v="19"/>
    <x v="24"/>
    <x v="1"/>
    <x v="5"/>
    <m/>
    <s v="10461 BofA St Louis"/>
    <n v="77.680000000000007"/>
    <n v="221397.39"/>
    <n v="77.680000000000007"/>
  </r>
  <r>
    <n v="65061"/>
    <s v="Material for Rooms"/>
    <s v="07/29/2014"/>
    <s v="Expense"/>
    <m/>
    <x v="39"/>
    <x v="24"/>
    <x v="1"/>
    <x v="5"/>
    <m/>
    <s v="10461 BofA St Louis"/>
    <n v="388.94"/>
    <n v="226492.74"/>
    <n v="388.94"/>
  </r>
  <r>
    <n v="65061"/>
    <s v="Material for Rooms"/>
    <s v="07/30/2014"/>
    <s v="Expense"/>
    <m/>
    <x v="29"/>
    <x v="24"/>
    <x v="1"/>
    <x v="5"/>
    <m/>
    <s v="10461 BofA St Louis"/>
    <n v="129.24"/>
    <n v="227213.98"/>
    <n v="129.24"/>
  </r>
  <r>
    <n v="65061"/>
    <s v="Material for Rooms"/>
    <s v="07/31/2014"/>
    <s v="Expense"/>
    <m/>
    <x v="118"/>
    <x v="24"/>
    <x v="1"/>
    <x v="5"/>
    <m/>
    <s v="10461 BofA St Louis"/>
    <n v="205.07"/>
    <n v="233122.82"/>
    <n v="205.07"/>
  </r>
  <r>
    <n v="65061"/>
    <s v="Material for Rooms"/>
    <s v="07/31/2014"/>
    <s v="Expense"/>
    <m/>
    <x v="118"/>
    <x v="24"/>
    <x v="1"/>
    <x v="5"/>
    <m/>
    <s v="10461 BofA St Louis"/>
    <n v="26.77"/>
    <n v="233149.59"/>
    <n v="26.77"/>
  </r>
  <r>
    <n v="65061"/>
    <s v="Material for Rooms"/>
    <s v="07/31/2014"/>
    <s v="Expense"/>
    <m/>
    <x v="118"/>
    <x v="24"/>
    <x v="1"/>
    <x v="5"/>
    <m/>
    <s v="10461 BofA St Louis"/>
    <n v="53.95"/>
    <n v="233203.54"/>
    <n v="53.95"/>
  </r>
  <r>
    <n v="65061"/>
    <s v="Material for Rooms"/>
    <s v="08/01/2014"/>
    <s v="Expense"/>
    <m/>
    <x v="19"/>
    <x v="24"/>
    <x v="1"/>
    <x v="5"/>
    <m/>
    <s v="10461 BofA St Louis"/>
    <n v="123.3"/>
    <n v="234299.49"/>
    <n v="123.3"/>
  </r>
  <r>
    <n v="65061"/>
    <s v="Material for Rooms"/>
    <s v="08/04/2014"/>
    <s v="Expense"/>
    <m/>
    <x v="33"/>
    <x v="24"/>
    <x v="1"/>
    <x v="5"/>
    <m/>
    <s v="10461 BofA St Louis"/>
    <n v="70.39"/>
    <n v="235366.99"/>
    <n v="70.39"/>
  </r>
  <r>
    <n v="65061"/>
    <s v="Material for Rooms"/>
    <s v="08/04/2014"/>
    <s v="Expense"/>
    <m/>
    <x v="118"/>
    <x v="24"/>
    <x v="1"/>
    <x v="5"/>
    <m/>
    <s v="10461 BofA St Louis"/>
    <n v="227.69"/>
    <n v="235594.68"/>
    <n v="227.69"/>
  </r>
  <r>
    <n v="65061"/>
    <s v="Material for Rooms"/>
    <s v="08/04/2014"/>
    <s v="Expense"/>
    <m/>
    <x v="19"/>
    <x v="24"/>
    <x v="1"/>
    <x v="5"/>
    <m/>
    <s v="10461 BofA St Louis"/>
    <n v="66.98"/>
    <n v="235661.66"/>
    <n v="66.98"/>
  </r>
  <r>
    <n v="65061"/>
    <s v="Material for Rooms"/>
    <s v="08/04/2014"/>
    <s v="Expense"/>
    <m/>
    <x v="19"/>
    <x v="24"/>
    <x v="1"/>
    <x v="5"/>
    <m/>
    <s v="10461 BofA St Louis"/>
    <n v="68.67"/>
    <n v="235730.33"/>
    <n v="68.67"/>
  </r>
  <r>
    <n v="65061"/>
    <s v="Material for Rooms"/>
    <s v="08/04/2014"/>
    <s v="Expense"/>
    <m/>
    <x v="360"/>
    <x v="24"/>
    <x v="1"/>
    <x v="5"/>
    <m/>
    <s v="10461 BofA St Louis"/>
    <n v="31.98"/>
    <n v="235762.31"/>
    <n v="31.98"/>
  </r>
  <r>
    <n v="65061"/>
    <s v="Material for Rooms"/>
    <s v="08/04/2014"/>
    <s v="Expense"/>
    <m/>
    <x v="33"/>
    <x v="24"/>
    <x v="1"/>
    <x v="5"/>
    <m/>
    <s v="10461 BofA St Louis"/>
    <n v="100"/>
    <n v="235862.31"/>
    <n v="100"/>
  </r>
  <r>
    <n v="65061"/>
    <s v="Material for Rooms"/>
    <s v="08/04/2014"/>
    <s v="Expense"/>
    <m/>
    <x v="28"/>
    <x v="24"/>
    <x v="1"/>
    <x v="5"/>
    <m/>
    <s v="10461 BofA St Louis"/>
    <n v="22.38"/>
    <n v="235884.69"/>
    <n v="22.38"/>
  </r>
  <r>
    <n v="65061"/>
    <s v="Material for Rooms"/>
    <s v="08/04/2014"/>
    <s v="Expense"/>
    <m/>
    <x v="28"/>
    <x v="24"/>
    <x v="1"/>
    <x v="5"/>
    <m/>
    <s v="10461 BofA St Louis"/>
    <n v="91.5"/>
    <n v="235976.19"/>
    <n v="91.5"/>
  </r>
  <r>
    <n v="65061"/>
    <s v="Material for Rooms"/>
    <s v="08/05/2014"/>
    <s v="Expense"/>
    <m/>
    <x v="118"/>
    <x v="24"/>
    <x v="1"/>
    <x v="5"/>
    <m/>
    <s v="10461 BofA St Louis"/>
    <n v="63.64"/>
    <n v="236249.84"/>
    <n v="63.64"/>
  </r>
  <r>
    <n v="65061"/>
    <s v="Material for Rooms"/>
    <s v="08/08/2014"/>
    <s v="Expense"/>
    <m/>
    <x v="234"/>
    <x v="24"/>
    <x v="1"/>
    <x v="5"/>
    <m/>
    <s v="10461 BofA St Louis"/>
    <n v="17.350000000000001"/>
    <n v="238068.81"/>
    <n v="17.350000000000001"/>
  </r>
  <r>
    <n v="65061"/>
    <s v="Material for Rooms"/>
    <s v="08/08/2014"/>
    <s v="Expense"/>
    <m/>
    <x v="142"/>
    <x v="24"/>
    <x v="1"/>
    <x v="5"/>
    <m/>
    <s v="10461 BofA St Louis"/>
    <n v="21.68"/>
    <n v="238090.49"/>
    <n v="21.68"/>
  </r>
  <r>
    <n v="65061"/>
    <s v="Material for Rooms"/>
    <s v="08/08/2014"/>
    <s v="Expense"/>
    <m/>
    <x v="39"/>
    <x v="24"/>
    <x v="1"/>
    <x v="5"/>
    <m/>
    <s v="10461 BofA St Louis"/>
    <n v="13"/>
    <n v="238103.49"/>
    <n v="13"/>
  </r>
  <r>
    <n v="65061"/>
    <s v="Material for Rooms"/>
    <s v="08/08/2014"/>
    <s v="Expense"/>
    <m/>
    <x v="39"/>
    <x v="24"/>
    <x v="1"/>
    <x v="5"/>
    <m/>
    <s v="10461 BofA St Louis"/>
    <n v="211.19"/>
    <n v="238314.68"/>
    <n v="211.19"/>
  </r>
  <r>
    <n v="65061"/>
    <s v="Material for Rooms"/>
    <s v="08/11/2014"/>
    <s v="Expense"/>
    <m/>
    <x v="19"/>
    <x v="24"/>
    <x v="1"/>
    <x v="5"/>
    <m/>
    <s v="10461 BofA St Louis"/>
    <n v="21.91"/>
    <n v="238829.06"/>
    <n v="21.91"/>
  </r>
  <r>
    <n v="65061"/>
    <s v="Material for Rooms"/>
    <s v="08/11/2014"/>
    <s v="Deposit"/>
    <m/>
    <x v="118"/>
    <x v="24"/>
    <x v="1"/>
    <x v="5"/>
    <m/>
    <s v="10461 BofA St Louis"/>
    <n v="-252.57"/>
    <n v="238576.49"/>
    <n v="-252.57"/>
  </r>
  <r>
    <n v="65061"/>
    <s v="Material for Rooms"/>
    <s v="08/11/2014"/>
    <s v="Expense"/>
    <m/>
    <x v="19"/>
    <x v="24"/>
    <x v="1"/>
    <x v="5"/>
    <m/>
    <s v="10461 BofA St Louis"/>
    <n v="22.54"/>
    <n v="238599.03"/>
    <n v="22.54"/>
  </r>
  <r>
    <n v="65061"/>
    <s v="Material for Rooms"/>
    <s v="08/11/2014"/>
    <s v="Expense"/>
    <m/>
    <x v="118"/>
    <x v="24"/>
    <x v="1"/>
    <x v="5"/>
    <m/>
    <s v="10461 BofA St Louis"/>
    <n v="59.28"/>
    <n v="238658.31"/>
    <n v="59.28"/>
  </r>
  <r>
    <n v="65061"/>
    <s v="Material for Rooms"/>
    <s v="08/11/2014"/>
    <s v="Expense"/>
    <m/>
    <x v="16"/>
    <x v="24"/>
    <x v="1"/>
    <x v="5"/>
    <m/>
    <s v="10461 BofA St Louis"/>
    <n v="86.85"/>
    <n v="238745.16"/>
    <n v="86.85"/>
  </r>
  <r>
    <n v="65061"/>
    <s v="Material for Rooms"/>
    <s v="08/11/2014"/>
    <s v="Deposit"/>
    <m/>
    <x v="118"/>
    <x v="24"/>
    <x v="1"/>
    <x v="5"/>
    <m/>
    <s v="10461 BofA St Louis"/>
    <n v="-32.49"/>
    <n v="238712.67"/>
    <n v="-32.49"/>
  </r>
  <r>
    <n v="65061"/>
    <s v="Material for Rooms"/>
    <s v="08/11/2014"/>
    <s v="Expense"/>
    <m/>
    <x v="118"/>
    <x v="24"/>
    <x v="1"/>
    <x v="5"/>
    <m/>
    <s v="10461 BofA St Louis"/>
    <n v="244.68"/>
    <n v="238957.35"/>
    <n v="244.68"/>
  </r>
  <r>
    <n v="65061"/>
    <s v="Material for Rooms"/>
    <s v="08/11/2014"/>
    <s v="Expense"/>
    <m/>
    <x v="348"/>
    <x v="24"/>
    <x v="1"/>
    <x v="5"/>
    <m/>
    <s v="10461 BofA St Louis"/>
    <n v="32.86"/>
    <n v="238990.21"/>
    <n v="32.86"/>
  </r>
  <r>
    <n v="65061"/>
    <s v="Material for Rooms"/>
    <s v="08/11/2014"/>
    <s v="Expense"/>
    <m/>
    <x v="360"/>
    <x v="24"/>
    <x v="1"/>
    <x v="5"/>
    <m/>
    <s v="10461 BofA St Louis"/>
    <n v="52.99"/>
    <n v="239043.20000000001"/>
    <n v="52.99"/>
  </r>
  <r>
    <n v="65061"/>
    <s v="Material for Rooms"/>
    <s v="08/11/2014"/>
    <s v="Deposit"/>
    <m/>
    <x v="161"/>
    <x v="24"/>
    <x v="1"/>
    <x v="5"/>
    <m/>
    <s v="10461 BofA St Louis"/>
    <n v="-19.79"/>
    <n v="239023.41"/>
    <n v="-19.79"/>
  </r>
  <r>
    <n v="65061"/>
    <s v="Material for Rooms"/>
    <s v="08/11/2014"/>
    <s v="Expense"/>
    <m/>
    <x v="118"/>
    <x v="24"/>
    <x v="1"/>
    <x v="5"/>
    <m/>
    <s v="10461 BofA St Louis"/>
    <n v="79.94"/>
    <n v="239103.35"/>
    <n v="79.94"/>
  </r>
  <r>
    <n v="65061"/>
    <s v="Material for Rooms"/>
    <s v="08/11/2014"/>
    <s v="Deposit"/>
    <m/>
    <x v="118"/>
    <x v="24"/>
    <x v="1"/>
    <x v="5"/>
    <m/>
    <s v="10461 BofA St Louis"/>
    <n v="-36.82"/>
    <n v="239066.53"/>
    <n v="-36.82"/>
  </r>
  <r>
    <n v="65061"/>
    <s v="Material for Rooms"/>
    <s v="08/18/2014"/>
    <s v="Deposit"/>
    <m/>
    <x v="118"/>
    <x v="24"/>
    <x v="1"/>
    <x v="5"/>
    <m/>
    <s v="10461 BofA St Louis"/>
    <n v="-54.16"/>
    <n v="241609.43"/>
    <n v="-54.16"/>
  </r>
  <r>
    <n v="65061"/>
    <s v="Material for Rooms"/>
    <s v="08/18/2014"/>
    <s v="Deposit"/>
    <m/>
    <x v="118"/>
    <x v="24"/>
    <x v="1"/>
    <x v="5"/>
    <m/>
    <s v="10461 BofA St Louis"/>
    <n v="-43.16"/>
    <n v="241566.27"/>
    <n v="-43.16"/>
  </r>
  <r>
    <n v="65061"/>
    <s v="Material for Rooms"/>
    <s v="08/18/2014"/>
    <s v="Deposit"/>
    <m/>
    <x v="142"/>
    <x v="24"/>
    <x v="1"/>
    <x v="5"/>
    <m/>
    <s v="10461 BofA St Louis"/>
    <n v="-21.68"/>
    <n v="241544.59"/>
    <n v="-21.68"/>
  </r>
  <r>
    <n v="65061"/>
    <s v="Material for Rooms"/>
    <s v="09/02/2014"/>
    <s v="Expense"/>
    <m/>
    <x v="39"/>
    <x v="24"/>
    <x v="1"/>
    <x v="5"/>
    <m/>
    <s v="10461 BofA St Louis"/>
    <n v="137.56"/>
    <n v="247427.02"/>
    <n v="137.56"/>
  </r>
  <r>
    <n v="65061"/>
    <s v="Material for Rooms"/>
    <s v="09/02/2014"/>
    <s v="Expense"/>
    <m/>
    <x v="39"/>
    <x v="24"/>
    <x v="1"/>
    <x v="5"/>
    <m/>
    <s v="10461 BofA St Louis"/>
    <n v="216.72"/>
    <n v="248449.81"/>
    <n v="216.72"/>
  </r>
  <r>
    <n v="65061"/>
    <s v="Material for Rooms"/>
    <s v="09/02/2014"/>
    <s v="Expense"/>
    <m/>
    <x v="118"/>
    <x v="24"/>
    <x v="1"/>
    <x v="5"/>
    <m/>
    <s v="10461 BofA St Louis"/>
    <n v="6.47"/>
    <n v="248456.28"/>
    <n v="6.47"/>
  </r>
  <r>
    <n v="65061"/>
    <s v="Material for Rooms"/>
    <s v="09/03/2014"/>
    <s v="Expense"/>
    <m/>
    <x v="118"/>
    <x v="24"/>
    <x v="1"/>
    <x v="5"/>
    <m/>
    <s v="10461 BofA St Louis"/>
    <n v="85.24"/>
    <n v="249868.88"/>
    <n v="85.24"/>
  </r>
  <r>
    <n v="65061"/>
    <s v="Material for Rooms"/>
    <s v="09/17/2014"/>
    <s v="Expense"/>
    <m/>
    <x v="453"/>
    <x v="24"/>
    <x v="1"/>
    <x v="5"/>
    <m/>
    <s v="10461 BofA St Louis"/>
    <n v="355.04"/>
    <n v="257449.06"/>
    <n v="355.04"/>
  </r>
  <r>
    <n v="65061"/>
    <s v="Material for Rooms"/>
    <s v="09/22/2014"/>
    <s v="Expense"/>
    <m/>
    <x v="451"/>
    <x v="24"/>
    <x v="1"/>
    <x v="5"/>
    <m/>
    <s v="10461 BofA St Louis"/>
    <n v="2027.99"/>
    <n v="261585.25"/>
    <n v="2027.99"/>
  </r>
  <r>
    <n v="65061"/>
    <s v="Material for Rooms"/>
    <s v="09/22/2014"/>
    <s v="Expense"/>
    <m/>
    <x v="92"/>
    <x v="24"/>
    <x v="1"/>
    <x v="5"/>
    <m/>
    <s v="10461 BofA St Louis"/>
    <n v="140"/>
    <n v="264377.57"/>
    <n v="140"/>
  </r>
  <r>
    <n v="65061"/>
    <s v="Material for Rooms"/>
    <s v="09/23/2014"/>
    <s v="Expense"/>
    <m/>
    <x v="118"/>
    <x v="24"/>
    <x v="1"/>
    <x v="5"/>
    <m/>
    <s v="10461 BofA St Louis"/>
    <n v="35.6"/>
    <n v="265270.21000000002"/>
    <n v="35.6"/>
  </r>
  <r>
    <n v="65061"/>
    <s v="Material for Rooms"/>
    <s v="09/23/2014"/>
    <s v="Expense"/>
    <m/>
    <x v="118"/>
    <x v="24"/>
    <x v="1"/>
    <x v="5"/>
    <m/>
    <s v="10461 BofA St Louis"/>
    <n v="192"/>
    <n v="265588.78000000003"/>
    <n v="192"/>
  </r>
  <r>
    <n v="65061"/>
    <s v="Material for Rooms"/>
    <s v="09/25/2014"/>
    <s v="Expense"/>
    <m/>
    <x v="161"/>
    <x v="24"/>
    <x v="1"/>
    <x v="5"/>
    <m/>
    <s v="10461 BofA St Louis"/>
    <n v="28.97"/>
    <n v="267927.3"/>
    <n v="28.97"/>
  </r>
  <r>
    <n v="65061"/>
    <s v="Material for Rooms"/>
    <s v="09/29/2014"/>
    <s v="Check"/>
    <n v="1009"/>
    <x v="454"/>
    <x v="24"/>
    <x v="1"/>
    <x v="5"/>
    <m/>
    <s v="10461 BofA St Louis"/>
    <n v="40"/>
    <n v="270110.82"/>
    <n v="40"/>
  </r>
  <r>
    <n v="65061"/>
    <s v="Material for Rooms"/>
    <s v="09/29/2014"/>
    <s v="Check"/>
    <n v="1008"/>
    <x v="454"/>
    <x v="24"/>
    <x v="1"/>
    <x v="5"/>
    <m/>
    <s v="10461 BofA St Louis"/>
    <n v="238"/>
    <n v="270348.82"/>
    <n v="238"/>
  </r>
  <r>
    <n v="65061"/>
    <s v="Material for Rooms"/>
    <s v="09/29/2014"/>
    <s v="Expense"/>
    <m/>
    <x v="33"/>
    <x v="24"/>
    <x v="1"/>
    <x v="5"/>
    <m/>
    <s v="10461 BofA St Louis"/>
    <n v="14.6"/>
    <n v="272877.90000000002"/>
    <n v="14.6"/>
  </r>
  <r>
    <n v="65061"/>
    <s v="Material for Rooms"/>
    <s v="09/29/2014"/>
    <s v="Expense"/>
    <m/>
    <x v="39"/>
    <x v="24"/>
    <x v="1"/>
    <x v="5"/>
    <m/>
    <s v="10461 BofA St Louis"/>
    <n v="137.57"/>
    <n v="273015.46999999997"/>
    <n v="137.57"/>
  </r>
  <r>
    <n v="65061"/>
    <s v="Material for Rooms"/>
    <s v="09/29/2014"/>
    <s v="Expense"/>
    <m/>
    <x v="39"/>
    <x v="24"/>
    <x v="1"/>
    <x v="5"/>
    <m/>
    <s v="10461 BofA St Louis"/>
    <n v="123.41"/>
    <n v="273138.88"/>
    <n v="123.41"/>
  </r>
  <r>
    <n v="65061"/>
    <s v="Material for Rooms"/>
    <s v="09/29/2014"/>
    <s v="Expense"/>
    <m/>
    <x v="39"/>
    <x v="24"/>
    <x v="1"/>
    <x v="5"/>
    <m/>
    <s v="10461 BofA St Louis"/>
    <n v="183.03"/>
    <n v="273321.90999999997"/>
    <n v="183.03"/>
  </r>
  <r>
    <n v="65061"/>
    <s v="Material for Rooms"/>
    <s v="09/29/2014"/>
    <s v="Expense"/>
    <m/>
    <x v="118"/>
    <x v="24"/>
    <x v="1"/>
    <x v="5"/>
    <m/>
    <s v="10461 BofA St Louis"/>
    <n v="53.93"/>
    <n v="273375.84000000003"/>
    <n v="53.93"/>
  </r>
  <r>
    <n v="65061"/>
    <s v="Material for Rooms"/>
    <s v="09/29/2014"/>
    <s v="Expense"/>
    <m/>
    <x v="19"/>
    <x v="24"/>
    <x v="1"/>
    <x v="5"/>
    <m/>
    <s v="10461 BofA St Louis"/>
    <n v="166.26"/>
    <n v="273542.09999999998"/>
    <n v="166.26"/>
  </r>
  <r>
    <n v="65061"/>
    <s v="Material for Rooms"/>
    <s v="09/29/2014"/>
    <s v="Expense"/>
    <m/>
    <x v="19"/>
    <x v="24"/>
    <x v="1"/>
    <x v="5"/>
    <m/>
    <s v="10461 BofA St Louis"/>
    <n v="61.91"/>
    <n v="273604.01"/>
    <n v="61.91"/>
  </r>
  <r>
    <n v="65061"/>
    <s v="Material for Rooms"/>
    <s v="09/29/2014"/>
    <s v="Expense"/>
    <m/>
    <x v="19"/>
    <x v="24"/>
    <x v="1"/>
    <x v="5"/>
    <m/>
    <s v="10461 BofA St Louis"/>
    <n v="75.52"/>
    <n v="273679.53000000003"/>
    <n v="75.52"/>
  </r>
  <r>
    <n v="65061"/>
    <s v="Material for Rooms"/>
    <s v="09/29/2014"/>
    <s v="Expense"/>
    <m/>
    <x v="19"/>
    <x v="24"/>
    <x v="1"/>
    <x v="5"/>
    <m/>
    <s v="10461 BofA St Louis"/>
    <n v="75.52"/>
    <n v="273755.05"/>
    <n v="75.52"/>
  </r>
  <r>
    <n v="65061"/>
    <s v="Material for Rooms"/>
    <s v="09/30/2014"/>
    <s v="Expense"/>
    <m/>
    <x v="33"/>
    <x v="24"/>
    <x v="1"/>
    <x v="5"/>
    <m/>
    <s v="10461 BofA St Louis"/>
    <n v="26.99"/>
    <n v="273988.77"/>
    <n v="26.99"/>
  </r>
  <r>
    <n v="65061"/>
    <s v="Material for Rooms"/>
    <s v="09/30/2014"/>
    <s v="Expense"/>
    <m/>
    <x v="33"/>
    <x v="24"/>
    <x v="1"/>
    <x v="5"/>
    <m/>
    <s v="10461 BofA St Louis"/>
    <n v="45.45"/>
    <n v="274561.13"/>
    <n v="45.45"/>
  </r>
  <r>
    <n v="65061"/>
    <s v="Material for Rooms"/>
    <s v="10/01/2014"/>
    <s v="Expense"/>
    <m/>
    <x v="33"/>
    <x v="24"/>
    <x v="1"/>
    <x v="5"/>
    <m/>
    <s v="10461 BofA St Louis"/>
    <n v="33.96"/>
    <n v="274574.09000000003"/>
    <n v="33.96"/>
  </r>
  <r>
    <n v="65061"/>
    <s v="Material for Rooms"/>
    <s v="10/01/2014"/>
    <s v="Expense"/>
    <m/>
    <x v="360"/>
    <x v="24"/>
    <x v="1"/>
    <x v="5"/>
    <m/>
    <s v="10461 BofA St Louis"/>
    <n v="90.4"/>
    <n v="274664.49"/>
    <n v="90.4"/>
  </r>
  <r>
    <n v="65061"/>
    <s v="Material for Rooms"/>
    <s v="10/02/2014"/>
    <s v="Deposit"/>
    <m/>
    <x v="455"/>
    <x v="24"/>
    <x v="1"/>
    <x v="5"/>
    <m/>
    <s v="10461 BofA St Louis"/>
    <n v="-3.99"/>
    <n v="275216.89"/>
    <n v="-3.99"/>
  </r>
  <r>
    <n v="65061"/>
    <s v="Material for Rooms"/>
    <s v="10/02/2014"/>
    <s v="Check"/>
    <n v="1007"/>
    <x v="456"/>
    <x v="24"/>
    <x v="1"/>
    <x v="5"/>
    <m/>
    <s v="10461 BofA St Louis"/>
    <n v="580"/>
    <n v="276692.58"/>
    <n v="580"/>
  </r>
  <r>
    <n v="65061"/>
    <s v="Material for Rooms"/>
    <s v="10/06/2014"/>
    <s v="Expense"/>
    <m/>
    <x v="118"/>
    <x v="24"/>
    <x v="1"/>
    <x v="5"/>
    <m/>
    <s v="10461 BofA St Louis"/>
    <n v="333.44"/>
    <n v="278628.36"/>
    <n v="333.44"/>
  </r>
  <r>
    <n v="65061"/>
    <s v="Material for Rooms"/>
    <s v="10/06/2014"/>
    <s v="Expense"/>
    <m/>
    <x v="118"/>
    <x v="24"/>
    <x v="1"/>
    <x v="5"/>
    <m/>
    <s v="10461 BofA St Louis"/>
    <n v="16.18"/>
    <n v="278644.53999999998"/>
    <n v="16.18"/>
  </r>
  <r>
    <n v="65061"/>
    <s v="Material for Rooms"/>
    <s v="10/06/2014"/>
    <s v="Expense"/>
    <m/>
    <x v="118"/>
    <x v="24"/>
    <x v="1"/>
    <x v="5"/>
    <m/>
    <s v="10461 BofA St Louis"/>
    <n v="189.87"/>
    <n v="278834.40999999997"/>
    <n v="189.87"/>
  </r>
  <r>
    <n v="65061"/>
    <s v="Material for Rooms"/>
    <s v="10/06/2014"/>
    <s v="Expense"/>
    <m/>
    <x v="118"/>
    <x v="24"/>
    <x v="1"/>
    <x v="5"/>
    <m/>
    <s v="10461 BofA St Louis"/>
    <n v="105.76"/>
    <n v="278940.17"/>
    <n v="105.76"/>
  </r>
  <r>
    <n v="65061"/>
    <s v="Material for Rooms"/>
    <s v="10/07/2014"/>
    <s v="Expense"/>
    <m/>
    <x v="33"/>
    <x v="24"/>
    <x v="1"/>
    <x v="5"/>
    <m/>
    <s v="10461 BofA St Louis"/>
    <n v="115"/>
    <n v="280597.34999999998"/>
    <n v="115"/>
  </r>
  <r>
    <n v="65061"/>
    <s v="Material for Rooms"/>
    <s v="10/08/2014"/>
    <s v="Expense"/>
    <m/>
    <x v="33"/>
    <x v="24"/>
    <x v="1"/>
    <x v="5"/>
    <m/>
    <s v="10461 BofA St Louis"/>
    <n v="104.25"/>
    <n v="283668.25"/>
    <n v="104.25"/>
  </r>
  <r>
    <n v="65061"/>
    <s v="Material for Rooms"/>
    <s v="10/08/2014"/>
    <s v="Expense"/>
    <m/>
    <x v="33"/>
    <x v="24"/>
    <x v="1"/>
    <x v="5"/>
    <m/>
    <s v="10461 BofA St Louis"/>
    <n v="74.989999999999995"/>
    <n v="283743.24"/>
    <n v="74.989999999999995"/>
  </r>
  <r>
    <n v="65061"/>
    <s v="Material for Rooms"/>
    <s v="10/08/2014"/>
    <s v="Expense"/>
    <m/>
    <x v="360"/>
    <x v="24"/>
    <x v="1"/>
    <x v="5"/>
    <m/>
    <s v="10461 BofA St Louis"/>
    <n v="261.91000000000003"/>
    <n v="284005.15000000002"/>
    <n v="261.91000000000003"/>
  </r>
  <r>
    <n v="65061"/>
    <s v="Material for Rooms"/>
    <s v="10/08/2014"/>
    <s v="Expense"/>
    <m/>
    <x v="33"/>
    <x v="24"/>
    <x v="1"/>
    <x v="5"/>
    <m/>
    <s v="10461 BofA St Louis"/>
    <n v="74.989999999999995"/>
    <n v="284080.14"/>
    <n v="74.989999999999995"/>
  </r>
  <r>
    <n v="65061"/>
    <s v="Material for Rooms"/>
    <s v="10/08/2014"/>
    <s v="Expense"/>
    <m/>
    <x v="19"/>
    <x v="24"/>
    <x v="1"/>
    <x v="5"/>
    <m/>
    <s v="10461 BofA St Louis"/>
    <n v="102.93"/>
    <n v="284183.07"/>
    <n v="102.93"/>
  </r>
  <r>
    <n v="65061"/>
    <s v="Material for Rooms"/>
    <s v="10/08/2014"/>
    <s v="Expense"/>
    <m/>
    <x v="19"/>
    <x v="24"/>
    <x v="1"/>
    <x v="5"/>
    <m/>
    <s v="10461 BofA St Louis"/>
    <n v="131.24"/>
    <n v="284314.31"/>
    <n v="131.24"/>
  </r>
  <r>
    <n v="65061"/>
    <s v="Material for Rooms"/>
    <s v="10/08/2014"/>
    <s v="Expense"/>
    <m/>
    <x v="19"/>
    <x v="24"/>
    <x v="1"/>
    <x v="5"/>
    <m/>
    <s v="10461 BofA St Louis"/>
    <n v="69.989999999999995"/>
    <n v="284384.3"/>
    <n v="69.989999999999995"/>
  </r>
  <r>
    <n v="65061"/>
    <s v="Material for Rooms"/>
    <s v="10/08/2014"/>
    <s v="Expense"/>
    <m/>
    <x v="19"/>
    <x v="24"/>
    <x v="1"/>
    <x v="5"/>
    <m/>
    <s v="10461 BofA St Louis"/>
    <n v="79.72"/>
    <n v="284464.02"/>
    <n v="79.72"/>
  </r>
  <r>
    <n v="65061"/>
    <s v="Material for Rooms"/>
    <s v="10/08/2014"/>
    <s v="Expense"/>
    <m/>
    <x v="19"/>
    <x v="24"/>
    <x v="1"/>
    <x v="5"/>
    <m/>
    <s v="10461 BofA St Louis"/>
    <n v="113.75"/>
    <n v="284577.77"/>
    <n v="113.75"/>
  </r>
  <r>
    <n v="65061"/>
    <s v="Material for Rooms"/>
    <s v="10/10/2014"/>
    <s v="Deposit"/>
    <m/>
    <x v="276"/>
    <x v="24"/>
    <x v="1"/>
    <x v="5"/>
    <m/>
    <s v="10461 BofA St Louis"/>
    <n v="-100"/>
    <n v="288046.46999999997"/>
    <n v="-100"/>
  </r>
  <r>
    <n v="65061"/>
    <s v="Material for Rooms"/>
    <s v="10/10/2014"/>
    <s v="Expense"/>
    <m/>
    <x v="67"/>
    <x v="24"/>
    <x v="1"/>
    <x v="5"/>
    <m/>
    <s v="10461 BofA St Louis"/>
    <n v="628.69000000000005"/>
    <n v="288675.15999999997"/>
    <n v="628.69000000000005"/>
  </r>
  <r>
    <n v="65061"/>
    <s v="Material for Rooms"/>
    <s v="10/10/2014"/>
    <s v="Expense"/>
    <m/>
    <x v="457"/>
    <x v="24"/>
    <x v="1"/>
    <x v="5"/>
    <m/>
    <s v="10461 BofA St Louis"/>
    <n v="255"/>
    <n v="289329.36"/>
    <n v="255"/>
  </r>
  <r>
    <n v="65061"/>
    <s v="Material for Rooms"/>
    <s v="10/14/2014"/>
    <s v="Expense"/>
    <m/>
    <x v="118"/>
    <x v="24"/>
    <x v="1"/>
    <x v="5"/>
    <m/>
    <s v="10461 BofA St Louis"/>
    <n v="8.75"/>
    <n v="289433.11"/>
    <n v="8.75"/>
  </r>
  <r>
    <n v="65061"/>
    <s v="Material for Rooms"/>
    <s v="10/14/2014"/>
    <s v="Expense"/>
    <m/>
    <x v="53"/>
    <x v="24"/>
    <x v="1"/>
    <x v="5"/>
    <m/>
    <s v="10461 BofA St Louis"/>
    <n v="71.45"/>
    <n v="290905.21999999997"/>
    <n v="71.45"/>
  </r>
  <r>
    <n v="65061"/>
    <s v="Material for Rooms"/>
    <s v="10/15/2014"/>
    <s v="Expense"/>
    <m/>
    <x v="29"/>
    <x v="24"/>
    <x v="1"/>
    <x v="5"/>
    <m/>
    <s v="10461 BofA St Louis"/>
    <n v="21.41"/>
    <n v="291455.18"/>
    <n v="21.41"/>
  </r>
  <r>
    <n v="65061"/>
    <s v="Material for Rooms"/>
    <s v="10/24/2014"/>
    <s v="Expense"/>
    <m/>
    <x v="53"/>
    <x v="24"/>
    <x v="1"/>
    <x v="5"/>
    <m/>
    <s v="10461 BofA St Louis"/>
    <n v="50.75"/>
    <n v="298772.43"/>
    <n v="50.75"/>
  </r>
  <r>
    <n v="65061"/>
    <s v="Material for Rooms"/>
    <s v="10/27/2014"/>
    <s v="Expense"/>
    <m/>
    <x v="53"/>
    <x v="24"/>
    <x v="1"/>
    <x v="5"/>
    <m/>
    <s v="10461 BofA St Louis"/>
    <n v="28.24"/>
    <n v="299413.38"/>
    <n v="28.24"/>
  </r>
  <r>
    <n v="65061"/>
    <s v="Material for Rooms"/>
    <s v="10/27/2014"/>
    <s v="Expense"/>
    <m/>
    <x v="53"/>
    <x v="24"/>
    <x v="1"/>
    <x v="5"/>
    <m/>
    <s v="10461 BofA St Louis"/>
    <n v="158.82"/>
    <n v="299572.2"/>
    <n v="158.82"/>
  </r>
  <r>
    <n v="65025"/>
    <s v="Bank Service Charges"/>
    <s v="04/01/2014"/>
    <s v="Check"/>
    <m/>
    <x v="92"/>
    <x v="32"/>
    <x v="1"/>
    <x v="14"/>
    <m/>
    <s v="10401 BofA Nashville"/>
    <n v="15"/>
    <n v="691.62"/>
    <n v="15"/>
  </r>
  <r>
    <n v="65025"/>
    <s v="Bank Service Charges"/>
    <s v="05/01/2014"/>
    <s v="Expense"/>
    <m/>
    <x v="92"/>
    <x v="32"/>
    <x v="1"/>
    <x v="14"/>
    <m/>
    <s v="10401 BofA Nashville"/>
    <n v="15"/>
    <n v="1037.28"/>
    <n v="15"/>
  </r>
  <r>
    <n v="65025"/>
    <s v="Bank Service Charges"/>
    <s v="06/02/2014"/>
    <s v="Expense"/>
    <m/>
    <x v="92"/>
    <x v="32"/>
    <x v="1"/>
    <x v="14"/>
    <m/>
    <s v="10401 BofA Nashville"/>
    <n v="15"/>
    <n v="1369.96"/>
    <n v="15"/>
  </r>
  <r>
    <n v="65030"/>
    <s v="Printing and Copying"/>
    <s v="01/02/2014"/>
    <s v="Check"/>
    <m/>
    <x v="92"/>
    <x v="32"/>
    <x v="1"/>
    <x v="20"/>
    <m/>
    <s v="10401 BofA Nashville"/>
    <n v="15"/>
    <n v="15"/>
    <n v="15"/>
  </r>
  <r>
    <n v="65036"/>
    <s v="Volunteer Hospitality"/>
    <s v="02/18/2014"/>
    <s v="Check"/>
    <m/>
    <x v="458"/>
    <x v="32"/>
    <x v="1"/>
    <x v="13"/>
    <m/>
    <s v="10401 BofA Nashville"/>
    <n v="28.56"/>
    <n v="701.54"/>
    <n v="28.56"/>
  </r>
  <r>
    <n v="65061"/>
    <s v="Material for Rooms Expense"/>
    <s v="01/24/2014"/>
    <s v="Check"/>
    <m/>
    <x v="459"/>
    <x v="32"/>
    <x v="1"/>
    <x v="5"/>
    <m/>
    <s v="10401 BofA Nashville"/>
    <n v="424.86"/>
    <n v="17283.47"/>
    <n v="424.86"/>
  </r>
  <r>
    <n v="65061"/>
    <s v="Material for Rooms Expense"/>
    <s v="01/31/2014"/>
    <s v="Check"/>
    <m/>
    <x v="58"/>
    <x v="32"/>
    <x v="1"/>
    <x v="5"/>
    <m/>
    <s v="10401 BofA Nashville"/>
    <n v="25.94"/>
    <n v="25599.18"/>
    <n v="25.94"/>
  </r>
  <r>
    <n v="65061"/>
    <s v="Material for Rooms Expense"/>
    <s v="02/03/2014"/>
    <s v="Check"/>
    <m/>
    <x v="460"/>
    <x v="32"/>
    <x v="1"/>
    <x v="5"/>
    <m/>
    <s v="10401 BofA Nashville"/>
    <n v="40"/>
    <n v="28592.28"/>
    <n v="40"/>
  </r>
  <r>
    <n v="65061"/>
    <s v="Material for Rooms Expense"/>
    <s v="02/03/2014"/>
    <s v="Check"/>
    <m/>
    <x v="23"/>
    <x v="32"/>
    <x v="1"/>
    <x v="5"/>
    <m/>
    <s v="10401 BofA Nashville"/>
    <n v="99.99"/>
    <n v="28692.27"/>
    <n v="99.99"/>
  </r>
  <r>
    <n v="65061"/>
    <s v="Material for Rooms Expense"/>
    <s v="02/04/2014"/>
    <s v="Check"/>
    <m/>
    <x v="178"/>
    <x v="32"/>
    <x v="1"/>
    <x v="5"/>
    <m/>
    <s v="10401 BofA Nashville"/>
    <n v="32.909999999999997"/>
    <n v="29357.41"/>
    <n v="32.909999999999997"/>
  </r>
  <r>
    <n v="65061"/>
    <s v="Material for Rooms Expense"/>
    <s v="02/11/2014"/>
    <s v="Check"/>
    <m/>
    <x v="29"/>
    <x v="32"/>
    <x v="1"/>
    <x v="5"/>
    <m/>
    <s v="10401 BofA Nashville"/>
    <n v="53.47"/>
    <n v="38610.660000000003"/>
    <n v="53.47"/>
  </r>
  <r>
    <n v="65061"/>
    <s v="Material for Rooms Expense"/>
    <s v="02/12/2014"/>
    <s v="Check"/>
    <m/>
    <x v="461"/>
    <x v="32"/>
    <x v="1"/>
    <x v="5"/>
    <m/>
    <s v="10401 BofA Nashville"/>
    <n v="65.53"/>
    <n v="39380.949999999997"/>
    <n v="65.53"/>
  </r>
  <r>
    <n v="65061"/>
    <s v="Material for Rooms Expense"/>
    <s v="02/13/2014"/>
    <s v="Check"/>
    <m/>
    <x v="16"/>
    <x v="32"/>
    <x v="1"/>
    <x v="5"/>
    <m/>
    <s v="10401 BofA Nashville"/>
    <n v="35.94"/>
    <n v="40562.86"/>
    <n v="35.94"/>
  </r>
  <r>
    <n v="65061"/>
    <s v="Material for Rooms Expense"/>
    <s v="02/14/2014"/>
    <s v="Check"/>
    <m/>
    <x v="459"/>
    <x v="32"/>
    <x v="1"/>
    <x v="5"/>
    <m/>
    <s v="10401 BofA Nashville"/>
    <n v="59.98"/>
    <n v="41012.33"/>
    <n v="59.98"/>
  </r>
  <r>
    <n v="65061"/>
    <s v="Material for Rooms Expense"/>
    <s v="02/14/2014"/>
    <s v="Check"/>
    <m/>
    <x v="16"/>
    <x v="32"/>
    <x v="1"/>
    <x v="5"/>
    <m/>
    <s v="10401 BofA Nashville"/>
    <n v="89.37"/>
    <n v="41101.699999999997"/>
    <n v="89.37"/>
  </r>
  <r>
    <n v="65061"/>
    <s v="Material for Rooms Expense"/>
    <s v="02/14/2014"/>
    <s v="Check"/>
    <m/>
    <x v="229"/>
    <x v="32"/>
    <x v="1"/>
    <x v="5"/>
    <m/>
    <s v="10401 BofA Nashville"/>
    <n v="99.99"/>
    <n v="42857.440000000002"/>
    <n v="99.99"/>
  </r>
  <r>
    <n v="65061"/>
    <s v="Material for Rooms Expense"/>
    <s v="02/14/2014"/>
    <s v="Check"/>
    <m/>
    <x v="462"/>
    <x v="32"/>
    <x v="1"/>
    <x v="5"/>
    <m/>
    <s v="10401 BofA Nashville"/>
    <n v="179"/>
    <n v="43044.2"/>
    <n v="179"/>
  </r>
  <r>
    <n v="65061"/>
    <s v="Material for Rooms Expense"/>
    <s v="02/18/2014"/>
    <s v="Check"/>
    <m/>
    <x v="376"/>
    <x v="32"/>
    <x v="1"/>
    <x v="5"/>
    <m/>
    <s v="10401 BofA Nashville"/>
    <n v="34.270000000000003"/>
    <n v="43153.47"/>
    <n v="34.270000000000003"/>
  </r>
  <r>
    <n v="65061"/>
    <s v="Material for Rooms Expense"/>
    <s v="03/10/2014"/>
    <s v="Check"/>
    <n v="421"/>
    <x v="463"/>
    <x v="32"/>
    <x v="1"/>
    <x v="5"/>
    <s v="Hunter Tucker' room reimbursement"/>
    <s v="10180 BofA Spec Spaces National 4695"/>
    <n v="59.96"/>
    <n v="67644.47"/>
    <n v="59.96"/>
  </r>
  <r>
    <n v="65061"/>
    <s v="Material for Rooms Expense"/>
    <s v="04/18/2014"/>
    <s v="Deposit"/>
    <m/>
    <x v="459"/>
    <x v="32"/>
    <x v="1"/>
    <x v="5"/>
    <m/>
    <s v="10401 BofA Nashville"/>
    <n v="-134.94999999999999"/>
    <n v="98617.57"/>
    <n v="-134.94999999999999"/>
  </r>
  <r>
    <n v="43400"/>
    <s v="Direct Public Support"/>
    <s v="01/10/2014"/>
    <s v="Deposit"/>
    <m/>
    <x v="464"/>
    <x v="4"/>
    <x v="0"/>
    <x v="1"/>
    <m/>
    <s v="10428 BoA Sacramento"/>
    <n v="200"/>
    <n v="-22029.89"/>
    <n v="-200"/>
  </r>
  <r>
    <n v="43400"/>
    <s v="Direct Public Support"/>
    <s v="02/26/2014"/>
    <s v="Deposit"/>
    <m/>
    <x v="3"/>
    <x v="4"/>
    <x v="0"/>
    <x v="1"/>
    <m/>
    <s v="10139 BofA Restricted Funds -055:Sacramento 5171"/>
    <n v="200"/>
    <n v="72654.399999999994"/>
    <n v="-200"/>
  </r>
  <r>
    <n v="43400"/>
    <s v="Direct Public Support"/>
    <s v="03/18/2014"/>
    <s v="Deposit"/>
    <m/>
    <x v="3"/>
    <x v="4"/>
    <x v="0"/>
    <x v="1"/>
    <m/>
    <s v="10139 BofA Restricted Funds -055:Sacramento 5171"/>
    <n v="951.22"/>
    <n v="93508.97"/>
    <n v="-951.22"/>
  </r>
  <r>
    <n v="43400"/>
    <s v="Direct Public Support"/>
    <s v="01/13/2014"/>
    <s v="Deposit"/>
    <m/>
    <x v="3"/>
    <x v="33"/>
    <x v="0"/>
    <x v="1"/>
    <m/>
    <s v="10141 BofA Restricted Funds -055:San Antonio 2317"/>
    <n v="995"/>
    <n v="-20834.89"/>
    <n v="-995"/>
  </r>
  <r>
    <n v="43400"/>
    <s v="Direct Public Support"/>
    <s v="01/01/2014"/>
    <s v="Journal Entry"/>
    <s v="546R"/>
    <x v="0"/>
    <x v="5"/>
    <x v="0"/>
    <x v="1"/>
    <s v="to accrue receivables at year end"/>
    <s v="-Split-"/>
    <n v="-44781.26"/>
    <n v="-44781.26"/>
    <n v="44781.26"/>
  </r>
  <r>
    <n v="43400"/>
    <s v="Direct Public Support"/>
    <s v="01/02/2014"/>
    <s v="Deposit"/>
    <m/>
    <x v="11"/>
    <x v="5"/>
    <x v="0"/>
    <x v="1"/>
    <m/>
    <s v="10542 BofA San Fran Restricted 0918"/>
    <n v="374.77"/>
    <n v="-44406.49"/>
    <n v="-374.77"/>
  </r>
  <r>
    <n v="43400"/>
    <s v="Direct Public Support"/>
    <s v="01/02/2014"/>
    <s v="Deposit"/>
    <m/>
    <x v="11"/>
    <x v="5"/>
    <x v="0"/>
    <x v="1"/>
    <m/>
    <s v="10542 BofA San Fran Restricted 0918"/>
    <n v="10020"/>
    <n v="-34386.49"/>
    <n v="-10020"/>
  </r>
  <r>
    <n v="43400"/>
    <s v="Direct Public Support"/>
    <s v="01/16/2014"/>
    <s v="Deposit"/>
    <m/>
    <x v="3"/>
    <x v="5"/>
    <x v="0"/>
    <x v="1"/>
    <m/>
    <s v="10542 BofA San Fran Restricted 0918"/>
    <n v="240"/>
    <n v="-6530.89"/>
    <n v="-240"/>
  </r>
  <r>
    <n v="43400"/>
    <s v="Direct Public Support"/>
    <s v="01/16/2014"/>
    <s v="Deposit"/>
    <m/>
    <x v="3"/>
    <x v="5"/>
    <x v="0"/>
    <x v="1"/>
    <m/>
    <s v="10542 BofA San Fran Restricted 0918"/>
    <n v="9600"/>
    <n v="3069.11"/>
    <n v="-9600"/>
  </r>
  <r>
    <n v="43400"/>
    <s v="Direct Public Support"/>
    <s v="01/27/2014"/>
    <s v="Deposit"/>
    <m/>
    <x v="3"/>
    <x v="5"/>
    <x v="0"/>
    <x v="1"/>
    <m/>
    <s v="10542 BofA San Fran Restricted 0918"/>
    <n v="18800"/>
    <n v="29306.09"/>
    <n v="-18800"/>
  </r>
  <r>
    <n v="43400"/>
    <s v="Direct Public Support"/>
    <s v="02/03/2014"/>
    <s v="Deposit"/>
    <m/>
    <x v="3"/>
    <x v="5"/>
    <x v="0"/>
    <x v="1"/>
    <m/>
    <s v="10542 BofA San Fran Restricted 0918"/>
    <n v="135"/>
    <n v="35699.14"/>
    <n v="-135"/>
  </r>
  <r>
    <n v="43400"/>
    <s v="Direct Public Support"/>
    <s v="03/03/2014"/>
    <s v="Deposit"/>
    <m/>
    <x v="11"/>
    <x v="5"/>
    <x v="0"/>
    <x v="1"/>
    <m/>
    <s v="10542 BofA San Fran Restricted 0918"/>
    <n v="4815.1499999999996"/>
    <n v="82069.55"/>
    <n v="-4815.1499999999996"/>
  </r>
  <r>
    <n v="43400"/>
    <s v="Direct Public Support"/>
    <s v="03/13/2014"/>
    <s v="Deposit"/>
    <m/>
    <x v="3"/>
    <x v="5"/>
    <x v="0"/>
    <x v="1"/>
    <m/>
    <s v="10542 BofA San Fran Restricted 0918"/>
    <n v="325"/>
    <n v="91296.25"/>
    <n v="-325"/>
  </r>
  <r>
    <n v="43400"/>
    <s v="Direct Public Support"/>
    <s v="03/13/2014"/>
    <s v="Deposit"/>
    <m/>
    <x v="3"/>
    <x v="5"/>
    <x v="0"/>
    <x v="1"/>
    <m/>
    <s v="10542 BofA San Fran Restricted 0918"/>
    <n v="25"/>
    <n v="91321.25"/>
    <n v="-25"/>
  </r>
  <r>
    <n v="43400"/>
    <s v="Direct Public Support"/>
    <s v="04/14/2014"/>
    <s v="Deposit"/>
    <m/>
    <x v="3"/>
    <x v="5"/>
    <x v="0"/>
    <x v="1"/>
    <m/>
    <s v="10542 BofA San Fran Restricted 0918"/>
    <n v="400"/>
    <n v="113838.26"/>
    <n v="-400"/>
  </r>
  <r>
    <n v="43400"/>
    <s v="Direct Public Support"/>
    <s v="05/05/2014"/>
    <s v="Deposit"/>
    <m/>
    <x v="3"/>
    <x v="5"/>
    <x v="0"/>
    <x v="1"/>
    <m/>
    <s v="10542 BofA San Fran Restricted 0918"/>
    <n v="151.75"/>
    <n v="140155.26"/>
    <n v="-151.75"/>
  </r>
  <r>
    <n v="43400"/>
    <s v="Direct Public Support"/>
    <s v="06/17/2014"/>
    <s v="Deposit"/>
    <m/>
    <x v="3"/>
    <x v="5"/>
    <x v="0"/>
    <x v="1"/>
    <m/>
    <s v="10542 BofA San Fran Restricted 0918"/>
    <n v="75"/>
    <n v="197075.02"/>
    <n v="-75"/>
  </r>
  <r>
    <n v="43400"/>
    <s v="Direct Public Support"/>
    <s v="01/09/2014"/>
    <s v="Deposit"/>
    <m/>
    <x v="465"/>
    <x v="24"/>
    <x v="0"/>
    <x v="1"/>
    <m/>
    <s v="10140 BofA Restricted Funds -055:St. Louis - 0123"/>
    <n v="2500"/>
    <n v="-24219.89"/>
    <n v="-2500"/>
  </r>
  <r>
    <n v="43400"/>
    <s v="Direct Public Support"/>
    <s v="01/23/2014"/>
    <s v="Deposit"/>
    <m/>
    <x v="3"/>
    <x v="24"/>
    <x v="0"/>
    <x v="1"/>
    <m/>
    <s v="10140 BofA Restricted Funds -055:St. Louis - 0123"/>
    <n v="100"/>
    <n v="4688.43"/>
    <n v="-100"/>
  </r>
  <r>
    <n v="43400"/>
    <s v="Direct Public Support"/>
    <s v="01/23/2014"/>
    <s v="Deposit"/>
    <m/>
    <x v="3"/>
    <x v="24"/>
    <x v="0"/>
    <x v="1"/>
    <m/>
    <s v="10140 BofA Restricted Funds -055:St. Louis - 0123"/>
    <n v="357.66"/>
    <n v="5046.09"/>
    <n v="-357.66"/>
  </r>
  <r>
    <n v="43400"/>
    <s v="Direct Public Support"/>
    <s v="02/21/2014"/>
    <s v="Deposit"/>
    <m/>
    <x v="3"/>
    <x v="24"/>
    <x v="0"/>
    <x v="1"/>
    <m/>
    <s v="10140 BofA Restricted Funds -055:St. Louis - 0123"/>
    <n v="3621"/>
    <n v="69158.42"/>
    <n v="-3621"/>
  </r>
  <r>
    <n v="43400"/>
    <s v="Direct Public Support"/>
    <s v="02/21/2014"/>
    <s v="Deposit"/>
    <m/>
    <x v="3"/>
    <x v="24"/>
    <x v="0"/>
    <x v="1"/>
    <m/>
    <s v="10140 BofA Restricted Funds -055:St. Louis - 0123"/>
    <n v="560"/>
    <n v="69718.42"/>
    <n v="-560"/>
  </r>
  <r>
    <n v="43400"/>
    <s v="Direct Public Support"/>
    <s v="03/04/2014"/>
    <s v="Deposit"/>
    <m/>
    <x v="3"/>
    <x v="24"/>
    <x v="0"/>
    <x v="1"/>
    <m/>
    <s v="10140 BofA Restricted Funds -055:St. Louis - 0123"/>
    <n v="1000"/>
    <n v="83469.55"/>
    <n v="-1000"/>
  </r>
  <r>
    <n v="43400"/>
    <s v="Direct Public Support"/>
    <s v="03/15/2014"/>
    <s v="Deposit"/>
    <m/>
    <x v="3"/>
    <x v="24"/>
    <x v="0"/>
    <x v="1"/>
    <m/>
    <s v="10140 BofA Restricted Funds -055:St. Louis - 0123"/>
    <n v="320"/>
    <n v="92532.75"/>
    <n v="-320"/>
  </r>
  <r>
    <n v="43400"/>
    <s v="Direct Public Support"/>
    <s v="03/25/2014"/>
    <s v="Deposit"/>
    <m/>
    <x v="3"/>
    <x v="24"/>
    <x v="0"/>
    <x v="1"/>
    <m/>
    <s v="10140 BofA Restricted Funds -055:St. Louis - 0123"/>
    <n v="150"/>
    <n v="101930.72"/>
    <n v="-150"/>
  </r>
  <r>
    <n v="43400"/>
    <s v="Direct Public Support"/>
    <s v="04/09/2014"/>
    <s v="Deposit"/>
    <m/>
    <x v="3"/>
    <x v="24"/>
    <x v="0"/>
    <x v="1"/>
    <m/>
    <s v="10140 BofA Restricted Funds -055:St. Louis - 0123"/>
    <n v="85.82"/>
    <n v="111288.26"/>
    <n v="-85.82"/>
  </r>
  <r>
    <n v="43400"/>
    <s v="Direct Public Support"/>
    <s v="05/20/2014"/>
    <s v="Deposit"/>
    <m/>
    <x v="3"/>
    <x v="24"/>
    <x v="0"/>
    <x v="1"/>
    <m/>
    <s v="10140 BofA Restricted Funds -055:St. Louis - 0123"/>
    <n v="2255.9299999999998"/>
    <n v="161889.01"/>
    <n v="-2255.9299999999998"/>
  </r>
  <r>
    <n v="43400"/>
    <s v="Direct Public Support"/>
    <s v="05/30/2014"/>
    <s v="Deposit"/>
    <m/>
    <x v="3"/>
    <x v="24"/>
    <x v="0"/>
    <x v="1"/>
    <m/>
    <s v="10140 BofA Restricted Funds -055:St. Louis - 0123"/>
    <n v="700"/>
    <n v="174971.57"/>
    <n v="-700"/>
  </r>
  <r>
    <n v="43400"/>
    <s v="Direct Public Support"/>
    <s v="01/22/2014"/>
    <s v="Deposit"/>
    <m/>
    <x v="3"/>
    <x v="31"/>
    <x v="0"/>
    <x v="1"/>
    <m/>
    <s v="10138 BofA Restricted Funds -055:Pittsburgh - 220(SWPA)"/>
    <n v="560"/>
    <n v="4588.43"/>
    <n v="-560"/>
  </r>
  <r>
    <n v="43400"/>
    <s v="Direct Public Support"/>
    <s v="06/04/2014"/>
    <s v="Deposit"/>
    <m/>
    <x v="3"/>
    <x v="31"/>
    <x v="0"/>
    <x v="1"/>
    <m/>
    <s v="10138 BofA Restricted Funds -055:Pittsburgh - 220(SWPA)"/>
    <n v="350"/>
    <n v="188252.31"/>
    <n v="-350"/>
  </r>
  <r>
    <n v="43400"/>
    <s v="Direct Public Support"/>
    <s v="06/04/2014"/>
    <s v="Deposit"/>
    <m/>
    <x v="3"/>
    <x v="14"/>
    <x v="0"/>
    <x v="1"/>
    <m/>
    <s v="10143 BofA Restricted Funds -055:Tampa - 8376"/>
    <n v="2655"/>
    <n v="186370.31"/>
    <n v="-2655"/>
  </r>
  <r>
    <n v="43400"/>
    <s v="Direct Public Support"/>
    <s v="06/04/2014"/>
    <s v="Deposit"/>
    <m/>
    <x v="3"/>
    <x v="14"/>
    <x v="0"/>
    <x v="1"/>
    <m/>
    <s v="10143 BofA Restricted Funds -055:Tampa - 8376"/>
    <n v="922"/>
    <n v="187292.31"/>
    <n v="-922"/>
  </r>
  <r>
    <n v="43400"/>
    <s v="Direct Public Support"/>
    <s v="06/04/2014"/>
    <s v="Deposit"/>
    <m/>
    <x v="3"/>
    <x v="14"/>
    <x v="0"/>
    <x v="1"/>
    <m/>
    <s v="10143 BofA Restricted Funds -055:Tampa - 8376"/>
    <n v="585"/>
    <n v="187877.31"/>
    <n v="-585"/>
  </r>
  <r>
    <n v="43400"/>
    <s v="Direct Public Support"/>
    <s v="07/14/2014"/>
    <s v="Deposit"/>
    <m/>
    <x v="3"/>
    <x v="6"/>
    <x v="0"/>
    <x v="1"/>
    <m/>
    <s v="10110 BofA Restricted Funds -055:Chattanooga - 4598"/>
    <n v="25"/>
    <n v="221972.57"/>
    <n v="-25"/>
  </r>
  <r>
    <n v="43400"/>
    <s v="Direct Public Support"/>
    <s v="09/29/2014"/>
    <s v="Deposit"/>
    <m/>
    <x v="3"/>
    <x v="6"/>
    <x v="0"/>
    <x v="1"/>
    <m/>
    <s v="10110 BofA Restricted Funds -055:Chattanooga - 4598"/>
    <n v="200"/>
    <n v="259241.97"/>
    <n v="-200"/>
  </r>
  <r>
    <n v="43400"/>
    <s v="Direct Public Support"/>
    <s v="10/14/2014"/>
    <s v="Deposit"/>
    <m/>
    <x v="466"/>
    <x v="6"/>
    <x v="0"/>
    <x v="1"/>
    <s v="donation for rental unit"/>
    <s v="10110 BofA Restricted Funds -055:Chattanooga - 4598"/>
    <n v="840"/>
    <n v="281237.89"/>
    <n v="-840"/>
  </r>
  <r>
    <n v="43400"/>
    <s v="Direct Public Support"/>
    <s v="09/08/2014"/>
    <s v="Deposit"/>
    <m/>
    <x v="3"/>
    <x v="34"/>
    <x v="0"/>
    <x v="1"/>
    <m/>
    <s v="10119 BofA Restricted Funds -055:Knox UT"/>
    <n v="1061.05"/>
    <n v="242705.91"/>
    <n v="-1061.05"/>
  </r>
  <r>
    <n v="43400"/>
    <s v="Direct Public Support"/>
    <s v="10/09/2014"/>
    <s v="Deposit"/>
    <m/>
    <x v="3"/>
    <x v="34"/>
    <x v="0"/>
    <x v="1"/>
    <m/>
    <s v="10119 BofA Restricted Funds -055:Knox UT"/>
    <n v="1321.9"/>
    <n v="266560.51"/>
    <n v="-1321.9"/>
  </r>
  <r>
    <n v="43400"/>
    <s v="Direct Public Support"/>
    <s v="10/20/2014"/>
    <s v="Journal Entry"/>
    <n v="727"/>
    <x v="0"/>
    <x v="34"/>
    <x v="0"/>
    <x v="1"/>
    <s v="to national for bed race"/>
    <s v="-Split-"/>
    <n v="-500"/>
    <n v="285892.89"/>
    <n v="500"/>
  </r>
  <r>
    <n v="43400"/>
    <s v="Direct Public Support"/>
    <s v="10/28/2014"/>
    <s v="Deposit"/>
    <m/>
    <x v="3"/>
    <x v="34"/>
    <x v="0"/>
    <x v="1"/>
    <m/>
    <s v="10119 BofA Restricted Funds -055:Knox UT"/>
    <n v="1179"/>
    <n v="305514.82"/>
    <n v="-1179"/>
  </r>
  <r>
    <n v="43400"/>
    <s v="Direct Public Support"/>
    <s v="10/01/2014"/>
    <s v="Deposit"/>
    <m/>
    <x v="3"/>
    <x v="19"/>
    <x v="0"/>
    <x v="1"/>
    <m/>
    <s v="10120 BofA Restricted Funds -055:Knoxville - 194"/>
    <n v="88.4"/>
    <n v="262980.62"/>
    <n v="-88.4"/>
  </r>
  <r>
    <n v="43400"/>
    <s v="Direct Public Support"/>
    <s v="10/10/2014"/>
    <s v="Deposit"/>
    <m/>
    <x v="0"/>
    <x v="35"/>
    <x v="0"/>
    <x v="1"/>
    <m/>
    <s v="10128 BofA Restricted Funds -055:Nashville - 149"/>
    <n v="6000"/>
    <n v="277767.42"/>
    <n v="-6000"/>
  </r>
  <r>
    <n v="43400"/>
    <s v="Direct Public Support"/>
    <s v="08/14/2014"/>
    <s v="Deposit"/>
    <m/>
    <x v="3"/>
    <x v="36"/>
    <x v="0"/>
    <x v="1"/>
    <m/>
    <s v="10497 BoA Tri Cities Restricted 0921"/>
    <n v="100"/>
    <n v="238929.86"/>
    <n v="-100"/>
  </r>
  <r>
    <n v="43400"/>
    <s v="Direct Public Support"/>
    <s v="09/16/2014"/>
    <s v="Deposit"/>
    <m/>
    <x v="3"/>
    <x v="36"/>
    <x v="0"/>
    <x v="1"/>
    <m/>
    <s v="10497 BoA Tri Cities Restricted 0921"/>
    <n v="1000"/>
    <n v="255847.42"/>
    <n v="-1000"/>
  </r>
  <r>
    <n v="43400"/>
    <s v="Direct Public Support"/>
    <s v="09/24/2014"/>
    <s v="Deposit"/>
    <m/>
    <x v="3"/>
    <x v="37"/>
    <x v="0"/>
    <x v="1"/>
    <m/>
    <s v="10514 BofA Texas Resticted 0905:BoA Texas Restricted"/>
    <n v="350"/>
    <n v="258741.97"/>
    <n v="-350"/>
  </r>
  <r>
    <n v="43400"/>
    <s v="Direct Public Support"/>
    <s v="10/03/2014"/>
    <s v="Deposit"/>
    <m/>
    <x v="3"/>
    <x v="37"/>
    <x v="0"/>
    <x v="1"/>
    <m/>
    <s v="10513 BoA Texas 6541"/>
    <n v="1948"/>
    <n v="264928.62"/>
    <n v="-1948"/>
  </r>
  <r>
    <n v="43400"/>
    <s v="Direct Public Support"/>
    <s v="10/08/2014"/>
    <s v="Deposit"/>
    <m/>
    <x v="3"/>
    <x v="37"/>
    <x v="0"/>
    <x v="1"/>
    <m/>
    <s v="10514 BofA Texas Resticted 0905:BoA Texas Restricted"/>
    <n v="300"/>
    <n v="265228.62"/>
    <n v="-300"/>
  </r>
  <r>
    <n v="43400"/>
    <s v="Direct Public Support"/>
    <s v="10/08/2014"/>
    <s v="Deposit"/>
    <m/>
    <x v="467"/>
    <x v="37"/>
    <x v="0"/>
    <x v="1"/>
    <m/>
    <s v="10514 BofA Texas Resticted 0905:BoA Texas Restricted"/>
    <n v="9.5"/>
    <n v="265238.12"/>
    <n v="-9.5"/>
  </r>
  <r>
    <n v="43400"/>
    <s v="Direct Public Support"/>
    <s v="10/08/2014"/>
    <s v="Deposit"/>
    <m/>
    <x v="467"/>
    <x v="37"/>
    <x v="0"/>
    <x v="1"/>
    <m/>
    <s v="10514 BofA Texas Resticted 0905:BoA Texas Restricted"/>
    <n v="0.49"/>
    <n v="265238.61"/>
    <n v="-0.49"/>
  </r>
  <r>
    <n v="43400"/>
    <s v="Direct Public Support"/>
    <s v="10/24/2014"/>
    <s v="Deposit"/>
    <m/>
    <x v="468"/>
    <x v="37"/>
    <x v="0"/>
    <x v="1"/>
    <m/>
    <s v="10514 BofA Texas Resticted 0905:BoA Texas Restricted"/>
    <n v="5000"/>
    <n v="298835.82"/>
    <n v="-5000"/>
  </r>
  <r>
    <n v="43400"/>
    <s v="Direct Public Support"/>
    <s v="10/28/2014"/>
    <s v="Journal Entry"/>
    <n v="746"/>
    <x v="0"/>
    <x v="37"/>
    <x v="0"/>
    <x v="1"/>
    <s v="paypal"/>
    <s v="-Split-"/>
    <n v="130"/>
    <n v="309259.82"/>
    <n v="-130"/>
  </r>
  <r>
    <n v="43400"/>
    <s v="Direct Public Support"/>
    <s v="09/08/2014"/>
    <s v="Deposit"/>
    <m/>
    <x v="3"/>
    <x v="11"/>
    <x v="0"/>
    <x v="1"/>
    <m/>
    <s v="10145 BofA Restricted Funds -055:Dallas, Texas 8389"/>
    <n v="38.46"/>
    <n v="242744.37"/>
    <n v="-38.46"/>
  </r>
  <r>
    <n v="43400"/>
    <s v="Direct Public Support"/>
    <s v="09/16/2014"/>
    <s v="Journal Entry"/>
    <n v="670"/>
    <x v="0"/>
    <x v="11"/>
    <x v="0"/>
    <x v="1"/>
    <s v="paypal"/>
    <s v="-Split-"/>
    <n v="100"/>
    <n v="256117.42"/>
    <n v="-100"/>
  </r>
  <r>
    <n v="43400"/>
    <s v="Direct Public Support"/>
    <s v="10/13/2014"/>
    <s v="Journal Entry"/>
    <n v="716"/>
    <x v="0"/>
    <x v="11"/>
    <x v="0"/>
    <x v="1"/>
    <m/>
    <s v="-Split-"/>
    <n v="500"/>
    <n v="278297.52"/>
    <n v="-500"/>
  </r>
  <r>
    <n v="43400"/>
    <s v="Direct Public Support"/>
    <s v="10/13/2014"/>
    <s v="Deposit"/>
    <m/>
    <x v="3"/>
    <x v="11"/>
    <x v="0"/>
    <x v="1"/>
    <m/>
    <s v="10145 BofA Restricted Funds -055:Dallas, Texas 8389"/>
    <n v="476.37"/>
    <n v="278998.89"/>
    <n v="-476.37"/>
  </r>
  <r>
    <n v="43400"/>
    <s v="Direct Public Support"/>
    <s v="07/31/2014"/>
    <s v="Deposit"/>
    <m/>
    <x v="3"/>
    <x v="17"/>
    <x v="0"/>
    <x v="1"/>
    <m/>
    <s v="10512 BofA Texas Resticted 0905"/>
    <n v="460"/>
    <n v="231292.31"/>
    <n v="-460"/>
  </r>
  <r>
    <n v="43400"/>
    <s v="Direct Public Support"/>
    <s v="08/11/2014"/>
    <s v="Journal Entry"/>
    <n v="652"/>
    <x v="0"/>
    <x v="17"/>
    <x v="0"/>
    <x v="1"/>
    <m/>
    <s v="-Split-"/>
    <n v="385"/>
    <n v="236319.86"/>
    <n v="-385"/>
  </r>
  <r>
    <n v="43400"/>
    <s v="Direct Public Support"/>
    <s v="10/24/2014"/>
    <s v="Journal Entry"/>
    <n v="740"/>
    <x v="0"/>
    <x v="33"/>
    <x v="0"/>
    <x v="1"/>
    <s v="make a wish amount to San Antonio"/>
    <s v="-Split-"/>
    <n v="0"/>
    <n v="291035.82"/>
    <n v="0"/>
  </r>
  <r>
    <n v="43400"/>
    <s v="Direct Public Support"/>
    <s v="01/09/2014"/>
    <s v="Deposit"/>
    <m/>
    <x v="3"/>
    <x v="36"/>
    <x v="0"/>
    <x v="1"/>
    <m/>
    <s v="10497 BoA Tri Cities Restricted 0921"/>
    <n v="425"/>
    <n v="-23794.89"/>
    <n v="-425"/>
  </r>
  <r>
    <n v="43400"/>
    <s v="Direct Public Support"/>
    <s v="02/19/2014"/>
    <s v="Deposit"/>
    <m/>
    <x v="3"/>
    <x v="36"/>
    <x v="0"/>
    <x v="1"/>
    <m/>
    <s v="10497 BoA Tri Cities Restricted 0921"/>
    <n v="4050"/>
    <n v="58780.160000000003"/>
    <n v="-4050"/>
  </r>
  <r>
    <n v="43400"/>
    <s v="Direct Public Support"/>
    <s v="03/25/2014"/>
    <s v="Deposit"/>
    <m/>
    <x v="3"/>
    <x v="36"/>
    <x v="0"/>
    <x v="1"/>
    <m/>
    <s v="10497 BoA Tri Cities Restricted 0921"/>
    <n v="550"/>
    <n v="103308.59"/>
    <n v="-550"/>
  </r>
  <r>
    <n v="43400"/>
    <s v="Direct Public Support"/>
    <s v="04/09/2014"/>
    <s v="Deposit"/>
    <m/>
    <x v="3"/>
    <x v="36"/>
    <x v="0"/>
    <x v="1"/>
    <m/>
    <s v="10497 BoA Tri Cities Restricted 0921"/>
    <n v="1680"/>
    <n v="111202.44"/>
    <n v="-1680"/>
  </r>
  <r>
    <n v="43400"/>
    <s v="Direct Public Support"/>
    <s v="04/21/2014"/>
    <s v="Journal Entry"/>
    <n v="508"/>
    <x v="0"/>
    <x v="36"/>
    <x v="0"/>
    <x v="1"/>
    <s v="paypal deposit"/>
    <s v="-Split-"/>
    <n v="50"/>
    <n v="115289.26"/>
    <n v="-50"/>
  </r>
  <r>
    <n v="43400"/>
    <s v="Direct Public Support"/>
    <s v="05/07/2014"/>
    <s v="Deposit"/>
    <m/>
    <x v="3"/>
    <x v="36"/>
    <x v="0"/>
    <x v="1"/>
    <m/>
    <s v="10497 BoA Tri Cities Restricted 0921"/>
    <n v="3500"/>
    <n v="143655.26"/>
    <n v="-3500"/>
  </r>
  <r>
    <n v="43400"/>
    <s v="Direct Public Support"/>
    <s v="05/07/2014"/>
    <s v="Deposit"/>
    <m/>
    <x v="3"/>
    <x v="36"/>
    <x v="0"/>
    <x v="1"/>
    <m/>
    <s v="10497 BoA Tri Cities Restricted 0921"/>
    <n v="610"/>
    <n v="144805.26"/>
    <n v="-610"/>
  </r>
  <r>
    <n v="43430"/>
    <s v="Gifts in kind - Services"/>
    <s v="01/18/2014"/>
    <s v="Journal Entry"/>
    <n v="497"/>
    <x v="0"/>
    <x v="0"/>
    <x v="3"/>
    <x v="8"/>
    <s v="Kobe's Room - Nashville Feld room"/>
    <s v="-Split-"/>
    <n v="1000"/>
    <n v="7277"/>
    <n v="-1000"/>
  </r>
  <r>
    <n v="43400"/>
    <s v="Direct Public Support"/>
    <s v="05/30/2014"/>
    <s v="Deposit"/>
    <m/>
    <x v="3"/>
    <x v="36"/>
    <x v="0"/>
    <x v="1"/>
    <m/>
    <s v="10497 BoA Tri Cities Restricted 0921"/>
    <n v="175"/>
    <n v="175226.57"/>
    <n v="-175"/>
  </r>
  <r>
    <n v="43400"/>
    <s v="Direct Public Support"/>
    <s v="05/30/2014"/>
    <s v="Deposit"/>
    <m/>
    <x v="3"/>
    <x v="36"/>
    <x v="0"/>
    <x v="1"/>
    <m/>
    <s v="10497 BoA Tri Cities Restricted 0921"/>
    <n v="3030"/>
    <n v="178256.57"/>
    <n v="-3030"/>
  </r>
  <r>
    <n v="43400"/>
    <s v="Direct Public Support"/>
    <s v="05/30/2014"/>
    <s v="Deposit"/>
    <m/>
    <x v="3"/>
    <x v="36"/>
    <x v="0"/>
    <x v="1"/>
    <m/>
    <s v="10497 BoA Tri Cities Restricted 0921"/>
    <n v="4279"/>
    <n v="182535.57"/>
    <n v="-4279"/>
  </r>
  <r>
    <n v="43430"/>
    <s v="Gifts in kind - Services"/>
    <s v="10/29/2014"/>
    <s v="Journal Entry"/>
    <n v="751"/>
    <x v="0"/>
    <x v="0"/>
    <x v="3"/>
    <x v="8"/>
    <s v="discount on billboard for Bedrace"/>
    <s v="-Split-"/>
    <n v="757"/>
    <n v="38887.5"/>
    <n v="-757"/>
  </r>
  <r>
    <n v="43435"/>
    <s v="Donated Prof Fees, Facilities"/>
    <s v="06/30/2014"/>
    <s v="Journal Entry"/>
    <n v="554"/>
    <x v="0"/>
    <x v="0"/>
    <x v="3"/>
    <x v="21"/>
    <s v="6 months of in kind rent of office"/>
    <s v="-Split-"/>
    <n v="6000"/>
    <n v="6000"/>
    <n v="-6000"/>
  </r>
  <r>
    <n v="43435"/>
    <s v="Donated Prof Fees, Facilities"/>
    <s v="07/31/2014"/>
    <s v="Journal Entry"/>
    <n v="642"/>
    <x v="0"/>
    <x v="0"/>
    <x v="3"/>
    <x v="21"/>
    <s v="to record in kind rent for office"/>
    <s v="-Split-"/>
    <n v="1000"/>
    <n v="7000"/>
    <n v="-1000"/>
  </r>
  <r>
    <n v="43435"/>
    <s v="Donated Prof Fees, Facilities"/>
    <s v="08/31/2014"/>
    <s v="Journal Entry"/>
    <n v="661"/>
    <x v="0"/>
    <x v="0"/>
    <x v="3"/>
    <x v="21"/>
    <s v="to record in kind rent for office"/>
    <s v="-Split-"/>
    <n v="1000"/>
    <n v="8000"/>
    <n v="-1000"/>
  </r>
  <r>
    <n v="43435"/>
    <s v="Donated Prof Fees, Facilities"/>
    <s v="09/30/2014"/>
    <s v="Journal Entry"/>
    <n v="694"/>
    <x v="0"/>
    <x v="0"/>
    <x v="3"/>
    <x v="21"/>
    <s v="to record in kind rent for office"/>
    <s v="-Split-"/>
    <n v="1000"/>
    <n v="9000"/>
    <n v="-1000"/>
  </r>
  <r>
    <n v="43435"/>
    <s v="Donated Prof Fees, Facilities"/>
    <s v="10/31/2014"/>
    <s v="Journal Entry"/>
    <n v="752"/>
    <x v="0"/>
    <x v="0"/>
    <x v="3"/>
    <x v="21"/>
    <s v="to record in kind rent for office"/>
    <s v="-Split-"/>
    <n v="1000"/>
    <n v="10000"/>
    <n v="-1000"/>
  </r>
  <r>
    <n v="43440"/>
    <s v="Gifts in Kind - Goods"/>
    <s v="10/15/2014"/>
    <s v="Journal Entry"/>
    <n v="753"/>
    <x v="0"/>
    <x v="0"/>
    <x v="3"/>
    <x v="9"/>
    <s v="mural for feld room in Cincinnati"/>
    <s v="-Split-"/>
    <n v="800"/>
    <n v="48116.95"/>
    <n v="-800"/>
  </r>
  <r>
    <n v="43440"/>
    <s v="Gifts in Kind - Goods"/>
    <s v="10/20/2014"/>
    <s v="Journal Entry"/>
    <n v="736"/>
    <x v="0"/>
    <x v="0"/>
    <x v="3"/>
    <x v="9"/>
    <s v="(2) $50.00 gift certificates for bed race"/>
    <s v="-Split-"/>
    <n v="100"/>
    <n v="48336.95"/>
    <n v="-100"/>
  </r>
  <r>
    <n v="43440"/>
    <s v="Gifts in Kind - Goods"/>
    <s v="10/20/2014"/>
    <s v="Journal Entry"/>
    <n v="735"/>
    <x v="0"/>
    <x v="0"/>
    <x v="3"/>
    <x v="9"/>
    <s v="4 steel welded Beds"/>
    <s v="-Split-"/>
    <n v="1600"/>
    <n v="49936.95"/>
    <n v="-1600"/>
  </r>
  <r>
    <n v="43400"/>
    <s v="Direct Public Support"/>
    <s v="05/30/2014"/>
    <s v="Deposit"/>
    <m/>
    <x v="3"/>
    <x v="36"/>
    <x v="0"/>
    <x v="1"/>
    <m/>
    <s v="10497 BoA Tri Cities Restricted 0921"/>
    <n v="900"/>
    <n v="183435.57"/>
    <n v="-900"/>
  </r>
  <r>
    <n v="43400"/>
    <s v="Direct Public Support"/>
    <s v="06/17/2014"/>
    <s v="Deposit"/>
    <m/>
    <x v="3"/>
    <x v="36"/>
    <x v="0"/>
    <x v="1"/>
    <m/>
    <s v="10497 BoA Tri Cities Restricted 0921"/>
    <n v="2325"/>
    <n v="199400.02"/>
    <n v="-2325"/>
  </r>
  <r>
    <n v="43400"/>
    <s v="Direct Public Support"/>
    <s v="02/25/2014"/>
    <s v="Deposit"/>
    <m/>
    <x v="3"/>
    <x v="21"/>
    <x v="0"/>
    <x v="1"/>
    <m/>
    <s v="10147 BofA Restricted Funds -055:Tri-Counties-Michigan 3090"/>
    <n v="150"/>
    <n v="72454.399999999994"/>
    <n v="-150"/>
  </r>
  <r>
    <n v="43400"/>
    <s v="Direct Public Support"/>
    <s v="03/26/2014"/>
    <s v="Deposit"/>
    <m/>
    <x v="3"/>
    <x v="21"/>
    <x v="0"/>
    <x v="1"/>
    <m/>
    <s v="10147 BofA Restricted Funds -055:Tri-Counties-Michigan 3090"/>
    <n v="150"/>
    <n v="105098.59"/>
    <n v="-150"/>
  </r>
  <r>
    <n v="43400"/>
    <s v="Direct Public Support"/>
    <s v="01/08/2014"/>
    <s v="Deposit"/>
    <m/>
    <x v="3"/>
    <x v="28"/>
    <x v="0"/>
    <x v="1"/>
    <m/>
    <s v="10146 BofA Restricted Funds -055:Triangle - 4585"/>
    <n v="500"/>
    <n v="-28054.89"/>
    <n v="-500"/>
  </r>
  <r>
    <n v="43400"/>
    <s v="Direct Public Support"/>
    <s v="01/08/2014"/>
    <s v="Deposit"/>
    <m/>
    <x v="3"/>
    <x v="28"/>
    <x v="0"/>
    <x v="1"/>
    <m/>
    <s v="10146 BofA Restricted Funds -055:Triangle - 4585"/>
    <n v="25"/>
    <n v="-26719.89"/>
    <n v="-25"/>
  </r>
  <r>
    <n v="43400"/>
    <s v="Direct Public Support"/>
    <s v="02/05/2014"/>
    <s v="Deposit"/>
    <m/>
    <x v="3"/>
    <x v="28"/>
    <x v="0"/>
    <x v="1"/>
    <m/>
    <s v="10146 BofA Restricted Funds -055:Triangle - 4585"/>
    <n v="25"/>
    <n v="35847.25"/>
    <n v="-25"/>
  </r>
  <r>
    <n v="43400"/>
    <s v="Direct Public Support"/>
    <s v="02/10/2014"/>
    <s v="Deposit"/>
    <m/>
    <x v="3"/>
    <x v="28"/>
    <x v="0"/>
    <x v="1"/>
    <m/>
    <s v="10146 BofA Restricted Funds -055:Triangle - 4585"/>
    <n v="2528.64"/>
    <n v="40825.89"/>
    <n v="-2528.64"/>
  </r>
  <r>
    <n v="43400"/>
    <s v="Direct Public Support"/>
    <s v="02/18/2014"/>
    <s v="Deposit"/>
    <m/>
    <x v="3"/>
    <x v="28"/>
    <x v="0"/>
    <x v="1"/>
    <m/>
    <s v="10146 BofA Restricted Funds -055:Triangle - 4585"/>
    <n v="251.57"/>
    <n v="54525.37"/>
    <n v="-251.57"/>
  </r>
  <r>
    <n v="43400"/>
    <s v="Direct Public Support"/>
    <s v="02/18/2014"/>
    <s v="Deposit"/>
    <m/>
    <x v="3"/>
    <x v="28"/>
    <x v="0"/>
    <x v="1"/>
    <m/>
    <s v="10146 BofA Restricted Funds -055:Triangle - 4585"/>
    <n v="200"/>
    <n v="54725.37"/>
    <n v="-200"/>
  </r>
  <r>
    <n v="43400"/>
    <s v="Direct Public Support"/>
    <s v="03/05/2014"/>
    <s v="Deposit"/>
    <m/>
    <x v="3"/>
    <x v="28"/>
    <x v="0"/>
    <x v="1"/>
    <m/>
    <s v="10146 BofA Restricted Funds -055:Triangle - 4585"/>
    <n v="25"/>
    <n v="83494.55"/>
    <n v="-25"/>
  </r>
  <r>
    <n v="43400"/>
    <s v="Direct Public Support"/>
    <s v="03/05/2014"/>
    <s v="Deposit"/>
    <m/>
    <x v="3"/>
    <x v="28"/>
    <x v="0"/>
    <x v="1"/>
    <m/>
    <s v="10146 BofA Restricted Funds -055:Triangle - 4585"/>
    <n v="500"/>
    <n v="83994.55"/>
    <n v="-500"/>
  </r>
  <r>
    <n v="43400"/>
    <s v="Direct Public Support"/>
    <s v="03/05/2014"/>
    <s v="Deposit"/>
    <m/>
    <x v="3"/>
    <x v="28"/>
    <x v="0"/>
    <x v="1"/>
    <m/>
    <s v="10146 BofA Restricted Funds -055:Triangle - 4585"/>
    <n v="718.66"/>
    <n v="84713.21"/>
    <n v="-718.66"/>
  </r>
  <r>
    <n v="43400"/>
    <s v="Direct Public Support"/>
    <s v="03/15/2014"/>
    <s v="Deposit"/>
    <m/>
    <x v="3"/>
    <x v="28"/>
    <x v="0"/>
    <x v="1"/>
    <m/>
    <s v="10146 BofA Restricted Funds -055:Triangle - 4585"/>
    <n v="25"/>
    <n v="92557.75"/>
    <n v="-25"/>
  </r>
  <r>
    <n v="43400"/>
    <s v="Direct Public Support"/>
    <s v="04/07/2014"/>
    <s v="Journal Entry"/>
    <n v="485"/>
    <x v="0"/>
    <x v="28"/>
    <x v="0"/>
    <x v="1"/>
    <m/>
    <s v="-Split-"/>
    <n v="53"/>
    <n v="108285.57"/>
    <n v="-53"/>
  </r>
  <r>
    <n v="43400"/>
    <s v="Direct Public Support"/>
    <s v="04/21/2014"/>
    <s v="Journal Entry"/>
    <n v="508"/>
    <x v="0"/>
    <x v="28"/>
    <x v="0"/>
    <x v="1"/>
    <s v="paypal deposit"/>
    <s v="-Split-"/>
    <n v="786"/>
    <n v="115139.26"/>
    <n v="-786"/>
  </r>
  <r>
    <n v="43400"/>
    <s v="Direct Public Support"/>
    <s v="04/23/2014"/>
    <s v="Deposit"/>
    <m/>
    <x v="3"/>
    <x v="28"/>
    <x v="0"/>
    <x v="1"/>
    <m/>
    <s v="10146 BofA Restricted Funds -055:Triangle - 4585"/>
    <n v="114.56"/>
    <n v="115526.22"/>
    <n v="-114.56"/>
  </r>
  <r>
    <n v="43400"/>
    <s v="Direct Public Support"/>
    <s v="04/23/2014"/>
    <s v="Deposit"/>
    <m/>
    <x v="3"/>
    <x v="28"/>
    <x v="0"/>
    <x v="1"/>
    <m/>
    <s v="10146 BofA Restricted Funds -055:Triangle - 4585"/>
    <n v="492"/>
    <n v="116018.22"/>
    <n v="-492"/>
  </r>
  <r>
    <n v="43400"/>
    <s v="Direct Public Support"/>
    <s v="05/02/2014"/>
    <s v="Deposit"/>
    <m/>
    <x v="3"/>
    <x v="28"/>
    <x v="0"/>
    <x v="1"/>
    <m/>
    <s v="10146 BofA Restricted Funds -055:Triangle - 4585"/>
    <n v="25"/>
    <n v="128374.41"/>
    <n v="-25"/>
  </r>
  <r>
    <n v="43400"/>
    <s v="Direct Public Support"/>
    <s v="06/04/2014"/>
    <s v="Deposit"/>
    <m/>
    <x v="3"/>
    <x v="28"/>
    <x v="0"/>
    <x v="1"/>
    <m/>
    <s v="10146 BofA Restricted Funds -055:Triangle - 4585"/>
    <n v="25"/>
    <n v="187902.31"/>
    <n v="-25"/>
  </r>
  <r>
    <n v="43400"/>
    <s v="Direct Public Support"/>
    <s v="01/13/2014"/>
    <s v="Deposit"/>
    <m/>
    <x v="3"/>
    <x v="38"/>
    <x v="0"/>
    <x v="1"/>
    <m/>
    <s v="10179 *US Bank Wisc Restr 4595"/>
    <n v="200"/>
    <n v="-21829.89"/>
    <n v="-200"/>
  </r>
  <r>
    <n v="43400"/>
    <s v="Direct Public Support"/>
    <s v="03/11/2014"/>
    <s v="Journal Entry"/>
    <n v="446"/>
    <x v="0"/>
    <x v="38"/>
    <x v="0"/>
    <x v="1"/>
    <s v="paypal"/>
    <s v="-Split-"/>
    <n v="50"/>
    <n v="89224.21"/>
    <n v="-50"/>
  </r>
  <r>
    <n v="43400"/>
    <s v="Direct Public Support"/>
    <s v="10/30/2014"/>
    <s v="Deposit"/>
    <m/>
    <x v="3"/>
    <x v="38"/>
    <x v="0"/>
    <x v="1"/>
    <m/>
    <s v="10201 *US Bank Wisc Restr 4595:Wisconsin Restricted"/>
    <n v="1800"/>
    <n v="312703.82"/>
    <n v="-1800"/>
  </r>
  <r>
    <n v="43400"/>
    <s v="Direct Public Support"/>
    <s v="10/30/2014"/>
    <s v="Deposit"/>
    <m/>
    <x v="3"/>
    <x v="38"/>
    <x v="0"/>
    <x v="1"/>
    <m/>
    <s v="10201 *US Bank Wisc Restr 4595:Wisconsin Restricted"/>
    <n v="570"/>
    <n v="313273.82"/>
    <n v="-570"/>
  </r>
  <r>
    <n v="43400"/>
    <s v="Direct Public Support"/>
    <s v="10/13/2014"/>
    <s v="Journal Entry"/>
    <n v="716"/>
    <x v="0"/>
    <x v="15"/>
    <x v="0"/>
    <x v="1"/>
    <m/>
    <s v="-Split-"/>
    <n v="5"/>
    <n v="277797.42"/>
    <n v="-5"/>
  </r>
  <r>
    <n v="43400"/>
    <s v="Direct Public Support"/>
    <s v="09/16/2014"/>
    <s v="Journal Entry"/>
    <n v="672"/>
    <x v="0"/>
    <x v="22"/>
    <x v="0"/>
    <x v="1"/>
    <s v="paypal deposits"/>
    <s v="-Split-"/>
    <n v="100"/>
    <n v="254847.42"/>
    <n v="-100"/>
  </r>
  <r>
    <n v="43300"/>
    <s v="Foundation and Trust Grants"/>
    <s v="03/04/2014"/>
    <s v="Deposit"/>
    <m/>
    <x v="469"/>
    <x v="3"/>
    <x v="0"/>
    <x v="22"/>
    <m/>
    <s v="10108 BofA Restricted Funds -055:Buffalo - 259"/>
    <n v="1000"/>
    <n v="1000"/>
    <n v="-1000"/>
  </r>
  <r>
    <n v="43300"/>
    <s v="Foundation and Trust Grants"/>
    <s v="05/28/2014"/>
    <s v="Deposit"/>
    <m/>
    <x v="0"/>
    <x v="7"/>
    <x v="0"/>
    <x v="22"/>
    <m/>
    <s v="10111 BofA Restricted Funds -055:Chicago 8350"/>
    <n v="5500"/>
    <n v="6500"/>
    <n v="-5500"/>
  </r>
  <r>
    <n v="43300"/>
    <s v="Foundation and Trust Grants"/>
    <s v="10/24/2014"/>
    <s v="Deposit"/>
    <m/>
    <x v="470"/>
    <x v="14"/>
    <x v="0"/>
    <x v="22"/>
    <m/>
    <s v="10143 BofA Restricted Funds -055:Tampa - 8376"/>
    <n v="3000"/>
    <n v="6550"/>
    <n v="-3000"/>
  </r>
  <r>
    <n v="43300"/>
    <s v="Foundation and Trust Grants"/>
    <s v="09/16/2014"/>
    <s v="Deposit"/>
    <m/>
    <x v="471"/>
    <x v="7"/>
    <x v="0"/>
    <x v="22"/>
    <m/>
    <s v="10111 BofA Restricted Funds -055:Chicago 8350"/>
    <n v="800"/>
    <n v="1800"/>
    <n v="-800"/>
  </r>
  <r>
    <n v="60920"/>
    <s v=" Business Registration Fees"/>
    <s v="01/01/2014"/>
    <s v="Journal Entry"/>
    <s v="550R"/>
    <x v="0"/>
    <x v="0"/>
    <x v="4"/>
    <x v="23"/>
    <s v="to accrue unrecorded payables at 12/31/13"/>
    <s v="-Split-"/>
    <n v="-160.75"/>
    <n v="-160.75"/>
    <n v="-160.75"/>
  </r>
  <r>
    <n v="60920"/>
    <s v=" Business Registration Fees"/>
    <s v="01/16/2014"/>
    <s v="Check"/>
    <s v="dbt"/>
    <x v="472"/>
    <x v="0"/>
    <x v="4"/>
    <x v="23"/>
    <s v="CA"/>
    <s v="10180 BofA Spec Spaces National 4695"/>
    <n v="25"/>
    <n v="-135.75"/>
    <n v="25"/>
  </r>
  <r>
    <n v="60920"/>
    <s v=" Business Registration Fees"/>
    <s v="01/20/2014"/>
    <s v="Check"/>
    <n v="404"/>
    <x v="473"/>
    <x v="0"/>
    <x v="4"/>
    <x v="23"/>
    <s v="Aug Annual report"/>
    <s v="10180 BofA Spec Spaces National 4695"/>
    <n v="160.75"/>
    <n v="25"/>
    <n v="160.75"/>
  </r>
  <r>
    <n v="60920"/>
    <s v=" Business Registration Fees"/>
    <s v="01/23/2014"/>
    <s v="Check"/>
    <m/>
    <x v="474"/>
    <x v="0"/>
    <x v="4"/>
    <x v="23"/>
    <m/>
    <s v="10180 BofA Spec Spaces National 4695"/>
    <n v="22.25"/>
    <n v="47.25"/>
    <n v="22.25"/>
  </r>
  <r>
    <n v="60920"/>
    <s v=" Business Registration Fees"/>
    <s v="01/27/2014"/>
    <s v="Check"/>
    <n v="407"/>
    <x v="475"/>
    <x v="0"/>
    <x v="4"/>
    <x v="23"/>
    <s v="Illinois Charitable Organization Solicitation permit"/>
    <s v="10180 BofA Spec Spaces National 4695"/>
    <n v="15"/>
    <n v="62.25"/>
    <n v="15"/>
  </r>
  <r>
    <n v="60920"/>
    <s v=" Business Registration Fees"/>
    <s v="01/27/2014"/>
    <s v="Check"/>
    <n v="406"/>
    <x v="476"/>
    <x v="0"/>
    <x v="4"/>
    <x v="23"/>
    <s v="Wisconsin Annual Report"/>
    <s v="10180 BofA Spec Spaces National 4695"/>
    <n v="15"/>
    <n v="77.25"/>
    <n v="15"/>
  </r>
  <r>
    <n v="60920"/>
    <s v=" Business Registration Fees"/>
    <s v="03/04/2014"/>
    <s v="Check"/>
    <n v="417"/>
    <x v="472"/>
    <x v="0"/>
    <x v="4"/>
    <x v="23"/>
    <s v="Iowa"/>
    <s v="10180 BofA Spec Spaces National 4695"/>
    <n v="25"/>
    <n v="102.25"/>
    <n v="25"/>
  </r>
  <r>
    <n v="60920"/>
    <s v=" Business Registration Fees"/>
    <s v="03/07/2014"/>
    <s v="Check"/>
    <m/>
    <x v="472"/>
    <x v="0"/>
    <x v="4"/>
    <x v="23"/>
    <m/>
    <s v="10180 BofA Spec Spaces National 4695"/>
    <n v="22.25"/>
    <n v="124.5"/>
    <n v="22.25"/>
  </r>
  <r>
    <n v="60920"/>
    <s v=" Business Registration Fees"/>
    <s v="03/10/2014"/>
    <s v="Check"/>
    <n v="424"/>
    <x v="477"/>
    <x v="0"/>
    <x v="4"/>
    <x v="23"/>
    <s v="New mexico"/>
    <s v="10180 BofA Spec Spaces National 4695"/>
    <n v="173.1"/>
    <n v="297.60000000000002"/>
    <n v="173.1"/>
  </r>
  <r>
    <n v="60920"/>
    <s v=" Business Registration Fees"/>
    <s v="04/03/2014"/>
    <s v="Check"/>
    <n v="431"/>
    <x v="478"/>
    <x v="0"/>
    <x v="4"/>
    <x v="23"/>
    <s v="California"/>
    <s v="10180 BofA Spec Spaces National 4695"/>
    <n v="75"/>
    <n v="372.6"/>
    <n v="75"/>
  </r>
  <r>
    <n v="60920"/>
    <s v=" Business Registration Fees"/>
    <s v="04/08/2014"/>
    <s v="Check"/>
    <n v="433"/>
    <x v="473"/>
    <x v="0"/>
    <x v="4"/>
    <x v="23"/>
    <s v="Iowa"/>
    <s v="10180 BofA Spec Spaces National 4695"/>
    <n v="40.369999999999997"/>
    <n v="412.97"/>
    <n v="40.369999999999997"/>
  </r>
  <r>
    <n v="60920"/>
    <s v=" Business Registration Fees"/>
    <s v="05/30/2014"/>
    <s v="Expense"/>
    <m/>
    <x v="479"/>
    <x v="0"/>
    <x v="4"/>
    <x v="23"/>
    <m/>
    <s v="10180 BofA Spec Spaces National 4695"/>
    <n v="40"/>
    <n v="452.97"/>
    <n v="40"/>
  </r>
  <r>
    <n v="60920"/>
    <s v=" Business Registration Fees"/>
    <s v="06/02/2014"/>
    <s v="Check"/>
    <n v="466"/>
    <x v="472"/>
    <x v="0"/>
    <x v="4"/>
    <x v="23"/>
    <s v="Illinois"/>
    <s v="10180 BofA Spec Spaces National 4695"/>
    <n v="0"/>
    <n v="452.97"/>
    <n v="0"/>
  </r>
  <r>
    <n v="60920"/>
    <s v=" Business Registration Fees"/>
    <s v="06/02/2014"/>
    <s v="Check"/>
    <n v="465"/>
    <x v="480"/>
    <x v="0"/>
    <x v="4"/>
    <x v="23"/>
    <s v="New York"/>
    <s v="10180 BofA Spec Spaces National 4695"/>
    <n v="0"/>
    <n v="452.97"/>
    <n v="0"/>
  </r>
  <r>
    <n v="60920"/>
    <s v=" Business Registration Fees"/>
    <s v="06/03/2014"/>
    <s v="Expense"/>
    <m/>
    <x v="481"/>
    <x v="0"/>
    <x v="4"/>
    <x v="23"/>
    <m/>
    <s v="10180 BofA Spec Spaces National 4695"/>
    <n v="54"/>
    <n v="506.97"/>
    <n v="54"/>
  </r>
  <r>
    <n v="60920"/>
    <s v=" Business Registration Fees"/>
    <s v="06/03/2014"/>
    <s v="Expense"/>
    <m/>
    <x v="482"/>
    <x v="0"/>
    <x v="4"/>
    <x v="23"/>
    <m/>
    <s v="10180 BofA Spec Spaces National 4695"/>
    <n v="20.52"/>
    <n v="527.49"/>
    <n v="20.52"/>
  </r>
  <r>
    <n v="60920"/>
    <s v=" Business Registration Fees"/>
    <s v="06/04/2014"/>
    <s v="Check"/>
    <n v="467"/>
    <x v="483"/>
    <x v="0"/>
    <x v="4"/>
    <x v="23"/>
    <s v="Illinois State Filing fee"/>
    <s v="10180 BofA Spec Spaces National 4695"/>
    <n v="0"/>
    <n v="527.49"/>
    <n v="0"/>
  </r>
  <r>
    <n v="60920"/>
    <s v=" Business Registration Fees"/>
    <s v="06/04/2014"/>
    <s v="Check"/>
    <n v="468"/>
    <x v="484"/>
    <x v="0"/>
    <x v="4"/>
    <x v="23"/>
    <s v="North Carolina Solicitation"/>
    <s v="10180 BofA Spec Spaces National 4695"/>
    <n v="200"/>
    <n v="727.49"/>
    <n v="200"/>
  </r>
  <r>
    <n v="60920"/>
    <s v=" Business Registration Fees"/>
    <s v="06/06/2014"/>
    <s v="Expense"/>
    <m/>
    <x v="485"/>
    <x v="0"/>
    <x v="4"/>
    <x v="23"/>
    <m/>
    <s v="10180 BofA Spec Spaces National 4695"/>
    <n v="100"/>
    <n v="827.49"/>
    <n v="100"/>
  </r>
  <r>
    <n v="60920"/>
    <s v="Business Registration Fees"/>
    <s v="07/02/2014"/>
    <s v="Expense"/>
    <m/>
    <x v="486"/>
    <x v="0"/>
    <x v="4"/>
    <x v="23"/>
    <m/>
    <s v="10180 BofA Spec Spaces National 4695"/>
    <n v="300"/>
    <n v="1127.49"/>
    <n v="300"/>
  </r>
  <r>
    <n v="60920"/>
    <s v="Business Registration Fees"/>
    <s v="07/29/2014"/>
    <s v="Check"/>
    <n v="499"/>
    <x v="487"/>
    <x v="0"/>
    <x v="4"/>
    <x v="23"/>
    <s v="Annual report"/>
    <s v="10180 BofA Spec Spaces National 4695"/>
    <n v="20"/>
    <n v="1147.49"/>
    <n v="20"/>
  </r>
  <r>
    <n v="60920"/>
    <s v="Business Registration Fees"/>
    <s v="07/30/2014"/>
    <s v="Expense"/>
    <m/>
    <x v="488"/>
    <x v="0"/>
    <x v="4"/>
    <x v="23"/>
    <m/>
    <s v="10180 BofA Spec Spaces National 4695"/>
    <n v="10"/>
    <n v="1157.49"/>
    <n v="10"/>
  </r>
  <r>
    <n v="60920"/>
    <s v="Business Registration Fees"/>
    <s v="08/20/2014"/>
    <s v="Check"/>
    <n v="517"/>
    <x v="489"/>
    <x v="0"/>
    <x v="4"/>
    <x v="23"/>
    <m/>
    <s v="10180 BofA Spec Spaces National 4695"/>
    <n v="10"/>
    <n v="1167.49"/>
    <n v="10"/>
  </r>
  <r>
    <n v="60920"/>
    <s v="Business Registration Fees"/>
    <s v="08/22/2014"/>
    <s v="Check"/>
    <n v="521"/>
    <x v="483"/>
    <x v="0"/>
    <x v="4"/>
    <x v="23"/>
    <s v="Late registration fee"/>
    <s v="10180 BofA Spec Spaces National 4695"/>
    <n v="315"/>
    <n v="1482.49"/>
    <n v="315"/>
  </r>
  <r>
    <n v="60920"/>
    <s v="Business Registration Fees"/>
    <s v="09/18/2014"/>
    <s v="Expense"/>
    <m/>
    <x v="490"/>
    <x v="0"/>
    <x v="4"/>
    <x v="23"/>
    <m/>
    <s v="10180 BofA Spec Spaces National 4695"/>
    <n v="5"/>
    <n v="1487.49"/>
    <n v="5"/>
  </r>
  <r>
    <n v="60920"/>
    <s v="Business Registration Fees"/>
    <s v="09/22/2014"/>
    <s v="Expense"/>
    <m/>
    <x v="491"/>
    <x v="0"/>
    <x v="4"/>
    <x v="23"/>
    <m/>
    <s v="10180 BofA Spec Spaces National 4695"/>
    <n v="22.25"/>
    <n v="1509.74"/>
    <n v="22.25"/>
  </r>
  <r>
    <n v="60920"/>
    <s v="Business Registration Fees"/>
    <s v="09/25/2014"/>
    <s v="Check"/>
    <n v="538"/>
    <x v="492"/>
    <x v="0"/>
    <x v="4"/>
    <x v="23"/>
    <m/>
    <s v="10180 BofA Spec Spaces National 4695"/>
    <n v="89"/>
    <n v="1598.74"/>
    <n v="89"/>
  </r>
  <r>
    <n v="60920"/>
    <s v="Business Registration Fees"/>
    <s v="09/25/2014"/>
    <s v="Check"/>
    <n v="535"/>
    <x v="493"/>
    <x v="0"/>
    <x v="4"/>
    <x v="23"/>
    <s v="Solicitation fee florida"/>
    <s v="10180 BofA Spec Spaces National 4695"/>
    <n v="300"/>
    <n v="1898.74"/>
    <n v="300"/>
  </r>
  <r>
    <n v="60920"/>
    <s v="Business Registration Fees"/>
    <s v="09/25/2014"/>
    <s v="Check"/>
    <n v="536"/>
    <x v="494"/>
    <x v="0"/>
    <x v="4"/>
    <x v="23"/>
    <s v="Hawaii Foreign Corporation"/>
    <s v="10180 BofA Spec Spaces National 4695"/>
    <n v="25"/>
    <n v="1923.74"/>
    <n v="25"/>
  </r>
  <r>
    <n v="60920"/>
    <s v="Business Registration Fees"/>
    <s v="09/25/2014"/>
    <s v="Check"/>
    <n v="537"/>
    <x v="495"/>
    <x v="0"/>
    <x v="4"/>
    <x v="23"/>
    <s v="Penn Foreign Corp"/>
    <s v="10180 BofA Spec Spaces National 4695"/>
    <n v="250"/>
    <n v="2173.7399999999998"/>
    <n v="250"/>
  </r>
  <r>
    <n v="60920"/>
    <s v="Business Registration Fees"/>
    <s v="09/29/2014"/>
    <s v="Expense"/>
    <m/>
    <x v="496"/>
    <x v="0"/>
    <x v="4"/>
    <x v="23"/>
    <m/>
    <s v="10180 BofA Spec Spaces National 4695"/>
    <n v="1"/>
    <n v="2174.7399999999998"/>
    <n v="1"/>
  </r>
  <r>
    <n v="60920"/>
    <s v="Business Registration Fees"/>
    <s v="10/14/2014"/>
    <s v="Expense"/>
    <m/>
    <x v="0"/>
    <x v="0"/>
    <x v="4"/>
    <x v="23"/>
    <m/>
    <s v="10180 BofA Spec Spaces National 4695"/>
    <n v="1"/>
    <n v="2175.7399999999998"/>
    <n v="1"/>
  </r>
  <r>
    <n v="60920"/>
    <s v="Business Registration Fees"/>
    <s v="10/14/2014"/>
    <s v="Expense"/>
    <m/>
    <x v="497"/>
    <x v="0"/>
    <x v="4"/>
    <x v="23"/>
    <m/>
    <s v="10180 BofA Spec Spaces National 4695"/>
    <n v="20"/>
    <n v="2195.7399999999998"/>
    <n v="20"/>
  </r>
  <r>
    <n v="60920"/>
    <s v="Business Registration Fees"/>
    <s v="10/21/2014"/>
    <s v="Check"/>
    <n v="558"/>
    <x v="473"/>
    <x v="0"/>
    <x v="4"/>
    <x v="23"/>
    <s v="Ca, Mn, Oh, Fl, Mo, Tx, Io, NC, Wi, Il, NM, Mi, NY"/>
    <s v="10180 BofA Spec Spaces National 4695"/>
    <n v="1049.75"/>
    <n v="3245.49"/>
    <n v="1049.75"/>
  </r>
  <r>
    <n v="62110"/>
    <s v="Accounting Fees"/>
    <s v="01/06/2014"/>
    <s v="Check"/>
    <m/>
    <x v="498"/>
    <x v="0"/>
    <x v="4"/>
    <x v="24"/>
    <m/>
    <s v="10180 BofA Spec Spaces National 4695"/>
    <n v="43.65"/>
    <n v="43.65"/>
    <n v="43.65"/>
  </r>
  <r>
    <n v="62110"/>
    <s v="Accounting Fees"/>
    <s v="01/08/2014"/>
    <s v="Check"/>
    <m/>
    <x v="498"/>
    <x v="0"/>
    <x v="4"/>
    <x v="24"/>
    <m/>
    <s v="10180 BofA Spec Spaces National 4695"/>
    <n v="60.64"/>
    <n v="104.29"/>
    <n v="60.64"/>
  </r>
  <r>
    <n v="62110"/>
    <s v="Accounting Fees"/>
    <s v="02/06/2014"/>
    <s v="Check"/>
    <m/>
    <x v="498"/>
    <x v="0"/>
    <x v="4"/>
    <x v="24"/>
    <m/>
    <s v="10180 BofA Spec Spaces National 4695"/>
    <n v="60.64"/>
    <n v="164.93"/>
    <n v="60.64"/>
  </r>
  <r>
    <n v="62110"/>
    <s v="Accounting Fees"/>
    <s v="02/07/2014"/>
    <s v="Check"/>
    <m/>
    <x v="498"/>
    <x v="0"/>
    <x v="4"/>
    <x v="24"/>
    <m/>
    <s v="10180 BofA Spec Spaces National 4695"/>
    <n v="43.65"/>
    <n v="208.58"/>
    <n v="43.65"/>
  </r>
  <r>
    <n v="62110"/>
    <s v="Accounting Fees"/>
    <d v="2014-06-30T00:00:00"/>
    <s v="Accrual"/>
    <m/>
    <x v="498"/>
    <x v="0"/>
    <x v="4"/>
    <x v="24"/>
    <m/>
    <s v="Accrual"/>
    <n v="8000"/>
    <m/>
    <n v="8000"/>
  </r>
  <r>
    <n v="62110"/>
    <s v="Accounting Fees"/>
    <s v="03/05/2014"/>
    <s v="Check"/>
    <m/>
    <x v="498"/>
    <x v="0"/>
    <x v="4"/>
    <x v="24"/>
    <m/>
    <s v="10180 BofA Spec Spaces National 4695"/>
    <n v="43.65"/>
    <n v="252.23"/>
    <n v="43.65"/>
  </r>
  <r>
    <n v="62110"/>
    <s v="Accounting Fees"/>
    <s v="03/06/2014"/>
    <s v="Check"/>
    <m/>
    <x v="498"/>
    <x v="0"/>
    <x v="4"/>
    <x v="24"/>
    <m/>
    <s v="10180 BofA Spec Spaces National 4695"/>
    <n v="60.64"/>
    <n v="312.87"/>
    <n v="60.64"/>
  </r>
  <r>
    <n v="62110"/>
    <s v="Accounting Fees"/>
    <s v="04/07/2014"/>
    <s v="Check"/>
    <m/>
    <x v="498"/>
    <x v="0"/>
    <x v="4"/>
    <x v="24"/>
    <m/>
    <s v="10180 BofA Spec Spaces National 4695"/>
    <n v="43.65"/>
    <n v="356.52"/>
    <n v="43.65"/>
  </r>
  <r>
    <n v="62110"/>
    <s v="Accounting Fees"/>
    <s v="04/07/2014"/>
    <s v="Check"/>
    <m/>
    <x v="498"/>
    <x v="0"/>
    <x v="4"/>
    <x v="24"/>
    <m/>
    <s v="10180 BofA Spec Spaces National 4695"/>
    <n v="60.64"/>
    <n v="417.16"/>
    <n v="60.64"/>
  </r>
  <r>
    <n v="62110"/>
    <s v="Accounting Fees"/>
    <s v="05/05/2014"/>
    <s v="Expense"/>
    <m/>
    <x v="498"/>
    <x v="0"/>
    <x v="4"/>
    <x v="24"/>
    <m/>
    <s v="10180 BofA Spec Spaces National 4695"/>
    <n v="43.65"/>
    <n v="460.81"/>
    <n v="43.65"/>
  </r>
  <r>
    <n v="62110"/>
    <s v="Accounting Fees"/>
    <s v="06/05/2014"/>
    <s v="Expense"/>
    <m/>
    <x v="498"/>
    <x v="0"/>
    <x v="4"/>
    <x v="24"/>
    <m/>
    <s v="10180 BofA Spec Spaces National 4695"/>
    <n v="60.64"/>
    <n v="521.45000000000005"/>
    <n v="60.64"/>
  </r>
  <r>
    <n v="62110"/>
    <s v="Accounting Fees"/>
    <s v="06/06/2014"/>
    <s v="Expense"/>
    <m/>
    <x v="498"/>
    <x v="0"/>
    <x v="4"/>
    <x v="24"/>
    <m/>
    <s v="10180 BofA Spec Spaces National 4695"/>
    <n v="43.65"/>
    <n v="565.1"/>
    <n v="43.65"/>
  </r>
  <r>
    <n v="62110"/>
    <s v="Accounting Fees"/>
    <s v="07/07/2014"/>
    <s v="Expense"/>
    <m/>
    <x v="498"/>
    <x v="0"/>
    <x v="4"/>
    <x v="24"/>
    <m/>
    <s v="10180 BofA Spec Spaces National 4695"/>
    <n v="43.65"/>
    <n v="8608.75"/>
    <n v="43.65"/>
  </r>
  <r>
    <n v="62110"/>
    <s v="Accounting Fees"/>
    <s v="07/08/2014"/>
    <s v="Expense"/>
    <m/>
    <x v="498"/>
    <x v="0"/>
    <x v="4"/>
    <x v="24"/>
    <m/>
    <s v="10180 BofA Spec Spaces National 4695"/>
    <n v="60.64"/>
    <n v="8669.39"/>
    <n v="60.64"/>
  </r>
  <r>
    <n v="62110"/>
    <s v="Accounting Fees"/>
    <s v="08/05/2014"/>
    <s v="Expense"/>
    <m/>
    <x v="498"/>
    <x v="0"/>
    <x v="4"/>
    <x v="24"/>
    <m/>
    <s v="10180 BofA Spec Spaces National 4695"/>
    <n v="43.65"/>
    <n v="8713.0400000000009"/>
    <n v="43.65"/>
  </r>
  <r>
    <n v="62110"/>
    <s v="Accounting Fees"/>
    <s v="08/05/2014"/>
    <s v="Expense"/>
    <m/>
    <x v="498"/>
    <x v="0"/>
    <x v="4"/>
    <x v="24"/>
    <m/>
    <s v="10180 BofA Spec Spaces National 4695"/>
    <n v="60.64"/>
    <n v="8773.68"/>
    <n v="60.64"/>
  </r>
  <r>
    <n v="62110"/>
    <s v="Accounting Fees"/>
    <s v="09/05/2014"/>
    <s v="Expense"/>
    <m/>
    <x v="498"/>
    <x v="0"/>
    <x v="4"/>
    <x v="24"/>
    <m/>
    <s v="10180 BofA Spec Spaces National 4695"/>
    <n v="73.75"/>
    <n v="8847.43"/>
    <n v="73.75"/>
  </r>
  <r>
    <n v="62110"/>
    <s v="Accounting Fees"/>
    <s v="09/08/2014"/>
    <s v="Expense"/>
    <m/>
    <x v="498"/>
    <x v="0"/>
    <x v="4"/>
    <x v="24"/>
    <m/>
    <s v="10180 BofA Spec Spaces National 4695"/>
    <n v="43.65"/>
    <n v="8891.08"/>
    <n v="43.65"/>
  </r>
  <r>
    <n v="62110"/>
    <s v="Accounting Fees"/>
    <s v="10/06/2014"/>
    <s v="Expense"/>
    <m/>
    <x v="498"/>
    <x v="0"/>
    <x v="4"/>
    <x v="24"/>
    <m/>
    <s v="10180 BofA Spec Spaces National 4695"/>
    <n v="43.65"/>
    <n v="8934.73"/>
    <n v="43.65"/>
  </r>
  <r>
    <n v="62110"/>
    <s v="Accounting Fees"/>
    <s v="10/07/2014"/>
    <s v="Expense"/>
    <m/>
    <x v="498"/>
    <x v="0"/>
    <x v="4"/>
    <x v="24"/>
    <m/>
    <s v="10180 BofA Spec Spaces National 4695"/>
    <n v="88.49"/>
    <n v="9023.2199999999993"/>
    <n v="88.49"/>
  </r>
  <r>
    <n v="62115"/>
    <s v=" Affiliate Background Checks"/>
    <s v="01/01/2014"/>
    <s v="Journal Entry"/>
    <s v="550R"/>
    <x v="0"/>
    <x v="0"/>
    <x v="4"/>
    <x v="25"/>
    <s v="to accrue unrecorded payables at 12/31/13"/>
    <s v="-Split-"/>
    <n v="-120"/>
    <n v="-120"/>
    <n v="-120"/>
  </r>
  <r>
    <n v="62115"/>
    <s v=" Affiliate Background Checks"/>
    <s v="01/20/2014"/>
    <s v="Check"/>
    <n v="401"/>
    <x v="499"/>
    <x v="0"/>
    <x v="4"/>
    <x v="25"/>
    <s v="Cindy Thota and Ann Decker"/>
    <s v="10180 BofA Spec Spaces National 4695"/>
    <n v="120"/>
    <n v="0"/>
    <n v="120"/>
  </r>
  <r>
    <n v="62115"/>
    <s v=" Affiliate Background Checks"/>
    <s v="05/15/2014"/>
    <s v="Check"/>
    <n v="453"/>
    <x v="499"/>
    <x v="0"/>
    <x v="4"/>
    <x v="25"/>
    <s v="Amy Eiduke"/>
    <s v="10180 BofA Spec Spaces National 4695"/>
    <n v="60"/>
    <n v="60"/>
    <n v="60"/>
  </r>
  <r>
    <n v="62115"/>
    <s v=" Affiliate Background Checks"/>
    <s v="06/16/2014"/>
    <s v="Check"/>
    <n v="477"/>
    <x v="499"/>
    <x v="0"/>
    <x v="4"/>
    <x v="25"/>
    <s v="Marlo Steinke"/>
    <s v="10180 BofA Spec Spaces National 4695"/>
    <n v="60"/>
    <n v="120"/>
    <n v="60"/>
  </r>
  <r>
    <n v="62115"/>
    <s v="Affiliate Background Checks"/>
    <s v="09/16/2014"/>
    <s v="Check"/>
    <n v="525"/>
    <x v="499"/>
    <x v="0"/>
    <x v="4"/>
    <x v="25"/>
    <s v="Melani Dizon"/>
    <s v="10180 BofA Spec Spaces National 4695"/>
    <n v="20"/>
    <n v="140"/>
    <n v="20"/>
  </r>
  <r>
    <n v="62115"/>
    <s v="Affiliate Background Checks"/>
    <s v="09/30/2014"/>
    <s v="Check"/>
    <n v="542"/>
    <x v="499"/>
    <x v="0"/>
    <x v="4"/>
    <x v="25"/>
    <s v="Lori Beth Lemmon"/>
    <s v="10180 BofA Spec Spaces National 4695"/>
    <n v="82.5"/>
    <n v="222.5"/>
    <n v="82.5"/>
  </r>
  <r>
    <n v="62115"/>
    <s v="Affiliate Background Checks"/>
    <s v="10/27/2014"/>
    <s v="Check"/>
    <n v="566"/>
    <x v="499"/>
    <x v="0"/>
    <x v="4"/>
    <x v="25"/>
    <s v="Inv #181"/>
    <s v="10180 BofA Spec Spaces National 4695"/>
    <n v="120"/>
    <n v="342.5"/>
    <n v="120"/>
  </r>
  <r>
    <n v="62115"/>
    <s v="Affiliate Background Checks"/>
    <s v="10/29/2014"/>
    <s v="Check"/>
    <n v="568"/>
    <x v="499"/>
    <x v="0"/>
    <x v="4"/>
    <x v="25"/>
    <s v="Invoice # 3423 Amy Gould"/>
    <s v="10180 BofA Spec Spaces National 4695"/>
    <n v="62.5"/>
    <n v="405"/>
    <n v="62.5"/>
  </r>
  <r>
    <n v="62130"/>
    <s v="Fundraising Fees"/>
    <s v="01/27/2014"/>
    <s v="Check"/>
    <m/>
    <x v="500"/>
    <x v="0"/>
    <x v="5"/>
    <x v="26"/>
    <m/>
    <s v="10180 BofA Spec Spaces National 4695"/>
    <n v="79"/>
    <n v="79"/>
    <n v="79"/>
  </r>
  <r>
    <n v="62130"/>
    <s v="Fundraising Fees"/>
    <s v="01/27/2014"/>
    <s v="Check"/>
    <m/>
    <x v="501"/>
    <x v="0"/>
    <x v="5"/>
    <x v="26"/>
    <m/>
    <s v="10180 BofA Spec Spaces National 4695"/>
    <n v="38.5"/>
    <n v="117.5"/>
    <n v="38.5"/>
  </r>
  <r>
    <n v="62130"/>
    <s v="Fundraising Fees"/>
    <s v="01/29/2014"/>
    <s v="Check"/>
    <m/>
    <x v="502"/>
    <x v="0"/>
    <x v="5"/>
    <x v="26"/>
    <m/>
    <s v="10180 BofA Spec Spaces National 4695"/>
    <n v="29.95"/>
    <n v="147.44999999999999"/>
    <n v="29.95"/>
  </r>
  <r>
    <n v="62130"/>
    <s v="Fundraising Fees"/>
    <s v="02/27/2014"/>
    <s v="Check"/>
    <m/>
    <x v="501"/>
    <x v="0"/>
    <x v="5"/>
    <x v="26"/>
    <m/>
    <s v="10180 BofA Spec Spaces National 4695"/>
    <n v="38.5"/>
    <n v="484.95"/>
    <n v="38.5"/>
  </r>
  <r>
    <n v="62130"/>
    <s v="Fundraising Fees"/>
    <s v="02/27/2014"/>
    <s v="Check"/>
    <m/>
    <x v="500"/>
    <x v="0"/>
    <x v="5"/>
    <x v="26"/>
    <m/>
    <s v="10180 BofA Spec Spaces National 4695"/>
    <n v="79"/>
    <n v="563.95000000000005"/>
    <n v="79"/>
  </r>
  <r>
    <n v="62130"/>
    <s v="Fundraising Fees"/>
    <s v="03/03/2014"/>
    <s v="Check"/>
    <m/>
    <x v="502"/>
    <x v="0"/>
    <x v="5"/>
    <x v="26"/>
    <m/>
    <s v="10180 BofA Spec Spaces National 4695"/>
    <n v="29.95"/>
    <n v="593.9"/>
    <n v="29.95"/>
  </r>
  <r>
    <n v="62130"/>
    <s v="Fundraising Fees"/>
    <s v="03/27/2014"/>
    <s v="Check"/>
    <m/>
    <x v="501"/>
    <x v="0"/>
    <x v="5"/>
    <x v="26"/>
    <m/>
    <s v="10180 BofA Spec Spaces National 4695"/>
    <n v="38.5"/>
    <n v="632.4"/>
    <n v="38.5"/>
  </r>
  <r>
    <n v="62130"/>
    <s v="Fundraising Fees"/>
    <s v="03/27/2014"/>
    <s v="Check"/>
    <m/>
    <x v="500"/>
    <x v="0"/>
    <x v="5"/>
    <x v="26"/>
    <m/>
    <s v="10180 BofA Spec Spaces National 4695"/>
    <n v="79"/>
    <n v="711.4"/>
    <n v="79"/>
  </r>
  <r>
    <n v="62130"/>
    <s v="Fundraising Fees"/>
    <s v="03/31/2014"/>
    <s v="Check"/>
    <m/>
    <x v="502"/>
    <x v="0"/>
    <x v="5"/>
    <x v="26"/>
    <m/>
    <s v="10180 BofA Spec Spaces National 4695"/>
    <n v="29.95"/>
    <n v="741.35"/>
    <n v="29.95"/>
  </r>
  <r>
    <n v="62130"/>
    <s v="Fundraising Fees"/>
    <s v="04/08/2014"/>
    <s v="Check"/>
    <n v="443"/>
    <x v="503"/>
    <x v="0"/>
    <x v="5"/>
    <x v="26"/>
    <m/>
    <s v="10180 BofA Spec Spaces National 4695"/>
    <n v="250"/>
    <n v="991.35"/>
    <n v="250"/>
  </r>
  <r>
    <n v="62130"/>
    <s v="Fundraising Fees"/>
    <s v="04/28/2014"/>
    <s v="Check"/>
    <m/>
    <x v="500"/>
    <x v="0"/>
    <x v="5"/>
    <x v="26"/>
    <m/>
    <s v="10180 BofA Spec Spaces National 4695"/>
    <n v="79"/>
    <n v="1070.3499999999999"/>
    <n v="79"/>
  </r>
  <r>
    <n v="62130"/>
    <s v="Fundraising Fees"/>
    <s v="04/28/2014"/>
    <s v="Check"/>
    <m/>
    <x v="501"/>
    <x v="0"/>
    <x v="5"/>
    <x v="26"/>
    <m/>
    <s v="10180 BofA Spec Spaces National 4695"/>
    <n v="38.5"/>
    <n v="1108.8499999999999"/>
    <n v="38.5"/>
  </r>
  <r>
    <n v="62130"/>
    <s v="Fundraising Fees"/>
    <s v="04/29/2014"/>
    <s v="Check"/>
    <m/>
    <x v="502"/>
    <x v="0"/>
    <x v="5"/>
    <x v="26"/>
    <m/>
    <s v="10180 BofA Spec Spaces National 4695"/>
    <n v="29.95"/>
    <n v="1138.8"/>
    <n v="29.95"/>
  </r>
  <r>
    <n v="62130"/>
    <s v="Fundraising Fees"/>
    <s v="05/27/2014"/>
    <s v="Expense"/>
    <m/>
    <x v="501"/>
    <x v="0"/>
    <x v="5"/>
    <x v="26"/>
    <m/>
    <s v="10180 BofA Spec Spaces National 4695"/>
    <n v="49"/>
    <n v="1187.8"/>
    <n v="49"/>
  </r>
  <r>
    <n v="62130"/>
    <s v="Fundraising Fees"/>
    <s v="05/27/2014"/>
    <s v="Expense"/>
    <m/>
    <x v="500"/>
    <x v="0"/>
    <x v="5"/>
    <x v="26"/>
    <m/>
    <s v="10180 BofA Spec Spaces National 4695"/>
    <n v="79"/>
    <n v="1266.8"/>
    <n v="79"/>
  </r>
  <r>
    <n v="62130"/>
    <s v="Fundraising Fees"/>
    <s v="05/29/2014"/>
    <s v="Expense"/>
    <m/>
    <x v="502"/>
    <x v="0"/>
    <x v="5"/>
    <x v="26"/>
    <m/>
    <s v="10180 BofA Spec Spaces National 4695"/>
    <n v="29.95"/>
    <n v="1296.75"/>
    <n v="29.95"/>
  </r>
  <r>
    <n v="62130"/>
    <s v="Fundraising Fees"/>
    <s v="06/27/2014"/>
    <s v="Expense"/>
    <m/>
    <x v="500"/>
    <x v="0"/>
    <x v="5"/>
    <x v="26"/>
    <m/>
    <s v="10180 BofA Spec Spaces National 4695"/>
    <n v="79"/>
    <n v="1375.75"/>
    <n v="79"/>
  </r>
  <r>
    <n v="62130"/>
    <s v="Fundraising Fees"/>
    <s v="06/27/2014"/>
    <s v="Expense"/>
    <m/>
    <x v="501"/>
    <x v="0"/>
    <x v="5"/>
    <x v="26"/>
    <m/>
    <s v="10180 BofA Spec Spaces National 4695"/>
    <n v="49"/>
    <n v="1424.75"/>
    <n v="49"/>
  </r>
  <r>
    <n v="62130"/>
    <s v="Fundraising Fees"/>
    <s v="06/30/2014"/>
    <s v="Expense"/>
    <m/>
    <x v="502"/>
    <x v="0"/>
    <x v="5"/>
    <x v="26"/>
    <m/>
    <s v="10180 BofA Spec Spaces National 4695"/>
    <n v="29.95"/>
    <n v="1454.7"/>
    <n v="29.95"/>
  </r>
  <r>
    <n v="62130"/>
    <s v="Fundraising Fees"/>
    <s v="07/10/2014"/>
    <s v="Expense"/>
    <m/>
    <x v="501"/>
    <x v="0"/>
    <x v="5"/>
    <x v="26"/>
    <m/>
    <s v="10180 BofA Spec Spaces National 4695"/>
    <n v="5.95"/>
    <n v="1460.65"/>
    <n v="5.95"/>
  </r>
  <r>
    <n v="62130"/>
    <s v="Fundraising Fees"/>
    <s v="07/10/2014"/>
    <s v="Expense"/>
    <m/>
    <x v="501"/>
    <x v="0"/>
    <x v="5"/>
    <x v="26"/>
    <m/>
    <s v="10180 BofA Spec Spaces National 4695"/>
    <n v="5.95"/>
    <n v="1466.6"/>
    <n v="5.95"/>
  </r>
  <r>
    <n v="62130"/>
    <s v="Fundraising Fees"/>
    <s v="07/10/2014"/>
    <s v="Expense"/>
    <m/>
    <x v="501"/>
    <x v="0"/>
    <x v="5"/>
    <x v="26"/>
    <m/>
    <s v="10180 BofA Spec Spaces National 4695"/>
    <n v="5.95"/>
    <n v="1472.55"/>
    <n v="5.95"/>
  </r>
  <r>
    <n v="62130"/>
    <s v="Fundraising Fees"/>
    <s v="07/28/2014"/>
    <s v="Expense"/>
    <m/>
    <x v="501"/>
    <x v="0"/>
    <x v="5"/>
    <x v="26"/>
    <m/>
    <s v="10180 BofA Spec Spaces National 4695"/>
    <n v="80.5"/>
    <n v="1553.05"/>
    <n v="80.5"/>
  </r>
  <r>
    <n v="62130"/>
    <s v="Fundraising Fees"/>
    <s v="07/28/2014"/>
    <s v="Expense"/>
    <m/>
    <x v="500"/>
    <x v="0"/>
    <x v="5"/>
    <x v="26"/>
    <m/>
    <s v="10180 BofA Spec Spaces National 4695"/>
    <n v="79"/>
    <n v="1632.05"/>
    <n v="79"/>
  </r>
  <r>
    <n v="62130"/>
    <s v="Fundraising Fees"/>
    <s v="07/29/2014"/>
    <s v="Expense"/>
    <m/>
    <x v="502"/>
    <x v="0"/>
    <x v="5"/>
    <x v="26"/>
    <m/>
    <s v="10180 BofA Spec Spaces National 4695"/>
    <n v="29.95"/>
    <n v="1662"/>
    <n v="29.95"/>
  </r>
  <r>
    <n v="62130"/>
    <s v="Fundraising Fees"/>
    <s v="08/27/2014"/>
    <s v="Expense"/>
    <m/>
    <x v="501"/>
    <x v="0"/>
    <x v="5"/>
    <x v="26"/>
    <m/>
    <s v="10180 BofA Spec Spaces National 4695"/>
    <n v="80.5"/>
    <n v="1742.5"/>
    <n v="80.5"/>
  </r>
  <r>
    <n v="62130"/>
    <s v="Fundraising Fees"/>
    <s v="08/27/2014"/>
    <s v="Expense"/>
    <m/>
    <x v="500"/>
    <x v="0"/>
    <x v="5"/>
    <x v="26"/>
    <m/>
    <s v="10180 BofA Spec Spaces National 4695"/>
    <n v="79"/>
    <n v="1821.5"/>
    <n v="79"/>
  </r>
  <r>
    <n v="62130"/>
    <s v="Fundraising Fees"/>
    <s v="08/29/2014"/>
    <s v="Expense"/>
    <m/>
    <x v="502"/>
    <x v="0"/>
    <x v="5"/>
    <x v="26"/>
    <m/>
    <s v="10180 BofA Spec Spaces National 4695"/>
    <n v="29.95"/>
    <n v="1851.45"/>
    <n v="29.95"/>
  </r>
  <r>
    <n v="62130"/>
    <s v="Fundraising Fees"/>
    <s v="09/29/2014"/>
    <s v="Expense"/>
    <m/>
    <x v="500"/>
    <x v="0"/>
    <x v="5"/>
    <x v="26"/>
    <m/>
    <s v="10180 BofA Spec Spaces National 4695"/>
    <n v="79"/>
    <n v="1930.45"/>
    <n v="79"/>
  </r>
  <r>
    <n v="62130"/>
    <s v="Fundraising Fees"/>
    <s v="09/29/2014"/>
    <s v="Expense"/>
    <m/>
    <x v="501"/>
    <x v="0"/>
    <x v="5"/>
    <x v="26"/>
    <m/>
    <s v="10180 BofA Spec Spaces National 4695"/>
    <n v="80.5"/>
    <n v="2010.95"/>
    <n v="80.5"/>
  </r>
  <r>
    <n v="62130"/>
    <s v="Fundraising Fees"/>
    <s v="09/29/2014"/>
    <s v="Expense"/>
    <m/>
    <x v="502"/>
    <x v="0"/>
    <x v="5"/>
    <x v="26"/>
    <m/>
    <s v="10180 BofA Spec Spaces National 4695"/>
    <n v="29.95"/>
    <n v="2040.9"/>
    <n v="29.95"/>
  </r>
  <r>
    <n v="62130"/>
    <s v="Fundraising Fees"/>
    <s v="10/15/2014"/>
    <s v="Expense"/>
    <m/>
    <x v="501"/>
    <x v="0"/>
    <x v="5"/>
    <x v="26"/>
    <m/>
    <s v="10180 BofA Spec Spaces National 4695"/>
    <n v="4.2"/>
    <n v="2045.1"/>
    <n v="4.2"/>
  </r>
  <r>
    <n v="62130"/>
    <s v="Fundraising Fees"/>
    <s v="10/15/2014"/>
    <s v="Expense"/>
    <m/>
    <x v="501"/>
    <x v="0"/>
    <x v="5"/>
    <x v="26"/>
    <m/>
    <s v="10180 BofA Spec Spaces National 4695"/>
    <n v="4.2"/>
    <n v="2049.3000000000002"/>
    <n v="4.2"/>
  </r>
  <r>
    <n v="62130"/>
    <s v="Fundraising Fees"/>
    <s v="10/27/2014"/>
    <s v="Expense"/>
    <m/>
    <x v="501"/>
    <x v="0"/>
    <x v="5"/>
    <x v="26"/>
    <m/>
    <s v="10180 BofA Spec Spaces National 4695"/>
    <n v="101.5"/>
    <n v="2150.8000000000002"/>
    <n v="101.5"/>
  </r>
  <r>
    <n v="62130"/>
    <s v="Fundraising Fees"/>
    <s v="10/27/2014"/>
    <s v="Expense"/>
    <m/>
    <x v="500"/>
    <x v="0"/>
    <x v="5"/>
    <x v="26"/>
    <m/>
    <s v="10180 BofA Spec Spaces National 4695"/>
    <n v="79"/>
    <n v="2229.8000000000002"/>
    <n v="79"/>
  </r>
  <r>
    <n v="62130"/>
    <s v="Fundraising Fees"/>
    <s v="10/29/2014"/>
    <s v="Expense"/>
    <m/>
    <x v="502"/>
    <x v="0"/>
    <x v="5"/>
    <x v="26"/>
    <m/>
    <s v="10180 BofA Spec Spaces National 4695"/>
    <n v="29.95"/>
    <n v="2259.75"/>
    <n v="29.95"/>
  </r>
  <r>
    <n v="62140"/>
    <s v="Professional Fees"/>
    <s v="08/11/2014"/>
    <s v="Check"/>
    <n v="516"/>
    <x v="504"/>
    <x v="0"/>
    <x v="4"/>
    <x v="27"/>
    <m/>
    <s v="10180 BofA Spec Spaces National 4695"/>
    <n v="1559.55"/>
    <n v="1559.55"/>
    <n v="1559.55"/>
  </r>
  <r>
    <n v="62145"/>
    <s v="Website Design"/>
    <s v="01/01/2014"/>
    <s v="Journal Entry"/>
    <s v="550R"/>
    <x v="0"/>
    <x v="0"/>
    <x v="4"/>
    <x v="12"/>
    <s v="to accrue unrecorded payables at 12/31/13"/>
    <s v="-Split-"/>
    <n v="-740"/>
    <n v="-740"/>
    <n v="-740"/>
  </r>
  <r>
    <n v="62145"/>
    <s v="Website Design"/>
    <s v="01/20/2014"/>
    <s v="Check"/>
    <n v="402"/>
    <x v="388"/>
    <x v="0"/>
    <x v="4"/>
    <x v="12"/>
    <s v="inv # 1051 #1063"/>
    <s v="10180 BofA Spec Spaces National 4695"/>
    <n v="740"/>
    <n v="0"/>
    <n v="740"/>
  </r>
  <r>
    <n v="62145"/>
    <s v="Website Design"/>
    <s v="05/06/2014"/>
    <s v="Expense"/>
    <m/>
    <x v="498"/>
    <x v="0"/>
    <x v="4"/>
    <x v="12"/>
    <m/>
    <s v="10180 BofA Spec Spaces National 4695"/>
    <n v="60.64"/>
    <n v="1184.55"/>
    <n v="60.64"/>
  </r>
  <r>
    <n v="62150"/>
    <s v="Outside Contract Services"/>
    <s v="04/21/2014"/>
    <s v="Check"/>
    <m/>
    <x v="505"/>
    <x v="0"/>
    <x v="4"/>
    <x v="28"/>
    <m/>
    <s v="10180 BofA Spec Spaces National 4695"/>
    <n v="80.739999999999995"/>
    <n v="80.739999999999995"/>
    <n v="80.739999999999995"/>
  </r>
  <r>
    <n v="62830"/>
    <s v="Donated Facilities"/>
    <s v="06/30/2014"/>
    <s v="Journal Entry"/>
    <n v="554"/>
    <x v="0"/>
    <x v="0"/>
    <x v="4"/>
    <x v="16"/>
    <s v="6 months of in kind rent of office"/>
    <s v="-Split-"/>
    <n v="2000"/>
    <n v="2000"/>
    <n v="2000"/>
  </r>
  <r>
    <n v="62830"/>
    <s v="Donated Facilities"/>
    <s v="06/30/2014"/>
    <s v="Journal Entry"/>
    <n v="554"/>
    <x v="0"/>
    <x v="0"/>
    <x v="5"/>
    <x v="16"/>
    <s v="6 months of in kind rent of office"/>
    <s v="-Split-"/>
    <n v="2000"/>
    <n v="2000"/>
    <n v="2000"/>
  </r>
  <r>
    <n v="62830"/>
    <s v="Donated Facilities"/>
    <s v="06/30/2014"/>
    <s v="Journal Entry"/>
    <n v="554"/>
    <x v="0"/>
    <x v="0"/>
    <x v="1"/>
    <x v="16"/>
    <s v="6 months of in kind rent of office"/>
    <s v="-Split-"/>
    <n v="2000"/>
    <n v="2000"/>
    <n v="2000"/>
  </r>
  <r>
    <n v="62830"/>
    <s v="Donated Facilities"/>
    <s v="07/31/2014"/>
    <s v="Journal Entry"/>
    <n v="642"/>
    <x v="0"/>
    <x v="0"/>
    <x v="4"/>
    <x v="16"/>
    <s v="to record in kind rent for office"/>
    <s v="-Split-"/>
    <n v="1000"/>
    <n v="7000"/>
    <n v="1000"/>
  </r>
  <r>
    <n v="62830"/>
    <s v="Donated Facilities"/>
    <s v="08/31/2014"/>
    <s v="Journal Entry"/>
    <n v="661"/>
    <x v="0"/>
    <x v="0"/>
    <x v="1"/>
    <x v="16"/>
    <s v="to record in kind rent for office"/>
    <s v="-Split-"/>
    <n v="1000"/>
    <n v="8000"/>
    <n v="1000"/>
  </r>
  <r>
    <n v="62830"/>
    <s v="Donated Facilities"/>
    <s v="09/30/2014"/>
    <s v="Journal Entry"/>
    <n v="694"/>
    <x v="0"/>
    <x v="0"/>
    <x v="5"/>
    <x v="16"/>
    <s v="to record in kind rent for office"/>
    <s v="-Split-"/>
    <n v="1000"/>
    <n v="9000"/>
    <n v="1000"/>
  </r>
  <r>
    <n v="62830"/>
    <s v="Donated Facilities"/>
    <s v="10/31/2014"/>
    <s v="Journal Entry"/>
    <n v="752"/>
    <x v="0"/>
    <x v="0"/>
    <x v="1"/>
    <x v="16"/>
    <s v="to record in kind rent for office"/>
    <s v="-Split-"/>
    <n v="1000"/>
    <n v="10000"/>
    <n v="1000"/>
  </r>
  <r>
    <n v="62845"/>
    <s v="Office Maintenance"/>
    <s v="01/01/2014"/>
    <s v="Journal Entry"/>
    <s v="550R"/>
    <x v="0"/>
    <x v="0"/>
    <x v="4"/>
    <x v="29"/>
    <s v="to accrue unrecorded payables at 12/31/13"/>
    <s v="-Split-"/>
    <n v="-342.5"/>
    <n v="-342.5"/>
    <n v="-342.5"/>
  </r>
  <r>
    <n v="62845"/>
    <s v="Office Maintenance"/>
    <s v="01/30/2014"/>
    <s v="Check"/>
    <n v="408"/>
    <x v="506"/>
    <x v="0"/>
    <x v="4"/>
    <x v="29"/>
    <s v="Oct /Nov lawn care and mulch"/>
    <s v="10180 BofA Spec Spaces National 4695"/>
    <n v="342.5"/>
    <n v="0"/>
    <n v="342.5"/>
  </r>
  <r>
    <n v="62845"/>
    <s v="Office Maintenance"/>
    <s v="02/07/2014"/>
    <s v="Check"/>
    <n v="410"/>
    <x v="507"/>
    <x v="0"/>
    <x v="4"/>
    <x v="29"/>
    <s v="trash collection"/>
    <s v="10180 BofA Spec Spaces National 4695"/>
    <n v="37.93"/>
    <n v="37.93"/>
    <n v="37.93"/>
  </r>
  <r>
    <n v="62845"/>
    <s v="Office Maintenance"/>
    <s v="03/10/2014"/>
    <s v="Check"/>
    <n v="423"/>
    <x v="507"/>
    <x v="0"/>
    <x v="4"/>
    <x v="29"/>
    <s v="trash collection"/>
    <s v="10180 BofA Spec Spaces National 4695"/>
    <n v="21.8"/>
    <n v="59.73"/>
    <n v="21.8"/>
  </r>
  <r>
    <n v="62845"/>
    <s v="Office Maintenance"/>
    <s v="03/20/2014"/>
    <s v="Check"/>
    <m/>
    <x v="16"/>
    <x v="0"/>
    <x v="4"/>
    <x v="29"/>
    <m/>
    <s v="10180 BofA Spec Spaces National 4695"/>
    <n v="21.42"/>
    <n v="81.150000000000006"/>
    <n v="21.42"/>
  </r>
  <r>
    <n v="62845"/>
    <s v="Office Maintenance"/>
    <s v="04/08/2014"/>
    <s v="Check"/>
    <n v="435"/>
    <x v="507"/>
    <x v="0"/>
    <x v="4"/>
    <x v="29"/>
    <s v="trash collection"/>
    <s v="10180 BofA Spec Spaces National 4695"/>
    <n v="21.8"/>
    <n v="102.95"/>
    <n v="21.8"/>
  </r>
  <r>
    <n v="62845"/>
    <s v="Office Maintenance"/>
    <s v="05/05/2014"/>
    <s v="Check"/>
    <n v="448"/>
    <x v="506"/>
    <x v="0"/>
    <x v="4"/>
    <x v="29"/>
    <s v="March and April lawn maintenance"/>
    <s v="10180 BofA Spec Spaces National 4695"/>
    <n v="100"/>
    <n v="202.95"/>
    <n v="100"/>
  </r>
  <r>
    <n v="62845"/>
    <s v="Office Maintenance"/>
    <s v="05/15/2014"/>
    <s v="Check"/>
    <n v="452"/>
    <x v="507"/>
    <x v="0"/>
    <x v="4"/>
    <x v="29"/>
    <s v="trash collection"/>
    <s v="10180 BofA Spec Spaces National 4695"/>
    <n v="21.8"/>
    <n v="224.75"/>
    <n v="21.8"/>
  </r>
  <r>
    <n v="62845"/>
    <s v="Office Maintenance"/>
    <s v="06/04/2014"/>
    <s v="Check"/>
    <n v="471"/>
    <x v="506"/>
    <x v="0"/>
    <x v="4"/>
    <x v="29"/>
    <s v="May"/>
    <s v="10180 BofA Spec Spaces National 4695"/>
    <n v="80"/>
    <n v="304.75"/>
    <n v="80"/>
  </r>
  <r>
    <n v="62845"/>
    <s v="Office Maintenance"/>
    <s v="06/06/2014"/>
    <s v="Check"/>
    <n v="474"/>
    <x v="507"/>
    <x v="0"/>
    <x v="4"/>
    <x v="29"/>
    <s v="trash collection"/>
    <s v="10180 BofA Spec Spaces National 4695"/>
    <n v="21.8"/>
    <n v="326.55"/>
    <n v="21.8"/>
  </r>
  <r>
    <n v="62845"/>
    <s v="Office Maintenance"/>
    <s v="07/07/2014"/>
    <s v="Check"/>
    <n v="486"/>
    <x v="506"/>
    <x v="0"/>
    <x v="4"/>
    <x v="29"/>
    <s v="June"/>
    <s v="10180 BofA Spec Spaces National 4695"/>
    <n v="40"/>
    <n v="447.29"/>
    <n v="40"/>
  </r>
  <r>
    <n v="62845"/>
    <s v="Office Maintenance"/>
    <s v="07/15/2014"/>
    <s v="Check"/>
    <n v="490"/>
    <x v="507"/>
    <x v="0"/>
    <x v="4"/>
    <x v="29"/>
    <s v="trash collection"/>
    <s v="10180 BofA Spec Spaces National 4695"/>
    <n v="21.8"/>
    <n v="469.09"/>
    <n v="21.8"/>
  </r>
  <r>
    <n v="62845"/>
    <s v="Office Maintenance"/>
    <s v="08/11/2014"/>
    <s v="Check"/>
    <n v="504"/>
    <x v="507"/>
    <x v="0"/>
    <x v="4"/>
    <x v="29"/>
    <s v="trash collection"/>
    <s v="10180 BofA Spec Spaces National 4695"/>
    <n v="21.8"/>
    <n v="490.89"/>
    <n v="21.8"/>
  </r>
  <r>
    <n v="62845"/>
    <s v="Office Maintenance"/>
    <s v="08/11/2014"/>
    <s v="Check"/>
    <n v="508"/>
    <x v="506"/>
    <x v="0"/>
    <x v="4"/>
    <x v="29"/>
    <s v="July"/>
    <s v="10180 BofA Spec Spaces National 4695"/>
    <n v="80"/>
    <n v="570.89"/>
    <n v="80"/>
  </r>
  <r>
    <n v="62845"/>
    <s v="Office Maintenance"/>
    <s v="09/16/2014"/>
    <s v="Check"/>
    <n v="532"/>
    <x v="506"/>
    <x v="0"/>
    <x v="4"/>
    <x v="29"/>
    <s v="August and 9/3"/>
    <s v="10180 BofA Spec Spaces National 4695"/>
    <n v="80"/>
    <n v="650.89"/>
    <n v="80"/>
  </r>
  <r>
    <n v="62845"/>
    <s v="Office Maintenance"/>
    <s v="09/16/2014"/>
    <s v="Check"/>
    <n v="530"/>
    <x v="507"/>
    <x v="0"/>
    <x v="4"/>
    <x v="29"/>
    <s v="trash collection"/>
    <s v="10180 BofA Spec Spaces National 4695"/>
    <n v="21.8"/>
    <n v="672.69"/>
    <n v="21.8"/>
  </r>
  <r>
    <n v="62845"/>
    <s v="Office Maintenance"/>
    <s v="10/16/2014"/>
    <s v="Check"/>
    <n v="556"/>
    <x v="506"/>
    <x v="0"/>
    <x v="4"/>
    <x v="29"/>
    <s v="September lawn"/>
    <s v="10180 BofA Spec Spaces National 4695"/>
    <n v="60"/>
    <n v="732.69"/>
    <n v="60"/>
  </r>
  <r>
    <n v="62845"/>
    <s v="Office Maintenance"/>
    <s v="10/16/2014"/>
    <s v="Check"/>
    <n v="551"/>
    <x v="507"/>
    <x v="0"/>
    <x v="4"/>
    <x v="29"/>
    <s v="trash collection"/>
    <s v="10180 BofA Spec Spaces National 4695"/>
    <n v="21.8"/>
    <n v="754.49"/>
    <n v="21.8"/>
  </r>
  <r>
    <n v="62890"/>
    <s v="Utilities"/>
    <s v="01/02/2014"/>
    <s v="Check"/>
    <m/>
    <x v="508"/>
    <x v="0"/>
    <x v="4"/>
    <x v="30"/>
    <m/>
    <s v="10180 BofA Spec Spaces National 4695"/>
    <n v="10.99"/>
    <n v="10.99"/>
    <n v="10.99"/>
  </r>
  <r>
    <n v="62890"/>
    <s v="Utilities"/>
    <s v="01/13/2014"/>
    <s v="Check"/>
    <n v="397"/>
    <x v="509"/>
    <x v="0"/>
    <x v="5"/>
    <x v="30"/>
    <s v="water"/>
    <s v="10180 BofA Spec Spaces National 4695"/>
    <n v="16.61"/>
    <n v="27.6"/>
    <n v="16.61"/>
  </r>
  <r>
    <n v="62890"/>
    <s v="Utilities"/>
    <s v="01/13/2014"/>
    <s v="Check"/>
    <n v="396"/>
    <x v="510"/>
    <x v="0"/>
    <x v="1"/>
    <x v="30"/>
    <s v="Electricity"/>
    <s v="10180 BofA Spec Spaces National 4695"/>
    <n v="212.26"/>
    <n v="239.86"/>
    <n v="212.26"/>
  </r>
  <r>
    <n v="62890"/>
    <s v="Utilities"/>
    <s v="01/13/2014"/>
    <s v="Check"/>
    <n v="395"/>
    <x v="511"/>
    <x v="0"/>
    <x v="4"/>
    <x v="30"/>
    <m/>
    <s v="10180 BofA Spec Spaces National 4695"/>
    <n v="168.4"/>
    <n v="408.26"/>
    <n v="168.4"/>
  </r>
  <r>
    <n v="62890"/>
    <s v="Utilities"/>
    <s v="01/20/2014"/>
    <s v="Check"/>
    <n v="403"/>
    <x v="512"/>
    <x v="0"/>
    <x v="5"/>
    <x v="30"/>
    <s v="February Monitoring"/>
    <s v="10180 BofA Spec Spaces National 4695"/>
    <n v="33"/>
    <n v="441.26"/>
    <n v="33"/>
  </r>
  <r>
    <n v="62890"/>
    <s v="Utilities"/>
    <s v="02/03/2014"/>
    <s v="Check"/>
    <m/>
    <x v="508"/>
    <x v="0"/>
    <x v="1"/>
    <x v="30"/>
    <m/>
    <s v="10180 BofA Spec Spaces National 4695"/>
    <n v="10.99"/>
    <n v="452.25"/>
    <n v="10.99"/>
  </r>
  <r>
    <n v="62890"/>
    <s v="Utilities"/>
    <s v="02/07/2014"/>
    <s v="Check"/>
    <n v="413"/>
    <x v="511"/>
    <x v="0"/>
    <x v="4"/>
    <x v="30"/>
    <m/>
    <s v="10180 BofA Spec Spaces National 4695"/>
    <n v="169.93"/>
    <n v="622.17999999999995"/>
    <n v="169.93"/>
  </r>
  <r>
    <n v="62890"/>
    <s v="Utilities"/>
    <s v="02/07/2014"/>
    <s v="Check"/>
    <n v="412"/>
    <x v="510"/>
    <x v="0"/>
    <x v="5"/>
    <x v="30"/>
    <s v="Electricity"/>
    <s v="10180 BofA Spec Spaces National 4695"/>
    <n v="270.41000000000003"/>
    <n v="892.59"/>
    <n v="270.41000000000003"/>
  </r>
  <r>
    <n v="62890"/>
    <s v="Utilities"/>
    <s v="02/07/2014"/>
    <s v="Check"/>
    <n v="411"/>
    <x v="509"/>
    <x v="0"/>
    <x v="1"/>
    <x v="30"/>
    <s v="water"/>
    <s v="10180 BofA Spec Spaces National 4695"/>
    <n v="16.61"/>
    <n v="909.2"/>
    <n v="16.61"/>
  </r>
  <r>
    <n v="62890"/>
    <s v="Utilities"/>
    <s v="03/03/2014"/>
    <s v="Check"/>
    <m/>
    <x v="508"/>
    <x v="0"/>
    <x v="4"/>
    <x v="30"/>
    <m/>
    <s v="10180 BofA Spec Spaces National 4695"/>
    <n v="10.99"/>
    <n v="920.19"/>
    <n v="10.99"/>
  </r>
  <r>
    <n v="62890"/>
    <s v="Utilities"/>
    <s v="03/04/2014"/>
    <s v="Check"/>
    <n v="418"/>
    <x v="512"/>
    <x v="0"/>
    <x v="5"/>
    <x v="30"/>
    <s v="March Monitoring"/>
    <s v="10180 BofA Spec Spaces National 4695"/>
    <n v="33"/>
    <n v="953.19"/>
    <n v="33"/>
  </r>
  <r>
    <n v="62890"/>
    <s v="Utilities"/>
    <s v="03/10/2014"/>
    <s v="Check"/>
    <n v="426"/>
    <x v="509"/>
    <x v="0"/>
    <x v="1"/>
    <x v="30"/>
    <s v="water"/>
    <s v="10180 BofA Spec Spaces National 4695"/>
    <n v="18.38"/>
    <n v="971.57"/>
    <n v="18.38"/>
  </r>
  <r>
    <n v="62890"/>
    <s v="Utilities"/>
    <s v="03/10/2014"/>
    <s v="Check"/>
    <n v="425"/>
    <x v="511"/>
    <x v="0"/>
    <x v="4"/>
    <x v="30"/>
    <m/>
    <s v="10180 BofA Spec Spaces National 4695"/>
    <n v="171.43"/>
    <n v="1143"/>
    <n v="171.43"/>
  </r>
  <r>
    <n v="62890"/>
    <s v="Utilities"/>
    <s v="03/10/2014"/>
    <s v="Check"/>
    <n v="427"/>
    <x v="510"/>
    <x v="0"/>
    <x v="5"/>
    <x v="30"/>
    <s v="Electricity"/>
    <s v="10180 BofA Spec Spaces National 4695"/>
    <n v="271.95"/>
    <n v="1414.95"/>
    <n v="271.95"/>
  </r>
  <r>
    <n v="62890"/>
    <s v="Utilities"/>
    <s v="04/02/2014"/>
    <s v="Check"/>
    <m/>
    <x v="508"/>
    <x v="0"/>
    <x v="1"/>
    <x v="30"/>
    <m/>
    <s v="10180 BofA Spec Spaces National 4695"/>
    <n v="10.99"/>
    <n v="1425.94"/>
    <n v="10.99"/>
  </r>
  <r>
    <n v="62890"/>
    <s v="Utilities"/>
    <s v="04/08/2014"/>
    <s v="Check"/>
    <n v="441"/>
    <x v="509"/>
    <x v="0"/>
    <x v="4"/>
    <x v="30"/>
    <s v="water"/>
    <s v="10180 BofA Spec Spaces National 4695"/>
    <n v="19.07"/>
    <n v="1445.01"/>
    <n v="19.07"/>
  </r>
  <r>
    <n v="62890"/>
    <s v="Utilities"/>
    <s v="04/08/2014"/>
    <s v="Check"/>
    <n v="440"/>
    <x v="511"/>
    <x v="0"/>
    <x v="1"/>
    <x v="30"/>
    <m/>
    <s v="10180 BofA Spec Spaces National 4695"/>
    <n v="171.45"/>
    <n v="1616.46"/>
    <n v="171.45"/>
  </r>
  <r>
    <n v="62890"/>
    <s v="Utilities"/>
    <s v="04/08/2014"/>
    <s v="Check"/>
    <n v="438"/>
    <x v="512"/>
    <x v="0"/>
    <x v="1"/>
    <x v="30"/>
    <s v="April monitoring"/>
    <s v="10180 BofA Spec Spaces National 4695"/>
    <n v="33"/>
    <n v="1649.46"/>
    <n v="33"/>
  </r>
  <r>
    <n v="62890"/>
    <s v="Utilities"/>
    <s v="04/08/2014"/>
    <s v="Check"/>
    <n v="436"/>
    <x v="510"/>
    <x v="0"/>
    <x v="1"/>
    <x v="30"/>
    <s v="Electricity"/>
    <s v="10180 BofA Spec Spaces National 4695"/>
    <n v="175.19"/>
    <n v="1824.65"/>
    <n v="175.19"/>
  </r>
  <r>
    <n v="62890"/>
    <s v="Utilities"/>
    <s v="04/23/2014"/>
    <s v="Check"/>
    <n v="445"/>
    <x v="512"/>
    <x v="0"/>
    <x v="5"/>
    <x v="30"/>
    <s v="May monitoring"/>
    <s v="10180 BofA Spec Spaces National 4695"/>
    <n v="33"/>
    <n v="1857.65"/>
    <n v="33"/>
  </r>
  <r>
    <n v="62890"/>
    <s v="Utilities"/>
    <s v="05/05/2014"/>
    <s v="Expense"/>
    <m/>
    <x v="508"/>
    <x v="0"/>
    <x v="1"/>
    <x v="30"/>
    <m/>
    <s v="10180 BofA Spec Spaces National 4695"/>
    <n v="10.99"/>
    <n v="1868.64"/>
    <n v="10.99"/>
  </r>
  <r>
    <n v="62890"/>
    <s v="Utilities"/>
    <s v="05/15/2014"/>
    <s v="Check"/>
    <n v="456"/>
    <x v="510"/>
    <x v="0"/>
    <x v="4"/>
    <x v="30"/>
    <s v="Electricity"/>
    <s v="10180 BofA Spec Spaces National 4695"/>
    <n v="148.06"/>
    <n v="2016.7"/>
    <n v="148.06"/>
  </r>
  <r>
    <n v="62890"/>
    <s v="Utilities"/>
    <s v="05/15/2014"/>
    <s v="Check"/>
    <n v="454"/>
    <x v="509"/>
    <x v="0"/>
    <x v="5"/>
    <x v="30"/>
    <s v="water"/>
    <s v="10180 BofA Spec Spaces National 4695"/>
    <n v="22.59"/>
    <n v="2039.29"/>
    <n v="22.59"/>
  </r>
  <r>
    <n v="62890"/>
    <s v="Utilities"/>
    <s v="05/22/2014"/>
    <s v="Check"/>
    <n v="463"/>
    <x v="511"/>
    <x v="0"/>
    <x v="1"/>
    <x v="30"/>
    <m/>
    <s v="10180 BofA Spec Spaces National 4695"/>
    <n v="171.48"/>
    <n v="2210.77"/>
    <n v="171.48"/>
  </r>
  <r>
    <n v="62890"/>
    <s v="Utilities"/>
    <s v="05/27/2014"/>
    <s v="Check"/>
    <n v="461"/>
    <x v="512"/>
    <x v="0"/>
    <x v="4"/>
    <x v="30"/>
    <s v="June monitoring"/>
    <s v="10180 BofA Spec Spaces National 4695"/>
    <n v="33"/>
    <n v="2243.77"/>
    <n v="33"/>
  </r>
  <r>
    <n v="62890"/>
    <s v="Utilities"/>
    <s v="06/03/2014"/>
    <s v="Expense"/>
    <m/>
    <x v="508"/>
    <x v="0"/>
    <x v="5"/>
    <x v="30"/>
    <m/>
    <s v="10180 BofA Spec Spaces National 4695"/>
    <n v="10.99"/>
    <n v="2254.7600000000002"/>
    <n v="10.99"/>
  </r>
  <r>
    <n v="62890"/>
    <s v="Utilities"/>
    <s v="06/06/2014"/>
    <s v="Check"/>
    <n v="473"/>
    <x v="509"/>
    <x v="0"/>
    <x v="1"/>
    <x v="30"/>
    <s v="water"/>
    <s v="10180 BofA Spec Spaces National 4695"/>
    <n v="19.07"/>
    <n v="2273.83"/>
    <n v="19.07"/>
  </r>
  <r>
    <n v="62890"/>
    <s v="Utilities"/>
    <s v="06/06/2014"/>
    <s v="Check"/>
    <n v="472"/>
    <x v="510"/>
    <x v="0"/>
    <x v="4"/>
    <x v="30"/>
    <s v="Electricity"/>
    <s v="10180 BofA Spec Spaces National 4695"/>
    <n v="139.36000000000001"/>
    <n v="2413.19"/>
    <n v="139.36000000000001"/>
  </r>
  <r>
    <n v="62890"/>
    <s v="Utilities"/>
    <s v="06/06/2014"/>
    <s v="Check"/>
    <n v="475"/>
    <x v="511"/>
    <x v="0"/>
    <x v="5"/>
    <x v="30"/>
    <m/>
    <s v="10180 BofA Spec Spaces National 4695"/>
    <n v="180.98"/>
    <n v="2594.17"/>
    <n v="180.98"/>
  </r>
  <r>
    <n v="62890"/>
    <s v="Utilities"/>
    <s v="06/16/2014"/>
    <s v="Check"/>
    <n v="478"/>
    <x v="512"/>
    <x v="0"/>
    <x v="1"/>
    <x v="30"/>
    <s v="July monitoring"/>
    <s v="10180 BofA Spec Spaces National 4695"/>
    <n v="33"/>
    <n v="2627.17"/>
    <n v="33"/>
  </r>
  <r>
    <n v="62890"/>
    <s v="Utilities"/>
    <s v="07/03/2014"/>
    <s v="Expense"/>
    <m/>
    <x v="508"/>
    <x v="0"/>
    <x v="4"/>
    <x v="30"/>
    <m/>
    <s v="10180 BofA Spec Spaces National 4695"/>
    <n v="10.99"/>
    <n v="2638.16"/>
    <n v="10.99"/>
  </r>
  <r>
    <n v="62890"/>
    <s v="Utilities"/>
    <s v="07/15/2014"/>
    <s v="Check"/>
    <n v="492"/>
    <x v="511"/>
    <x v="0"/>
    <x v="1"/>
    <x v="30"/>
    <m/>
    <s v="10180 BofA Spec Spaces National 4695"/>
    <n v="171.48"/>
    <n v="2809.64"/>
    <n v="171.48"/>
  </r>
  <r>
    <n v="62890"/>
    <s v="Utilities"/>
    <s v="07/15/2014"/>
    <s v="Check"/>
    <n v="491"/>
    <x v="510"/>
    <x v="0"/>
    <x v="5"/>
    <x v="30"/>
    <s v="Electricity"/>
    <s v="10180 BofA Spec Spaces National 4695"/>
    <n v="179.36"/>
    <n v="2989"/>
    <n v="179.36"/>
  </r>
  <r>
    <n v="62890"/>
    <s v="Utilities"/>
    <s v="07/15/2014"/>
    <s v="Check"/>
    <n v="494"/>
    <x v="509"/>
    <x v="0"/>
    <x v="4"/>
    <x v="30"/>
    <s v="water"/>
    <s v="10180 BofA Spec Spaces National 4695"/>
    <n v="19.420000000000002"/>
    <n v="3008.42"/>
    <n v="19.420000000000002"/>
  </r>
  <r>
    <n v="62890"/>
    <s v="Utilities"/>
    <s v="07/15/2014"/>
    <s v="Check"/>
    <n v="489"/>
    <x v="512"/>
    <x v="0"/>
    <x v="1"/>
    <x v="30"/>
    <s v="Aug monitoring"/>
    <s v="10180 BofA Spec Spaces National 4695"/>
    <n v="33"/>
    <n v="3041.42"/>
    <n v="33"/>
  </r>
  <r>
    <n v="62890"/>
    <s v="Utilities"/>
    <s v="08/04/2014"/>
    <s v="Expense"/>
    <m/>
    <x v="508"/>
    <x v="0"/>
    <x v="5"/>
    <x v="30"/>
    <m/>
    <s v="10180 BofA Spec Spaces National 4695"/>
    <n v="10.99"/>
    <n v="3052.41"/>
    <n v="10.99"/>
  </r>
  <r>
    <n v="62890"/>
    <s v="Utilities"/>
    <s v="08/11/2014"/>
    <s v="Check"/>
    <n v="505"/>
    <x v="509"/>
    <x v="0"/>
    <x v="4"/>
    <x v="30"/>
    <s v="water"/>
    <s v="10180 BofA Spec Spaces National 4695"/>
    <n v="19.420000000000002"/>
    <n v="3071.83"/>
    <n v="19.420000000000002"/>
  </r>
  <r>
    <n v="62890"/>
    <s v="Utilities"/>
    <s v="08/11/2014"/>
    <s v="Check"/>
    <n v="506"/>
    <x v="510"/>
    <x v="0"/>
    <x v="1"/>
    <x v="30"/>
    <s v="Electricity"/>
    <s v="10180 BofA Spec Spaces National 4695"/>
    <n v="195.8"/>
    <n v="3267.63"/>
    <n v="195.8"/>
  </r>
  <r>
    <n v="62890"/>
    <s v="Utilities"/>
    <s v="08/11/2014"/>
    <s v="Check"/>
    <n v="507"/>
    <x v="511"/>
    <x v="0"/>
    <x v="5"/>
    <x v="30"/>
    <m/>
    <s v="10180 BofA Spec Spaces National 4695"/>
    <n v="180.85"/>
    <n v="3448.48"/>
    <n v="180.85"/>
  </r>
  <r>
    <n v="62890"/>
    <s v="Utilities"/>
    <s v="08/22/2014"/>
    <s v="Check"/>
    <n v="520"/>
    <x v="512"/>
    <x v="0"/>
    <x v="4"/>
    <x v="30"/>
    <s v="Sept monitoring"/>
    <s v="10180 BofA Spec Spaces National 4695"/>
    <n v="33"/>
    <n v="3481.48"/>
    <n v="33"/>
  </r>
  <r>
    <n v="62890"/>
    <s v="Utilities"/>
    <s v="09/03/2014"/>
    <s v="Expense"/>
    <m/>
    <x v="508"/>
    <x v="0"/>
    <x v="1"/>
    <x v="30"/>
    <m/>
    <s v="10180 BofA Spec Spaces National 4695"/>
    <n v="10.99"/>
    <n v="3492.47"/>
    <n v="10.99"/>
  </r>
  <r>
    <n v="62890"/>
    <s v="Utilities"/>
    <s v="09/16/2014"/>
    <s v="Check"/>
    <n v="526"/>
    <x v="509"/>
    <x v="0"/>
    <x v="5"/>
    <x v="30"/>
    <s v="water"/>
    <s v="10180 BofA Spec Spaces National 4695"/>
    <n v="23.1"/>
    <n v="3515.57"/>
    <n v="23.1"/>
  </r>
  <r>
    <n v="62890"/>
    <s v="Utilities"/>
    <s v="09/16/2014"/>
    <s v="Check"/>
    <n v="527"/>
    <x v="510"/>
    <x v="0"/>
    <x v="4"/>
    <x v="30"/>
    <s v="Electricity"/>
    <s v="10180 BofA Spec Spaces National 4695"/>
    <n v="159.79"/>
    <n v="3675.36"/>
    <n v="159.79"/>
  </r>
  <r>
    <n v="62890"/>
    <s v="Utilities"/>
    <s v="09/16/2014"/>
    <s v="Check"/>
    <n v="529"/>
    <x v="511"/>
    <x v="0"/>
    <x v="1"/>
    <x v="30"/>
    <m/>
    <s v="10180 BofA Spec Spaces National 4695"/>
    <n v="174.63"/>
    <n v="3849.99"/>
    <n v="174.63"/>
  </r>
  <r>
    <n v="62890"/>
    <s v="Utilities"/>
    <s v="09/30/2014"/>
    <s v="Check"/>
    <n v="544"/>
    <x v="512"/>
    <x v="0"/>
    <x v="5"/>
    <x v="30"/>
    <s v="Oct monitoring"/>
    <s v="10180 BofA Spec Spaces National 4695"/>
    <n v="33"/>
    <n v="3882.99"/>
    <n v="33"/>
  </r>
  <r>
    <n v="62890"/>
    <s v="Utilities"/>
    <s v="09/30/2014"/>
    <s v="Check"/>
    <n v="541"/>
    <x v="511"/>
    <x v="0"/>
    <x v="4"/>
    <x v="30"/>
    <m/>
    <s v="10180 BofA Spec Spaces National 4695"/>
    <n v="184.11"/>
    <n v="4067.1"/>
    <n v="184.11"/>
  </r>
  <r>
    <n v="62890"/>
    <s v="Utilities"/>
    <s v="09/30/2014"/>
    <s v="Check"/>
    <n v="540"/>
    <x v="510"/>
    <x v="0"/>
    <x v="1"/>
    <x v="30"/>
    <s v="Electricity"/>
    <s v="10180 BofA Spec Spaces National 4695"/>
    <n v="175.2"/>
    <n v="4242.3"/>
    <n v="175.2"/>
  </r>
  <r>
    <n v="62890"/>
    <s v="Utilities"/>
    <s v="10/06/2014"/>
    <s v="Expense"/>
    <m/>
    <x v="508"/>
    <x v="0"/>
    <x v="5"/>
    <x v="30"/>
    <m/>
    <s v="10180 BofA Spec Spaces National 4695"/>
    <n v="10.99"/>
    <n v="4253.29"/>
    <n v="10.99"/>
  </r>
  <r>
    <n v="62890"/>
    <s v="Utilities"/>
    <s v="10/16/2014"/>
    <s v="Check"/>
    <n v="553"/>
    <x v="509"/>
    <x v="0"/>
    <x v="4"/>
    <x v="30"/>
    <s v="water"/>
    <s v="10180 BofA Spec Spaces National 4695"/>
    <n v="26.6"/>
    <n v="4279.8900000000003"/>
    <n v="26.6"/>
  </r>
  <r>
    <n v="62890"/>
    <s v="Utilities"/>
    <s v="10/16/2014"/>
    <s v="Check"/>
    <n v="554"/>
    <x v="512"/>
    <x v="0"/>
    <x v="1"/>
    <x v="30"/>
    <s v="Nov monitoring"/>
    <s v="10180 BofA Spec Spaces National 4695"/>
    <n v="33"/>
    <n v="4312.8900000000003"/>
    <n v="33"/>
  </r>
  <r>
    <n v="65000"/>
    <s v="Program Expenses"/>
    <s v="01/09/2014"/>
    <s v="Journal Entry"/>
    <n v="352"/>
    <x v="0"/>
    <x v="0"/>
    <x v="4"/>
    <x v="31"/>
    <s v="paypal"/>
    <s v="-Split-"/>
    <n v="13.02"/>
    <n v="13.02"/>
    <n v="13.02"/>
  </r>
  <r>
    <n v="65015"/>
    <s v="Travel Expense"/>
    <s v="01/03/2014"/>
    <s v="Check"/>
    <m/>
    <x v="363"/>
    <x v="0"/>
    <x v="1"/>
    <x v="15"/>
    <m/>
    <s v="10180 BofA Spec Spaces National 4695"/>
    <n v="35.08"/>
    <n v="35.08"/>
    <n v="35.08"/>
  </r>
  <r>
    <n v="65015"/>
    <s v="Travel Expense"/>
    <s v="01/21/2014"/>
    <s v="Check"/>
    <m/>
    <x v="513"/>
    <x v="0"/>
    <x v="1"/>
    <x v="15"/>
    <m/>
    <s v="10180 BofA Spec Spaces National 4695"/>
    <n v="242"/>
    <n v="419.7"/>
    <n v="242"/>
  </r>
  <r>
    <n v="65015"/>
    <s v="Travel Expense"/>
    <s v="02/11/2014"/>
    <s v="Check"/>
    <m/>
    <x v="513"/>
    <x v="0"/>
    <x v="1"/>
    <x v="15"/>
    <m/>
    <s v="10180 BofA Spec Spaces National 4695"/>
    <n v="25"/>
    <n v="519.04"/>
    <n v="25"/>
  </r>
  <r>
    <n v="65015"/>
    <s v="Travel Expense"/>
    <s v="02/12/2014"/>
    <s v="Check"/>
    <m/>
    <x v="514"/>
    <x v="0"/>
    <x v="1"/>
    <x v="15"/>
    <m/>
    <s v="10180 BofA Spec Spaces National 4695"/>
    <n v="90"/>
    <n v="609.04"/>
    <n v="90"/>
  </r>
  <r>
    <n v="65015"/>
    <s v="Travel Expense"/>
    <s v="02/12/2014"/>
    <s v="Check"/>
    <m/>
    <x v="514"/>
    <x v="0"/>
    <x v="1"/>
    <x v="15"/>
    <m/>
    <s v="10180 BofA Spec Spaces National 4695"/>
    <n v="85.5"/>
    <n v="694.54"/>
    <n v="85.5"/>
  </r>
  <r>
    <n v="65015"/>
    <s v="Travel Expense"/>
    <s v="02/13/2014"/>
    <s v="Check"/>
    <m/>
    <x v="515"/>
    <x v="0"/>
    <x v="1"/>
    <x v="15"/>
    <m/>
    <s v="10180 BofA Spec Spaces National 4695"/>
    <n v="141"/>
    <n v="855.54"/>
    <n v="141"/>
  </r>
  <r>
    <n v="65015"/>
    <s v="Travel Expense"/>
    <s v="02/13/2014"/>
    <s v="Check"/>
    <m/>
    <x v="515"/>
    <x v="0"/>
    <x v="1"/>
    <x v="15"/>
    <m/>
    <s v="10180 BofA Spec Spaces National 4695"/>
    <n v="25"/>
    <n v="880.54"/>
    <n v="25"/>
  </r>
  <r>
    <n v="65015"/>
    <s v="Travel Expense"/>
    <s v="02/13/2014"/>
    <s v="Check"/>
    <m/>
    <x v="516"/>
    <x v="0"/>
    <x v="1"/>
    <x v="15"/>
    <m/>
    <s v="10180 BofA Spec Spaces National 4695"/>
    <n v="36"/>
    <n v="916.54"/>
    <n v="36"/>
  </r>
  <r>
    <n v="65015"/>
    <s v="Travel Expense"/>
    <s v="02/13/2014"/>
    <s v="Check"/>
    <m/>
    <x v="517"/>
    <x v="0"/>
    <x v="1"/>
    <x v="15"/>
    <m/>
    <s v="10180 BofA Spec Spaces National 4695"/>
    <n v="255.73"/>
    <n v="1172.27"/>
    <n v="255.73"/>
  </r>
  <r>
    <n v="65015"/>
    <s v="Travel Expense"/>
    <s v="02/20/2014"/>
    <s v="Check"/>
    <n v="416"/>
    <x v="255"/>
    <x v="0"/>
    <x v="1"/>
    <x v="15"/>
    <s v="Travel to Nashville for Feld room"/>
    <s v="10180 BofA Spec Spaces National 4695"/>
    <n v="126.21"/>
    <n v="1699.42"/>
    <n v="126.21"/>
  </r>
  <r>
    <n v="65015"/>
    <s v="Travel Expense"/>
    <s v="02/26/2014"/>
    <s v="Check"/>
    <m/>
    <x v="513"/>
    <x v="0"/>
    <x v="1"/>
    <x v="15"/>
    <m/>
    <s v="10180 BofA Spec Spaces National 4695"/>
    <n v="594"/>
    <n v="2293.42"/>
    <n v="594"/>
  </r>
  <r>
    <n v="65015"/>
    <s v="Travel Expense"/>
    <s v="02/27/2014"/>
    <s v="Check"/>
    <m/>
    <x v="513"/>
    <x v="0"/>
    <x v="1"/>
    <x v="15"/>
    <m/>
    <s v="10180 BofA Spec Spaces National 4695"/>
    <n v="19"/>
    <n v="2312.42"/>
    <n v="19"/>
  </r>
  <r>
    <n v="65015"/>
    <s v="Travel Expense"/>
    <s v="02/27/2014"/>
    <s v="Check"/>
    <m/>
    <x v="513"/>
    <x v="0"/>
    <x v="1"/>
    <x v="15"/>
    <m/>
    <s v="10180 BofA Spec Spaces National 4695"/>
    <n v="15"/>
    <n v="2327.42"/>
    <n v="15"/>
  </r>
  <r>
    <n v="65015"/>
    <s v="Travel Expense"/>
    <s v="02/27/2014"/>
    <s v="Check"/>
    <m/>
    <x v="513"/>
    <x v="0"/>
    <x v="5"/>
    <x v="15"/>
    <m/>
    <s v="10180 BofA Spec Spaces National 4695"/>
    <n v="9"/>
    <n v="2336.42"/>
    <n v="9"/>
  </r>
  <r>
    <n v="65015"/>
    <s v="Travel Expense"/>
    <s v="02/27/2014"/>
    <s v="Check"/>
    <m/>
    <x v="513"/>
    <x v="0"/>
    <x v="5"/>
    <x v="15"/>
    <m/>
    <s v="10180 BofA Spec Spaces National 4695"/>
    <n v="19"/>
    <n v="2355.42"/>
    <n v="19"/>
  </r>
  <r>
    <n v="65015"/>
    <s v="Travel Expense"/>
    <s v="02/28/2014"/>
    <s v="Check"/>
    <m/>
    <x v="513"/>
    <x v="0"/>
    <x v="5"/>
    <x v="15"/>
    <m/>
    <s v="10180 BofA Spec Spaces National 4695"/>
    <n v="200"/>
    <n v="2555.42"/>
    <n v="200"/>
  </r>
  <r>
    <n v="65015"/>
    <s v="Travel Expense"/>
    <s v="03/03/2014"/>
    <s v="Check"/>
    <m/>
    <x v="513"/>
    <x v="0"/>
    <x v="5"/>
    <x v="15"/>
    <m/>
    <s v="10180 BofA Spec Spaces National 4695"/>
    <n v="25"/>
    <n v="2580.42"/>
    <n v="25"/>
  </r>
  <r>
    <n v="65015"/>
    <s v="Travel Expense"/>
    <s v="03/03/2014"/>
    <s v="Check"/>
    <m/>
    <x v="516"/>
    <x v="0"/>
    <x v="5"/>
    <x v="15"/>
    <m/>
    <s v="10180 BofA Spec Spaces National 4695"/>
    <n v="36"/>
    <n v="2616.42"/>
    <n v="36"/>
  </r>
  <r>
    <n v="65015"/>
    <s v="Travel Expense"/>
    <s v="03/03/2014"/>
    <s v="Check"/>
    <m/>
    <x v="513"/>
    <x v="0"/>
    <x v="5"/>
    <x v="15"/>
    <m/>
    <s v="10180 BofA Spec Spaces National 4695"/>
    <n v="25"/>
    <n v="2641.42"/>
    <n v="25"/>
  </r>
  <r>
    <n v="65015"/>
    <s v="Travel Expense"/>
    <s v="03/03/2014"/>
    <s v="Check"/>
    <m/>
    <x v="413"/>
    <x v="0"/>
    <x v="5"/>
    <x v="15"/>
    <m/>
    <s v="10180 BofA Spec Spaces National 4695"/>
    <n v="16.670000000000002"/>
    <n v="2658.09"/>
    <n v="16.670000000000002"/>
  </r>
  <r>
    <n v="65015"/>
    <s v="Travel Expense"/>
    <s v="04/08/2014"/>
    <s v="Check"/>
    <n v="444"/>
    <x v="255"/>
    <x v="0"/>
    <x v="5"/>
    <x v="15"/>
    <s v="reimbursement for Kobe's room- Feld"/>
    <s v="10180 BofA Spec Spaces National 4695"/>
    <n v="170.11"/>
    <n v="2960.37"/>
    <n v="170.11"/>
  </r>
  <r>
    <n v="65015"/>
    <s v="Travel Expense"/>
    <s v="05/23/2014"/>
    <s v="Expense"/>
    <m/>
    <x v="518"/>
    <x v="0"/>
    <x v="5"/>
    <x v="15"/>
    <m/>
    <s v="10180 BofA Spec Spaces National 4695"/>
    <n v="35.49"/>
    <n v="3109.67"/>
    <n v="35.49"/>
  </r>
  <r>
    <n v="65015"/>
    <s v="Travel Expense"/>
    <s v="06/23/2014"/>
    <s v="Expense"/>
    <m/>
    <x v="519"/>
    <x v="0"/>
    <x v="5"/>
    <x v="15"/>
    <m/>
    <s v="10180 BofA Spec Spaces National 4695"/>
    <n v="100"/>
    <n v="3301.64"/>
    <n v="100"/>
  </r>
  <r>
    <n v="65015"/>
    <s v="Travel Expense"/>
    <s v="06/24/2014"/>
    <s v="Expense"/>
    <m/>
    <x v="101"/>
    <x v="0"/>
    <x v="5"/>
    <x v="15"/>
    <m/>
    <s v="10180 BofA Spec Spaces National 4695"/>
    <n v="90"/>
    <n v="3455.42"/>
    <n v="90"/>
  </r>
  <r>
    <n v="65015"/>
    <s v="Travel Expense"/>
    <s v="06/25/2014"/>
    <s v="Expense"/>
    <m/>
    <x v="520"/>
    <x v="0"/>
    <x v="5"/>
    <x v="15"/>
    <m/>
    <s v="10180 BofA Spec Spaces National 4695"/>
    <n v="90"/>
    <n v="3545.42"/>
    <n v="90"/>
  </r>
  <r>
    <n v="65015"/>
    <s v="Travel Expense"/>
    <s v="06/25/2014"/>
    <s v="Expense"/>
    <m/>
    <x v="101"/>
    <x v="0"/>
    <x v="5"/>
    <x v="15"/>
    <m/>
    <s v="10180 BofA Spec Spaces National 4695"/>
    <n v="90"/>
    <n v="3635.42"/>
    <n v="90"/>
  </r>
  <r>
    <n v="65015"/>
    <s v="Travel Expense"/>
    <s v="08/18/2014"/>
    <s v="Expense"/>
    <m/>
    <x v="513"/>
    <x v="0"/>
    <x v="1"/>
    <x v="15"/>
    <m/>
    <s v="10180 BofA Spec Spaces National 4695"/>
    <n v="561.20000000000005"/>
    <n v="4941.2299999999996"/>
    <n v="561.20000000000005"/>
  </r>
  <r>
    <n v="65015"/>
    <s v="Travel Expense"/>
    <s v="08/25/2014"/>
    <s v="Expense"/>
    <m/>
    <x v="513"/>
    <x v="0"/>
    <x v="1"/>
    <x v="15"/>
    <m/>
    <s v="10180 BofA Spec Spaces National 4695"/>
    <n v="8"/>
    <n v="4949.2299999999996"/>
    <n v="8"/>
  </r>
  <r>
    <n v="65015"/>
    <s v="Travel Expense"/>
    <s v="08/25/2014"/>
    <s v="Expense"/>
    <m/>
    <x v="513"/>
    <x v="0"/>
    <x v="1"/>
    <x v="15"/>
    <m/>
    <s v="10180 BofA Spec Spaces National 4695"/>
    <n v="25"/>
    <n v="4974.2299999999996"/>
    <n v="25"/>
  </r>
  <r>
    <n v="65015"/>
    <s v="Travel Expense"/>
    <s v="08/25/2014"/>
    <s v="Expense"/>
    <m/>
    <x v="513"/>
    <x v="0"/>
    <x v="1"/>
    <x v="15"/>
    <m/>
    <s v="10180 BofA Spec Spaces National 4695"/>
    <n v="25"/>
    <n v="4999.2299999999996"/>
    <n v="25"/>
  </r>
  <r>
    <n v="65015"/>
    <s v="Travel Expense"/>
    <s v="08/25/2014"/>
    <s v="Expense"/>
    <m/>
    <x v="513"/>
    <x v="0"/>
    <x v="1"/>
    <x v="15"/>
    <m/>
    <s v="10180 BofA Spec Spaces National 4695"/>
    <n v="8"/>
    <n v="5007.2299999999996"/>
    <n v="8"/>
  </r>
  <r>
    <n v="65015"/>
    <s v="Travel Expense"/>
    <s v="08/26/2014"/>
    <s v="Expense"/>
    <m/>
    <x v="521"/>
    <x v="0"/>
    <x v="1"/>
    <x v="15"/>
    <m/>
    <s v="10180 BofA Spec Spaces National 4695"/>
    <n v="31.75"/>
    <n v="5038.9799999999996"/>
    <n v="31.75"/>
  </r>
  <r>
    <n v="65015"/>
    <s v="Travel Expense"/>
    <s v="10/22/2014"/>
    <s v="Expense"/>
    <m/>
    <x v="513"/>
    <x v="0"/>
    <x v="1"/>
    <x v="15"/>
    <m/>
    <s v="10180 BofA Spec Spaces National 4695"/>
    <n v="639.20000000000005"/>
    <n v="11536.53"/>
    <n v="639.20000000000005"/>
  </r>
  <r>
    <n v="65015"/>
    <s v="Travel Expense"/>
    <s v="10/29/2014"/>
    <s v="Expense"/>
    <m/>
    <x v="522"/>
    <x v="0"/>
    <x v="1"/>
    <x v="15"/>
    <m/>
    <s v="10531 BofA Knoxville"/>
    <n v="709.19"/>
    <n v="12985.82"/>
    <n v="709.19"/>
  </r>
  <r>
    <n v="65020"/>
    <s v="Postage, Mailing Service"/>
    <s v="01/14/2014"/>
    <s v="Check"/>
    <m/>
    <x v="6"/>
    <x v="0"/>
    <x v="5"/>
    <x v="3"/>
    <m/>
    <s v="10180 BofA Spec Spaces National 4695"/>
    <n v="41.4"/>
    <n v="147.31"/>
    <n v="41.4"/>
  </r>
  <r>
    <n v="65020"/>
    <s v="Postage, Mailing Service"/>
    <s v="01/14/2014"/>
    <s v="Check"/>
    <m/>
    <x v="6"/>
    <x v="0"/>
    <x v="5"/>
    <x v="3"/>
    <m/>
    <s v="10180 BofA Spec Spaces National 4695"/>
    <n v="41.4"/>
    <n v="188.71"/>
    <n v="41.4"/>
  </r>
  <r>
    <n v="65020"/>
    <s v="Postage, Mailing Service"/>
    <s v="01/17/2014"/>
    <s v="Check"/>
    <m/>
    <x v="6"/>
    <x v="0"/>
    <x v="5"/>
    <x v="3"/>
    <m/>
    <s v="10180 BofA Spec Spaces National 4695"/>
    <n v="5.84"/>
    <n v="297.3"/>
    <n v="5.84"/>
  </r>
  <r>
    <n v="65020"/>
    <s v="Postage, Mailing Service"/>
    <s v="01/21/2014"/>
    <s v="Check"/>
    <m/>
    <x v="6"/>
    <x v="0"/>
    <x v="5"/>
    <x v="3"/>
    <m/>
    <s v="10180 BofA Spec Spaces National 4695"/>
    <n v="93.75"/>
    <n v="391.05"/>
    <n v="93.75"/>
  </r>
  <r>
    <n v="65020"/>
    <s v="Postage, Mailing Service"/>
    <s v="01/28/2014"/>
    <s v="Check"/>
    <m/>
    <x v="6"/>
    <x v="0"/>
    <x v="5"/>
    <x v="3"/>
    <m/>
    <s v="10180 BofA Spec Spaces National 4695"/>
    <n v="5.25"/>
    <n v="478.76"/>
    <n v="5.25"/>
  </r>
  <r>
    <n v="65020"/>
    <s v="Postage, Mailing Service"/>
    <s v="02/05/2014"/>
    <s v="Check"/>
    <m/>
    <x v="6"/>
    <x v="0"/>
    <x v="5"/>
    <x v="3"/>
    <m/>
    <s v="10180 BofA Spec Spaces National 4695"/>
    <n v="5.05"/>
    <n v="564.36"/>
    <n v="5.05"/>
  </r>
  <r>
    <n v="65020"/>
    <s v="Postage, Mailing Service"/>
    <s v="02/05/2014"/>
    <s v="Check"/>
    <m/>
    <x v="6"/>
    <x v="0"/>
    <x v="5"/>
    <x v="3"/>
    <m/>
    <s v="10180 BofA Spec Spaces National 4695"/>
    <n v="11.3"/>
    <n v="575.66"/>
    <n v="11.3"/>
  </r>
  <r>
    <n v="65020"/>
    <s v="Postage, Mailing Service"/>
    <s v="02/19/2014"/>
    <s v="Check"/>
    <m/>
    <x v="6"/>
    <x v="0"/>
    <x v="5"/>
    <x v="3"/>
    <m/>
    <s v="10180 BofA Spec Spaces National 4695"/>
    <n v="10.95"/>
    <n v="652.4"/>
    <n v="10.95"/>
  </r>
  <r>
    <n v="65020"/>
    <s v="Postage, Mailing Service"/>
    <s v="03/26/2014"/>
    <s v="Check"/>
    <m/>
    <x v="6"/>
    <x v="0"/>
    <x v="5"/>
    <x v="3"/>
    <m/>
    <s v="10180 BofA Spec Spaces National 4695"/>
    <n v="98"/>
    <n v="908.3"/>
    <n v="98"/>
  </r>
  <r>
    <n v="65020"/>
    <s v="Postage, Mailing Service"/>
    <s v="03/26/2014"/>
    <s v="Check"/>
    <m/>
    <x v="6"/>
    <x v="0"/>
    <x v="5"/>
    <x v="3"/>
    <m/>
    <s v="10180 BofA Spec Spaces National 4695"/>
    <n v="5.84"/>
    <n v="914.14"/>
    <n v="5.84"/>
  </r>
  <r>
    <n v="65020"/>
    <s v="Postage, Mailing Service"/>
    <s v="04/02/2014"/>
    <s v="Check"/>
    <m/>
    <x v="6"/>
    <x v="0"/>
    <x v="5"/>
    <x v="3"/>
    <m/>
    <s v="10180 BofA Spec Spaces National 4695"/>
    <n v="5.25"/>
    <n v="932.45"/>
    <n v="5.25"/>
  </r>
  <r>
    <n v="65020"/>
    <s v="Postage, Mailing Service"/>
    <s v="04/09/2014"/>
    <s v="Check"/>
    <m/>
    <x v="6"/>
    <x v="0"/>
    <x v="5"/>
    <x v="3"/>
    <m/>
    <s v="10180 BofA Spec Spaces National 4695"/>
    <n v="5.05"/>
    <n v="972.98"/>
    <n v="5.05"/>
  </r>
  <r>
    <n v="65020"/>
    <s v="Postage, Mailing Service"/>
    <s v="04/16/2014"/>
    <s v="Check"/>
    <m/>
    <x v="6"/>
    <x v="0"/>
    <x v="5"/>
    <x v="3"/>
    <m/>
    <s v="10180 BofA Spec Spaces National 4695"/>
    <n v="5.7"/>
    <n v="998.62"/>
    <n v="5.7"/>
  </r>
  <r>
    <n v="65020"/>
    <s v="Postage, Mailing Service"/>
    <s v="04/18/2014"/>
    <s v="Check"/>
    <m/>
    <x v="6"/>
    <x v="0"/>
    <x v="5"/>
    <x v="3"/>
    <m/>
    <s v="10180 BofA Spec Spaces National 4695"/>
    <n v="5.7"/>
    <n v="1027.01"/>
    <n v="5.7"/>
  </r>
  <r>
    <n v="65020"/>
    <s v="Postage, Mailing Service"/>
    <s v="04/22/2014"/>
    <s v="Check"/>
    <m/>
    <x v="6"/>
    <x v="0"/>
    <x v="5"/>
    <x v="3"/>
    <m/>
    <s v="10180 BofA Spec Spaces National 4695"/>
    <n v="5.7"/>
    <n v="1075.24"/>
    <n v="5.7"/>
  </r>
  <r>
    <n v="65020"/>
    <s v="Postage, Mailing Service"/>
    <s v="04/28/2014"/>
    <s v="Check"/>
    <m/>
    <x v="6"/>
    <x v="0"/>
    <x v="5"/>
    <x v="3"/>
    <m/>
    <s v="10180 BofA Spec Spaces National 4695"/>
    <n v="36.54"/>
    <n v="1197.57"/>
    <n v="36.54"/>
  </r>
  <r>
    <n v="65020"/>
    <s v="Postage, Mailing Service"/>
    <s v="05/29/2014"/>
    <s v="Expense"/>
    <m/>
    <x v="6"/>
    <x v="0"/>
    <x v="5"/>
    <x v="3"/>
    <m/>
    <s v="10180 BofA Spec Spaces National 4695"/>
    <n v="5.7"/>
    <n v="1529.25"/>
    <n v="5.7"/>
  </r>
  <r>
    <n v="65020"/>
    <s v="Postage, Mailing Service"/>
    <s v="06/03/2014"/>
    <s v="Expense"/>
    <m/>
    <x v="6"/>
    <x v="0"/>
    <x v="5"/>
    <x v="3"/>
    <m/>
    <s v="10180 BofA Spec Spaces National 4695"/>
    <n v="7.55"/>
    <n v="1559.43"/>
    <n v="7.55"/>
  </r>
  <r>
    <n v="65020"/>
    <s v="Postage, Mailing Service"/>
    <s v="06/09/2014"/>
    <s v="Expense"/>
    <m/>
    <x v="458"/>
    <x v="0"/>
    <x v="5"/>
    <x v="3"/>
    <m/>
    <s v="10180 BofA Spec Spaces National 4695"/>
    <n v="49"/>
    <n v="1615.28"/>
    <n v="49"/>
  </r>
  <r>
    <n v="65020"/>
    <s v="Postage, Mailing Service"/>
    <s v="06/16/2014"/>
    <s v="Expense"/>
    <m/>
    <x v="6"/>
    <x v="0"/>
    <x v="5"/>
    <x v="3"/>
    <m/>
    <s v="10180 BofA Spec Spaces National 4695"/>
    <n v="5.7"/>
    <n v="1705.76"/>
    <n v="5.7"/>
  </r>
  <r>
    <n v="65020"/>
    <s v="Postage, Mailing Service"/>
    <s v="06/20/2014"/>
    <s v="Expense"/>
    <m/>
    <x v="6"/>
    <x v="0"/>
    <x v="5"/>
    <x v="3"/>
    <m/>
    <s v="10180 BofA Spec Spaces National 4695"/>
    <n v="5.7"/>
    <n v="1718.45"/>
    <n v="5.7"/>
  </r>
  <r>
    <n v="65020"/>
    <s v="Postage, Mailing Service"/>
    <s v="06/20/2014"/>
    <s v="Expense"/>
    <m/>
    <x v="6"/>
    <x v="0"/>
    <x v="5"/>
    <x v="3"/>
    <m/>
    <s v="10180 BofA Spec Spaces National 4695"/>
    <n v="5.7"/>
    <n v="1724.15"/>
    <n v="5.7"/>
  </r>
  <r>
    <n v="65020"/>
    <s v="Postage, Mailing Service"/>
    <s v="06/25/2014"/>
    <s v="Expense"/>
    <m/>
    <x v="6"/>
    <x v="0"/>
    <x v="5"/>
    <x v="3"/>
    <m/>
    <s v="10180 BofA Spec Spaces National 4695"/>
    <n v="23.8"/>
    <n v="1747.95"/>
    <n v="23.8"/>
  </r>
  <r>
    <n v="65020"/>
    <s v="Postage, Mailing Service"/>
    <s v="07/01/2014"/>
    <s v="Expense"/>
    <m/>
    <x v="6"/>
    <x v="0"/>
    <x v="5"/>
    <x v="3"/>
    <m/>
    <s v="10180 BofA Spec Spaces National 4695"/>
    <n v="5.7"/>
    <n v="1655.69"/>
    <n v="5.7"/>
  </r>
  <r>
    <n v="65020"/>
    <s v="Postage, Mailing Service"/>
    <s v="07/02/2014"/>
    <s v="Expense"/>
    <m/>
    <x v="6"/>
    <x v="0"/>
    <x v="5"/>
    <x v="3"/>
    <m/>
    <s v="10180 BofA Spec Spaces National 4695"/>
    <n v="5.7"/>
    <n v="1661.39"/>
    <n v="5.7"/>
  </r>
  <r>
    <n v="65020"/>
    <s v="Postage, Mailing Service"/>
    <s v="07/09/2014"/>
    <s v="Expense"/>
    <m/>
    <x v="6"/>
    <x v="0"/>
    <x v="5"/>
    <x v="3"/>
    <m/>
    <s v="10180 BofA Spec Spaces National 4695"/>
    <n v="49"/>
    <n v="1766.24"/>
    <n v="49"/>
  </r>
  <r>
    <n v="65020"/>
    <s v="Postage, Mailing Service"/>
    <s v="07/10/2014"/>
    <s v="Expense"/>
    <m/>
    <x v="6"/>
    <x v="0"/>
    <x v="5"/>
    <x v="3"/>
    <m/>
    <s v="10180 BofA Spec Spaces National 4695"/>
    <n v="5.7"/>
    <n v="1771.94"/>
    <n v="5.7"/>
  </r>
  <r>
    <n v="65020"/>
    <s v="Postage, Mailing Service"/>
    <s v="07/14/2014"/>
    <s v="Expense"/>
    <m/>
    <x v="458"/>
    <x v="0"/>
    <x v="5"/>
    <x v="3"/>
    <m/>
    <s v="10180 BofA Spec Spaces National 4695"/>
    <n v="32.75"/>
    <n v="1814.49"/>
    <n v="32.75"/>
  </r>
  <r>
    <n v="65020"/>
    <s v="Postage, Mailing Service"/>
    <s v="07/16/2014"/>
    <s v="Expense"/>
    <m/>
    <x v="6"/>
    <x v="0"/>
    <x v="5"/>
    <x v="3"/>
    <m/>
    <s v="10180 BofA Spec Spaces National 4695"/>
    <n v="36.200000000000003"/>
    <n v="1850.69"/>
    <n v="36.200000000000003"/>
  </r>
  <r>
    <n v="65020"/>
    <s v="Postage, Mailing Service"/>
    <s v="07/16/2014"/>
    <s v="Expense"/>
    <m/>
    <x v="6"/>
    <x v="0"/>
    <x v="5"/>
    <x v="3"/>
    <m/>
    <s v="10180 BofA Spec Spaces National 4695"/>
    <n v="15.25"/>
    <n v="1865.94"/>
    <n v="15.25"/>
  </r>
  <r>
    <n v="65020"/>
    <s v="Postage, Mailing Service"/>
    <s v="07/17/2014"/>
    <s v="Expense"/>
    <m/>
    <x v="6"/>
    <x v="0"/>
    <x v="5"/>
    <x v="3"/>
    <m/>
    <s v="10180 BofA Spec Spaces National 4695"/>
    <n v="83.7"/>
    <n v="1949.64"/>
    <n v="83.7"/>
  </r>
  <r>
    <n v="65020"/>
    <s v="Postage, Mailing Service"/>
    <s v="07/22/2014"/>
    <s v="Expense"/>
    <m/>
    <x v="458"/>
    <x v="0"/>
    <x v="5"/>
    <x v="3"/>
    <m/>
    <s v="10180 BofA Spec Spaces National 4695"/>
    <n v="65.349999999999994"/>
    <n v="2021.98"/>
    <n v="65.349999999999994"/>
  </r>
  <r>
    <n v="65020"/>
    <s v="Postage, Mailing Service"/>
    <s v="07/25/2014"/>
    <s v="Expense"/>
    <m/>
    <x v="6"/>
    <x v="0"/>
    <x v="5"/>
    <x v="3"/>
    <m/>
    <s v="10180 BofA Spec Spaces National 4695"/>
    <n v="5.05"/>
    <n v="2027.03"/>
    <n v="5.05"/>
  </r>
  <r>
    <n v="65020"/>
    <s v="Postage, Mailing Service"/>
    <s v="07/30/2014"/>
    <s v="Expense"/>
    <m/>
    <x v="6"/>
    <x v="0"/>
    <x v="5"/>
    <x v="3"/>
    <m/>
    <s v="10180 BofA Spec Spaces National 4695"/>
    <n v="5.7"/>
    <n v="2047.6"/>
    <n v="5.7"/>
  </r>
  <r>
    <n v="65020"/>
    <s v="Postage, Mailing Service"/>
    <s v="08/05/2014"/>
    <s v="Expense"/>
    <m/>
    <x v="6"/>
    <x v="0"/>
    <x v="5"/>
    <x v="3"/>
    <m/>
    <s v="10180 BofA Spec Spaces National 4695"/>
    <n v="5.05"/>
    <n v="2063.9"/>
    <n v="5.05"/>
  </r>
  <r>
    <n v="65020"/>
    <s v="Postage, Mailing Service"/>
    <s v="08/05/2014"/>
    <s v="Expense"/>
    <m/>
    <x v="6"/>
    <x v="0"/>
    <x v="5"/>
    <x v="3"/>
    <m/>
    <s v="10180 BofA Spec Spaces National 4695"/>
    <n v="5.05"/>
    <n v="2068.9499999999998"/>
    <n v="5.05"/>
  </r>
  <r>
    <n v="65020"/>
    <s v="Postage, Mailing Service"/>
    <s v="08/06/2014"/>
    <s v="Expense"/>
    <m/>
    <x v="6"/>
    <x v="0"/>
    <x v="5"/>
    <x v="3"/>
    <m/>
    <s v="10180 BofA Spec Spaces National 4695"/>
    <n v="18.23"/>
    <n v="2087.1799999999998"/>
    <n v="18.23"/>
  </r>
  <r>
    <n v="65020"/>
    <s v="Postage, Mailing Service"/>
    <s v="08/11/2014"/>
    <s v="Check"/>
    <n v="509"/>
    <x v="523"/>
    <x v="0"/>
    <x v="5"/>
    <x v="3"/>
    <s v="metered postage/ non profit"/>
    <s v="10180 BofA Spec Spaces National 4695"/>
    <n v="120.84"/>
    <n v="2373.02"/>
    <n v="120.84"/>
  </r>
  <r>
    <n v="65020"/>
    <s v="Postage, Mailing Service"/>
    <s v="08/15/2014"/>
    <s v="Expense"/>
    <m/>
    <x v="6"/>
    <x v="0"/>
    <x v="5"/>
    <x v="3"/>
    <m/>
    <s v="10180 BofA Spec Spaces National 4695"/>
    <n v="7.4"/>
    <n v="2496.27"/>
    <n v="7.4"/>
  </r>
  <r>
    <n v="65020"/>
    <s v="Postage, Mailing Service"/>
    <s v="08/21/2014"/>
    <s v="Expense"/>
    <m/>
    <x v="6"/>
    <x v="0"/>
    <x v="5"/>
    <x v="3"/>
    <m/>
    <s v="10180 BofA Spec Spaces National 4695"/>
    <n v="9.9700000000000006"/>
    <n v="2516.27"/>
    <n v="9.9700000000000006"/>
  </r>
  <r>
    <n v="65020"/>
    <s v="Postage, Mailing Service"/>
    <s v="09/03/2014"/>
    <s v="Expense"/>
    <m/>
    <x v="6"/>
    <x v="0"/>
    <x v="5"/>
    <x v="3"/>
    <m/>
    <s v="10180 BofA Spec Spaces National 4695"/>
    <n v="102.6"/>
    <n v="2662.91"/>
    <n v="102.6"/>
  </r>
  <r>
    <n v="65020"/>
    <s v="Postage, Mailing Service"/>
    <s v="09/03/2014"/>
    <s v="Expense"/>
    <m/>
    <x v="6"/>
    <x v="0"/>
    <x v="5"/>
    <x v="3"/>
    <m/>
    <s v="10180 BofA Spec Spaces National 4695"/>
    <n v="28.5"/>
    <n v="2691.41"/>
    <n v="28.5"/>
  </r>
  <r>
    <n v="65020"/>
    <s v="Postage, Mailing Service"/>
    <s v="09/04/2014"/>
    <s v="Expense"/>
    <m/>
    <x v="6"/>
    <x v="0"/>
    <x v="5"/>
    <x v="3"/>
    <m/>
    <s v="10180 BofA Spec Spaces National 4695"/>
    <n v="108.28"/>
    <n v="2799.69"/>
    <n v="108.28"/>
  </r>
  <r>
    <n v="65020"/>
    <s v="Postage, Mailing Service"/>
    <s v="09/05/2014"/>
    <s v="Expense"/>
    <m/>
    <x v="6"/>
    <x v="0"/>
    <x v="5"/>
    <x v="3"/>
    <m/>
    <s v="10180 BofA Spec Spaces National 4695"/>
    <n v="5.05"/>
    <n v="2804.74"/>
    <n v="5.05"/>
  </r>
  <r>
    <n v="65020"/>
    <s v="Postage, Mailing Service"/>
    <s v="09/05/2014"/>
    <s v="Expense"/>
    <m/>
    <x v="6"/>
    <x v="0"/>
    <x v="5"/>
    <x v="3"/>
    <m/>
    <s v="10180 BofA Spec Spaces National 4695"/>
    <n v="10.1"/>
    <n v="2814.84"/>
    <n v="10.1"/>
  </r>
  <r>
    <n v="65020"/>
    <s v="Postage, Mailing Service"/>
    <s v="09/09/2014"/>
    <s v="Expense"/>
    <m/>
    <x v="6"/>
    <x v="0"/>
    <x v="5"/>
    <x v="3"/>
    <m/>
    <s v="10180 BofA Spec Spaces National 4695"/>
    <n v="5.05"/>
    <n v="2901.95"/>
    <n v="5.05"/>
  </r>
  <r>
    <n v="65020"/>
    <s v="Postage, Mailing Service"/>
    <s v="09/10/2014"/>
    <s v="Expense"/>
    <m/>
    <x v="6"/>
    <x v="0"/>
    <x v="5"/>
    <x v="3"/>
    <m/>
    <s v="10180 BofA Spec Spaces National 4695"/>
    <n v="11.3"/>
    <n v="2913.25"/>
    <n v="11.3"/>
  </r>
  <r>
    <n v="65020"/>
    <s v="Postage, Mailing Service"/>
    <s v="09/10/2014"/>
    <s v="Expense"/>
    <m/>
    <x v="6"/>
    <x v="0"/>
    <x v="5"/>
    <x v="3"/>
    <m/>
    <s v="10180 BofA Spec Spaces National 4695"/>
    <n v="5.05"/>
    <n v="2918.3"/>
    <n v="5.05"/>
  </r>
  <r>
    <n v="65020"/>
    <s v="Postage, Mailing Service"/>
    <s v="09/11/2014"/>
    <s v="Expense"/>
    <m/>
    <x v="6"/>
    <x v="0"/>
    <x v="5"/>
    <x v="3"/>
    <m/>
    <s v="10180 BofA Spec Spaces National 4695"/>
    <n v="10.15"/>
    <n v="2928.45"/>
    <n v="10.15"/>
  </r>
  <r>
    <n v="65020"/>
    <s v="Postage, Mailing Service"/>
    <s v="09/15/2014"/>
    <s v="Expense"/>
    <m/>
    <x v="6"/>
    <x v="0"/>
    <x v="5"/>
    <x v="3"/>
    <m/>
    <s v="10180 BofA Spec Spaces National 4695"/>
    <n v="4.0599999999999996"/>
    <n v="2932.51"/>
    <n v="4.0599999999999996"/>
  </r>
  <r>
    <n v="65020"/>
    <s v="Postage, Mailing Service"/>
    <s v="09/16/2014"/>
    <s v="Check"/>
    <n v="528"/>
    <x v="523"/>
    <x v="0"/>
    <x v="5"/>
    <x v="3"/>
    <s v="Postage for Wear It post cards"/>
    <s v="10180 BofA Spec Spaces National 4695"/>
    <n v="204.72"/>
    <n v="3204.23"/>
    <n v="204.72"/>
  </r>
  <r>
    <n v="65020"/>
    <s v="Postage, Mailing Service"/>
    <s v="09/17/2014"/>
    <s v="Expense"/>
    <m/>
    <x v="6"/>
    <x v="0"/>
    <x v="5"/>
    <x v="3"/>
    <m/>
    <s v="10180 BofA Spec Spaces National 4695"/>
    <n v="49"/>
    <n v="3253.23"/>
    <n v="49"/>
  </r>
  <r>
    <n v="65020"/>
    <s v="Postage, Mailing Service"/>
    <s v="09/19/2014"/>
    <s v="Expense"/>
    <m/>
    <x v="6"/>
    <x v="0"/>
    <x v="5"/>
    <x v="3"/>
    <m/>
    <s v="10180 BofA Spec Spaces National 4695"/>
    <n v="5.05"/>
    <n v="3265.27"/>
    <n v="5.05"/>
  </r>
  <r>
    <n v="65020"/>
    <s v="Postage, Mailing Service"/>
    <s v="09/19/2014"/>
    <s v="Expense"/>
    <m/>
    <x v="6"/>
    <x v="0"/>
    <x v="5"/>
    <x v="3"/>
    <m/>
    <s v="10180 BofA Spec Spaces National 4695"/>
    <n v="5.7"/>
    <n v="3270.97"/>
    <n v="5.7"/>
  </r>
  <r>
    <n v="65020"/>
    <s v="Postage, Mailing Service"/>
    <s v="09/22/2014"/>
    <s v="Expense"/>
    <m/>
    <x v="6"/>
    <x v="0"/>
    <x v="5"/>
    <x v="3"/>
    <m/>
    <s v="10180 BofA Spec Spaces National 4695"/>
    <n v="6.16"/>
    <n v="3292.88"/>
    <n v="6.16"/>
  </r>
  <r>
    <n v="65020"/>
    <s v="Postage, Mailing Service"/>
    <s v="10/23/2014"/>
    <s v="Expense"/>
    <m/>
    <x v="6"/>
    <x v="0"/>
    <x v="5"/>
    <x v="3"/>
    <m/>
    <s v="10180 BofA Spec Spaces National 4695"/>
    <n v="5.05"/>
    <n v="3489.86"/>
    <n v="5.05"/>
  </r>
  <r>
    <n v="65020"/>
    <s v="Postage, Mailing Service"/>
    <s v="10/23/2014"/>
    <s v="Expense"/>
    <m/>
    <x v="6"/>
    <x v="0"/>
    <x v="5"/>
    <x v="3"/>
    <m/>
    <s v="10180 BofA Spec Spaces National 4695"/>
    <n v="5.05"/>
    <n v="3494.91"/>
    <n v="5.05"/>
  </r>
  <r>
    <n v="65020"/>
    <s v="Postage, Mailing Service"/>
    <s v="10/31/2014"/>
    <s v="Expense"/>
    <m/>
    <x v="6"/>
    <x v="0"/>
    <x v="5"/>
    <x v="3"/>
    <m/>
    <s v="10180 BofA Spec Spaces National 4695"/>
    <n v="13.15"/>
    <n v="3508.06"/>
    <n v="13.15"/>
  </r>
  <r>
    <n v="65020"/>
    <s v="Postage, Mailing Service"/>
    <s v="10/31/2014"/>
    <s v="Expense"/>
    <m/>
    <x v="6"/>
    <x v="0"/>
    <x v="5"/>
    <x v="3"/>
    <m/>
    <s v="10180 BofA Spec Spaces National 4695"/>
    <n v="5.05"/>
    <n v="3513.11"/>
    <n v="5.05"/>
  </r>
  <r>
    <n v="65025"/>
    <s v="Bank Service Charges"/>
    <s v="02/03/2014"/>
    <s v="Check"/>
    <n v="1"/>
    <x v="92"/>
    <x v="0"/>
    <x v="4"/>
    <x v="14"/>
    <m/>
    <s v="10435 BoA Miami-Mitchell"/>
    <n v="17"/>
    <n v="234.2"/>
    <n v="17"/>
  </r>
  <r>
    <n v="65025"/>
    <s v="Bank Service Charges"/>
    <s v="03/03/2014"/>
    <s v="Check"/>
    <s v="dbt"/>
    <x v="92"/>
    <x v="0"/>
    <x v="4"/>
    <x v="14"/>
    <m/>
    <s v="10125 BofA Restricted Funds -055:National"/>
    <n v="20.95"/>
    <n v="556.66999999999996"/>
    <n v="20.95"/>
  </r>
  <r>
    <n v="65025"/>
    <s v="Bank Service Charges"/>
    <s v="04/01/2014"/>
    <s v="Check"/>
    <m/>
    <x v="92"/>
    <x v="0"/>
    <x v="4"/>
    <x v="14"/>
    <m/>
    <s v="10180 BofA Spec Spaces National 4695"/>
    <n v="29.95"/>
    <n v="676.62"/>
    <n v="29.95"/>
  </r>
  <r>
    <n v="65025"/>
    <s v="Bank Service Charges"/>
    <s v="04/30/2014"/>
    <s v="Check"/>
    <s v="dbt"/>
    <x v="92"/>
    <x v="0"/>
    <x v="4"/>
    <x v="14"/>
    <m/>
    <s v="10125 BofA Restricted Funds -055:National"/>
    <n v="20.95"/>
    <n v="859.57"/>
    <n v="20.95"/>
  </r>
  <r>
    <n v="65025"/>
    <s v="Bank Service Charges"/>
    <s v="05/01/2014"/>
    <s v="Expense"/>
    <m/>
    <x v="92"/>
    <x v="0"/>
    <x v="4"/>
    <x v="14"/>
    <m/>
    <s v="10180 BofA Spec Spaces National 4695"/>
    <n v="29.95"/>
    <n v="1007.28"/>
    <n v="29.95"/>
  </r>
  <r>
    <n v="65025"/>
    <s v="Bank Service Charges"/>
    <s v="05/02/2014"/>
    <s v="Check"/>
    <n v="262"/>
    <x v="92"/>
    <x v="0"/>
    <x v="4"/>
    <x v="14"/>
    <m/>
    <s v="10125 BofA Restricted Funds -055:National"/>
    <n v="20.95"/>
    <n v="1058.23"/>
    <n v="20.95"/>
  </r>
  <r>
    <n v="65025"/>
    <s v="Bank Service Charges"/>
    <s v="06/02/2014"/>
    <s v="Check"/>
    <s v="dbt"/>
    <x v="92"/>
    <x v="0"/>
    <x v="4"/>
    <x v="14"/>
    <m/>
    <s v="10125 BofA Restricted Funds -055:National"/>
    <n v="20.95"/>
    <n v="1342.96"/>
    <n v="20.95"/>
  </r>
  <r>
    <n v="65025"/>
    <s v="Bank Service Charges"/>
    <s v="06/02/2014"/>
    <s v="Expense"/>
    <m/>
    <x v="92"/>
    <x v="0"/>
    <x v="4"/>
    <x v="14"/>
    <m/>
    <s v="10180 BofA Spec Spaces National 4695"/>
    <n v="29.95"/>
    <n v="1491.91"/>
    <n v="29.95"/>
  </r>
  <r>
    <n v="65025"/>
    <s v="Bank Service Charges"/>
    <s v="07/02/2014"/>
    <s v="Check"/>
    <m/>
    <x v="92"/>
    <x v="0"/>
    <x v="4"/>
    <x v="14"/>
    <m/>
    <s v="10125 BofA Restricted Funds -055:National"/>
    <n v="20.95"/>
    <n v="1858.47"/>
    <n v="20.95"/>
  </r>
  <r>
    <n v="65025"/>
    <s v="Bank Service Charges"/>
    <s v="08/01/2014"/>
    <s v="Expense"/>
    <m/>
    <x v="92"/>
    <x v="0"/>
    <x v="4"/>
    <x v="14"/>
    <m/>
    <s v="10180 BofA Spec Spaces National 4695"/>
    <n v="29.95"/>
    <n v="1931.17"/>
    <n v="29.95"/>
  </r>
  <r>
    <n v="65025"/>
    <s v="Bank Service Charges"/>
    <s v="08/04/2014"/>
    <s v="Check"/>
    <s v="dbt"/>
    <x v="92"/>
    <x v="0"/>
    <x v="4"/>
    <x v="14"/>
    <m/>
    <s v="10125 BofA Restricted Funds -055:National"/>
    <n v="20.95"/>
    <n v="2100.12"/>
    <n v="20.95"/>
  </r>
  <r>
    <n v="65025"/>
    <s v="Bank Service Charges"/>
    <s v="09/29/2014"/>
    <s v="Check"/>
    <s v="dbt"/>
    <x v="92"/>
    <x v="0"/>
    <x v="1"/>
    <x v="14"/>
    <m/>
    <s v="10125 BofA Restricted Funds -055:National"/>
    <n v="20.95"/>
    <n v="2331.15"/>
    <n v="20.95"/>
  </r>
  <r>
    <n v="65025"/>
    <s v="Bank Service Charges"/>
    <s v="10/01/2014"/>
    <s v="Expense"/>
    <m/>
    <x v="92"/>
    <x v="0"/>
    <x v="4"/>
    <x v="14"/>
    <m/>
    <s v="10180 BofA Spec Spaces National 4695"/>
    <n v="29.95"/>
    <n v="2376.1"/>
    <n v="29.95"/>
  </r>
  <r>
    <n v="65025"/>
    <s v="Bank Service Charges"/>
    <s v="10/02/2014"/>
    <s v="Check"/>
    <s v="dbt"/>
    <x v="92"/>
    <x v="0"/>
    <x v="4"/>
    <x v="14"/>
    <m/>
    <s v="10125 BofA Restricted Funds -055:National"/>
    <n v="20.95"/>
    <n v="2560.0500000000002"/>
    <n v="20.95"/>
  </r>
  <r>
    <n v="65030"/>
    <s v="Printing and Copying"/>
    <s v="01/16/2014"/>
    <s v="Check"/>
    <m/>
    <x v="524"/>
    <x v="0"/>
    <x v="5"/>
    <x v="20"/>
    <m/>
    <s v="10180 BofA Spec Spaces National 4695"/>
    <n v="139.55000000000001"/>
    <n v="154.55000000000001"/>
    <n v="139.55000000000001"/>
  </r>
  <r>
    <n v="65030"/>
    <s v="Printing and Copying"/>
    <s v="01/21/2014"/>
    <s v="Check"/>
    <m/>
    <x v="147"/>
    <x v="0"/>
    <x v="5"/>
    <x v="20"/>
    <m/>
    <s v="10180 BofA Spec Spaces National 4695"/>
    <n v="16.48"/>
    <n v="171.03"/>
    <n v="16.48"/>
  </r>
  <r>
    <n v="65030"/>
    <s v="Printing and Copying"/>
    <s v="02/14/2014"/>
    <s v="Check"/>
    <n v="415"/>
    <x v="91"/>
    <x v="0"/>
    <x v="5"/>
    <x v="20"/>
    <s v="Letter to Santa"/>
    <s v="10180 BofA Spec Spaces National 4695"/>
    <n v="75"/>
    <n v="246.03"/>
    <n v="75"/>
  </r>
  <r>
    <n v="65030"/>
    <s v="Printing and Copying"/>
    <s v="03/10/2014"/>
    <s v="Check"/>
    <n v="428"/>
    <x v="525"/>
    <x v="0"/>
    <x v="5"/>
    <x v="20"/>
    <s v="Cindy Thota, Ann Decker, Sherry Melton, Kimberly Resnick"/>
    <s v="10180 BofA Spec Spaces National 4695"/>
    <n v="200"/>
    <n v="446.03"/>
    <n v="200"/>
  </r>
  <r>
    <n v="65030"/>
    <s v="Printing and Copying"/>
    <s v="04/08/2014"/>
    <s v="Check"/>
    <n v="437"/>
    <x v="525"/>
    <x v="0"/>
    <x v="5"/>
    <x v="20"/>
    <s v="Envelopes, letterhead,Katie Martin business cards"/>
    <s v="10180 BofA Spec Spaces National 4695"/>
    <n v="752"/>
    <n v="1571.78"/>
    <n v="752"/>
  </r>
  <r>
    <n v="65030"/>
    <s v="Printing and Copying"/>
    <s v="04/24/2014"/>
    <s v="Check"/>
    <n v="447"/>
    <x v="525"/>
    <x v="0"/>
    <x v="5"/>
    <x v="20"/>
    <s v="Anne Strunk bus cards"/>
    <s v="10180 BofA Spec Spaces National 4695"/>
    <n v="50"/>
    <n v="1629.78"/>
    <n v="50"/>
  </r>
  <r>
    <n v="65030"/>
    <s v="Printing and Copying"/>
    <s v="05/27/2014"/>
    <s v="Check"/>
    <n v="460"/>
    <x v="525"/>
    <x v="0"/>
    <x v="5"/>
    <x v="20"/>
    <s v="Ann Swain,  Amy Eiduke, Jennifer Swain, Shelley Ham Business cards"/>
    <s v="10180 BofA Spec Spaces National 4695"/>
    <n v="200"/>
    <n v="2016.38"/>
    <n v="200"/>
  </r>
  <r>
    <n v="65030"/>
    <s v="Printing and Copying"/>
    <s v="07/07/2014"/>
    <s v="Check"/>
    <n v="487"/>
    <x v="525"/>
    <x v="0"/>
    <x v="5"/>
    <x v="20"/>
    <s v="Krista Wharton, Marlo Steinke business cards"/>
    <s v="10180 BofA Spec Spaces National 4695"/>
    <n v="100"/>
    <n v="2356.77"/>
    <n v="100"/>
  </r>
  <r>
    <n v="65030"/>
    <s v="Printing and Copying"/>
    <s v="07/17/2014"/>
    <s v="Check"/>
    <n v="495"/>
    <x v="526"/>
    <x v="0"/>
    <x v="5"/>
    <x v="20"/>
    <s v="annual report"/>
    <s v="10180 BofA Spec Spaces National 4695"/>
    <n v="349.01"/>
    <n v="2769.91"/>
    <n v="349.01"/>
  </r>
  <r>
    <n v="65030"/>
    <s v="Printing and Copying"/>
    <s v="08/11/2014"/>
    <s v="Check"/>
    <n v="510"/>
    <x v="525"/>
    <x v="0"/>
    <x v="1"/>
    <x v="20"/>
    <s v="tshirts for affiliates"/>
    <s v="10180 BofA Spec Spaces National 4695"/>
    <n v="1940.85"/>
    <n v="5070.79"/>
    <n v="1940.85"/>
  </r>
  <r>
    <n v="65030"/>
    <s v="Printing and Copying"/>
    <s v="08/22/2014"/>
    <s v="Check"/>
    <n v="519"/>
    <x v="525"/>
    <x v="0"/>
    <x v="5"/>
    <x v="20"/>
    <s v="Business Cards Lori Beth Lemmon and Melani Dizon"/>
    <s v="10180 BofA Spec Spaces National 4695"/>
    <n v="100"/>
    <n v="5338.35"/>
    <n v="100"/>
  </r>
  <r>
    <n v="65030"/>
    <s v="Printing and Copying"/>
    <s v="08/28/2014"/>
    <s v="Expense"/>
    <m/>
    <x v="527"/>
    <x v="0"/>
    <x v="5"/>
    <x v="20"/>
    <m/>
    <s v="10180 BofA Spec Spaces National 4695"/>
    <n v="269.64999999999998"/>
    <n v="5608"/>
    <n v="269.64999999999998"/>
  </r>
  <r>
    <n v="65030"/>
    <s v="Printing and Copying"/>
    <s v="09/04/2014"/>
    <s v="Deposit"/>
    <m/>
    <x v="527"/>
    <x v="0"/>
    <x v="5"/>
    <x v="20"/>
    <m/>
    <s v="10180 BofA Spec Spaces National 4695"/>
    <n v="-269.64999999999998"/>
    <n v="5377.81"/>
    <n v="-269.64999999999998"/>
  </r>
  <r>
    <n v="65030"/>
    <s v="Printing and Copying"/>
    <s v="09/04/2014"/>
    <s v="Expense"/>
    <m/>
    <x v="527"/>
    <x v="0"/>
    <x v="5"/>
    <x v="20"/>
    <m/>
    <s v="10180 BofA Spec Spaces National 4695"/>
    <n v="221.43"/>
    <n v="5599.24"/>
    <n v="221.43"/>
  </r>
  <r>
    <n v="65030"/>
    <s v="Printing and Copying"/>
    <s v="09/16/2014"/>
    <s v="Check"/>
    <n v="524"/>
    <x v="525"/>
    <x v="0"/>
    <x v="5"/>
    <x v="20"/>
    <s v="Business cards for Annie Bangs,&quot;Wear it&quot; postcards and thank you notes, Buffalo Tshirts"/>
    <s v="10180 BofA Spec Spaces National 4695"/>
    <n v="246"/>
    <n v="7358.16"/>
    <n v="246"/>
  </r>
  <r>
    <n v="65030"/>
    <s v="Printing and Copying"/>
    <s v="10/16/2014"/>
    <s v="Check"/>
    <n v="555"/>
    <x v="525"/>
    <x v="0"/>
    <x v="5"/>
    <x v="20"/>
    <s v="Business cards for Chris Lamberson"/>
    <s v="10180 BofA Spec Spaces National 4695"/>
    <n v="50"/>
    <n v="12193.69"/>
    <n v="50"/>
  </r>
  <r>
    <n v="65035"/>
    <s v=" Meals Expense"/>
    <s v="05/27/2014"/>
    <s v="Expense"/>
    <m/>
    <x v="528"/>
    <x v="0"/>
    <x v="5"/>
    <x v="32"/>
    <m/>
    <s v="10180 BofA Spec Spaces National 4695"/>
    <n v="12.62"/>
    <n v="12.62"/>
    <n v="12.62"/>
  </r>
  <r>
    <n v="65036"/>
    <s v="Volunteer Hospitality"/>
    <s v="01/21/2014"/>
    <s v="Check"/>
    <m/>
    <x v="458"/>
    <x v="0"/>
    <x v="1"/>
    <x v="13"/>
    <m/>
    <s v="10180 BofA Spec Spaces National 4695"/>
    <n v="24.2"/>
    <n v="24.2"/>
    <n v="24.2"/>
  </r>
  <r>
    <n v="65036"/>
    <s v="Volunteer Hospitality"/>
    <s v="02/21/2014"/>
    <s v="Check"/>
    <m/>
    <x v="458"/>
    <x v="0"/>
    <x v="1"/>
    <x v="13"/>
    <m/>
    <s v="10180 BofA Spec Spaces National 4695"/>
    <n v="125"/>
    <n v="876.54"/>
    <n v="125"/>
  </r>
  <r>
    <n v="65036"/>
    <s v="Volunteer Hospitality"/>
    <s v="06/25/2014"/>
    <s v="Expense"/>
    <m/>
    <x v="152"/>
    <x v="0"/>
    <x v="1"/>
    <x v="13"/>
    <m/>
    <s v="10180 BofA Spec Spaces National 4695"/>
    <n v="25.71"/>
    <n v="5109.1899999999996"/>
    <n v="25.71"/>
  </r>
  <r>
    <n v="65036"/>
    <s v="Volunteer Hospitality"/>
    <s v="08/05/2014"/>
    <s v="Check"/>
    <n v="502"/>
    <x v="529"/>
    <x v="0"/>
    <x v="1"/>
    <x v="13"/>
    <m/>
    <s v="10180 BofA Spec Spaces National 4695"/>
    <n v="200"/>
    <n v="5675.86"/>
    <n v="200"/>
  </r>
  <r>
    <n v="65036"/>
    <s v="Volunteer Hospitality"/>
    <s v="08/08/2014"/>
    <s v="Expense"/>
    <m/>
    <x v="530"/>
    <x v="0"/>
    <x v="1"/>
    <x v="13"/>
    <m/>
    <s v="10180 BofA Spec Spaces National 4695"/>
    <n v="2.19"/>
    <n v="5678.05"/>
    <n v="2.19"/>
  </r>
  <r>
    <n v="65036"/>
    <s v="Volunteer Hospitality"/>
    <s v="08/08/2014"/>
    <s v="Expense"/>
    <m/>
    <x v="530"/>
    <x v="0"/>
    <x v="1"/>
    <x v="13"/>
    <m/>
    <s v="10180 BofA Spec Spaces National 4695"/>
    <n v="116.08"/>
    <n v="5794.13"/>
    <n v="116.08"/>
  </r>
  <r>
    <n v="65036"/>
    <s v="Volunteer Hospitality"/>
    <s v="08/08/2014"/>
    <s v="Expense"/>
    <m/>
    <x v="531"/>
    <x v="0"/>
    <x v="1"/>
    <x v="13"/>
    <m/>
    <s v="10180 BofA Spec Spaces National 4695"/>
    <n v="158.29"/>
    <n v="5952.42"/>
    <n v="158.29"/>
  </r>
  <r>
    <n v="65036"/>
    <s v="Volunteer Hospitality"/>
    <s v="08/11/2014"/>
    <s v="Check"/>
    <n v="503"/>
    <x v="532"/>
    <x v="0"/>
    <x v="1"/>
    <x v="13"/>
    <s v="travel to Knoxville for interview"/>
    <s v="10180 BofA Spec Spaces National 4695"/>
    <n v="122.18"/>
    <n v="6074.6"/>
    <n v="122.18"/>
  </r>
  <r>
    <n v="65036"/>
    <s v="Volunteer Hospitality"/>
    <s v="08/15/2014"/>
    <s v="Expense"/>
    <m/>
    <x v="531"/>
    <x v="0"/>
    <x v="1"/>
    <x v="13"/>
    <m/>
    <s v="10180 BofA Spec Spaces National 4695"/>
    <n v="42.61"/>
    <n v="6129.81"/>
    <n v="42.61"/>
  </r>
  <r>
    <n v="65036"/>
    <s v="Volunteer Hospitality"/>
    <s v="08/25/2014"/>
    <s v="Expense"/>
    <m/>
    <x v="533"/>
    <x v="0"/>
    <x v="1"/>
    <x v="13"/>
    <m/>
    <s v="10180 BofA Spec Spaces National 4695"/>
    <n v="99.2"/>
    <n v="6457.91"/>
    <n v="99.2"/>
  </r>
  <r>
    <n v="65036"/>
    <s v="Volunteer Hospitality"/>
    <s v="09/11/2014"/>
    <s v="Expense"/>
    <m/>
    <x v="534"/>
    <x v="0"/>
    <x v="1"/>
    <x v="13"/>
    <m/>
    <s v="10180 BofA Spec Spaces National 4695"/>
    <n v="48.97"/>
    <n v="6673.22"/>
    <n v="48.97"/>
  </r>
  <r>
    <n v="65036"/>
    <s v="Volunteer Hospitality"/>
    <s v="10/28/2014"/>
    <s v="Check"/>
    <n v="565"/>
    <x v="368"/>
    <x v="0"/>
    <x v="1"/>
    <x v="13"/>
    <m/>
    <s v="10180 BofA Spec Spaces National 4695"/>
    <n v="0"/>
    <n v="7071.85"/>
    <n v="0"/>
  </r>
  <r>
    <n v="65036"/>
    <s v="Volunteer Hospitality"/>
    <s v="10/29/2014"/>
    <s v="Expense"/>
    <m/>
    <x v="11"/>
    <x v="0"/>
    <x v="1"/>
    <x v="13"/>
    <m/>
    <s v="10180 BofA Spec Spaces National 4695"/>
    <n v="1"/>
    <n v="7072.85"/>
    <n v="1"/>
  </r>
  <r>
    <n v="65040"/>
    <s v="Supplies"/>
    <s v="01/13/2014"/>
    <s v="Check"/>
    <m/>
    <x v="9"/>
    <x v="0"/>
    <x v="4"/>
    <x v="4"/>
    <m/>
    <s v="10180 BofA Spec Spaces National 4695"/>
    <n v="279.04000000000002"/>
    <n v="279.04000000000002"/>
    <n v="279.04000000000002"/>
  </r>
  <r>
    <n v="65040"/>
    <s v="Supplies"/>
    <s v="01/16/2014"/>
    <s v="Check"/>
    <m/>
    <x v="9"/>
    <x v="0"/>
    <x v="4"/>
    <x v="4"/>
    <m/>
    <s v="10180 BofA Spec Spaces National 4695"/>
    <n v="290.48"/>
    <n v="569.52"/>
    <n v="290.48"/>
  </r>
  <r>
    <n v="65040"/>
    <s v="Supplies"/>
    <s v="02/18/2014"/>
    <s v="Check"/>
    <m/>
    <x v="9"/>
    <x v="0"/>
    <x v="4"/>
    <x v="4"/>
    <m/>
    <s v="10180 BofA Spec Spaces National 4695"/>
    <n v="31.47"/>
    <n v="726.81"/>
    <n v="31.47"/>
  </r>
  <r>
    <n v="65040"/>
    <s v="Supplies"/>
    <s v="03/21/2014"/>
    <s v="Check"/>
    <m/>
    <x v="9"/>
    <x v="0"/>
    <x v="4"/>
    <x v="4"/>
    <m/>
    <s v="10180 BofA Spec Spaces National 4695"/>
    <n v="41.47"/>
    <n v="991.99"/>
    <n v="41.47"/>
  </r>
  <r>
    <n v="65040"/>
    <s v="Supplies"/>
    <s v="03/27/2014"/>
    <s v="Check"/>
    <m/>
    <x v="9"/>
    <x v="0"/>
    <x v="4"/>
    <x v="4"/>
    <m/>
    <s v="10180 BofA Spec Spaces National 4695"/>
    <n v="36.479999999999997"/>
    <n v="1110.6199999999999"/>
    <n v="36.479999999999997"/>
  </r>
  <r>
    <n v="65040"/>
    <s v="Supplies"/>
    <s v="04/04/2014"/>
    <s v="Check"/>
    <m/>
    <x v="9"/>
    <x v="0"/>
    <x v="4"/>
    <x v="4"/>
    <m/>
    <s v="10180 BofA Spec Spaces National 4695"/>
    <n v="173.04"/>
    <n v="1323.68"/>
    <n v="173.04"/>
  </r>
  <r>
    <n v="65040"/>
    <s v="Supplies"/>
    <s v="04/16/2014"/>
    <s v="Check"/>
    <m/>
    <x v="9"/>
    <x v="0"/>
    <x v="4"/>
    <x v="4"/>
    <m/>
    <s v="10180 BofA Spec Spaces National 4695"/>
    <n v="30.98"/>
    <n v="1354.66"/>
    <n v="30.98"/>
  </r>
  <r>
    <n v="65040"/>
    <s v="Supplies"/>
    <s v="05/27/2014"/>
    <s v="Expense"/>
    <m/>
    <x v="9"/>
    <x v="0"/>
    <x v="4"/>
    <x v="4"/>
    <m/>
    <s v="10180 BofA Spec Spaces National 4695"/>
    <n v="35.06"/>
    <n v="1473.55"/>
    <n v="35.06"/>
  </r>
  <r>
    <n v="65040"/>
    <s v="Supplies"/>
    <s v="05/27/2014"/>
    <s v="Expense"/>
    <m/>
    <x v="306"/>
    <x v="0"/>
    <x v="4"/>
    <x v="4"/>
    <m/>
    <s v="10180 BofA Spec Spaces National 4695"/>
    <n v="100"/>
    <n v="1573.55"/>
    <n v="100"/>
  </r>
  <r>
    <n v="65040"/>
    <s v="Supplies"/>
    <s v="06/06/2014"/>
    <s v="Expense"/>
    <m/>
    <x v="9"/>
    <x v="0"/>
    <x v="4"/>
    <x v="4"/>
    <m/>
    <s v="10180 BofA Spec Spaces National 4695"/>
    <n v="67.3"/>
    <n v="1640.85"/>
    <n v="67.3"/>
  </r>
  <r>
    <n v="65040"/>
    <s v="Supplies"/>
    <s v="06/16/2014"/>
    <s v="Expense"/>
    <m/>
    <x v="535"/>
    <x v="0"/>
    <x v="4"/>
    <x v="4"/>
    <m/>
    <s v="10180 BofA Spec Spaces National 4695"/>
    <n v="52.42"/>
    <n v="1733.76"/>
    <n v="52.42"/>
  </r>
  <r>
    <n v="65040"/>
    <s v="Supplies"/>
    <s v="06/19/2014"/>
    <s v="Expense"/>
    <m/>
    <x v="9"/>
    <x v="0"/>
    <x v="4"/>
    <x v="4"/>
    <m/>
    <s v="10180 BofA Spec Spaces National 4695"/>
    <n v="84.98"/>
    <n v="2068.7399999999998"/>
    <n v="84.98"/>
  </r>
  <r>
    <n v="65040"/>
    <s v="Supplies/Office Expense"/>
    <s v="07/18/2014"/>
    <s v="Expense"/>
    <m/>
    <x v="9"/>
    <x v="0"/>
    <x v="4"/>
    <x v="4"/>
    <m/>
    <s v="10180 BofA Spec Spaces National 4695"/>
    <n v="13.99"/>
    <n v="2183.63"/>
    <n v="13.99"/>
  </r>
  <r>
    <n v="65040"/>
    <s v="Supplies/Office Expense"/>
    <s v="07/22/2014"/>
    <s v="Expense"/>
    <m/>
    <x v="9"/>
    <x v="0"/>
    <x v="4"/>
    <x v="4"/>
    <m/>
    <s v="10180 BofA Spec Spaces National 4695"/>
    <n v="3.99"/>
    <n v="2187.62"/>
    <n v="3.99"/>
  </r>
  <r>
    <n v="65040"/>
    <s v="Supplies/Office Expense"/>
    <s v="07/23/2014"/>
    <s v="Expense"/>
    <m/>
    <x v="9"/>
    <x v="0"/>
    <x v="4"/>
    <x v="4"/>
    <m/>
    <s v="10180 BofA Spec Spaces National 4695"/>
    <n v="69.31"/>
    <n v="2256.9299999999998"/>
    <n v="69.31"/>
  </r>
  <r>
    <n v="65040"/>
    <s v="Supplies/Office Expense"/>
    <s v="07/23/2014"/>
    <s v="Expense"/>
    <m/>
    <x v="9"/>
    <x v="0"/>
    <x v="4"/>
    <x v="4"/>
    <m/>
    <s v="10180 BofA Spec Spaces National 4695"/>
    <n v="15.97"/>
    <n v="2272.9"/>
    <n v="15.97"/>
  </r>
  <r>
    <n v="65040"/>
    <s v="Supplies/Office Expense"/>
    <s v="08/13/2014"/>
    <s v="Expense"/>
    <m/>
    <x v="9"/>
    <x v="0"/>
    <x v="4"/>
    <x v="4"/>
    <m/>
    <s v="10180 BofA Spec Spaces National 4695"/>
    <n v="93.99"/>
    <n v="2366.89"/>
    <n v="93.99"/>
  </r>
  <r>
    <n v="65040"/>
    <s v="Supplies/Office Expense"/>
    <s v="09/19/2014"/>
    <s v="Expense"/>
    <m/>
    <x v="9"/>
    <x v="0"/>
    <x v="4"/>
    <x v="4"/>
    <m/>
    <s v="10180 BofA Spec Spaces National 4695"/>
    <n v="18.079999999999998"/>
    <n v="2417.73"/>
    <n v="18.079999999999998"/>
  </r>
  <r>
    <n v="65040"/>
    <s v="Supplies/Office Expense"/>
    <s v="09/19/2014"/>
    <s v="Expense"/>
    <m/>
    <x v="9"/>
    <x v="0"/>
    <x v="4"/>
    <x v="4"/>
    <m/>
    <s v="10180 BofA Spec Spaces National 4695"/>
    <n v="110.89"/>
    <n v="2528.62"/>
    <n v="110.89"/>
  </r>
  <r>
    <n v="65040"/>
    <s v="Supplies/Office Expense"/>
    <s v="10/22/2014"/>
    <s v="Expense"/>
    <m/>
    <x v="9"/>
    <x v="0"/>
    <x v="4"/>
    <x v="4"/>
    <m/>
    <s v="10180 BofA Spec Spaces National 4695"/>
    <n v="17.989999999999998"/>
    <n v="2623.71"/>
    <n v="17.989999999999998"/>
  </r>
  <r>
    <n v="65040"/>
    <s v="Supplies/Office Expense"/>
    <s v="10/22/2014"/>
    <s v="Expense"/>
    <m/>
    <x v="9"/>
    <x v="0"/>
    <x v="4"/>
    <x v="4"/>
    <m/>
    <s v="10180 BofA Spec Spaces National 4695"/>
    <n v="416.01"/>
    <n v="3039.72"/>
    <n v="416.01"/>
  </r>
  <r>
    <n v="65040"/>
    <s v="Supplies/Office Expense"/>
    <s v="10/29/2014"/>
    <s v="Expense"/>
    <m/>
    <x v="9"/>
    <x v="0"/>
    <x v="4"/>
    <x v="4"/>
    <m/>
    <s v="10180 BofA Spec Spaces National 4695"/>
    <n v="93.99"/>
    <n v="3133.71"/>
    <n v="93.99"/>
  </r>
  <r>
    <n v="65045"/>
    <s v="Rent/Storage"/>
    <s v="10/28/2014"/>
    <s v="Check"/>
    <n v="562"/>
    <x v="536"/>
    <x v="0"/>
    <x v="1"/>
    <x v="16"/>
    <s v="storage unit"/>
    <s v="10180 BofA Spec Spaces National 4695"/>
    <n v="75"/>
    <n v="6770.35"/>
    <n v="75"/>
  </r>
  <r>
    <n v="65050"/>
    <s v="Telephone, Telecommunications"/>
    <s v="01/20/2014"/>
    <s v="Check"/>
    <n v="400"/>
    <x v="537"/>
    <x v="0"/>
    <x v="4"/>
    <x v="17"/>
    <s v="Verizon reimbursement"/>
    <s v="10180 BofA Spec Spaces National 4695"/>
    <n v="106.06"/>
    <n v="106.06"/>
    <n v="106.06"/>
  </r>
  <r>
    <n v="65061"/>
    <s v="Material for Rooms Expense"/>
    <s v="01/01/2014"/>
    <s v="Journal Entry"/>
    <s v="550R"/>
    <x v="0"/>
    <x v="0"/>
    <x v="1"/>
    <x v="5"/>
    <s v="to accrue unrecorded payables at 12/31/13"/>
    <s v="-Split-"/>
    <n v="-9797.98"/>
    <n v="-9797.98"/>
    <n v="-9797.98"/>
  </r>
  <r>
    <n v="65061"/>
    <s v="Material for Rooms Expense"/>
    <s v="01/14/2014"/>
    <s v="Check"/>
    <m/>
    <x v="538"/>
    <x v="0"/>
    <x v="1"/>
    <x v="5"/>
    <m/>
    <s v="10180 BofA Spec Spaces National 4695"/>
    <n v="61.25"/>
    <n v="3881.02"/>
    <n v="61.25"/>
  </r>
  <r>
    <n v="65061"/>
    <s v="Material for Rooms Expense"/>
    <s v="01/14/2014"/>
    <s v="Check"/>
    <m/>
    <x v="66"/>
    <x v="0"/>
    <x v="1"/>
    <x v="5"/>
    <m/>
    <s v="10180 BofA Spec Spaces National 4695"/>
    <n v="306.02"/>
    <n v="4187.04"/>
    <n v="306.02"/>
  </r>
  <r>
    <n v="65061"/>
    <s v="Material for Rooms Expense"/>
    <s v="01/15/2014"/>
    <s v="Check"/>
    <m/>
    <x v="539"/>
    <x v="0"/>
    <x v="1"/>
    <x v="5"/>
    <m/>
    <s v="10180 BofA Spec Spaces National 4695"/>
    <n v="849"/>
    <n v="5540.94"/>
    <n v="849"/>
  </r>
  <r>
    <n v="65061"/>
    <s v="Material for Rooms Expense"/>
    <s v="01/21/2014"/>
    <s v="Check"/>
    <m/>
    <x v="540"/>
    <x v="0"/>
    <x v="1"/>
    <x v="5"/>
    <m/>
    <s v="10180 BofA Spec Spaces National 4695"/>
    <n v="12.29"/>
    <n v="12215.85"/>
    <n v="12.29"/>
  </r>
  <r>
    <n v="65061"/>
    <s v="Material for Rooms Expense"/>
    <s v="01/21/2014"/>
    <s v="Check"/>
    <m/>
    <x v="16"/>
    <x v="0"/>
    <x v="1"/>
    <x v="5"/>
    <m/>
    <s v="10180 BofA Spec Spaces National 4695"/>
    <n v="22.88"/>
    <n v="12238.73"/>
    <n v="22.88"/>
  </r>
  <r>
    <n v="65061"/>
    <s v="Material for Rooms Expense"/>
    <s v="01/21/2014"/>
    <s v="Check"/>
    <m/>
    <x v="541"/>
    <x v="0"/>
    <x v="1"/>
    <x v="5"/>
    <m/>
    <s v="10180 BofA Spec Spaces National 4695"/>
    <n v="128.52000000000001"/>
    <n v="12374.69"/>
    <n v="128.52000000000001"/>
  </r>
  <r>
    <n v="65061"/>
    <s v="Material for Rooms Expense"/>
    <s v="01/22/2014"/>
    <s v="Check"/>
    <m/>
    <x v="522"/>
    <x v="0"/>
    <x v="1"/>
    <x v="5"/>
    <m/>
    <s v="10180 BofA Spec Spaces National 4695"/>
    <n v="343.59"/>
    <n v="15448.73"/>
    <n v="343.59"/>
  </r>
  <r>
    <n v="65061"/>
    <s v="Material for Rooms Expense"/>
    <s v="03/27/2014"/>
    <s v="Check"/>
    <n v="430"/>
    <x v="542"/>
    <x v="0"/>
    <x v="1"/>
    <x v="5"/>
    <s v="Colton"/>
    <s v="10180 BofA Spec Spaces National 4695"/>
    <n v="175"/>
    <n v="78391.13"/>
    <n v="175"/>
  </r>
  <r>
    <n v="65061"/>
    <s v="Material for Rooms Expense"/>
    <s v="05/16/2014"/>
    <s v="Expense"/>
    <m/>
    <x v="9"/>
    <x v="0"/>
    <x v="1"/>
    <x v="5"/>
    <m/>
    <s v="10180 BofA Spec Spaces National 4695"/>
    <n v="73.91"/>
    <n v="136843.54"/>
    <n v="73.91"/>
  </r>
  <r>
    <n v="65061"/>
    <s v="Material for Rooms Expense"/>
    <s v="06/10/2014"/>
    <s v="Expense"/>
    <m/>
    <x v="543"/>
    <x v="0"/>
    <x v="1"/>
    <x v="5"/>
    <m/>
    <s v="10180 BofA Spec Spaces National 4695"/>
    <n v="168.89"/>
    <n v="165978.51999999999"/>
    <n v="168.89"/>
  </r>
  <r>
    <n v="65061"/>
    <s v="Material for Rooms Expense"/>
    <s v="06/10/2014"/>
    <s v="Expense"/>
    <m/>
    <x v="29"/>
    <x v="0"/>
    <x v="1"/>
    <x v="5"/>
    <m/>
    <s v="10180 BofA Spec Spaces National 4695"/>
    <n v="33.36"/>
    <n v="167601.49"/>
    <n v="33.36"/>
  </r>
  <r>
    <n v="65061"/>
    <s v="Material for Rooms Expense"/>
    <s v="06/17/2014"/>
    <s v="Expense"/>
    <m/>
    <x v="33"/>
    <x v="0"/>
    <x v="1"/>
    <x v="5"/>
    <m/>
    <s v="10180 BofA Spec Spaces National 4695"/>
    <n v="57.89"/>
    <n v="174706.6"/>
    <n v="57.89"/>
  </r>
  <r>
    <n v="65061"/>
    <s v="Material for Rooms Expense"/>
    <s v="06/17/2014"/>
    <s v="Expense"/>
    <m/>
    <x v="33"/>
    <x v="0"/>
    <x v="1"/>
    <x v="5"/>
    <m/>
    <s v="10180 BofA Spec Spaces National 4695"/>
    <n v="19.170000000000002"/>
    <n v="174725.77"/>
    <n v="19.170000000000002"/>
  </r>
  <r>
    <n v="65061"/>
    <s v="Material for Rooms Expense"/>
    <s v="06/17/2014"/>
    <s v="Expense"/>
    <m/>
    <x v="33"/>
    <x v="0"/>
    <x v="1"/>
    <x v="5"/>
    <m/>
    <s v="10180 BofA Spec Spaces National 4695"/>
    <n v="37.56"/>
    <n v="174763.33"/>
    <n v="37.56"/>
  </r>
  <r>
    <n v="65061"/>
    <s v="Material for Rooms Expense"/>
    <s v="06/18/2014"/>
    <s v="Expense"/>
    <m/>
    <x v="33"/>
    <x v="0"/>
    <x v="1"/>
    <x v="5"/>
    <m/>
    <s v="10180 BofA Spec Spaces National 4695"/>
    <n v="86.08"/>
    <n v="175422.53"/>
    <n v="86.08"/>
  </r>
  <r>
    <n v="65061"/>
    <s v="Material for Rooms Expense"/>
    <s v="06/18/2014"/>
    <s v="Expense"/>
    <m/>
    <x v="33"/>
    <x v="0"/>
    <x v="1"/>
    <x v="5"/>
    <m/>
    <s v="10180 BofA Spec Spaces National 4695"/>
    <n v="201.21"/>
    <n v="177501.47"/>
    <n v="201.21"/>
  </r>
  <r>
    <n v="65061"/>
    <s v="Material for Rooms Expense"/>
    <s v="06/18/2014"/>
    <s v="Expense"/>
    <m/>
    <x v="33"/>
    <x v="0"/>
    <x v="1"/>
    <x v="5"/>
    <m/>
    <s v="10180 BofA Spec Spaces National 4695"/>
    <n v="36.57"/>
    <n v="177538.04"/>
    <n v="36.57"/>
  </r>
  <r>
    <n v="65061"/>
    <s v="Material for Rooms Expense"/>
    <s v="06/18/2014"/>
    <s v="Expense"/>
    <m/>
    <x v="302"/>
    <x v="0"/>
    <x v="1"/>
    <x v="5"/>
    <m/>
    <s v="10180 BofA Spec Spaces National 4695"/>
    <n v="166.45"/>
    <n v="178572.35"/>
    <n v="166.45"/>
  </r>
  <r>
    <n v="65061"/>
    <s v="Material for Rooms Expense"/>
    <s v="06/23/2014"/>
    <s v="Expense"/>
    <m/>
    <x v="14"/>
    <x v="0"/>
    <x v="1"/>
    <x v="5"/>
    <m/>
    <s v="10180 BofA Spec Spaces National 4695"/>
    <n v="15.2"/>
    <n v="181454.1"/>
    <n v="15.2"/>
  </r>
  <r>
    <n v="65061"/>
    <s v="Material for Rooms Expense"/>
    <s v="06/24/2014"/>
    <s v="Check"/>
    <n v="482"/>
    <x v="544"/>
    <x v="0"/>
    <x v="1"/>
    <x v="5"/>
    <s v="New Orleans room "/>
    <s v="10180 BofA Spec Spaces National 4695"/>
    <n v="1000"/>
    <n v="184829.91"/>
    <n v="1000"/>
  </r>
  <r>
    <n v="65061"/>
    <s v="Material for Rooms Expense"/>
    <s v="06/24/2014"/>
    <s v="Expense"/>
    <m/>
    <x v="545"/>
    <x v="0"/>
    <x v="1"/>
    <x v="5"/>
    <m/>
    <s v="10180 BofA Spec Spaces National 4695"/>
    <n v="19.59"/>
    <n v="184762.45"/>
    <n v="19.59"/>
  </r>
  <r>
    <n v="65061"/>
    <s v="Material for Rooms Expense"/>
    <s v="06/27/2014"/>
    <s v="Expense"/>
    <m/>
    <x v="381"/>
    <x v="0"/>
    <x v="1"/>
    <x v="5"/>
    <m/>
    <s v="10180 BofA Spec Spaces National 4695"/>
    <n v="537.74"/>
    <n v="190702.27"/>
    <n v="537.74"/>
  </r>
  <r>
    <n v="65061"/>
    <s v="Material for Rooms Expense"/>
    <s v="06/30/2014"/>
    <s v="Expense"/>
    <m/>
    <x v="522"/>
    <x v="0"/>
    <x v="1"/>
    <x v="5"/>
    <m/>
    <s v="10180 BofA Spec Spaces National 4695"/>
    <n v="824.16"/>
    <n v="194897.07"/>
    <n v="824.16"/>
  </r>
  <r>
    <n v="65061"/>
    <s v="Material for Rooms"/>
    <s v="08/11/2014"/>
    <s v="Check"/>
    <n v="515"/>
    <x v="0"/>
    <x v="0"/>
    <x v="1"/>
    <x v="5"/>
    <m/>
    <s v="10180 BofA Spec Spaces National 4695"/>
    <n v="0"/>
    <n v="239114.11"/>
    <n v="0"/>
  </r>
  <r>
    <n v="65061"/>
    <s v="Material for Rooms"/>
    <s v="10/08/2014"/>
    <s v="Expense"/>
    <m/>
    <x v="546"/>
    <x v="0"/>
    <x v="1"/>
    <x v="5"/>
    <m/>
    <s v="10180 BofA Spec Spaces National 4695"/>
    <n v="1004.96"/>
    <n v="285582.73"/>
    <n v="1004.96"/>
  </r>
  <r>
    <n v="65061"/>
    <s v="Material for Rooms"/>
    <s v="10/20/2014"/>
    <s v="Expense"/>
    <m/>
    <x v="53"/>
    <x v="0"/>
    <x v="1"/>
    <x v="5"/>
    <m/>
    <s v="10531 BofA Knoxville"/>
    <n v="116.56"/>
    <n v="296462.2"/>
    <n v="116.56"/>
  </r>
  <r>
    <n v="65062"/>
    <s v="In-Kind Goods"/>
    <s v="10/15/2014"/>
    <s v="Journal Entry"/>
    <n v="753"/>
    <x v="0"/>
    <x v="0"/>
    <x v="1"/>
    <x v="10"/>
    <s v="mural for feld room in Cincinnati"/>
    <s v="-Split-"/>
    <n v="800"/>
    <n v="48116.95"/>
    <n v="800"/>
  </r>
  <r>
    <n v="65062"/>
    <s v="In-Kind Goods"/>
    <s v="10/20/2014"/>
    <s v="Journal Entry"/>
    <n v="736"/>
    <x v="0"/>
    <x v="0"/>
    <x v="1"/>
    <x v="10"/>
    <s v="(2) $50.00 gift certificates for bed race"/>
    <s v="-Split-"/>
    <n v="100"/>
    <n v="48216.95"/>
    <n v="100"/>
  </r>
  <r>
    <n v="65062"/>
    <s v="In-Kind Goods"/>
    <s v="10/20/2014"/>
    <s v="Journal Entry"/>
    <n v="735"/>
    <x v="0"/>
    <x v="0"/>
    <x v="1"/>
    <x v="10"/>
    <s v="4 steel welded Beds"/>
    <s v="-Split-"/>
    <n v="1600"/>
    <n v="49816.95"/>
    <n v="1600"/>
  </r>
  <r>
    <n v="65062"/>
    <s v="In-Kind Goods"/>
    <s v="10/29/2014"/>
    <s v="Journal Entry"/>
    <n v="751"/>
    <x v="0"/>
    <x v="0"/>
    <x v="1"/>
    <x v="10"/>
    <s v="discount on billboard for Bedrace"/>
    <s v="-Split-"/>
    <n v="757"/>
    <n v="38887.5"/>
    <n v="757"/>
  </r>
  <r>
    <n v="65063"/>
    <s v="In-Kind Services"/>
    <s v="01/18/2014"/>
    <s v="Journal Entry"/>
    <n v="497"/>
    <x v="0"/>
    <x v="0"/>
    <x v="1"/>
    <x v="11"/>
    <s v="Kobe's Room - Nashville Feld room"/>
    <s v="-Split-"/>
    <n v="1000"/>
    <n v="7277"/>
    <n v="1000"/>
  </r>
  <r>
    <n v="65070"/>
    <s v="Credit Card Processing Fee"/>
    <s v="01/02/2014"/>
    <s v="Check"/>
    <s v="dbt"/>
    <x v="92"/>
    <x v="0"/>
    <x v="4"/>
    <x v="19"/>
    <m/>
    <s v="10125 BofA Restricted Funds -055:National"/>
    <n v="20.95"/>
    <n v="20.95"/>
    <n v="20.95"/>
  </r>
  <r>
    <n v="65070"/>
    <s v="Credit Card Processing Fee"/>
    <s v="01/31/2014"/>
    <s v="Check"/>
    <m/>
    <x v="92"/>
    <x v="0"/>
    <x v="4"/>
    <x v="19"/>
    <m/>
    <s v="10180 BofA Spec Spaces National 4695"/>
    <n v="29.95"/>
    <n v="50.9"/>
    <n v="29.95"/>
  </r>
  <r>
    <n v="65070"/>
    <s v="Credit Card Processing Fee"/>
    <s v="02/10/2014"/>
    <s v="Check"/>
    <s v="dbt"/>
    <x v="92"/>
    <x v="0"/>
    <x v="4"/>
    <x v="19"/>
    <m/>
    <s v="10125 BofA Restricted Funds -055:National"/>
    <n v="20.95"/>
    <n v="71.849999999999994"/>
    <n v="20.95"/>
  </r>
  <r>
    <n v="65075"/>
    <s v="Staff Development"/>
    <s v="02/10/2014"/>
    <s v="Check"/>
    <m/>
    <x v="547"/>
    <x v="0"/>
    <x v="1"/>
    <x v="18"/>
    <m/>
    <s v="10180 BofA Spec Spaces National 4695"/>
    <n v="3.24"/>
    <n v="3.24"/>
    <n v="3.24"/>
  </r>
  <r>
    <n v="65075"/>
    <s v="Staff Development"/>
    <s v="05/28/2014"/>
    <s v="Expense"/>
    <m/>
    <x v="548"/>
    <x v="0"/>
    <x v="1"/>
    <x v="18"/>
    <m/>
    <s v="10180 BofA Spec Spaces National 4695"/>
    <n v="420.18"/>
    <n v="923.42"/>
    <n v="420.18"/>
  </r>
  <r>
    <n v="65075"/>
    <s v="Staff Development"/>
    <s v="05/29/2014"/>
    <s v="Expense"/>
    <m/>
    <x v="548"/>
    <x v="0"/>
    <x v="1"/>
    <x v="18"/>
    <m/>
    <s v="10180 BofA Spec Spaces National 4695"/>
    <n v="138.04"/>
    <n v="1061.46"/>
    <n v="138.04"/>
  </r>
  <r>
    <n v="65075"/>
    <s v="Staff Development"/>
    <s v="05/29/2014"/>
    <s v="Expense"/>
    <m/>
    <x v="548"/>
    <x v="0"/>
    <x v="1"/>
    <x v="18"/>
    <m/>
    <s v="10180 BofA Spec Spaces National 4695"/>
    <n v="10"/>
    <n v="1071.46"/>
    <n v="10"/>
  </r>
  <r>
    <n v="65075"/>
    <s v="Staff Development"/>
    <s v="08/11/2014"/>
    <s v="Check"/>
    <n v="513"/>
    <x v="549"/>
    <x v="0"/>
    <x v="1"/>
    <x v="18"/>
    <m/>
    <s v="10180 BofA Spec Spaces National 4695"/>
    <n v="75"/>
    <n v="1143.22"/>
    <n v="75"/>
  </r>
  <r>
    <n v="65080"/>
    <s v="Automobile Expenses"/>
    <s v="05/28/2014"/>
    <s v="Expense"/>
    <m/>
    <x v="217"/>
    <x v="0"/>
    <x v="4"/>
    <x v="15"/>
    <m/>
    <s v="10180 BofA Spec Spaces National 4695"/>
    <n v="35.380000000000003"/>
    <n v="138.88"/>
    <n v="35.380000000000003"/>
  </r>
  <r>
    <n v="65090"/>
    <s v="Advertising/Publicity Expense"/>
    <s v="08/13/2014"/>
    <s v="Expense"/>
    <m/>
    <x v="550"/>
    <x v="0"/>
    <x v="5"/>
    <x v="6"/>
    <m/>
    <s v="10180 BofA Spec Spaces National 4695"/>
    <n v="77"/>
    <n v="1140.6199999999999"/>
    <n v="77"/>
  </r>
  <r>
    <n v="65095"/>
    <s v="Paypal Expense"/>
    <s v="01/09/2014"/>
    <s v="Journal Entry"/>
    <n v="349"/>
    <x v="0"/>
    <x v="0"/>
    <x v="4"/>
    <x v="19"/>
    <s v="paypal"/>
    <s v="-Split-"/>
    <n v="2.96"/>
    <n v="2.96"/>
    <n v="2.96"/>
  </r>
  <r>
    <n v="65095"/>
    <s v="Paypal Expense"/>
    <s v="01/09/2014"/>
    <s v="Journal Entry"/>
    <n v="347"/>
    <x v="0"/>
    <x v="0"/>
    <x v="4"/>
    <x v="19"/>
    <m/>
    <s v="-Split-"/>
    <n v="7.6"/>
    <n v="10.56"/>
    <n v="7.6"/>
  </r>
  <r>
    <n v="65095"/>
    <s v="Paypal Expense"/>
    <s v="01/09/2014"/>
    <s v="Journal Entry"/>
    <n v="351"/>
    <x v="0"/>
    <x v="0"/>
    <x v="4"/>
    <x v="19"/>
    <m/>
    <s v="-Split-"/>
    <n v="18.55"/>
    <n v="29.11"/>
    <n v="18.55"/>
  </r>
  <r>
    <n v="65095"/>
    <s v="Paypal Expense"/>
    <s v="01/27/2014"/>
    <s v="Journal Entry"/>
    <n v="401"/>
    <x v="0"/>
    <x v="0"/>
    <x v="4"/>
    <x v="19"/>
    <s v="paypal"/>
    <s v="-Split-"/>
    <n v="16.100000000000001"/>
    <n v="45.21"/>
    <n v="16.100000000000001"/>
  </r>
  <r>
    <n v="65095"/>
    <s v="Paypal Expense"/>
    <s v="02/24/2014"/>
    <s v="Journal Entry"/>
    <n v="419"/>
    <x v="0"/>
    <x v="0"/>
    <x v="4"/>
    <x v="19"/>
    <s v="paypal"/>
    <s v="-Split-"/>
    <n v="41.76"/>
    <n v="86.97"/>
    <n v="41.76"/>
  </r>
  <r>
    <n v="65095"/>
    <s v="Paypal Expense"/>
    <s v="03/11/2014"/>
    <s v="Journal Entry"/>
    <n v="446"/>
    <x v="0"/>
    <x v="0"/>
    <x v="4"/>
    <x v="19"/>
    <s v="paypal"/>
    <s v="-Split-"/>
    <n v="16.739999999999998"/>
    <n v="103.71"/>
    <n v="16.739999999999998"/>
  </r>
  <r>
    <n v="65095"/>
    <s v="Paypal Expense"/>
    <s v="03/24/2014"/>
    <s v="Journal Entry"/>
    <n v="466"/>
    <x v="0"/>
    <x v="0"/>
    <x v="4"/>
    <x v="19"/>
    <s v="paypal"/>
    <s v="-Split-"/>
    <n v="28.06"/>
    <n v="131.77000000000001"/>
    <n v="28.06"/>
  </r>
  <r>
    <n v="65095"/>
    <s v="Paypal Expense"/>
    <s v="03/31/2014"/>
    <s v="Journal Entry"/>
    <n v="475"/>
    <x v="0"/>
    <x v="0"/>
    <x v="4"/>
    <x v="19"/>
    <m/>
    <s v="-Split-"/>
    <n v="37.33"/>
    <n v="169.1"/>
    <n v="37.33"/>
  </r>
  <r>
    <n v="65095"/>
    <s v="Paypal Expense"/>
    <s v="04/07/2014"/>
    <s v="Journal Entry"/>
    <n v="481"/>
    <x v="0"/>
    <x v="0"/>
    <x v="4"/>
    <x v="19"/>
    <s v="paypal"/>
    <s v="-Split-"/>
    <n v="18.48"/>
    <n v="187.58"/>
    <n v="18.48"/>
  </r>
  <r>
    <n v="65095"/>
    <s v="Paypal Expense"/>
    <s v="04/07/2014"/>
    <s v="Journal Entry"/>
    <n v="479"/>
    <x v="0"/>
    <x v="0"/>
    <x v="4"/>
    <x v="19"/>
    <s v="paypal"/>
    <s v="-Split-"/>
    <n v="42.82"/>
    <n v="230.4"/>
    <n v="42.82"/>
  </r>
  <r>
    <n v="65095"/>
    <s v="Paypal Expense"/>
    <s v="04/07/2014"/>
    <s v="Journal Entry"/>
    <n v="483"/>
    <x v="0"/>
    <x v="0"/>
    <x v="4"/>
    <x v="19"/>
    <s v="paypal"/>
    <s v="-Split-"/>
    <n v="33.9"/>
    <n v="264.3"/>
    <n v="33.9"/>
  </r>
  <r>
    <n v="65095"/>
    <s v="Paypal Expense"/>
    <s v="04/07/2014"/>
    <s v="Journal Entry"/>
    <n v="485"/>
    <x v="0"/>
    <x v="0"/>
    <x v="4"/>
    <x v="19"/>
    <s v="paypal"/>
    <s v="-Split-"/>
    <n v="48.22"/>
    <n v="312.52"/>
    <n v="48.22"/>
  </r>
  <r>
    <n v="65095"/>
    <s v="Paypal Expense"/>
    <s v="04/14/2014"/>
    <s v="Journal Entry"/>
    <n v="500"/>
    <x v="0"/>
    <x v="0"/>
    <x v="4"/>
    <x v="19"/>
    <m/>
    <s v="-Split-"/>
    <n v="44.39"/>
    <n v="356.91"/>
    <n v="44.39"/>
  </r>
  <r>
    <n v="65095"/>
    <s v="Paypal Expense"/>
    <s v="04/21/2014"/>
    <s v="Journal Entry"/>
    <n v="508"/>
    <x v="0"/>
    <x v="0"/>
    <x v="4"/>
    <x v="19"/>
    <s v="paypal deposit"/>
    <s v="-Split-"/>
    <n v="31.89"/>
    <n v="388.8"/>
    <n v="31.89"/>
  </r>
  <r>
    <n v="65095"/>
    <s v="Paypal Expense"/>
    <s v="05/13/2014"/>
    <s v="Journal Entry"/>
    <n v="524"/>
    <x v="0"/>
    <x v="0"/>
    <x v="4"/>
    <x v="19"/>
    <s v="paypal"/>
    <s v="-Split-"/>
    <n v="34.15"/>
    <n v="422.95"/>
    <n v="34.15"/>
  </r>
  <r>
    <n v="65095"/>
    <s v="Paypal Expense"/>
    <s v="05/28/2014"/>
    <s v="Journal Entry"/>
    <n v="536"/>
    <x v="0"/>
    <x v="0"/>
    <x v="4"/>
    <x v="19"/>
    <s v="paypal"/>
    <s v="-Split-"/>
    <n v="11.9"/>
    <n v="434.85"/>
    <n v="11.9"/>
  </r>
  <r>
    <n v="65095"/>
    <s v="Paypal Expense"/>
    <s v="06/05/2014"/>
    <s v="Journal Entry"/>
    <n v="564"/>
    <x v="0"/>
    <x v="0"/>
    <x v="4"/>
    <x v="19"/>
    <s v="paypal deposit"/>
    <s v="-Split-"/>
    <n v="74.3"/>
    <n v="509.15"/>
    <n v="74.3"/>
  </r>
  <r>
    <n v="65095"/>
    <s v="Paypal Expense"/>
    <s v="06/17/2014"/>
    <s v="Journal Entry"/>
    <n v="580"/>
    <x v="0"/>
    <x v="0"/>
    <x v="4"/>
    <x v="19"/>
    <s v="paypal"/>
    <s v="-Split-"/>
    <n v="91.91"/>
    <n v="601.05999999999995"/>
    <n v="91.91"/>
  </r>
  <r>
    <n v="65095"/>
    <s v="Paypal Expense"/>
    <s v="06/26/2014"/>
    <s v="Journal Entry"/>
    <n v="591"/>
    <x v="0"/>
    <x v="0"/>
    <x v="4"/>
    <x v="19"/>
    <s v="paypal"/>
    <s v="-Split-"/>
    <n v="50.4"/>
    <n v="651.46"/>
    <n v="50.4"/>
  </r>
  <r>
    <n v="65095"/>
    <s v="Paypal Expense"/>
    <s v="06/26/2014"/>
    <s v="Journal Entry"/>
    <n v="593"/>
    <x v="0"/>
    <x v="0"/>
    <x v="4"/>
    <x v="19"/>
    <s v="paypal"/>
    <s v="-Split-"/>
    <n v="18.190000000000001"/>
    <n v="669.65"/>
    <n v="18.190000000000001"/>
  </r>
  <r>
    <n v="65095"/>
    <s v="Paypal Expense"/>
    <s v="07/22/2014"/>
    <s v="Journal Entry"/>
    <n v="627"/>
    <x v="0"/>
    <x v="0"/>
    <x v="4"/>
    <x v="19"/>
    <s v="paypal"/>
    <s v="-Split-"/>
    <n v="17.75"/>
    <n v="700.42"/>
    <n v="17.75"/>
  </r>
  <r>
    <n v="65095"/>
    <s v="Paypal Expense"/>
    <s v="07/22/2014"/>
    <s v="Journal Entry"/>
    <n v="625"/>
    <x v="0"/>
    <x v="0"/>
    <x v="4"/>
    <x v="19"/>
    <s v="paypal"/>
    <s v="-Split-"/>
    <n v="11.12"/>
    <n v="711.54"/>
    <n v="11.12"/>
  </r>
  <r>
    <n v="65095"/>
    <s v="Paypal Expense"/>
    <s v="07/23/2014"/>
    <s v="Journal Entry"/>
    <n v="636"/>
    <x v="0"/>
    <x v="0"/>
    <x v="4"/>
    <x v="19"/>
    <s v="paypal"/>
    <s v="-Split-"/>
    <n v="27.95"/>
    <n v="739.49"/>
    <n v="27.95"/>
  </r>
  <r>
    <n v="65095"/>
    <s v="Paypal Expense"/>
    <s v="08/25/2014"/>
    <s v="Journal Entry"/>
    <n v="659"/>
    <x v="0"/>
    <x v="0"/>
    <x v="4"/>
    <x v="19"/>
    <m/>
    <s v="-Split-"/>
    <n v="12.59"/>
    <n v="838.55"/>
    <n v="12.59"/>
  </r>
  <r>
    <n v="65095"/>
    <s v="Paypal Expense"/>
    <s v="09/16/2014"/>
    <s v="Journal Entry"/>
    <n v="670"/>
    <x v="0"/>
    <x v="0"/>
    <x v="4"/>
    <x v="19"/>
    <s v="Bed Race paypal expense"/>
    <s v="-Split-"/>
    <n v="3.05"/>
    <n v="961"/>
    <n v="3.05"/>
  </r>
  <r>
    <n v="65095"/>
    <s v="Paypal Expense"/>
    <s v="09/16/2014"/>
    <s v="Journal Entry"/>
    <n v="670"/>
    <x v="0"/>
    <x v="0"/>
    <x v="4"/>
    <x v="19"/>
    <s v="Wear it and Share it tshirts"/>
    <s v="-Split-"/>
    <n v="5.84"/>
    <n v="966.84"/>
    <n v="5.84"/>
  </r>
  <r>
    <n v="65095"/>
    <s v="Paypal Expense"/>
    <s v="09/16/2014"/>
    <s v="Journal Entry"/>
    <n v="672"/>
    <x v="0"/>
    <x v="0"/>
    <x v="4"/>
    <x v="19"/>
    <s v="paypal exp Bed race"/>
    <s v="-Split-"/>
    <n v="0.52"/>
    <n v="969.86"/>
    <n v="0.52"/>
  </r>
  <r>
    <n v="65095"/>
    <s v="Paypal Expense"/>
    <s v="09/29/2014"/>
    <s v="Journal Entry"/>
    <n v="689"/>
    <x v="0"/>
    <x v="0"/>
    <x v="4"/>
    <x v="19"/>
    <s v="bed race paypal"/>
    <s v="-Split-"/>
    <n v="5.95"/>
    <n v="994.96"/>
    <n v="5.95"/>
  </r>
  <r>
    <n v="65095"/>
    <s v="Paypal Expense"/>
    <s v="09/29/2014"/>
    <s v="Journal Entry"/>
    <n v="689"/>
    <x v="0"/>
    <x v="0"/>
    <x v="4"/>
    <x v="19"/>
    <m/>
    <s v="-Split-"/>
    <n v="5"/>
    <n v="1014.51"/>
    <n v="5"/>
  </r>
  <r>
    <n v="65095"/>
    <s v="Paypal Expense"/>
    <s v="10/13/2014"/>
    <s v="Journal Entry"/>
    <n v="716"/>
    <x v="0"/>
    <x v="0"/>
    <x v="4"/>
    <x v="19"/>
    <s v="knox bed race"/>
    <s v="-Split-"/>
    <n v="6.81"/>
    <n v="1046.93"/>
    <n v="6.81"/>
  </r>
  <r>
    <n v="65095"/>
    <s v="Paypal Expense"/>
    <s v="10/14/2014"/>
    <s v="Journal Entry"/>
    <n v="724"/>
    <x v="0"/>
    <x v="0"/>
    <x v="4"/>
    <x v="19"/>
    <s v="bed race"/>
    <s v="-Split-"/>
    <n v="1.4"/>
    <n v="1072.52"/>
    <n v="1.4"/>
  </r>
  <r>
    <n v="65095"/>
    <s v="Paypal Expense"/>
    <s v="10/14/2014"/>
    <s v="Journal Entry"/>
    <n v="724"/>
    <x v="0"/>
    <x v="0"/>
    <x v="4"/>
    <x v="19"/>
    <m/>
    <s v="-Split-"/>
    <n v="0.32"/>
    <n v="1075.72"/>
    <n v="0.32"/>
  </r>
  <r>
    <n v="65095"/>
    <s v="Paypal Expense"/>
    <s v="10/28/2014"/>
    <s v="Journal Entry"/>
    <n v="746"/>
    <x v="0"/>
    <x v="0"/>
    <x v="4"/>
    <x v="19"/>
    <s v="paypal"/>
    <s v="-Split-"/>
    <n v="46.5"/>
    <n v="1154.8800000000001"/>
    <n v="46.5"/>
  </r>
  <r>
    <n v="65110"/>
    <s v="Advertising Expenses"/>
    <s v="04/08/2014"/>
    <s v="Check"/>
    <n v="439"/>
    <x v="91"/>
    <x v="0"/>
    <x v="4"/>
    <x v="6"/>
    <s v="rack card design"/>
    <s v="10180 BofA Spec Spaces National 4695"/>
    <n v="125"/>
    <n v="125"/>
    <n v="125"/>
  </r>
  <r>
    <n v="65110"/>
    <s v="Advertising Expenses"/>
    <s v="07/14/2014"/>
    <s v="Expense"/>
    <m/>
    <x v="551"/>
    <x v="0"/>
    <x v="4"/>
    <x v="6"/>
    <m/>
    <s v="10180 BofA Spec Spaces National 4695"/>
    <n v="25"/>
    <n v="150"/>
    <n v="25"/>
  </r>
  <r>
    <n v="65110"/>
    <s v="Advertising Expenses"/>
    <s v="07/21/2014"/>
    <s v="Expense"/>
    <m/>
    <x v="551"/>
    <x v="0"/>
    <x v="4"/>
    <x v="6"/>
    <m/>
    <s v="10180 BofA Spec Spaces National 4695"/>
    <n v="75"/>
    <n v="225"/>
    <n v="75"/>
  </r>
  <r>
    <n v="65120"/>
    <s v="Insurance - Liability, D and O"/>
    <s v="01/13/2014"/>
    <s v="Check"/>
    <n v="398"/>
    <x v="552"/>
    <x v="0"/>
    <x v="4"/>
    <x v="33"/>
    <s v="Exec Risk"/>
    <s v="10180 BofA Spec Spaces National 4695"/>
    <n v="595.5"/>
    <n v="595.5"/>
    <n v="595.5"/>
  </r>
  <r>
    <n v="65120"/>
    <s v="Insurance - Liability, D and O"/>
    <s v="02/07/2014"/>
    <s v="Check"/>
    <n v="409"/>
    <x v="552"/>
    <x v="0"/>
    <x v="4"/>
    <x v="33"/>
    <s v="Exec Risk, umbrella and commercial"/>
    <s v="10180 BofA Spec Spaces National 4695"/>
    <n v="1319.89"/>
    <n v="1915.39"/>
    <n v="1319.89"/>
  </r>
  <r>
    <n v="65120"/>
    <s v="Insurance - Liability, D and O"/>
    <s v="03/10/2014"/>
    <s v="Check"/>
    <n v="422"/>
    <x v="552"/>
    <x v="0"/>
    <x v="1"/>
    <x v="33"/>
    <s v="Exec Risk, umbrella and commercial"/>
    <s v="10180 BofA Spec Spaces National 4695"/>
    <n v="617.76"/>
    <n v="2533.15"/>
    <n v="617.76"/>
  </r>
  <r>
    <n v="65120"/>
    <s v="Insurance - Liability, D and O"/>
    <s v="04/08/2014"/>
    <s v="Check"/>
    <n v="434"/>
    <x v="552"/>
    <x v="0"/>
    <x v="1"/>
    <x v="33"/>
    <s v="Exec Risk, umbrella and commercial"/>
    <s v="10180 BofA Spec Spaces National 4695"/>
    <n v="653.54"/>
    <n v="3186.69"/>
    <n v="653.54"/>
  </r>
  <r>
    <n v="65120"/>
    <s v="Insurance - Liability, D and O"/>
    <s v="05/15/2014"/>
    <s v="Check"/>
    <n v="455"/>
    <x v="552"/>
    <x v="0"/>
    <x v="1"/>
    <x v="33"/>
    <s v="Exec Risk, umbrella and commercial"/>
    <s v="10180 BofA Spec Spaces National 4695"/>
    <n v="670.16"/>
    <n v="3856.85"/>
    <n v="670.16"/>
  </r>
  <r>
    <n v="65120"/>
    <s v="Insurance - Liability, D and O"/>
    <s v="06/04/2014"/>
    <s v="Check"/>
    <n v="470"/>
    <x v="553"/>
    <x v="0"/>
    <x v="5"/>
    <x v="33"/>
    <s v="Volunteer insurance"/>
    <s v="10180 BofA Spec Spaces National 4695"/>
    <n v="472"/>
    <n v="4328.8500000000004"/>
    <n v="472"/>
  </r>
  <r>
    <n v="65120"/>
    <s v="Insurance - Liability, D and O"/>
    <s v="06/16/2014"/>
    <s v="Check"/>
    <n v="479"/>
    <x v="552"/>
    <x v="0"/>
    <x v="5"/>
    <x v="33"/>
    <s v="Exec Risk, umbrella and commercial"/>
    <s v="10180 BofA Spec Spaces National 4695"/>
    <n v="670.18"/>
    <n v="4999.03"/>
    <n v="670.18"/>
  </r>
  <r>
    <n v="65120"/>
    <s v="Insurance - Liability, D and O"/>
    <s v="07/15/2014"/>
    <s v="Check"/>
    <n v="493"/>
    <x v="552"/>
    <x v="0"/>
    <x v="5"/>
    <x v="33"/>
    <s v="Exec Risk, umbrella and commercial"/>
    <s v="10180 BofA Spec Spaces National 4695"/>
    <n v="670.18"/>
    <n v="5669.21"/>
    <n v="670.18"/>
  </r>
  <r>
    <n v="65120"/>
    <s v="Insurance - Liability, D and O"/>
    <s v="08/11/2014"/>
    <s v="Check"/>
    <n v="511"/>
    <x v="552"/>
    <x v="0"/>
    <x v="4"/>
    <x v="33"/>
    <s v="Exec Risk, umbrella and commercial"/>
    <s v="10180 BofA Spec Spaces National 4695"/>
    <n v="670.18"/>
    <n v="6339.39"/>
    <n v="670.18"/>
  </r>
  <r>
    <n v="65120"/>
    <s v="Insurance - Liability, D and O"/>
    <s v="09/16/2014"/>
    <s v="Check"/>
    <n v="531"/>
    <x v="552"/>
    <x v="0"/>
    <x v="1"/>
    <x v="33"/>
    <s v="Exec Risk, umbrella and commercial"/>
    <s v="10180 BofA Spec Spaces National 4695"/>
    <n v="670.18"/>
    <n v="7009.57"/>
    <n v="670.18"/>
  </r>
  <r>
    <n v="65120"/>
    <s v="Insurance - Liability, D and O"/>
    <s v="10/16/2014"/>
    <s v="Check"/>
    <n v="552"/>
    <x v="552"/>
    <x v="0"/>
    <x v="1"/>
    <x v="33"/>
    <s v="Exec Risk, umbrella and commercial"/>
    <s v="10180 BofA Spec Spaces National 4695"/>
    <n v="670.18"/>
    <n v="7679.75"/>
    <n v="670.18"/>
  </r>
  <r>
    <n v="66400"/>
    <s v="Employee Health Insurance"/>
    <s v="01/17/2014"/>
    <s v="Check"/>
    <m/>
    <x v="554"/>
    <x v="0"/>
    <x v="1"/>
    <x v="34"/>
    <m/>
    <s v="10180 BofA Spec Spaces National 4695"/>
    <n v="428.74"/>
    <n v="428.74"/>
    <n v="428.74"/>
  </r>
  <r>
    <n v="66400"/>
    <s v="Employee Health Insurance"/>
    <s v="02/11/2014"/>
    <s v="Check"/>
    <m/>
    <x v="554"/>
    <x v="0"/>
    <x v="5"/>
    <x v="34"/>
    <m/>
    <s v="10180 BofA Spec Spaces National 4695"/>
    <n v="428.74"/>
    <n v="857.48"/>
    <n v="428.74"/>
  </r>
  <r>
    <n v="66400"/>
    <s v="Employee Health Insurance"/>
    <s v="03/05/2014"/>
    <s v="Check"/>
    <m/>
    <x v="554"/>
    <x v="0"/>
    <x v="4"/>
    <x v="34"/>
    <m/>
    <s v="10180 BofA Spec Spaces National 4695"/>
    <n v="428.74"/>
    <n v="1286.22"/>
    <n v="428.74"/>
  </r>
  <r>
    <n v="66400"/>
    <s v="Employee Health Insurance"/>
    <s v="04/14/2014"/>
    <s v="Check"/>
    <m/>
    <x v="554"/>
    <x v="0"/>
    <x v="1"/>
    <x v="34"/>
    <m/>
    <s v="10180 BofA Spec Spaces National 4695"/>
    <n v="428.74"/>
    <n v="1714.96"/>
    <n v="428.74"/>
  </r>
  <r>
    <n v="66400"/>
    <s v="Employee Health Insurance"/>
    <s v="04/30/2014"/>
    <s v="Check"/>
    <m/>
    <x v="554"/>
    <x v="0"/>
    <x v="5"/>
    <x v="34"/>
    <m/>
    <s v="10180 BofA Spec Spaces National 4695"/>
    <n v="462.95"/>
    <n v="2177.91"/>
    <n v="462.95"/>
  </r>
  <r>
    <n v="66400"/>
    <s v="Employee Health Insurance"/>
    <s v="06/04/2014"/>
    <s v="Expense"/>
    <m/>
    <x v="554"/>
    <x v="0"/>
    <x v="4"/>
    <x v="34"/>
    <m/>
    <s v="10180 BofA Spec Spaces National 4695"/>
    <n v="561.26"/>
    <n v="2739.17"/>
    <n v="561.26"/>
  </r>
  <r>
    <n v="66400"/>
    <s v="Employee Health Insurance"/>
    <s v="07/17/2014"/>
    <s v="Expense"/>
    <m/>
    <x v="555"/>
    <x v="0"/>
    <x v="4"/>
    <x v="34"/>
    <m/>
    <s v="10180 BofA Spec Spaces National 4695"/>
    <n v="561.26"/>
    <n v="3300.43"/>
    <n v="561.26"/>
  </r>
  <r>
    <n v="66400"/>
    <s v="Employee Health Insurance"/>
    <s v="08/20/2014"/>
    <s v="Expense"/>
    <m/>
    <x v="555"/>
    <x v="0"/>
    <x v="5"/>
    <x v="34"/>
    <m/>
    <s v="10180 BofA Spec Spaces National 4695"/>
    <n v="561.26"/>
    <n v="3861.69"/>
    <n v="561.26"/>
  </r>
  <r>
    <n v="66400"/>
    <s v="Employee Health Insurance"/>
    <s v="09/18/2014"/>
    <s v="Expense"/>
    <m/>
    <x v="555"/>
    <x v="0"/>
    <x v="1"/>
    <x v="34"/>
    <m/>
    <s v="10180 BofA Spec Spaces National 4695"/>
    <n v="561.26"/>
    <n v="4422.95"/>
    <n v="561.26"/>
  </r>
  <r>
    <n v="66600"/>
    <s v="Workers Compensation Insurance"/>
    <s v="01/16/2014"/>
    <s v="Deposit"/>
    <m/>
    <x v="0"/>
    <x v="0"/>
    <x v="4"/>
    <x v="35"/>
    <s v="refund"/>
    <s v="10180 BofA Spec Spaces National 4695"/>
    <n v="-256.36"/>
    <n v="-256.36"/>
    <n v="-256.36"/>
  </r>
  <r>
    <n v="66600"/>
    <s v="Workers Compensation Insurance"/>
    <s v="03/15/2014"/>
    <s v="Deposit"/>
    <m/>
    <x v="0"/>
    <x v="0"/>
    <x v="4"/>
    <x v="35"/>
    <s v="refund"/>
    <s v="10180 BofA Spec Spaces National 4695"/>
    <n v="-153.83000000000001"/>
    <n v="-410.19"/>
    <n v="-153.83000000000001"/>
  </r>
  <r>
    <n v="66600"/>
    <s v="Workers Compensation Insurance"/>
    <s v="04/23/2014"/>
    <s v="Check"/>
    <n v="446"/>
    <x v="556"/>
    <x v="0"/>
    <x v="4"/>
    <x v="35"/>
    <s v="NY Worker's Comp"/>
    <s v="10180 BofA Spec Spaces National 4695"/>
    <n v="250"/>
    <n v="-160.19"/>
    <n v="250"/>
  </r>
  <r>
    <n v="66600"/>
    <s v="Workers Compensation Insurance"/>
    <s v="07/17/2014"/>
    <s v="Check"/>
    <n v="496"/>
    <x v="557"/>
    <x v="0"/>
    <x v="4"/>
    <x v="35"/>
    <s v="Tennessee"/>
    <s v="10180 BofA Spec Spaces National 4695"/>
    <n v="369"/>
    <n v="208.81"/>
    <n v="369"/>
  </r>
  <r>
    <n v="66600"/>
    <s v="Workers Compensation Insurance"/>
    <s v="07/24/2014"/>
    <s v="Check"/>
    <n v="498"/>
    <x v="558"/>
    <x v="0"/>
    <x v="5"/>
    <x v="35"/>
    <s v="California"/>
    <s v="10180 BofA Spec Spaces National 4695"/>
    <n v="243"/>
    <n v="451.81"/>
    <n v="243"/>
  </r>
  <r>
    <n v="66600"/>
    <s v="Workers Compensation Insurance"/>
    <s v="08/11/2014"/>
    <s v="Check"/>
    <n v="512"/>
    <x v="558"/>
    <x v="0"/>
    <x v="1"/>
    <x v="35"/>
    <s v="California"/>
    <s v="10180 BofA Spec Spaces National 4695"/>
    <n v="79.11"/>
    <n v="530.91999999999996"/>
    <n v="79.11"/>
  </r>
  <r>
    <n v="66600"/>
    <s v="Workers Compensation Insurance"/>
    <s v="08/22/2014"/>
    <s v="Check"/>
    <n v="518"/>
    <x v="558"/>
    <x v="0"/>
    <x v="4"/>
    <x v="35"/>
    <s v="California"/>
    <s v="10180 BofA Spec Spaces National 4695"/>
    <n v="7"/>
    <n v="537.91999999999996"/>
    <n v="7"/>
  </r>
  <r>
    <n v="66600"/>
    <s v="Workers Compensation Insurance"/>
    <s v="08/29/2014"/>
    <s v="Expense"/>
    <m/>
    <x v="559"/>
    <x v="0"/>
    <x v="5"/>
    <x v="35"/>
    <m/>
    <s v="10180 BofA Spec Spaces National 4695"/>
    <n v="291"/>
    <n v="828.92"/>
    <n v="291"/>
  </r>
  <r>
    <n v="66600"/>
    <s v="Workers Compensation Insurance"/>
    <s v="09/06/2014"/>
    <s v="Check"/>
    <n v="547"/>
    <x v="559"/>
    <x v="0"/>
    <x v="1"/>
    <x v="35"/>
    <m/>
    <s v="10180 BofA Spec Spaces National 4695"/>
    <n v="16"/>
    <n v="844.92"/>
    <n v="16"/>
  </r>
  <r>
    <n v="66600"/>
    <s v="Workers Compensation Insurance"/>
    <s v="10/01/2014"/>
    <s v="Check"/>
    <n v="545"/>
    <x v="560"/>
    <x v="0"/>
    <x v="4"/>
    <x v="35"/>
    <s v="Wisconsin Worker's Comp"/>
    <s v="10180 BofA Spec Spaces National 4695"/>
    <n v="421"/>
    <n v="1265.92"/>
    <n v="421"/>
  </r>
  <r>
    <n v="66600"/>
    <s v="Workers Compensation Insurance"/>
    <s v="10/13/2014"/>
    <s v="Check"/>
    <n v="549"/>
    <x v="561"/>
    <x v="0"/>
    <x v="5"/>
    <x v="35"/>
    <s v="Wisconsin Workman's comp"/>
    <s v="10180 BofA Spec Spaces National 4695"/>
    <n v="421"/>
    <n v="1686.92"/>
    <n v="421"/>
  </r>
  <r>
    <n v="66600"/>
    <s v="Workers Compensation Insurance"/>
    <s v="10/21/2014"/>
    <s v="Check"/>
    <n v="559"/>
    <x v="557"/>
    <x v="0"/>
    <x v="1"/>
    <x v="35"/>
    <s v="Tennessee"/>
    <s v="10180 BofA Spec Spaces National 4695"/>
    <n v="64"/>
    <n v="1750.92"/>
    <n v="64"/>
  </r>
  <r>
    <n v="66800"/>
    <s v="Wages - Taxes"/>
    <s v="01/01/2014"/>
    <s v="Payroll Check"/>
    <s v="DD"/>
    <x v="562"/>
    <x v="0"/>
    <x v="4"/>
    <x v="36"/>
    <s v="Employer Taxes"/>
    <s v="26000 Direct Deposit Payable"/>
    <n v="49.73"/>
    <n v="49.73"/>
    <n v="49.73"/>
  </r>
  <r>
    <n v="66800"/>
    <s v="Wages - Taxes"/>
    <s v="01/01/2014"/>
    <s v="Payroll Check"/>
    <s v="DD"/>
    <x v="537"/>
    <x v="0"/>
    <x v="5"/>
    <x v="36"/>
    <s v="Employer Taxes"/>
    <s v="26000 Direct Deposit Payable"/>
    <n v="114.75"/>
    <n v="248.11"/>
    <n v="114.75"/>
  </r>
  <r>
    <n v="66800"/>
    <s v="Wages - Taxes"/>
    <s v="01/16/2014"/>
    <s v="Payroll Check"/>
    <s v="DD"/>
    <x v="537"/>
    <x v="0"/>
    <x v="5"/>
    <x v="36"/>
    <s v="Employer Taxes"/>
    <s v="26000 Direct Deposit Payable"/>
    <n v="153"/>
    <n v="401.11"/>
    <n v="153"/>
  </r>
  <r>
    <n v="66800"/>
    <s v="Wages - Taxes"/>
    <s v="01/16/2014"/>
    <s v="Payroll Check"/>
    <s v="DD"/>
    <x v="562"/>
    <x v="0"/>
    <x v="4"/>
    <x v="36"/>
    <s v="Employer Taxes"/>
    <s v="26000 Direct Deposit Payable"/>
    <n v="82.87"/>
    <n v="483.98"/>
    <n v="82.87"/>
  </r>
  <r>
    <n v="66800"/>
    <s v="Wages - Taxes"/>
    <s v="01/17/2014"/>
    <s v="Payroll Check"/>
    <s v="DD"/>
    <x v="537"/>
    <x v="0"/>
    <x v="5"/>
    <x v="36"/>
    <s v="Employer Taxes"/>
    <s v="26000 Direct Deposit Payable"/>
    <n v="765"/>
    <n v="1332.6"/>
    <n v="765"/>
  </r>
  <r>
    <n v="66800"/>
    <s v="Wages - Taxes"/>
    <s v="01/17/2014"/>
    <s v="Payroll Check"/>
    <s v="DD"/>
    <x v="562"/>
    <x v="0"/>
    <x v="4"/>
    <x v="36"/>
    <s v="Employer Taxes"/>
    <s v="26000 Direct Deposit Payable"/>
    <n v="76.5"/>
    <n v="1409.1"/>
    <n v="76.5"/>
  </r>
  <r>
    <n v="66800"/>
    <s v="Wages - Taxes"/>
    <s v="02/01/2014"/>
    <s v="Payroll Check"/>
    <s v="DD"/>
    <x v="537"/>
    <x v="0"/>
    <x v="1"/>
    <x v="36"/>
    <s v="Employer Taxes"/>
    <s v="26000 Direct Deposit Payable"/>
    <n v="153"/>
    <n v="1562.1"/>
    <n v="153"/>
  </r>
  <r>
    <n v="66800"/>
    <s v="Wages - Taxes"/>
    <s v="02/01/2014"/>
    <s v="Payroll Check"/>
    <s v="DD"/>
    <x v="562"/>
    <x v="0"/>
    <x v="4"/>
    <x v="36"/>
    <s v="Employer Taxes"/>
    <s v="26000 Direct Deposit Payable"/>
    <n v="82.87"/>
    <n v="1644.97"/>
    <n v="82.87"/>
  </r>
  <r>
    <n v="66800"/>
    <s v="Wages - Taxes"/>
    <s v="02/16/2014"/>
    <s v="Payroll Check"/>
    <s v="DD"/>
    <x v="537"/>
    <x v="0"/>
    <x v="1"/>
    <x v="36"/>
    <s v="Employer Taxes"/>
    <s v="26000 Direct Deposit Payable"/>
    <n v="153"/>
    <n v="1965.22"/>
    <n v="153"/>
  </r>
  <r>
    <n v="66800"/>
    <s v="Wages - Taxes"/>
    <s v="02/16/2014"/>
    <s v="Payroll Check"/>
    <s v="DD"/>
    <x v="562"/>
    <x v="0"/>
    <x v="4"/>
    <x v="36"/>
    <s v="Employer Taxes"/>
    <s v="26000 Direct Deposit Payable"/>
    <n v="82.88"/>
    <n v="2048.1"/>
    <n v="82.88"/>
  </r>
  <r>
    <n v="66800"/>
    <s v="Wages - Taxes"/>
    <s v="03/01/2014"/>
    <s v="Payroll Check"/>
    <s v="DD"/>
    <x v="537"/>
    <x v="0"/>
    <x v="1"/>
    <x v="36"/>
    <s v="Employer Taxes"/>
    <s v="26000 Direct Deposit Payable"/>
    <n v="153"/>
    <n v="2284.73"/>
    <n v="153"/>
  </r>
  <r>
    <n v="66800"/>
    <s v="Wages - Taxes"/>
    <s v="03/01/2014"/>
    <s v="Payroll Check"/>
    <s v="DD"/>
    <x v="562"/>
    <x v="0"/>
    <x v="4"/>
    <x v="36"/>
    <s v="Employer Taxes"/>
    <s v="26000 Direct Deposit Payable"/>
    <n v="82.88"/>
    <n v="2367.61"/>
    <n v="82.88"/>
  </r>
  <r>
    <n v="66800"/>
    <s v="Wages - Taxes"/>
    <s v="03/16/2014"/>
    <s v="Payroll Check"/>
    <s v="DD"/>
    <x v="562"/>
    <x v="0"/>
    <x v="4"/>
    <x v="36"/>
    <s v="Employer Taxes"/>
    <s v="26000 Direct Deposit Payable"/>
    <n v="82.87"/>
    <n v="2450.48"/>
    <n v="82.87"/>
  </r>
  <r>
    <n v="66800"/>
    <s v="Wages - Taxes"/>
    <s v="03/16/2014"/>
    <s v="Payroll Check"/>
    <s v="DD"/>
    <x v="537"/>
    <x v="0"/>
    <x v="1"/>
    <x v="36"/>
    <s v="Employer Taxes"/>
    <s v="26000 Direct Deposit Payable"/>
    <n v="153"/>
    <n v="2603.48"/>
    <n v="153"/>
  </r>
  <r>
    <n v="66800"/>
    <s v="Wages - Taxes"/>
    <s v="04/01/2014"/>
    <s v="Payroll Check"/>
    <s v="DD"/>
    <x v="537"/>
    <x v="0"/>
    <x v="1"/>
    <x v="36"/>
    <s v="Employer Taxes"/>
    <s v="26000 Direct Deposit Payable"/>
    <n v="153"/>
    <n v="2840.1"/>
    <n v="153"/>
  </r>
  <r>
    <n v="66800"/>
    <s v="Wages - Taxes"/>
    <s v="04/01/2014"/>
    <s v="Payroll Check"/>
    <s v="DD"/>
    <x v="562"/>
    <x v="0"/>
    <x v="4"/>
    <x v="36"/>
    <s v="Employer Taxes"/>
    <s v="26000 Direct Deposit Payable"/>
    <n v="82.87"/>
    <n v="3006.6"/>
    <n v="82.87"/>
  </r>
  <r>
    <n v="66800"/>
    <s v="Wages - Taxes"/>
    <s v="04/16/2014"/>
    <s v="Payroll Check"/>
    <s v="DD"/>
    <x v="537"/>
    <x v="0"/>
    <x v="1"/>
    <x v="36"/>
    <s v="Employer Taxes"/>
    <s v="26000 Direct Deposit Payable"/>
    <n v="153"/>
    <n v="3159.6"/>
    <n v="153"/>
  </r>
  <r>
    <n v="66800"/>
    <s v="Wages - Taxes"/>
    <s v="04/16/2014"/>
    <s v="Payroll Check"/>
    <s v="DD"/>
    <x v="562"/>
    <x v="0"/>
    <x v="4"/>
    <x v="36"/>
    <s v="Employer Taxes"/>
    <s v="26000 Direct Deposit Payable"/>
    <n v="82.88"/>
    <n v="3326.1"/>
    <n v="82.88"/>
  </r>
  <r>
    <n v="66800"/>
    <s v="Wages - Taxes"/>
    <s v="05/01/2014"/>
    <s v="Payroll Check"/>
    <s v="DD"/>
    <x v="562"/>
    <x v="0"/>
    <x v="4"/>
    <x v="36"/>
    <s v="Employer Taxes"/>
    <s v="26000 Direct Deposit Payable"/>
    <n v="82.87"/>
    <n v="3408.97"/>
    <n v="82.87"/>
  </r>
  <r>
    <n v="66800"/>
    <s v="Wages - Taxes"/>
    <s v="05/01/2014"/>
    <s v="Payroll Check"/>
    <s v="DD"/>
    <x v="537"/>
    <x v="0"/>
    <x v="5"/>
    <x v="36"/>
    <s v="Employer Taxes"/>
    <s v="26000 Direct Deposit Payable"/>
    <n v="153"/>
    <n v="3561.97"/>
    <n v="153"/>
  </r>
  <r>
    <n v="66800"/>
    <s v="Wages - Taxes"/>
    <s v="05/16/2014"/>
    <s v="Payroll Check"/>
    <s v="DD"/>
    <x v="537"/>
    <x v="0"/>
    <x v="5"/>
    <x v="36"/>
    <s v="Employer Taxes"/>
    <s v="26000 Direct Deposit Payable"/>
    <n v="153"/>
    <n v="3798.6"/>
    <n v="153"/>
  </r>
  <r>
    <n v="66800"/>
    <s v="Wages - Taxes"/>
    <s v="05/16/2014"/>
    <s v="Payroll Check"/>
    <s v="DD"/>
    <x v="562"/>
    <x v="0"/>
    <x v="4"/>
    <x v="36"/>
    <s v="Employer Taxes"/>
    <s v="26000 Direct Deposit Payable"/>
    <n v="82.88"/>
    <n v="3881.48"/>
    <n v="82.88"/>
  </r>
  <r>
    <n v="66800"/>
    <s v="Wages - Taxes"/>
    <s v="05/30/2014"/>
    <s v="Payroll Check"/>
    <s v="DD"/>
    <x v="562"/>
    <x v="0"/>
    <x v="4"/>
    <x v="36"/>
    <s v="Employer Taxes"/>
    <s v="26000 Direct Deposit Payable"/>
    <n v="82.87"/>
    <n v="4030.47"/>
    <n v="82.87"/>
  </r>
  <r>
    <n v="66800"/>
    <s v="Wages - Taxes"/>
    <s v="05/30/2014"/>
    <s v="Payroll Check"/>
    <s v="DD"/>
    <x v="537"/>
    <x v="0"/>
    <x v="5"/>
    <x v="36"/>
    <s v="Employer Taxes"/>
    <s v="26000 Direct Deposit Payable"/>
    <n v="153"/>
    <n v="4240.8500000000004"/>
    <n v="153"/>
  </r>
  <r>
    <n v="66800"/>
    <s v="Wages - Taxes"/>
    <s v="06/16/2014"/>
    <s v="Payroll Check"/>
    <s v="DD"/>
    <x v="537"/>
    <x v="0"/>
    <x v="5"/>
    <x v="36"/>
    <s v="Employer Taxes"/>
    <s v="26000 Direct Deposit Payable"/>
    <n v="153"/>
    <n v="4451.22"/>
    <n v="153"/>
  </r>
  <r>
    <n v="66800"/>
    <s v="Wages - Taxes"/>
    <s v="06/16/2014"/>
    <s v="Payroll Check"/>
    <s v="DD"/>
    <x v="562"/>
    <x v="0"/>
    <x v="4"/>
    <x v="36"/>
    <s v="Employer Taxes"/>
    <s v="26000 Direct Deposit Payable"/>
    <n v="82.88"/>
    <n v="4534.1000000000004"/>
    <n v="82.88"/>
  </r>
  <r>
    <n v="66800"/>
    <s v="Taxes"/>
    <s v="07/01/2014"/>
    <s v="Payroll Check"/>
    <s v="DD"/>
    <x v="562"/>
    <x v="0"/>
    <x v="4"/>
    <x v="36"/>
    <s v="Employer Taxes"/>
    <s v="26000 Direct Deposit Payable"/>
    <n v="82.87"/>
    <n v="4616.97"/>
    <n v="82.87"/>
  </r>
  <r>
    <n v="66800"/>
    <s v="Taxes"/>
    <s v="07/01/2014"/>
    <s v="Payroll Check"/>
    <s v="DD"/>
    <x v="537"/>
    <x v="0"/>
    <x v="1"/>
    <x v="36"/>
    <s v="Employer Taxes"/>
    <s v="26000 Direct Deposit Payable"/>
    <n v="153"/>
    <n v="4769.97"/>
    <n v="153"/>
  </r>
  <r>
    <n v="66800"/>
    <s v="Taxes"/>
    <s v="07/01/2014"/>
    <s v="Payroll Check"/>
    <s v="DD"/>
    <x v="563"/>
    <x v="0"/>
    <x v="5"/>
    <x v="36"/>
    <s v="Employer Taxes"/>
    <s v="26000 Direct Deposit Payable"/>
    <n v="57.38"/>
    <n v="4827.3500000000004"/>
    <n v="57.38"/>
  </r>
  <r>
    <n v="66800"/>
    <s v="Taxes"/>
    <s v="07/16/2014"/>
    <s v="Payroll Check"/>
    <s v="DD"/>
    <x v="562"/>
    <x v="0"/>
    <x v="4"/>
    <x v="36"/>
    <s v="Employer Taxes"/>
    <s v="26000 Direct Deposit Payable"/>
    <n v="82.87"/>
    <n v="4910.22"/>
    <n v="82.87"/>
  </r>
  <r>
    <n v="66800"/>
    <s v="Taxes"/>
    <s v="07/16/2014"/>
    <s v="Payroll Check"/>
    <s v="DD"/>
    <x v="537"/>
    <x v="0"/>
    <x v="1"/>
    <x v="36"/>
    <s v="Employer Taxes"/>
    <s v="26000 Direct Deposit Payable"/>
    <n v="153"/>
    <n v="5063.22"/>
    <n v="153"/>
  </r>
  <r>
    <n v="66800"/>
    <s v="Taxes"/>
    <s v="07/16/2014"/>
    <s v="Payroll Check"/>
    <s v="DD"/>
    <x v="563"/>
    <x v="0"/>
    <x v="5"/>
    <x v="36"/>
    <s v="Employer Taxes"/>
    <s v="26000 Direct Deposit Payable"/>
    <n v="57.37"/>
    <n v="5120.59"/>
    <n v="57.37"/>
  </r>
  <r>
    <n v="66800"/>
    <s v="Taxes"/>
    <s v="08/01/2014"/>
    <s v="Payroll Check"/>
    <s v="DD"/>
    <x v="562"/>
    <x v="0"/>
    <x v="4"/>
    <x v="36"/>
    <s v="Employer Taxes"/>
    <s v="26000 Direct Deposit Payable"/>
    <n v="82.88"/>
    <n v="5203.47"/>
    <n v="82.88"/>
  </r>
  <r>
    <n v="66800"/>
    <s v="Taxes"/>
    <s v="08/01/2014"/>
    <s v="Payroll Check"/>
    <s v="DD"/>
    <x v="537"/>
    <x v="0"/>
    <x v="5"/>
    <x v="36"/>
    <s v="Employer Taxes"/>
    <s v="26000 Direct Deposit Payable"/>
    <n v="153"/>
    <n v="5356.47"/>
    <n v="153"/>
  </r>
  <r>
    <n v="66800"/>
    <s v="Taxes"/>
    <s v="08/01/2014"/>
    <s v="Payroll Check"/>
    <s v="DD"/>
    <x v="563"/>
    <x v="0"/>
    <x v="5"/>
    <x v="36"/>
    <s v="Employer Taxes"/>
    <s v="26000 Direct Deposit Payable"/>
    <n v="57.38"/>
    <n v="5413.85"/>
    <n v="57.38"/>
  </r>
  <r>
    <n v="66800"/>
    <s v="Taxes"/>
    <s v="08/15/2014"/>
    <s v="Payroll Check"/>
    <s v="DD"/>
    <x v="537"/>
    <x v="0"/>
    <x v="1"/>
    <x v="36"/>
    <s v="Employer Taxes"/>
    <s v="26000 Direct Deposit Payable"/>
    <n v="153"/>
    <n v="5566.85"/>
    <n v="153"/>
  </r>
  <r>
    <n v="66800"/>
    <s v="Taxes"/>
    <s v="08/15/2014"/>
    <s v="Payroll Check"/>
    <s v="DD"/>
    <x v="562"/>
    <x v="0"/>
    <x v="4"/>
    <x v="36"/>
    <s v="Employer Taxes"/>
    <s v="26000 Direct Deposit Payable"/>
    <n v="82.88"/>
    <n v="5649.73"/>
    <n v="82.88"/>
  </r>
  <r>
    <n v="66800"/>
    <s v="Taxes"/>
    <s v="08/29/2014"/>
    <s v="Payroll Check"/>
    <s v="DD"/>
    <x v="562"/>
    <x v="0"/>
    <x v="4"/>
    <x v="36"/>
    <s v="Employer Taxes"/>
    <s v="26000 Direct Deposit Payable"/>
    <n v="82.87"/>
    <n v="5809.1"/>
    <n v="82.87"/>
  </r>
  <r>
    <n v="66800"/>
    <s v="Taxes"/>
    <s v="08/29/2014"/>
    <s v="Payroll Check"/>
    <s v="DD"/>
    <x v="537"/>
    <x v="0"/>
    <x v="1"/>
    <x v="36"/>
    <s v="Employer Taxes"/>
    <s v="26000 Direct Deposit Payable"/>
    <n v="153"/>
    <n v="5962.1"/>
    <n v="153"/>
  </r>
  <r>
    <n v="66800"/>
    <s v="Taxes"/>
    <s v="09/16/2014"/>
    <s v="Payroll Check"/>
    <s v="DD"/>
    <x v="537"/>
    <x v="0"/>
    <x v="5"/>
    <x v="36"/>
    <s v="Employer Taxes"/>
    <s v="26000 Direct Deposit Payable"/>
    <n v="153"/>
    <n v="6115.1"/>
    <n v="153"/>
  </r>
  <r>
    <n v="66800"/>
    <s v="Taxes"/>
    <s v="09/16/2014"/>
    <s v="Payroll Check"/>
    <s v="DD"/>
    <x v="562"/>
    <x v="0"/>
    <x v="4"/>
    <x v="36"/>
    <s v="Employer Taxes"/>
    <s v="26000 Direct Deposit Payable"/>
    <n v="82.88"/>
    <n v="6274.48"/>
    <n v="82.88"/>
  </r>
  <r>
    <n v="66800"/>
    <s v="Taxes"/>
    <s v="10/01/2014"/>
    <s v="Payroll Check"/>
    <s v="DD"/>
    <x v="537"/>
    <x v="0"/>
    <x v="5"/>
    <x v="36"/>
    <s v="Employer Taxes"/>
    <s v="26000 Direct Deposit Payable"/>
    <n v="153"/>
    <n v="6427.48"/>
    <n v="153"/>
  </r>
  <r>
    <n v="66800"/>
    <s v="Taxes"/>
    <s v="10/01/2014"/>
    <s v="Payroll Check"/>
    <s v="DD"/>
    <x v="562"/>
    <x v="0"/>
    <x v="4"/>
    <x v="36"/>
    <s v="Employer Taxes"/>
    <s v="26000 Direct Deposit Payable"/>
    <n v="82.87"/>
    <n v="6510.35"/>
    <n v="82.87"/>
  </r>
  <r>
    <n v="66800"/>
    <s v="Taxes"/>
    <s v="10/16/2014"/>
    <s v="Payroll Check"/>
    <s v="DD"/>
    <x v="562"/>
    <x v="0"/>
    <x v="4"/>
    <x v="36"/>
    <s v="Employer Taxes"/>
    <s v="26000 Direct Deposit Payable"/>
    <n v="82.87"/>
    <n v="6886.85"/>
    <n v="82.87"/>
  </r>
  <r>
    <n v="66800"/>
    <s v="Taxes"/>
    <s v="10/16/2014"/>
    <s v="Payroll Check"/>
    <s v="DD"/>
    <x v="537"/>
    <x v="0"/>
    <x v="1"/>
    <x v="36"/>
    <s v="Employer Taxes"/>
    <s v="26000 Direct Deposit Payable"/>
    <n v="153"/>
    <n v="7039.85"/>
    <n v="153"/>
  </r>
  <r>
    <n v="66800"/>
    <s v="Taxes"/>
    <s v="10/31/2014"/>
    <s v="Payroll Check"/>
    <s v="DD"/>
    <x v="564"/>
    <x v="35"/>
    <x v="5"/>
    <x v="36"/>
    <s v="Employer Taxes"/>
    <s v="26000 Direct Deposit Payable"/>
    <n v="44.13"/>
    <n v="7301.1"/>
    <n v="44.13"/>
  </r>
  <r>
    <n v="66800"/>
    <s v="Taxes"/>
    <s v="10/31/2014"/>
    <s v="Payroll Check"/>
    <s v="DD"/>
    <x v="537"/>
    <x v="0"/>
    <x v="1"/>
    <x v="36"/>
    <s v="Employer Taxes"/>
    <s v="26000 Direct Deposit Payable"/>
    <n v="153"/>
    <n v="7454.1"/>
    <n v="153"/>
  </r>
  <r>
    <n v="66800"/>
    <s v="Taxes"/>
    <s v="10/31/2014"/>
    <s v="Payroll Check"/>
    <s v="DD"/>
    <x v="562"/>
    <x v="0"/>
    <x v="4"/>
    <x v="36"/>
    <s v="Employer Taxes"/>
    <s v="26000 Direct Deposit Payable"/>
    <n v="82.88"/>
    <n v="7536.98"/>
    <n v="82.88"/>
  </r>
  <r>
    <n v="66850"/>
    <s v="Wages - Admin"/>
    <s v="01/01/2014"/>
    <s v="Payroll Check"/>
    <s v="DD"/>
    <x v="562"/>
    <x v="0"/>
    <x v="4"/>
    <x v="36"/>
    <s v="Gross Pay - This is not a legal pay stub"/>
    <s v="26000 Direct Deposit Payable"/>
    <n v="650"/>
    <n v="650"/>
    <n v="650"/>
  </r>
  <r>
    <n v="66850"/>
    <s v="Wages - Admin"/>
    <s v="01/16/2014"/>
    <s v="Payroll Check"/>
    <s v="DD"/>
    <x v="562"/>
    <x v="0"/>
    <x v="4"/>
    <x v="36"/>
    <s v="Gross Pay - This is not a legal pay stub"/>
    <s v="26000 Direct Deposit Payable"/>
    <n v="1083.33"/>
    <n v="1733.33"/>
    <n v="1083.33"/>
  </r>
  <r>
    <n v="66850"/>
    <s v="Wages - Admin"/>
    <s v="01/17/2014"/>
    <s v="Payroll Check"/>
    <s v="DD"/>
    <x v="562"/>
    <x v="0"/>
    <x v="4"/>
    <x v="36"/>
    <s v="Gross Pay - This is not a legal pay stub"/>
    <s v="26000 Direct Deposit Payable"/>
    <n v="1000"/>
    <n v="2733.33"/>
    <n v="1000"/>
  </r>
  <r>
    <n v="66850"/>
    <s v="Wages - Admin"/>
    <s v="02/01/2014"/>
    <s v="Payroll Check"/>
    <s v="DD"/>
    <x v="562"/>
    <x v="0"/>
    <x v="4"/>
    <x v="36"/>
    <s v="Gross Pay - This is not a legal pay stub"/>
    <s v="26000 Direct Deposit Payable"/>
    <n v="1083.33"/>
    <n v="3816.66"/>
    <n v="1083.33"/>
  </r>
  <r>
    <n v="66850"/>
    <s v="Wages - Admin"/>
    <s v="02/16/2014"/>
    <s v="Payroll Check"/>
    <s v="DD"/>
    <x v="562"/>
    <x v="0"/>
    <x v="4"/>
    <x v="36"/>
    <s v="Gross Pay - This is not a legal pay stub"/>
    <s v="26000 Direct Deposit Payable"/>
    <n v="1083.33"/>
    <n v="4899.99"/>
    <n v="1083.33"/>
  </r>
  <r>
    <n v="66850"/>
    <s v="Wages - Admin"/>
    <s v="03/01/2014"/>
    <s v="Payroll Check"/>
    <s v="DD"/>
    <x v="562"/>
    <x v="0"/>
    <x v="4"/>
    <x v="36"/>
    <s v="Gross Pay - This is not a legal pay stub"/>
    <s v="26000 Direct Deposit Payable"/>
    <n v="1083.33"/>
    <n v="5983.32"/>
    <n v="1083.33"/>
  </r>
  <r>
    <n v="66850"/>
    <s v="Wages - Admin"/>
    <s v="03/16/2014"/>
    <s v="Payroll Check"/>
    <s v="DD"/>
    <x v="562"/>
    <x v="0"/>
    <x v="4"/>
    <x v="36"/>
    <s v="Gross Pay - This is not a legal pay stub"/>
    <s v="26000 Direct Deposit Payable"/>
    <n v="1083.33"/>
    <n v="7066.65"/>
    <n v="1083.33"/>
  </r>
  <r>
    <n v="66850"/>
    <s v="Wages - Admin"/>
    <s v="04/01/2014"/>
    <s v="Payroll Check"/>
    <s v="DD"/>
    <x v="562"/>
    <x v="0"/>
    <x v="4"/>
    <x v="36"/>
    <s v="Gross Pay - This is not a legal pay stub"/>
    <s v="26000 Direct Deposit Payable"/>
    <n v="1083.33"/>
    <n v="8149.98"/>
    <n v="1083.33"/>
  </r>
  <r>
    <n v="66850"/>
    <s v="Wages - Admin"/>
    <s v="04/16/2014"/>
    <s v="Journal Entry"/>
    <n v="585"/>
    <x v="562"/>
    <x v="0"/>
    <x v="4"/>
    <x v="36"/>
    <s v="Sharon Salary to Admin"/>
    <s v="-Split-"/>
    <n v="1083.33"/>
    <n v="9233.31"/>
    <n v="1083.33"/>
  </r>
  <r>
    <n v="66850"/>
    <s v="Wages - Admin"/>
    <s v="04/16/2014"/>
    <s v="Journal Entry"/>
    <n v="587"/>
    <x v="537"/>
    <x v="0"/>
    <x v="5"/>
    <x v="36"/>
    <s v="1/3 Jennifer salary"/>
    <s v="-Split-"/>
    <n v="1333.33"/>
    <n v="10566.64"/>
    <n v="1333.33"/>
  </r>
  <r>
    <n v="66850"/>
    <s v="Wages - Admin"/>
    <s v="05/31/2014"/>
    <s v="Journal Entry"/>
    <n v="588"/>
    <x v="537"/>
    <x v="0"/>
    <x v="4"/>
    <x v="36"/>
    <s v="Jennifer's salary"/>
    <s v="-Split-"/>
    <n v="2000"/>
    <n v="12566.64"/>
    <n v="2000"/>
  </r>
  <r>
    <n v="66850"/>
    <s v="Wages - Admin"/>
    <s v="05/31/2014"/>
    <s v="Journal Entry"/>
    <n v="589"/>
    <x v="562"/>
    <x v="0"/>
    <x v="4"/>
    <x v="36"/>
    <s v="Sharon"/>
    <s v="-Split-"/>
    <n v="2166.66"/>
    <n v="14733.3"/>
    <n v="2166.66"/>
  </r>
  <r>
    <n v="66850"/>
    <s v="Wages - Admin"/>
    <s v="05/31/2014"/>
    <s v="Journal Entry"/>
    <n v="589"/>
    <x v="562"/>
    <x v="0"/>
    <x v="4"/>
    <x v="36"/>
    <s v="Sharon"/>
    <s v="-Split-"/>
    <n v="1083.33"/>
    <n v="15816.63"/>
    <n v="1083.33"/>
  </r>
  <r>
    <n v="66850"/>
    <s v="Wages - Admin"/>
    <s v="06/16/2014"/>
    <s v="Payroll Check"/>
    <s v="DD"/>
    <x v="562"/>
    <x v="0"/>
    <x v="4"/>
    <x v="36"/>
    <s v="Gross Pay - This is not a legal pay stub"/>
    <s v="26000 Direct Deposit Payable"/>
    <n v="1083.33"/>
    <n v="16899.96"/>
    <n v="1083.33"/>
  </r>
  <r>
    <n v="66850"/>
    <s v="Wages - Admin"/>
    <s v="06/30/2014"/>
    <s v="Journal Entry"/>
    <n v="601"/>
    <x v="537"/>
    <x v="0"/>
    <x v="4"/>
    <x v="36"/>
    <s v="1/3 Jennifer's salary"/>
    <s v="-Split-"/>
    <n v="666.66"/>
    <n v="17566.62"/>
    <n v="666.66"/>
  </r>
  <r>
    <n v="66850"/>
    <s v="Wages - Admin"/>
    <s v="07/01/2014"/>
    <s v="Payroll Check"/>
    <s v="DD"/>
    <x v="562"/>
    <x v="0"/>
    <x v="4"/>
    <x v="36"/>
    <s v="Gross Pay - This is not a legal pay stub"/>
    <s v="26000 Direct Deposit Payable"/>
    <n v="1083.33"/>
    <n v="18649.95"/>
    <n v="1083.33"/>
  </r>
  <r>
    <n v="66850"/>
    <s v="Wages - Admin"/>
    <s v="07/16/2014"/>
    <s v="Payroll Check"/>
    <s v="DD"/>
    <x v="562"/>
    <x v="0"/>
    <x v="4"/>
    <x v="36"/>
    <s v="Gross Pay - This is not a legal pay stub"/>
    <s v="26000 Direct Deposit Payable"/>
    <n v="1083.33"/>
    <n v="19733.28"/>
    <n v="1083.33"/>
  </r>
  <r>
    <n v="66850"/>
    <s v="Wages - Admin"/>
    <s v="08/01/2014"/>
    <s v="Payroll Check"/>
    <s v="DD"/>
    <x v="562"/>
    <x v="0"/>
    <x v="4"/>
    <x v="36"/>
    <s v="Gross Pay - This is not a legal pay stub"/>
    <s v="26000 Direct Deposit Payable"/>
    <n v="1083.33"/>
    <n v="20816.61"/>
    <n v="1083.33"/>
  </r>
  <r>
    <n v="66850"/>
    <s v="Wages - Admin"/>
    <s v="08/15/2014"/>
    <s v="Payroll Check"/>
    <s v="DD"/>
    <x v="562"/>
    <x v="0"/>
    <x v="4"/>
    <x v="36"/>
    <s v="Gross Pay - This is not a legal pay stub"/>
    <s v="26000 Direct Deposit Payable"/>
    <n v="1083.33"/>
    <n v="21899.94"/>
    <n v="1083.33"/>
  </r>
  <r>
    <n v="66850"/>
    <s v="Wages - Admin"/>
    <s v="08/29/2014"/>
    <s v="Payroll Check"/>
    <s v="DD"/>
    <x v="562"/>
    <x v="0"/>
    <x v="4"/>
    <x v="36"/>
    <s v="Gross Pay - This is not a legal pay stub"/>
    <s v="26000 Direct Deposit Payable"/>
    <n v="1083.33"/>
    <n v="22983.27"/>
    <n v="1083.33"/>
  </r>
  <r>
    <n v="66850"/>
    <s v="Wages - Admin"/>
    <s v="09/16/2014"/>
    <s v="Payroll Check"/>
    <s v="DD"/>
    <x v="562"/>
    <x v="0"/>
    <x v="4"/>
    <x v="36"/>
    <s v="Gross Pay - This is not a legal pay stub"/>
    <s v="26000 Direct Deposit Payable"/>
    <n v="1083.33"/>
    <n v="24066.6"/>
    <n v="1083.33"/>
  </r>
  <r>
    <n v="66850"/>
    <s v="Wages - Admin"/>
    <s v="10/01/2014"/>
    <s v="Payroll Check"/>
    <s v="DD"/>
    <x v="562"/>
    <x v="0"/>
    <x v="4"/>
    <x v="36"/>
    <s v="Gross Pay - This is not a legal pay stub"/>
    <s v="26000 Direct Deposit Payable"/>
    <n v="1083.33"/>
    <n v="25149.93"/>
    <n v="1083.33"/>
  </r>
  <r>
    <n v="66850"/>
    <s v="Wages - Admin"/>
    <s v="10/16/2014"/>
    <s v="Payroll Check"/>
    <s v="DD"/>
    <x v="562"/>
    <x v="0"/>
    <x v="4"/>
    <x v="36"/>
    <s v="Gross Pay - This is not a legal pay stub"/>
    <s v="26000 Direct Deposit Payable"/>
    <n v="1083.33"/>
    <n v="26233.26"/>
    <n v="1083.33"/>
  </r>
  <r>
    <n v="66850"/>
    <s v="Wages - Admin"/>
    <s v="10/31/2014"/>
    <s v="Payroll Check"/>
    <s v="DD"/>
    <x v="562"/>
    <x v="0"/>
    <x v="4"/>
    <x v="36"/>
    <s v="Gross Pay - This is not a legal pay stub"/>
    <s v="26000 Direct Deposit Payable"/>
    <n v="1083.33"/>
    <n v="27316.59"/>
    <n v="1083.33"/>
  </r>
  <r>
    <n v="66855"/>
    <s v="Wages -  Fund Raising"/>
    <s v="02/01/2014"/>
    <s v="Payroll Check"/>
    <s v="DD"/>
    <x v="537"/>
    <x v="0"/>
    <x v="5"/>
    <x v="36"/>
    <s v="Gross Pay - This is not a legal pay stub"/>
    <s v="26000 Direct Deposit Payable"/>
    <n v="2000"/>
    <n v="2000"/>
    <n v="2000"/>
  </r>
  <r>
    <n v="66855"/>
    <s v="Wages -  Fund Raising"/>
    <s v="02/16/2014"/>
    <s v="Payroll Check"/>
    <s v="DD"/>
    <x v="537"/>
    <x v="0"/>
    <x v="5"/>
    <x v="36"/>
    <s v="Gross Pay - This is not a legal pay stub"/>
    <s v="26000 Direct Deposit Payable"/>
    <n v="2000"/>
    <n v="4750"/>
    <n v="2000"/>
  </r>
  <r>
    <n v="66855"/>
    <s v="Wages -  Fund Raising"/>
    <s v="03/01/2014"/>
    <s v="Payroll Check"/>
    <s v="DD"/>
    <x v="537"/>
    <x v="0"/>
    <x v="4"/>
    <x v="36"/>
    <s v="Gross Pay - This is not a legal pay stub"/>
    <s v="26000 Direct Deposit Payable"/>
    <n v="2000"/>
    <n v="7500"/>
    <n v="2000"/>
  </r>
  <r>
    <n v="66855"/>
    <s v="Wages -  Fund Raising"/>
    <s v="03/16/2014"/>
    <s v="Payroll Check"/>
    <s v="DD"/>
    <x v="537"/>
    <x v="0"/>
    <x v="1"/>
    <x v="36"/>
    <s v="Gross Pay - This is not a legal pay stub"/>
    <s v="26000 Direct Deposit Payable"/>
    <n v="2000"/>
    <n v="11000"/>
    <n v="2000"/>
  </r>
  <r>
    <n v="66855"/>
    <s v="Wages -  Fund Raising"/>
    <s v="04/01/2014"/>
    <s v="Payroll Check"/>
    <s v="DD"/>
    <x v="537"/>
    <x v="0"/>
    <x v="1"/>
    <x v="36"/>
    <s v="Gross Pay - This is not a legal pay stub"/>
    <s v="26000 Direct Deposit Payable"/>
    <n v="2000"/>
    <n v="13750"/>
    <n v="2000"/>
  </r>
  <r>
    <n v="66855"/>
    <s v="Wages -  Fund Raising"/>
    <s v="04/16/2014"/>
    <s v="Journal Entry"/>
    <n v="587"/>
    <x v="537"/>
    <x v="0"/>
    <x v="5"/>
    <x v="36"/>
    <s v="Jennifer salary"/>
    <s v="-Split-"/>
    <n v="-666.67"/>
    <n v="13083.33"/>
    <n v="-666.67"/>
  </r>
  <r>
    <n v="66855"/>
    <s v="Wages -  Fund Raising"/>
    <s v="05/31/2014"/>
    <s v="Journal Entry"/>
    <n v="588"/>
    <x v="563"/>
    <x v="0"/>
    <x v="5"/>
    <x v="36"/>
    <s v="Shelley's salary"/>
    <s v="-Split-"/>
    <n v="1125"/>
    <n v="14208.33"/>
    <n v="1125"/>
  </r>
  <r>
    <n v="66855"/>
    <s v="Wages -  Fund Raising"/>
    <s v="05/31/2014"/>
    <s v="Journal Entry"/>
    <n v="588"/>
    <x v="537"/>
    <x v="0"/>
    <x v="4"/>
    <x v="36"/>
    <s v="Jennifer's salary"/>
    <s v="-Split-"/>
    <n v="2000"/>
    <n v="16208.33"/>
    <n v="2000"/>
  </r>
  <r>
    <n v="66855"/>
    <s v="Wages -  Fund Raising"/>
    <s v="06/30/2014"/>
    <s v="Journal Entry"/>
    <n v="602"/>
    <x v="563"/>
    <x v="0"/>
    <x v="5"/>
    <x v="36"/>
    <s v="1/2 of Shelley's salary to Programs"/>
    <s v="-Split-"/>
    <n v="-375"/>
    <n v="16583.330000000002"/>
    <n v="-375"/>
  </r>
  <r>
    <n v="66855"/>
    <s v="Wages -  Fund Raising"/>
    <s v="06/30/2014"/>
    <s v="Journal Entry"/>
    <n v="601"/>
    <x v="537"/>
    <x v="0"/>
    <x v="5"/>
    <x v="36"/>
    <s v="1/3 Jennifer's salary"/>
    <s v="-Split-"/>
    <n v="666.66"/>
    <n v="17249.990000000002"/>
    <n v="666.66"/>
  </r>
  <r>
    <n v="66855"/>
    <s v="Wages -  Fund Raising"/>
    <s v="04/16/2014"/>
    <s v="Journal Entry"/>
    <n v="586"/>
    <x v="563"/>
    <x v="0"/>
    <x v="5"/>
    <x v="36"/>
    <s v="50%  Shelley pay"/>
    <s v="-Split-"/>
    <n v="-750"/>
    <n v="-750"/>
    <n v="-750"/>
  </r>
  <r>
    <n v="66855"/>
    <s v="Wages -  Fund Raising"/>
    <s v="04/16/2014"/>
    <s v="Payroll Check"/>
    <s v="DD"/>
    <x v="537"/>
    <x v="0"/>
    <x v="4"/>
    <x v="36"/>
    <s v="Gross Pay - This is not a legal pay stub"/>
    <s v="26000 Direct Deposit Payable"/>
    <n v="2000"/>
    <n v="1250"/>
    <n v="2000"/>
  </r>
  <r>
    <n v="66855"/>
    <s v="Wages -  Fund Raising"/>
    <s v="04/16/2014"/>
    <s v="Journal Entry"/>
    <n v="587"/>
    <x v="537"/>
    <x v="0"/>
    <x v="1"/>
    <x v="36"/>
    <s v="Jennifer salary"/>
    <s v="-Split-"/>
    <n v="-2000"/>
    <n v="0"/>
    <n v="-2000"/>
  </r>
  <r>
    <n v="66855"/>
    <s v="Wages -  Fund Raising"/>
    <s v="05/01/2014"/>
    <s v="Payroll Check"/>
    <s v="DD"/>
    <x v="537"/>
    <x v="0"/>
    <x v="5"/>
    <x v="36"/>
    <s v="Gross Pay - This is not a legal pay stub"/>
    <s v="26000 Direct Deposit Payable"/>
    <n v="2000"/>
    <n v="2000"/>
    <n v="2000"/>
  </r>
  <r>
    <n v="66855"/>
    <s v="Wages -  Fund Raising"/>
    <s v="05/16/2014"/>
    <s v="Payroll Check"/>
    <s v="DD"/>
    <x v="537"/>
    <x v="0"/>
    <x v="4"/>
    <x v="36"/>
    <s v="Gross Pay - This is not a legal pay stub"/>
    <s v="26000 Direct Deposit Payable"/>
    <n v="2000"/>
    <n v="5500"/>
    <n v="2000"/>
  </r>
  <r>
    <n v="66855"/>
    <s v="Wages -  Fund Raising"/>
    <s v="05/30/2014"/>
    <s v="Payroll Check"/>
    <s v="DD"/>
    <x v="537"/>
    <x v="0"/>
    <x v="5"/>
    <x v="36"/>
    <s v="Gross Pay - This is not a legal pay stub"/>
    <s v="26000 Direct Deposit Payable"/>
    <n v="2000"/>
    <n v="7500"/>
    <n v="2000"/>
  </r>
  <r>
    <n v="66855"/>
    <s v="Wages -  Fund Raising"/>
    <s v="05/31/2014"/>
    <s v="Journal Entry"/>
    <n v="588"/>
    <x v="563"/>
    <x v="0"/>
    <x v="5"/>
    <x v="36"/>
    <s v="Shelley"/>
    <s v="-Split-"/>
    <n v="-2250"/>
    <n v="6000"/>
    <n v="-2250"/>
  </r>
  <r>
    <n v="66855"/>
    <s v="Wages -  Fund Raising"/>
    <s v="05/31/2014"/>
    <s v="Journal Entry"/>
    <n v="588"/>
    <x v="537"/>
    <x v="0"/>
    <x v="5"/>
    <x v="36"/>
    <s v="Jennifer"/>
    <s v="-Split-"/>
    <n v="-6000"/>
    <n v="0"/>
    <n v="-6000"/>
  </r>
  <r>
    <n v="66855"/>
    <s v="Wages -  Fund Raising"/>
    <s v="07/01/2014"/>
    <s v="Payroll Check"/>
    <s v="DD"/>
    <x v="563"/>
    <x v="0"/>
    <x v="1"/>
    <x v="36"/>
    <s v="Gross Pay - This is not a legal pay stub"/>
    <s v="26000 Direct Deposit Payable"/>
    <n v="750"/>
    <n v="17999.990000000002"/>
    <n v="750"/>
  </r>
  <r>
    <n v="66855"/>
    <s v="Wages -  Fund Raising"/>
    <s v="07/16/2014"/>
    <s v="Payroll Check"/>
    <s v="DD"/>
    <x v="563"/>
    <x v="0"/>
    <x v="5"/>
    <x v="36"/>
    <s v="Gross Pay - This is not a legal pay stub"/>
    <s v="26000 Direct Deposit Payable"/>
    <n v="750"/>
    <n v="18749.990000000002"/>
    <n v="750"/>
  </r>
  <r>
    <n v="66855"/>
    <s v="Wages -  Fund Raising"/>
    <s v="08/01/2014"/>
    <s v="Payroll Check"/>
    <s v="DD"/>
    <x v="563"/>
    <x v="0"/>
    <x v="1"/>
    <x v="36"/>
    <s v="Gross Pay - This is not a legal pay stub"/>
    <s v="26000 Direct Deposit Payable"/>
    <n v="750"/>
    <n v="19499.990000000002"/>
    <n v="750"/>
  </r>
  <r>
    <n v="66855"/>
    <s v="Wages -  Fund Raising"/>
    <s v="10/31/2014"/>
    <s v="Payroll Check"/>
    <s v="DD"/>
    <x v="564"/>
    <x v="35"/>
    <x v="5"/>
    <x v="36"/>
    <s v="Gross Pay - This is not a legal pay stub"/>
    <s v="26000 Direct Deposit Payable"/>
    <n v="576.88"/>
    <n v="25326.87"/>
    <n v="576.88"/>
  </r>
  <r>
    <n v="66860"/>
    <s v="Wages - Programs"/>
    <s v="04/16/2014"/>
    <s v="Journal Entry"/>
    <n v="587"/>
    <x v="537"/>
    <x v="0"/>
    <x v="1"/>
    <x v="36"/>
    <s v="1/3 Jennifer salary"/>
    <s v="-Split-"/>
    <n v="1333.34"/>
    <n v="1333.34"/>
    <n v="1333.34"/>
  </r>
  <r>
    <n v="66860"/>
    <s v="Wages - Programs"/>
    <s v="04/16/2014"/>
    <s v="Journal Entry"/>
    <n v="586"/>
    <x v="563"/>
    <x v="0"/>
    <x v="1"/>
    <x v="36"/>
    <s v="50%  Shelley pay"/>
    <s v="-Split-"/>
    <n v="750"/>
    <n v="2083.34"/>
    <n v="750"/>
  </r>
  <r>
    <n v="66860"/>
    <s v="Wages - Programs"/>
    <s v="04/16/2014"/>
    <s v="Journal Entry"/>
    <n v="585"/>
    <x v="562"/>
    <x v="0"/>
    <x v="4"/>
    <x v="36"/>
    <s v="Sharon Salary to Admin"/>
    <s v="-Split-"/>
    <n v="-1083.33"/>
    <n v="1000.01"/>
    <n v="-1083.33"/>
  </r>
  <r>
    <n v="66860"/>
    <s v="Wages - Programs"/>
    <s v="04/16/2014"/>
    <s v="Payroll Check"/>
    <s v="DD"/>
    <x v="562"/>
    <x v="0"/>
    <x v="4"/>
    <x v="36"/>
    <s v="Gross Pay - This is not a legal pay stub"/>
    <s v="26000 Direct Deposit Payable"/>
    <n v="1083.33"/>
    <n v="2083.34"/>
    <n v="1083.33"/>
  </r>
  <r>
    <n v="66860"/>
    <s v="Wages - Programs"/>
    <s v="05/01/2014"/>
    <s v="Payroll Check"/>
    <s v="DD"/>
    <x v="562"/>
    <x v="0"/>
    <x v="4"/>
    <x v="36"/>
    <s v="Gross Pay - This is not a legal pay stub"/>
    <s v="26000 Direct Deposit Payable"/>
    <n v="1083.33"/>
    <n v="3166.67"/>
    <n v="1083.33"/>
  </r>
  <r>
    <n v="66860"/>
    <s v="Wages - Programs"/>
    <s v="05/16/2014"/>
    <s v="Payroll Check"/>
    <s v="DD"/>
    <x v="562"/>
    <x v="0"/>
    <x v="4"/>
    <x v="36"/>
    <s v="Gross Pay - This is not a legal pay stub"/>
    <s v="26000 Direct Deposit Payable"/>
    <n v="1083.33"/>
    <n v="4250"/>
    <n v="1083.33"/>
  </r>
  <r>
    <n v="66860"/>
    <s v="Wages - Programs"/>
    <s v="05/31/2014"/>
    <s v="Journal Entry"/>
    <n v="588"/>
    <x v="537"/>
    <x v="0"/>
    <x v="1"/>
    <x v="36"/>
    <s v="Jennifer's salary"/>
    <s v="-Split-"/>
    <n v="2000"/>
    <n v="6250"/>
    <n v="2000"/>
  </r>
  <r>
    <n v="66860"/>
    <s v="Wages - Programs"/>
    <s v="05/31/2014"/>
    <s v="Journal Entry"/>
    <n v="588"/>
    <x v="563"/>
    <x v="0"/>
    <x v="1"/>
    <x v="36"/>
    <s v="Shelley's salary"/>
    <s v="-Split-"/>
    <n v="1125"/>
    <n v="7375"/>
    <n v="1125"/>
  </r>
  <r>
    <n v="66860"/>
    <s v="Wages - Programs"/>
    <s v="05/31/2014"/>
    <s v="Journal Entry"/>
    <n v="589"/>
    <x v="562"/>
    <x v="0"/>
    <x v="4"/>
    <x v="36"/>
    <s v="Sharon"/>
    <s v="-Split-"/>
    <n v="-2166.66"/>
    <n v="5208.34"/>
    <n v="-2166.66"/>
  </r>
  <r>
    <n v="66860"/>
    <s v="Wages - Programs"/>
    <s v="06/16/2014"/>
    <s v="Payroll Check"/>
    <s v="DD"/>
    <x v="537"/>
    <x v="0"/>
    <x v="1"/>
    <x v="36"/>
    <s v="Gross Pay - This is not a legal pay stub"/>
    <s v="26000 Direct Deposit Payable"/>
    <n v="2000"/>
    <n v="7208.34"/>
    <n v="2000"/>
  </r>
  <r>
    <n v="66860"/>
    <s v="Wages - Programs"/>
    <s v="06/30/2014"/>
    <s v="Journal Entry"/>
    <n v="602"/>
    <x v="563"/>
    <x v="0"/>
    <x v="1"/>
    <x v="36"/>
    <s v="1/2 of Shelley's salary"/>
    <s v="-Split-"/>
    <n v="375"/>
    <n v="7583.34"/>
    <n v="375"/>
  </r>
  <r>
    <n v="66860"/>
    <s v="Wages - Programs"/>
    <s v="06/30/2014"/>
    <s v="Journal Entry"/>
    <n v="601"/>
    <x v="537"/>
    <x v="0"/>
    <x v="4"/>
    <x v="36"/>
    <s v="to allocate jennifer's salary"/>
    <s v="-Split-"/>
    <n v="-1333.32"/>
    <n v="6250.02"/>
    <n v="-1333.32"/>
  </r>
  <r>
    <n v="66860"/>
    <s v="Wages - Admin"/>
    <s v="05/30/2014"/>
    <s v="Payroll Check"/>
    <s v="DD"/>
    <x v="562"/>
    <x v="0"/>
    <x v="4"/>
    <x v="36"/>
    <s v="Gross Pay - This is not a legal pay stub"/>
    <s v="26000 Direct Deposit Payable"/>
    <n v="1083.33"/>
    <n v="1083.33"/>
    <n v="1083.33"/>
  </r>
  <r>
    <n v="66860"/>
    <s v="Wages - Admin"/>
    <s v="05/31/2014"/>
    <s v="Journal Entry"/>
    <n v="589"/>
    <x v="562"/>
    <x v="0"/>
    <x v="4"/>
    <x v="36"/>
    <s v="Sharon"/>
    <s v="-Split-"/>
    <n v="-1083.33"/>
    <n v="0"/>
    <n v="-1083.33"/>
  </r>
  <r>
    <n v="66860"/>
    <s v="Wages - Programs"/>
    <s v="07/01/2014"/>
    <s v="Payroll Check"/>
    <s v="DD"/>
    <x v="537"/>
    <x v="0"/>
    <x v="4"/>
    <x v="36"/>
    <s v="Gross Pay - This is not a legal pay stub"/>
    <s v="26000 Direct Deposit Payable"/>
    <n v="2000"/>
    <n v="8250.02"/>
    <n v="2000"/>
  </r>
  <r>
    <n v="66860"/>
    <s v="Wages - Programs"/>
    <s v="07/16/2014"/>
    <s v="Payroll Check"/>
    <s v="DD"/>
    <x v="537"/>
    <x v="0"/>
    <x v="1"/>
    <x v="36"/>
    <s v="Gross Pay - This is not a legal pay stub"/>
    <s v="26000 Direct Deposit Payable"/>
    <n v="2000"/>
    <n v="10250.02"/>
    <n v="2000"/>
  </r>
  <r>
    <n v="66860"/>
    <s v="Wages - Programs"/>
    <s v="08/01/2014"/>
    <s v="Payroll Check"/>
    <s v="DD"/>
    <x v="537"/>
    <x v="0"/>
    <x v="5"/>
    <x v="36"/>
    <s v="Gross Pay - This is not a legal pay stub"/>
    <s v="26000 Direct Deposit Payable"/>
    <n v="2000"/>
    <n v="12250.02"/>
    <n v="2000"/>
  </r>
  <r>
    <n v="66860"/>
    <s v="Wages - Programs"/>
    <s v="08/15/2014"/>
    <s v="Payroll Check"/>
    <s v="DD"/>
    <x v="537"/>
    <x v="0"/>
    <x v="4"/>
    <x v="36"/>
    <s v="Gross Pay - This is not a legal pay stub"/>
    <s v="26000 Direct Deposit Payable"/>
    <n v="2000"/>
    <n v="14250.02"/>
    <n v="2000"/>
  </r>
  <r>
    <n v="66860"/>
    <s v="Wages - Programs"/>
    <s v="08/29/2014"/>
    <s v="Payroll Check"/>
    <s v="DD"/>
    <x v="537"/>
    <x v="0"/>
    <x v="1"/>
    <x v="36"/>
    <s v="Gross Pay - This is not a legal pay stub"/>
    <s v="26000 Direct Deposit Payable"/>
    <n v="2000"/>
    <n v="16250.02"/>
    <n v="2000"/>
  </r>
  <r>
    <n v="66860"/>
    <s v="Wages - Programs"/>
    <s v="09/16/2014"/>
    <s v="Payroll Check"/>
    <s v="DD"/>
    <x v="537"/>
    <x v="0"/>
    <x v="5"/>
    <x v="36"/>
    <s v="Gross Pay - This is not a legal pay stub"/>
    <s v="26000 Direct Deposit Payable"/>
    <n v="2000"/>
    <n v="18250.02"/>
    <n v="2000"/>
  </r>
  <r>
    <n v="66860"/>
    <s v="Wages - Programs"/>
    <s v="10/01/2014"/>
    <s v="Payroll Check"/>
    <s v="DD"/>
    <x v="537"/>
    <x v="0"/>
    <x v="4"/>
    <x v="36"/>
    <s v="Gross Pay - This is not a legal pay stub"/>
    <s v="26000 Direct Deposit Payable"/>
    <n v="2000"/>
    <n v="20250.02"/>
    <n v="2000"/>
  </r>
  <r>
    <n v="66860"/>
    <s v="Wages - Programs"/>
    <s v="10/16/2014"/>
    <s v="Payroll Check"/>
    <s v="DD"/>
    <x v="537"/>
    <x v="0"/>
    <x v="1"/>
    <x v="36"/>
    <s v="Gross Pay - This is not a legal pay stub"/>
    <s v="26000 Direct Deposit Payable"/>
    <n v="2000"/>
    <n v="22250.02"/>
    <n v="2000"/>
  </r>
  <r>
    <n v="66860"/>
    <s v="Wages - Programs"/>
    <s v="10/31/2014"/>
    <s v="Payroll Check"/>
    <s v="DD"/>
    <x v="537"/>
    <x v="0"/>
    <x v="5"/>
    <x v="36"/>
    <s v="Gross Pay - This is not a legal pay stub"/>
    <s v="26000 Direct Deposit Payable"/>
    <n v="2000"/>
    <n v="24250.02"/>
    <n v="2000"/>
  </r>
  <r>
    <n v="67000"/>
    <s v="Fund Raising Expenses Indirect"/>
    <s v="01/01/2014"/>
    <s v="Journal Entry"/>
    <s v="551R"/>
    <x v="537"/>
    <x v="0"/>
    <x v="5"/>
    <x v="36"/>
    <s v="to accrue Jennifer's bonus at year end"/>
    <s v="-Split-"/>
    <n v="-10000"/>
    <n v="-10000"/>
    <n v="-10000"/>
  </r>
  <r>
    <n v="67000"/>
    <s v="Fund Raising Expenses Indirect"/>
    <s v="01/01/2014"/>
    <s v="Payroll Check"/>
    <s v="DD"/>
    <x v="563"/>
    <x v="0"/>
    <x v="5"/>
    <x v="36"/>
    <s v="Gross Pay - This is not a legal pay stub"/>
    <s v="26000 Direct Deposit Payable"/>
    <n v="750"/>
    <n v="-9250"/>
    <n v="750"/>
  </r>
  <r>
    <n v="67000"/>
    <s v="Fund Raising Expenses Indirect"/>
    <s v="01/01/2014"/>
    <s v="Payroll Check"/>
    <s v="DD"/>
    <x v="537"/>
    <x v="0"/>
    <x v="5"/>
    <x v="36"/>
    <s v="Gross Pay - This is not a legal pay stub"/>
    <s v="26000 Direct Deposit Payable"/>
    <n v="1500"/>
    <n v="-7750"/>
    <n v="1500"/>
  </r>
  <r>
    <n v="67000"/>
    <s v="Fund Raising Expenses Indirect"/>
    <s v="01/16/2014"/>
    <s v="Payroll Check"/>
    <s v="DD"/>
    <x v="537"/>
    <x v="0"/>
    <x v="5"/>
    <x v="36"/>
    <s v="Gross Pay - This is not a legal pay stub"/>
    <s v="26000 Direct Deposit Payable"/>
    <n v="2000"/>
    <n v="-5750"/>
    <n v="2000"/>
  </r>
  <r>
    <n v="67000"/>
    <s v="Fund Raising Expenses Indirect"/>
    <s v="01/16/2014"/>
    <s v="Payroll Check"/>
    <s v="DD"/>
    <x v="563"/>
    <x v="0"/>
    <x v="5"/>
    <x v="36"/>
    <s v="Gross Pay - This is not a legal pay stub"/>
    <s v="26000 Direct Deposit Payable"/>
    <n v="750"/>
    <n v="-5000"/>
    <n v="750"/>
  </r>
  <r>
    <n v="67000"/>
    <s v="Fund Raising Expenses Indirect"/>
    <s v="01/17/2014"/>
    <s v="Payroll Check"/>
    <s v="DD"/>
    <x v="537"/>
    <x v="0"/>
    <x v="5"/>
    <x v="36"/>
    <s v="Gross Pay - This is not a legal pay stub"/>
    <s v="26000 Direct Deposit Payable"/>
    <n v="10000"/>
    <n v="5000"/>
    <n v="10000"/>
  </r>
  <r>
    <n v="67001"/>
    <s v="Fundraising Expense -  Direct"/>
    <s v="01/01/2014"/>
    <s v="Journal Entry"/>
    <s v="550R"/>
    <x v="0"/>
    <x v="0"/>
    <x v="2"/>
    <x v="7"/>
    <s v="to accrue unrecorded payables at 12/31/13"/>
    <s v="-Split-"/>
    <n v="-2289.98"/>
    <n v="-2289.98"/>
    <n v="-2289.98"/>
  </r>
  <r>
    <n v="67001"/>
    <s v="Fundraising Expense -  Direct"/>
    <s v="04/08/2014"/>
    <s v="Check"/>
    <n v="437"/>
    <x v="525"/>
    <x v="0"/>
    <x v="2"/>
    <x v="7"/>
    <s v="printing/advertising for bed race"/>
    <s v="10180 BofA Spec Spaces National 4695"/>
    <n v="638"/>
    <n v="47566.32"/>
    <n v="638"/>
  </r>
  <r>
    <n v="67001"/>
    <s v="Fundraising Expense -  Direct"/>
    <s v="05/05/2014"/>
    <s v="Check"/>
    <n v="449"/>
    <x v="523"/>
    <x v="0"/>
    <x v="2"/>
    <x v="7"/>
    <s v="Direct Mail Campaign"/>
    <s v="10180 BofA Spec Spaces National 4695"/>
    <n v="151.62"/>
    <n v="55674.73"/>
    <n v="151.62"/>
  </r>
  <r>
    <n v="67001"/>
    <s v="Fundraising Expense -  Direct"/>
    <s v="05/15/2014"/>
    <s v="Check"/>
    <n v="457"/>
    <x v="523"/>
    <x v="0"/>
    <x v="2"/>
    <x v="7"/>
    <s v="Direct Mail Campaign"/>
    <s v="10180 BofA Spec Spaces National 4695"/>
    <n v="178.42"/>
    <n v="56053.41"/>
    <n v="178.42"/>
  </r>
  <r>
    <n v="67001"/>
    <s v="Fundraising Expense -  Direct"/>
    <s v="06/25/2014"/>
    <s v="Check"/>
    <n v="483"/>
    <x v="523"/>
    <x v="0"/>
    <x v="2"/>
    <x v="7"/>
    <s v="Bed Race"/>
    <s v="10180 BofA Spec Spaces National 4695"/>
    <n v="137.26"/>
    <n v="57666.87"/>
    <n v="137.26"/>
  </r>
  <r>
    <n v="67001"/>
    <s v="Fundraising Expense -  Direct"/>
    <s v="09/02/2014"/>
    <s v="Check"/>
    <n v="523"/>
    <x v="565"/>
    <x v="0"/>
    <x v="2"/>
    <x v="7"/>
    <m/>
    <s v="10180 BofA Spec Spaces National 4695"/>
    <n v="100"/>
    <n v="67957.09"/>
    <n v="100"/>
  </r>
  <r>
    <n v="67001"/>
    <s v="Fundraising Expense -  Direct"/>
    <s v="09/02/2014"/>
    <s v="Expense"/>
    <m/>
    <x v="566"/>
    <x v="0"/>
    <x v="2"/>
    <x v="7"/>
    <m/>
    <s v="10180 BofA Spec Spaces National 4695"/>
    <n v="8"/>
    <n v="67965.09"/>
    <n v="8"/>
  </r>
  <r>
    <n v="67001"/>
    <s v="Fundraising Expense -  Direct"/>
    <s v="09/23/2014"/>
    <s v="Expense"/>
    <m/>
    <x v="406"/>
    <x v="0"/>
    <x v="2"/>
    <x v="7"/>
    <m/>
    <s v="10180 BofA Spec Spaces National 4695"/>
    <n v="180.32"/>
    <n v="74632.3"/>
    <n v="180.32"/>
  </r>
  <r>
    <n v="67001"/>
    <s v="Fundraising Expense -  Direct"/>
    <s v="09/30/2014"/>
    <s v="Check"/>
    <n v="543"/>
    <x v="567"/>
    <x v="0"/>
    <x v="2"/>
    <x v="7"/>
    <s v="advertising for Bed Race"/>
    <s v="10180 BofA Spec Spaces National 4695"/>
    <n v="300"/>
    <n v="75085.899999999994"/>
    <n v="300"/>
  </r>
  <r>
    <n v="67001"/>
    <s v="Fundraising Expense -  Direct"/>
    <s v="10/01/2014"/>
    <s v="Expense"/>
    <m/>
    <x v="568"/>
    <x v="0"/>
    <x v="2"/>
    <x v="7"/>
    <m/>
    <s v="10180 BofA Spec Spaces National 4695"/>
    <n v="47.27"/>
    <n v="75133.17"/>
    <n v="47.27"/>
  </r>
  <r>
    <n v="67001"/>
    <s v="Fundraising Expense -  Direct"/>
    <s v="10/02/2014"/>
    <s v="Check"/>
    <n v="539"/>
    <x v="569"/>
    <x v="0"/>
    <x v="2"/>
    <x v="7"/>
    <m/>
    <s v="10180 BofA Spec Spaces National 4695"/>
    <n v="1160"/>
    <n v="76293.17"/>
    <n v="1160"/>
  </r>
  <r>
    <n v="67001"/>
    <s v="Fundraising Expense -  Direct"/>
    <s v="10/03/2014"/>
    <s v="Expense"/>
    <m/>
    <x v="9"/>
    <x v="0"/>
    <x v="2"/>
    <x v="7"/>
    <m/>
    <s v="10180 BofA Spec Spaces National 4695"/>
    <n v="10.64"/>
    <n v="76353.03"/>
    <n v="10.64"/>
  </r>
  <r>
    <n v="67001"/>
    <s v="Fundraising Expense -  Direct"/>
    <s v="10/14/2014"/>
    <s v="Check"/>
    <n v="550"/>
    <x v="570"/>
    <x v="0"/>
    <x v="2"/>
    <x v="7"/>
    <s v="Bed Race Food deposit"/>
    <s v="10180 BofA Spec Spaces National 4695"/>
    <n v="80"/>
    <n v="76872.570000000007"/>
    <n v="80"/>
  </r>
  <r>
    <n v="67001"/>
    <s v="Fundraising Expense -  Direct"/>
    <s v="10/20/2014"/>
    <s v="Expense"/>
    <m/>
    <x v="571"/>
    <x v="0"/>
    <x v="2"/>
    <x v="7"/>
    <m/>
    <s v="10180 BofA Spec Spaces National 4695"/>
    <n v="141.43"/>
    <n v="77182.64"/>
    <n v="141.43"/>
  </r>
  <r>
    <n v="67001"/>
    <s v="Fundraising Expense -  Direct"/>
    <s v="10/20/2014"/>
    <s v="Check"/>
    <n v="557"/>
    <x v="572"/>
    <x v="0"/>
    <x v="2"/>
    <x v="7"/>
    <s v="Reimbursement for Yard Signs"/>
    <s v="10180 BofA Spec Spaces National 4695"/>
    <n v="112.5"/>
    <n v="77295.14"/>
    <n v="112.5"/>
  </r>
  <r>
    <n v="67001"/>
    <s v="Fundraising Expense -  Direct"/>
    <s v="10/21/2014"/>
    <s v="Expense"/>
    <m/>
    <x v="9"/>
    <x v="0"/>
    <x v="2"/>
    <x v="7"/>
    <m/>
    <s v="10180 BofA Spec Spaces National 4695"/>
    <n v="17.989999999999998"/>
    <n v="77313.13"/>
    <n v="17.989999999999998"/>
  </r>
  <r>
    <n v="67001"/>
    <s v="Fundraising Expense -  Direct"/>
    <s v="10/21/2014"/>
    <s v="Expense"/>
    <m/>
    <x v="9"/>
    <x v="0"/>
    <x v="2"/>
    <x v="7"/>
    <m/>
    <s v="10180 BofA Spec Spaces National 4695"/>
    <n v="23.29"/>
    <n v="77336.42"/>
    <n v="23.29"/>
  </r>
  <r>
    <n v="67001"/>
    <s v="Fundraising Expense -  Direct"/>
    <s v="10/22/2014"/>
    <s v="Expense"/>
    <m/>
    <x v="29"/>
    <x v="0"/>
    <x v="2"/>
    <x v="7"/>
    <m/>
    <s v="10180 BofA Spec Spaces National 4695"/>
    <n v="17.149999999999999"/>
    <n v="77353.570000000007"/>
    <n v="17.149999999999999"/>
  </r>
  <r>
    <n v="67001"/>
    <s v="Fundraising Expense -  Direct"/>
    <s v="10/23/2014"/>
    <s v="Expense"/>
    <m/>
    <x v="29"/>
    <x v="0"/>
    <x v="2"/>
    <x v="7"/>
    <m/>
    <s v="10180 BofA Spec Spaces National 4695"/>
    <n v="67.45"/>
    <n v="77421.02"/>
    <n v="67.45"/>
  </r>
  <r>
    <n v="67001"/>
    <s v="Fundraising Expense -  Direct"/>
    <s v="10/24/2014"/>
    <s v="Expense"/>
    <m/>
    <x v="406"/>
    <x v="0"/>
    <x v="2"/>
    <x v="7"/>
    <m/>
    <s v="10180 BofA Spec Spaces National 4695"/>
    <n v="180.32"/>
    <n v="77752.289999999994"/>
    <n v="180.32"/>
  </r>
  <r>
    <n v="67001"/>
    <s v="Fundraising Expense -  Direct"/>
    <s v="10/27/2014"/>
    <s v="Expense"/>
    <m/>
    <x v="573"/>
    <x v="0"/>
    <x v="2"/>
    <x v="7"/>
    <m/>
    <s v="10180 BofA Spec Spaces National 4695"/>
    <n v="303.35000000000002"/>
    <n v="78055.64"/>
    <n v="303.35000000000002"/>
  </r>
  <r>
    <n v="67001"/>
    <s v="Fundraising Expense -  Direct"/>
    <s v="10/27/2014"/>
    <s v="Check"/>
    <n v="561"/>
    <x v="574"/>
    <x v="0"/>
    <x v="2"/>
    <x v="7"/>
    <m/>
    <s v="10180 BofA Spec Spaces National 4695"/>
    <n v="120"/>
    <n v="78175.64"/>
    <n v="120"/>
  </r>
  <r>
    <n v="67001"/>
    <s v="Fundraising Expense -  Direct"/>
    <s v="10/27/2014"/>
    <s v="Expense"/>
    <m/>
    <x v="41"/>
    <x v="0"/>
    <x v="2"/>
    <x v="7"/>
    <m/>
    <s v="10180 BofA Spec Spaces National 4695"/>
    <n v="15.87"/>
    <n v="78191.509999999995"/>
    <n v="15.87"/>
  </r>
  <r>
    <n v="67001"/>
    <s v="Fundraising Expense -  Direct"/>
    <s v="10/27/2014"/>
    <s v="Expense"/>
    <m/>
    <x v="458"/>
    <x v="0"/>
    <x v="2"/>
    <x v="7"/>
    <m/>
    <s v="10180 BofA Spec Spaces National 4695"/>
    <n v="113.09"/>
    <n v="78304.600000000006"/>
    <n v="113.09"/>
  </r>
  <r>
    <n v="67001"/>
    <s v="Fundraising Expense -  Direct"/>
    <s v="10/27/2014"/>
    <s v="Expense"/>
    <m/>
    <x v="575"/>
    <x v="0"/>
    <x v="2"/>
    <x v="7"/>
    <m/>
    <s v="10180 BofA Spec Spaces National 4695"/>
    <n v="37.08"/>
    <n v="78341.679999999993"/>
    <n v="37.08"/>
  </r>
  <r>
    <n v="67001"/>
    <s v="Fundraising Expense -  Direct"/>
    <s v="10/29/2014"/>
    <s v="Check"/>
    <n v="567"/>
    <x v="570"/>
    <x v="0"/>
    <x v="2"/>
    <x v="7"/>
    <s v="Bed Race food"/>
    <s v="10180 BofA Spec Spaces National 4695"/>
    <n v="1116"/>
    <n v="82031.28"/>
    <n v="1116"/>
  </r>
  <r>
    <n v="68310"/>
    <s v="Conference, Convention, Meeting"/>
    <s v="04/21/2014"/>
    <s v="Check"/>
    <m/>
    <x v="548"/>
    <x v="0"/>
    <x v="5"/>
    <x v="37"/>
    <m/>
    <s v="10180 BofA Spec Spaces National 4695"/>
    <n v="143.84"/>
    <n v="143.84"/>
    <n v="143.84"/>
  </r>
  <r>
    <n v="43300"/>
    <s v="Foundation and Trust Grants"/>
    <s v="10/10/2014"/>
    <s v="Deposit"/>
    <m/>
    <x v="576"/>
    <x v="7"/>
    <x v="0"/>
    <x v="22"/>
    <m/>
    <s v="10111 BofA Restricted Funds -055:Chicago 8350"/>
    <n v="1500"/>
    <n v="3550"/>
    <n v="-1500"/>
  </r>
  <r>
    <n v="43300"/>
    <s v="Foundation and Trust Grants"/>
    <s v="08/05/2014"/>
    <s v="Deposit"/>
    <m/>
    <x v="0"/>
    <x v="23"/>
    <x v="0"/>
    <x v="22"/>
    <m/>
    <s v="10123 BofA Restricted Funds -055:Minneapolis - 4572"/>
    <n v="1500"/>
    <n v="8000"/>
    <n v="-1500"/>
  </r>
  <r>
    <n v="43300"/>
    <s v="Foundation and Trust Grants"/>
    <s v="08/11/2014"/>
    <s v="Deposit"/>
    <m/>
    <x v="0"/>
    <x v="0"/>
    <x v="0"/>
    <x v="22"/>
    <m/>
    <s v="10180 BofA Spec Spaces National 4695"/>
    <n v="5000"/>
    <n v="13000"/>
    <n v="-5000"/>
  </r>
  <r>
    <n v="65025"/>
    <s v="Bank Service Charges"/>
    <s v="02/03/2014"/>
    <s v="Check"/>
    <m/>
    <x v="92"/>
    <x v="26"/>
    <x v="1"/>
    <x v="14"/>
    <m/>
    <s v="10535 BofA Scranton (NEPA) - 4608"/>
    <n v="15"/>
    <n v="249.2"/>
    <n v="15"/>
  </r>
  <r>
    <n v="65025"/>
    <s v="Bank Service Charges"/>
    <s v="04/01/2014"/>
    <s v="Check"/>
    <m/>
    <x v="92"/>
    <x v="26"/>
    <x v="1"/>
    <x v="14"/>
    <m/>
    <s v="10910 BoA NEPA 8719"/>
    <n v="16"/>
    <n v="588.66999999999996"/>
    <n v="16"/>
  </r>
  <r>
    <n v="65025"/>
    <s v="Bank Service Charges"/>
    <s v="05/01/2014"/>
    <s v="Expense"/>
    <m/>
    <x v="92"/>
    <x v="26"/>
    <x v="1"/>
    <x v="14"/>
    <m/>
    <s v="10910 BoA NEPA 8719"/>
    <n v="16"/>
    <n v="961.33"/>
    <n v="16"/>
  </r>
  <r>
    <n v="65025"/>
    <s v="Bank Service Charges"/>
    <s v="06/02/2014"/>
    <s v="Expense"/>
    <m/>
    <x v="92"/>
    <x v="26"/>
    <x v="1"/>
    <x v="14"/>
    <m/>
    <s v="10910 BoA NEPA 8719"/>
    <n v="16"/>
    <n v="1523.91"/>
    <n v="16"/>
  </r>
  <r>
    <n v="65061"/>
    <s v="Material for Rooms Expense"/>
    <s v="03/31/2014"/>
    <s v="Check"/>
    <m/>
    <x v="16"/>
    <x v="26"/>
    <x v="1"/>
    <x v="5"/>
    <m/>
    <s v="10910 BoA NEPA 8719"/>
    <n v="16.41"/>
    <n v="81149.06"/>
    <n v="16.41"/>
  </r>
  <r>
    <n v="65061"/>
    <s v="Material for Rooms Expense"/>
    <s v="04/03/2014"/>
    <s v="Check"/>
    <m/>
    <x v="117"/>
    <x v="26"/>
    <x v="1"/>
    <x v="5"/>
    <m/>
    <s v="10910 BoA NEPA 8719"/>
    <n v="105.99"/>
    <n v="85823.52"/>
    <n v="105.99"/>
  </r>
  <r>
    <n v="65061"/>
    <s v="Material for Rooms Expense"/>
    <s v="06/23/2014"/>
    <s v="Expense"/>
    <m/>
    <x v="16"/>
    <x v="26"/>
    <x v="1"/>
    <x v="5"/>
    <m/>
    <s v="10910 BoA NEPA 8719"/>
    <n v="66"/>
    <n v="181520.1"/>
    <n v="66"/>
  </r>
  <r>
    <n v="43300"/>
    <s v="Foundation and Trust Grants"/>
    <s v="10/10/2014"/>
    <s v="Deposit"/>
    <m/>
    <x v="577"/>
    <x v="11"/>
    <x v="0"/>
    <x v="22"/>
    <m/>
    <s v="10145 BofA Restricted Funds -055:Dallas, Texas 8389"/>
    <n v="250"/>
    <n v="2050"/>
    <n v="-250"/>
  </r>
  <r>
    <n v="44000"/>
    <s v="Fund Raising Activities Income"/>
    <s v="04/14/2014"/>
    <s v="Journal Entry"/>
    <n v="500"/>
    <x v="0"/>
    <x v="1"/>
    <x v="0"/>
    <x v="38"/>
    <s v="Birdies for Bedrooms"/>
    <s v="-Split-"/>
    <n v="700"/>
    <n v="156042.93"/>
    <n v="-700"/>
  </r>
  <r>
    <n v="43440"/>
    <s v="Gifts in Kind - Goods"/>
    <s v="09/06/2014"/>
    <s v="Journal Entry"/>
    <n v="711"/>
    <x v="0"/>
    <x v="20"/>
    <x v="3"/>
    <x v="9"/>
    <s v="Destiny Carreon's Room"/>
    <s v="-Split-"/>
    <n v="835.42"/>
    <n v="47316.95"/>
    <n v="-835.42"/>
  </r>
  <r>
    <n v="65025"/>
    <s v="Bank Service Charges"/>
    <s v="07/01/2014"/>
    <s v="Expense"/>
    <m/>
    <x v="92"/>
    <x v="20"/>
    <x v="1"/>
    <x v="14"/>
    <m/>
    <s v="10546 BofA Las Vegas"/>
    <n v="15"/>
    <n v="1763.52"/>
    <n v="15"/>
  </r>
  <r>
    <n v="65025"/>
    <s v="Bank Service Charges"/>
    <s v="08/01/2014"/>
    <s v="Expense"/>
    <m/>
    <x v="92"/>
    <x v="20"/>
    <x v="1"/>
    <x v="14"/>
    <m/>
    <s v="10546 BofA Las Vegas"/>
    <n v="15"/>
    <n v="1901.22"/>
    <n v="15"/>
  </r>
  <r>
    <n v="65025"/>
    <s v="Bank Service Charges"/>
    <s v="09/02/2014"/>
    <s v="Expense"/>
    <m/>
    <x v="92"/>
    <x v="20"/>
    <x v="1"/>
    <x v="14"/>
    <m/>
    <s v="10546 BofA Las Vegas"/>
    <n v="15"/>
    <n v="2254.1999999999998"/>
    <n v="15"/>
  </r>
  <r>
    <n v="65025"/>
    <s v="Bank Service Charges"/>
    <s v="10/01/2014"/>
    <s v="Expense"/>
    <m/>
    <x v="92"/>
    <x v="20"/>
    <x v="1"/>
    <x v="14"/>
    <m/>
    <s v="10546 BofA Las Vegas"/>
    <n v="15"/>
    <n v="2482.1"/>
    <n v="15"/>
  </r>
  <r>
    <n v="65062"/>
    <s v="In-Kind Goods"/>
    <s v="09/06/2014"/>
    <s v="Journal Entry"/>
    <n v="711"/>
    <x v="0"/>
    <x v="20"/>
    <x v="1"/>
    <x v="10"/>
    <s v="Destiny Carreon's Room"/>
    <s v="-Split-"/>
    <n v="835.42"/>
    <n v="47316.95"/>
    <n v="835.42"/>
  </r>
  <r>
    <n v="44000"/>
    <s v="Fund Raising Activities Income"/>
    <s v="04/21/2014"/>
    <s v="Journal Entry"/>
    <n v="508"/>
    <x v="0"/>
    <x v="1"/>
    <x v="0"/>
    <x v="38"/>
    <s v="paypal deposit - Golf tournament"/>
    <s v="-Split-"/>
    <n v="350"/>
    <n v="162115.25"/>
    <n v="-350"/>
  </r>
  <r>
    <n v="44000"/>
    <s v="Fund Raising Activities Income"/>
    <s v="06/05/2014"/>
    <s v="Deposit"/>
    <m/>
    <x v="3"/>
    <x v="1"/>
    <x v="0"/>
    <x v="38"/>
    <s v="Volleyball Tournament"/>
    <s v="10106 BofA Restricted Funds -055:BofA Albequerque - 233"/>
    <n v="445"/>
    <n v="170245.52"/>
    <n v="-445"/>
  </r>
  <r>
    <n v="44000"/>
    <s v="Fund Raising Activities Income"/>
    <s v="06/05/2014"/>
    <s v="Deposit"/>
    <m/>
    <x v="3"/>
    <x v="1"/>
    <x v="0"/>
    <x v="38"/>
    <s v="Golf tournament registration"/>
    <s v="10106 BofA Restricted Funds -055:BofA Albequerque - 233"/>
    <n v="100"/>
    <n v="170345.52"/>
    <n v="-100"/>
  </r>
  <r>
    <n v="44000"/>
    <s v="Fund Raising Activities Income"/>
    <s v="06/05/2014"/>
    <s v="Journal Entry"/>
    <n v="564"/>
    <x v="0"/>
    <x v="1"/>
    <x v="0"/>
    <x v="38"/>
    <s v="Birdies for Beds"/>
    <s v="-Split-"/>
    <n v="330"/>
    <n v="170675.52"/>
    <n v="-330"/>
  </r>
  <r>
    <n v="44000"/>
    <s v="Fund Raising Activities Income"/>
    <s v="06/17/2014"/>
    <s v="Journal Entry"/>
    <n v="580"/>
    <x v="0"/>
    <x v="1"/>
    <x v="0"/>
    <x v="38"/>
    <s v="Birdies for Bedrooms"/>
    <s v="-Split-"/>
    <n v="470"/>
    <n v="179370.52"/>
    <n v="-470"/>
  </r>
  <r>
    <n v="44000"/>
    <s v="Fund Raising Activities Income"/>
    <s v="06/26/2014"/>
    <s v="Deposit"/>
    <m/>
    <x v="3"/>
    <x v="1"/>
    <x v="0"/>
    <x v="38"/>
    <m/>
    <s v="10106 BofA Restricted Funds -055:BofA Albequerque - 233"/>
    <n v="1947.5"/>
    <n v="182318.02"/>
    <n v="-1947.5"/>
  </r>
  <r>
    <n v="65020"/>
    <s v="Postage, Mailing Service"/>
    <s v="08/22/2014"/>
    <s v="Check"/>
    <s v="dbt"/>
    <x v="45"/>
    <x v="1"/>
    <x v="1"/>
    <x v="3"/>
    <m/>
    <s v="10471 BofA Albequerque"/>
    <n v="25.84"/>
    <n v="2542.11"/>
    <n v="25.84"/>
  </r>
  <r>
    <n v="65020"/>
    <s v="Postage, Mailing Service"/>
    <s v="09/08/2014"/>
    <s v="Expense"/>
    <m/>
    <x v="7"/>
    <x v="1"/>
    <x v="1"/>
    <x v="3"/>
    <m/>
    <s v="10471 BofA Albequerque"/>
    <n v="56.71"/>
    <n v="2871.55"/>
    <n v="56.71"/>
  </r>
  <r>
    <n v="65020"/>
    <s v="Postage, Mailing Service"/>
    <s v="09/29/2014"/>
    <s v="Expense"/>
    <m/>
    <x v="7"/>
    <x v="1"/>
    <x v="1"/>
    <x v="3"/>
    <m/>
    <s v="10471 BofA Albequerque"/>
    <n v="99.24"/>
    <n v="3392.12"/>
    <n v="99.24"/>
  </r>
  <r>
    <n v="65020"/>
    <s v="Postage, Mailing Service"/>
    <s v="10/01/2014"/>
    <s v="Expense"/>
    <m/>
    <x v="7"/>
    <x v="1"/>
    <x v="1"/>
    <x v="3"/>
    <m/>
    <s v="10471 BofA Albequerque"/>
    <n v="28.36"/>
    <n v="3420.48"/>
    <n v="28.36"/>
  </r>
  <r>
    <n v="65036"/>
    <s v="Volunteer Hospitality"/>
    <s v="07/21/2014"/>
    <s v="Expense"/>
    <m/>
    <x v="48"/>
    <x v="1"/>
    <x v="1"/>
    <x v="13"/>
    <m/>
    <s v="10471 BofA Albequerque"/>
    <n v="53.5"/>
    <n v="5372.46"/>
    <n v="53.5"/>
  </r>
  <r>
    <n v="65036"/>
    <s v="Volunteer Hospitality"/>
    <s v="07/21/2014"/>
    <s v="Expense"/>
    <m/>
    <x v="17"/>
    <x v="1"/>
    <x v="1"/>
    <x v="13"/>
    <m/>
    <s v="10471 BofA Albequerque"/>
    <n v="26.25"/>
    <n v="5398.71"/>
    <n v="26.25"/>
  </r>
  <r>
    <n v="65040"/>
    <s v="Supplies/Office Expense"/>
    <s v="07/15/2014"/>
    <s v="Expense"/>
    <m/>
    <x v="19"/>
    <x v="1"/>
    <x v="1"/>
    <x v="4"/>
    <m/>
    <s v="10471 BofA Albequerque"/>
    <n v="97.66"/>
    <n v="2169.64"/>
    <n v="97.66"/>
  </r>
  <r>
    <n v="65040"/>
    <s v="Supplies/Office Expense"/>
    <s v="09/30/2014"/>
    <s v="Expense"/>
    <m/>
    <x v="9"/>
    <x v="1"/>
    <x v="1"/>
    <x v="4"/>
    <m/>
    <s v="10471 BofA Albequerque"/>
    <n v="11.22"/>
    <n v="2605.7199999999998"/>
    <n v="11.22"/>
  </r>
  <r>
    <n v="65040"/>
    <s v="Supplies/Office Expense"/>
    <s v="10/30/2014"/>
    <s v="Check"/>
    <n v="1068"/>
    <x v="578"/>
    <x v="1"/>
    <x v="5"/>
    <x v="4"/>
    <m/>
    <s v="10471 BofA Albequerque"/>
    <n v="55.51"/>
    <n v="3189.22"/>
    <n v="55.51"/>
  </r>
  <r>
    <n v="65061"/>
    <s v="Material for Rooms"/>
    <s v="07/16/2014"/>
    <s v="Expense"/>
    <m/>
    <x v="32"/>
    <x v="1"/>
    <x v="1"/>
    <x v="5"/>
    <m/>
    <s v="10471 BofA Albequerque"/>
    <n v="157.51"/>
    <n v="215518.87"/>
    <n v="157.51"/>
  </r>
  <r>
    <n v="65061"/>
    <s v="Material for Rooms"/>
    <s v="07/16/2014"/>
    <s v="Expense"/>
    <m/>
    <x v="16"/>
    <x v="1"/>
    <x v="1"/>
    <x v="5"/>
    <m/>
    <s v="10471 BofA Albequerque"/>
    <n v="26.14"/>
    <n v="215545.01"/>
    <n v="26.14"/>
  </r>
  <r>
    <n v="65061"/>
    <s v="Material for Rooms"/>
    <s v="07/17/2014"/>
    <s v="Expense"/>
    <m/>
    <x v="19"/>
    <x v="1"/>
    <x v="1"/>
    <x v="5"/>
    <m/>
    <s v="10471 BofA Albequerque"/>
    <n v="55.91"/>
    <n v="217227.88"/>
    <n v="55.91"/>
  </r>
  <r>
    <n v="65061"/>
    <s v="Material for Rooms"/>
    <s v="07/18/2014"/>
    <s v="Expense"/>
    <m/>
    <x v="16"/>
    <x v="1"/>
    <x v="1"/>
    <x v="5"/>
    <m/>
    <s v="10471 BofA Albequerque"/>
    <n v="7.53"/>
    <n v="219492.24"/>
    <n v="7.53"/>
  </r>
  <r>
    <n v="65061"/>
    <s v="Material for Rooms"/>
    <s v="07/18/2014"/>
    <s v="Expense"/>
    <m/>
    <x v="16"/>
    <x v="1"/>
    <x v="1"/>
    <x v="5"/>
    <m/>
    <s v="10471 BofA Albequerque"/>
    <n v="265.23"/>
    <n v="219757.47"/>
    <n v="265.23"/>
  </r>
  <r>
    <n v="65061"/>
    <s v="Material for Rooms"/>
    <s v="07/21/2014"/>
    <s v="Expense"/>
    <m/>
    <x v="579"/>
    <x v="1"/>
    <x v="1"/>
    <x v="5"/>
    <m/>
    <s v="10471 BofA Albequerque"/>
    <n v="4.58"/>
    <n v="222236.88"/>
    <n v="4.58"/>
  </r>
  <r>
    <n v="65061"/>
    <s v="Material for Rooms"/>
    <s v="07/21/2014"/>
    <s v="Expense"/>
    <m/>
    <x v="16"/>
    <x v="1"/>
    <x v="1"/>
    <x v="5"/>
    <m/>
    <s v="10471 BofA Albequerque"/>
    <n v="25.49"/>
    <n v="222262.37"/>
    <n v="25.49"/>
  </r>
  <r>
    <n v="65061"/>
    <s v="Material for Rooms"/>
    <s v="07/29/2014"/>
    <s v="Deposit"/>
    <m/>
    <x v="100"/>
    <x v="1"/>
    <x v="1"/>
    <x v="5"/>
    <m/>
    <s v="10471 BofA Albequerque"/>
    <n v="-124.02"/>
    <n v="226071.81"/>
    <n v="-124.02"/>
  </r>
  <r>
    <n v="65061"/>
    <s v="Material for Rooms"/>
    <s v="07/31/2014"/>
    <s v="Check"/>
    <n v="1065"/>
    <x v="580"/>
    <x v="1"/>
    <x v="1"/>
    <x v="5"/>
    <m/>
    <s v="10471 BofA Albequerque"/>
    <n v="25"/>
    <n v="232717.63"/>
    <n v="25"/>
  </r>
  <r>
    <n v="65061"/>
    <s v="Material for Rooms"/>
    <s v="08/22/2014"/>
    <s v="Check"/>
    <n v="1066"/>
    <x v="20"/>
    <x v="1"/>
    <x v="1"/>
    <x v="5"/>
    <m/>
    <s v="10471 BofA Albequerque"/>
    <n v="114.03"/>
    <n v="243405.68"/>
    <n v="114.03"/>
  </r>
  <r>
    <n v="65061"/>
    <s v="Material for Rooms"/>
    <s v="09/15/2014"/>
    <s v="Expense"/>
    <m/>
    <x v="22"/>
    <x v="1"/>
    <x v="1"/>
    <x v="5"/>
    <m/>
    <s v="10471 BofA Albequerque"/>
    <n v="58.85"/>
    <n v="254735.72"/>
    <n v="58.85"/>
  </r>
  <r>
    <n v="65061"/>
    <s v="Material for Rooms"/>
    <s v="09/29/2014"/>
    <s v="Deposit"/>
    <m/>
    <x v="12"/>
    <x v="1"/>
    <x v="1"/>
    <x v="5"/>
    <m/>
    <s v="10471 BofA Albequerque"/>
    <n v="-72.95"/>
    <n v="270275.87"/>
    <n v="-72.95"/>
  </r>
  <r>
    <n v="65061"/>
    <s v="Material for Rooms"/>
    <s v="09/29/2014"/>
    <s v="Expense"/>
    <m/>
    <x v="11"/>
    <x v="1"/>
    <x v="1"/>
    <x v="5"/>
    <m/>
    <s v="10471 BofA Albequerque"/>
    <n v="72.95"/>
    <n v="273828"/>
    <n v="72.95"/>
  </r>
  <r>
    <n v="65061"/>
    <s v="Material for Rooms"/>
    <s v="10/09/2014"/>
    <s v="Expense"/>
    <m/>
    <x v="22"/>
    <x v="1"/>
    <x v="1"/>
    <x v="5"/>
    <m/>
    <s v="10471 BofA Albequerque"/>
    <n v="42.8"/>
    <n v="287375.65999999997"/>
    <n v="42.8"/>
  </r>
  <r>
    <n v="65061"/>
    <s v="Material for Rooms"/>
    <s v="10/10/2014"/>
    <s v="Expense"/>
    <m/>
    <x v="33"/>
    <x v="1"/>
    <x v="1"/>
    <x v="5"/>
    <m/>
    <s v="10471 BofA Albequerque"/>
    <n v="69.989999999999995"/>
    <n v="289003.14"/>
    <n v="69.989999999999995"/>
  </r>
  <r>
    <n v="65061"/>
    <s v="Material for Rooms"/>
    <s v="10/10/2014"/>
    <s v="Expense"/>
    <m/>
    <x v="33"/>
    <x v="1"/>
    <x v="1"/>
    <x v="5"/>
    <m/>
    <s v="10471 BofA Albequerque"/>
    <n v="55"/>
    <n v="289058.14"/>
    <n v="55"/>
  </r>
  <r>
    <n v="65061"/>
    <s v="Material for Rooms"/>
    <s v="10/14/2014"/>
    <s v="Deposit"/>
    <m/>
    <x v="12"/>
    <x v="1"/>
    <x v="1"/>
    <x v="5"/>
    <s v="reimburse for expense on debit card"/>
    <s v="10471 BofA Albequerque"/>
    <n v="-113.97"/>
    <n v="290127.17"/>
    <n v="-113.97"/>
  </r>
  <r>
    <n v="65061"/>
    <s v="Material for Rooms"/>
    <s v="10/14/2014"/>
    <s v="Deposit"/>
    <m/>
    <x v="12"/>
    <x v="1"/>
    <x v="1"/>
    <x v="5"/>
    <s v="reimburse for expense on debit card"/>
    <s v="10471 BofA Albequerque"/>
    <n v="-72.95"/>
    <n v="290054.21999999997"/>
    <n v="-72.95"/>
  </r>
  <r>
    <n v="65061"/>
    <s v="Material for Rooms"/>
    <s v="10/17/2014"/>
    <s v="Check"/>
    <n v="1067"/>
    <x v="27"/>
    <x v="1"/>
    <x v="1"/>
    <x v="5"/>
    <m/>
    <s v="10471 BofA Albequerque"/>
    <n v="50"/>
    <n v="295263.57"/>
    <n v="50"/>
  </r>
  <r>
    <n v="65061"/>
    <s v="Material for Rooms"/>
    <s v="10/20/2014"/>
    <s v="Expense"/>
    <m/>
    <x v="16"/>
    <x v="1"/>
    <x v="1"/>
    <x v="5"/>
    <m/>
    <s v="10471 BofA Albequerque"/>
    <n v="84.47"/>
    <n v="296323.27"/>
    <n v="84.47"/>
  </r>
  <r>
    <n v="65061"/>
    <s v="Material for Rooms"/>
    <s v="10/20/2014"/>
    <s v="Expense"/>
    <m/>
    <x v="29"/>
    <x v="1"/>
    <x v="1"/>
    <x v="5"/>
    <m/>
    <s v="10471 BofA Albequerque"/>
    <n v="5.31"/>
    <n v="296328.58"/>
    <n v="5.31"/>
  </r>
  <r>
    <n v="65061"/>
    <s v="Material for Rooms"/>
    <s v="10/20/2014"/>
    <s v="Expense"/>
    <m/>
    <x v="29"/>
    <x v="1"/>
    <x v="1"/>
    <x v="5"/>
    <m/>
    <s v="10471 BofA Albequerque"/>
    <n v="17.059999999999999"/>
    <n v="296345.64"/>
    <n v="17.059999999999999"/>
  </r>
  <r>
    <n v="65061"/>
    <s v="Material for Rooms"/>
    <s v="10/27/2014"/>
    <s v="Check"/>
    <n v="1070"/>
    <x v="581"/>
    <x v="1"/>
    <x v="1"/>
    <x v="5"/>
    <m/>
    <s v="10471 BofA Albequerque"/>
    <n v="630.97"/>
    <n v="299385.14"/>
    <n v="630.97"/>
  </r>
  <r>
    <n v="65061"/>
    <s v="Material for Rooms"/>
    <s v="10/28/2014"/>
    <s v="Check"/>
    <n v="1069"/>
    <x v="20"/>
    <x v="1"/>
    <x v="1"/>
    <x v="5"/>
    <m/>
    <s v="10471 BofA Albequerque"/>
    <n v="837.79"/>
    <n v="302631.23"/>
    <n v="837.79"/>
  </r>
  <r>
    <n v="65061"/>
    <s v="Material for Rooms"/>
    <s v="10/30/2014"/>
    <s v="Expense"/>
    <m/>
    <x v="11"/>
    <x v="1"/>
    <x v="1"/>
    <x v="5"/>
    <m/>
    <s v="10471 BofA Albequerque"/>
    <n v="40"/>
    <n v="303977.07"/>
    <n v="40"/>
  </r>
  <r>
    <n v="65061"/>
    <s v="Material for Rooms"/>
    <s v="10/31/2014"/>
    <s v="Expense"/>
    <m/>
    <x v="582"/>
    <x v="1"/>
    <x v="1"/>
    <x v="5"/>
    <m/>
    <s v="10471 BofA Albequerque"/>
    <n v="43.02"/>
    <n v="305758.71999999997"/>
    <n v="43.02"/>
  </r>
  <r>
    <n v="65061"/>
    <s v="Material for Rooms"/>
    <s v="10/31/2014"/>
    <s v="Expense"/>
    <m/>
    <x v="53"/>
    <x v="1"/>
    <x v="1"/>
    <x v="5"/>
    <m/>
    <s v="10471 BofA Albequerque"/>
    <n v="224.98"/>
    <n v="305983.7"/>
    <n v="224.98"/>
  </r>
  <r>
    <n v="65095"/>
    <s v="Paypal Expense"/>
    <s v="08/25/2014"/>
    <s v="Journal Entry"/>
    <n v="659"/>
    <x v="0"/>
    <x v="1"/>
    <x v="4"/>
    <x v="19"/>
    <m/>
    <s v="-Split-"/>
    <n v="0.63"/>
    <n v="840.14"/>
    <n v="0.63"/>
  </r>
  <r>
    <n v="67001"/>
    <s v="Fundraising Expense -  Direct"/>
    <s v="07/01/2014"/>
    <s v="Expense"/>
    <m/>
    <x v="583"/>
    <x v="1"/>
    <x v="2"/>
    <x v="7"/>
    <s v="food for golf tournament"/>
    <s v="10471 BofA Albequerque"/>
    <n v="57.78"/>
    <n v="60916.01"/>
    <n v="57.78"/>
  </r>
  <r>
    <n v="67001"/>
    <s v="Fundraising Expense -  Direct"/>
    <s v="07/02/2014"/>
    <s v="Expense"/>
    <m/>
    <x v="35"/>
    <x v="1"/>
    <x v="2"/>
    <x v="7"/>
    <s v="Food for golf tournament   Breakfast and lunch for golfers"/>
    <s v="10471 BofA Albequerque"/>
    <n v="3668.75"/>
    <n v="64584.76"/>
    <n v="3668.75"/>
  </r>
  <r>
    <n v="44000"/>
    <s v="Fund Raising Activities Income"/>
    <s v="06/26/2014"/>
    <s v="Deposit"/>
    <m/>
    <x v="3"/>
    <x v="1"/>
    <x v="0"/>
    <x v="38"/>
    <s v="Golf Tournament "/>
    <s v="10106 BofA Restricted Funds -055:BofA Albequerque - 233"/>
    <n v="550"/>
    <n v="182868.02"/>
    <n v="-550"/>
  </r>
  <r>
    <n v="65025"/>
    <s v="Bank Service Charges"/>
    <s v="01/02/2014"/>
    <s v="Check"/>
    <m/>
    <x v="92"/>
    <x v="27"/>
    <x v="1"/>
    <x v="14"/>
    <m/>
    <s v="10516 BofA New York"/>
    <n v="15"/>
    <n v="138"/>
    <n v="15"/>
  </r>
  <r>
    <n v="65025"/>
    <s v="Bank Service Charges"/>
    <s v="02/03/2014"/>
    <s v="Check"/>
    <m/>
    <x v="92"/>
    <x v="27"/>
    <x v="1"/>
    <x v="14"/>
    <m/>
    <s v="10516 BofA New York"/>
    <n v="15"/>
    <n v="308.2"/>
    <n v="15"/>
  </r>
  <r>
    <n v="65025"/>
    <s v="Bank Service Charges"/>
    <s v="03/03/2014"/>
    <s v="Check"/>
    <m/>
    <x v="92"/>
    <x v="27"/>
    <x v="1"/>
    <x v="14"/>
    <m/>
    <s v="10516 BofA New York"/>
    <n v="15"/>
    <n v="472.72"/>
    <n v="15"/>
  </r>
  <r>
    <n v="65025"/>
    <s v="Bank Service Charges"/>
    <s v="04/01/2014"/>
    <s v="Check"/>
    <m/>
    <x v="92"/>
    <x v="27"/>
    <x v="1"/>
    <x v="14"/>
    <m/>
    <s v="10516 BofA New York"/>
    <n v="15"/>
    <n v="733.62"/>
    <n v="15"/>
  </r>
  <r>
    <n v="65025"/>
    <s v="Bank Service Charges"/>
    <s v="05/01/2014"/>
    <s v="Expense"/>
    <m/>
    <x v="92"/>
    <x v="27"/>
    <x v="1"/>
    <x v="14"/>
    <m/>
    <s v="10516 BofA New York"/>
    <n v="15"/>
    <n v="914.33"/>
    <n v="15"/>
  </r>
  <r>
    <n v="65025"/>
    <s v="Bank Service Charges"/>
    <s v="06/02/2014"/>
    <s v="Expense"/>
    <m/>
    <x v="92"/>
    <x v="27"/>
    <x v="1"/>
    <x v="14"/>
    <m/>
    <s v="10516 BofA New York"/>
    <n v="15"/>
    <n v="1384.96"/>
    <n v="15"/>
  </r>
  <r>
    <n v="65061"/>
    <s v="Material for Rooms Expense"/>
    <s v="01/29/2014"/>
    <s v="Check"/>
    <m/>
    <x v="76"/>
    <x v="27"/>
    <x v="1"/>
    <x v="5"/>
    <m/>
    <s v="10516 BofA New York"/>
    <n v="64.78"/>
    <n v="21204.81"/>
    <n v="64.78"/>
  </r>
  <r>
    <n v="65061"/>
    <s v="Material for Rooms Expense"/>
    <s v="02/03/2014"/>
    <s v="Check"/>
    <m/>
    <x v="73"/>
    <x v="27"/>
    <x v="1"/>
    <x v="5"/>
    <m/>
    <s v="10516 BofA New York"/>
    <n v="125"/>
    <n v="26263.82"/>
    <n v="125"/>
  </r>
  <r>
    <n v="65061"/>
    <s v="Material for Rooms Expense"/>
    <s v="06/30/2014"/>
    <s v="Check"/>
    <n v="484"/>
    <x v="584"/>
    <x v="27"/>
    <x v="1"/>
    <x v="5"/>
    <s v="Reimburse for Christopher Cruz Room"/>
    <s v="10180 BofA Spec Spaces National 4695"/>
    <n v="668.47"/>
    <n v="193965.48"/>
    <n v="668.47"/>
  </r>
  <r>
    <n v="65061"/>
    <s v="Material for Rooms Expense"/>
    <s v="06/30/2014"/>
    <s v="Check"/>
    <n v="485"/>
    <x v="585"/>
    <x v="27"/>
    <x v="1"/>
    <x v="5"/>
    <s v="Reimburse for Christopher Cruz room"/>
    <s v="10180 BofA Spec Spaces National 4695"/>
    <n v="107.43"/>
    <n v="194072.91"/>
    <n v="107.43"/>
  </r>
  <r>
    <n v="44000"/>
    <s v="Fund Raising Activities Income"/>
    <s v="03/11/2014"/>
    <s v="Journal Entry"/>
    <n v="446"/>
    <x v="0"/>
    <x v="3"/>
    <x v="0"/>
    <x v="38"/>
    <s v="paypal"/>
    <s v="-Split-"/>
    <n v="270"/>
    <n v="136345"/>
    <n v="-270"/>
  </r>
  <r>
    <n v="65025"/>
    <s v="Bank Service Charges"/>
    <s v="07/01/2014"/>
    <s v="Expense"/>
    <m/>
    <x v="92"/>
    <x v="27"/>
    <x v="1"/>
    <x v="14"/>
    <m/>
    <s v="10516 BofA Long Island"/>
    <n v="15"/>
    <n v="1706.52"/>
    <n v="15"/>
  </r>
  <r>
    <n v="65025"/>
    <s v="Bank Service Charges"/>
    <s v="08/01/2014"/>
    <s v="Expense"/>
    <m/>
    <x v="92"/>
    <x v="27"/>
    <x v="1"/>
    <x v="14"/>
    <m/>
    <s v="10516 BofA Long Island"/>
    <n v="15"/>
    <n v="2079.17"/>
    <n v="15"/>
  </r>
  <r>
    <n v="65025"/>
    <s v="Bank Service Charges"/>
    <s v="10/01/2014"/>
    <s v="Expense"/>
    <m/>
    <x v="92"/>
    <x v="27"/>
    <x v="1"/>
    <x v="14"/>
    <m/>
    <s v="10516 BofA Long Island"/>
    <n v="15"/>
    <n v="2497.1"/>
    <n v="15"/>
  </r>
  <r>
    <n v="65061"/>
    <s v="Material for Rooms"/>
    <s v="08/04/2014"/>
    <s v="Expense"/>
    <m/>
    <x v="76"/>
    <x v="27"/>
    <x v="1"/>
    <x v="5"/>
    <m/>
    <s v="10516 BofA Long Island"/>
    <n v="128.08000000000001"/>
    <n v="234562.82"/>
    <n v="128.08000000000001"/>
  </r>
  <r>
    <n v="65061"/>
    <s v="Material for Rooms"/>
    <s v="08/05/2014"/>
    <s v="Expense"/>
    <m/>
    <x v="53"/>
    <x v="27"/>
    <x v="1"/>
    <x v="5"/>
    <m/>
    <s v="10516 BofA Long Island"/>
    <n v="86.86"/>
    <n v="236114.52"/>
    <n v="86.86"/>
  </r>
  <r>
    <n v="65061"/>
    <s v="Material for Rooms"/>
    <s v="08/22/2014"/>
    <s v="Expense"/>
    <m/>
    <x v="53"/>
    <x v="27"/>
    <x v="1"/>
    <x v="5"/>
    <m/>
    <s v="10516 BofA Long Island"/>
    <n v="46.88"/>
    <n v="243033.54"/>
    <n v="46.88"/>
  </r>
  <r>
    <n v="65061"/>
    <s v="Material for Rooms"/>
    <s v="08/25/2014"/>
    <s v="Expense"/>
    <m/>
    <x v="53"/>
    <x v="27"/>
    <x v="1"/>
    <x v="5"/>
    <m/>
    <s v="10516 BofA Long Island"/>
    <n v="207.72"/>
    <n v="243736.19"/>
    <n v="207.72"/>
  </r>
  <r>
    <n v="44000"/>
    <s v="Fund Raising Activities Income"/>
    <s v="03/14/2014"/>
    <s v="Deposit"/>
    <m/>
    <x v="3"/>
    <x v="3"/>
    <x v="0"/>
    <x v="38"/>
    <m/>
    <s v="10108 BofA Restricted Funds -055:Buffalo - 259"/>
    <n v="80"/>
    <n v="136425"/>
    <n v="-80"/>
  </r>
  <r>
    <n v="44000"/>
    <s v="Fund Raising Activities Income"/>
    <s v="03/24/2014"/>
    <s v="Journal Entry"/>
    <n v="466"/>
    <x v="0"/>
    <x v="3"/>
    <x v="0"/>
    <x v="38"/>
    <s v="paypal"/>
    <s v="-Split-"/>
    <n v="770"/>
    <n v="141895"/>
    <n v="-770"/>
  </r>
  <r>
    <n v="44000"/>
    <s v="Fund Raising Activities Income"/>
    <s v="03/26/2014"/>
    <s v="Deposit"/>
    <m/>
    <x v="3"/>
    <x v="3"/>
    <x v="0"/>
    <x v="38"/>
    <s v="dreaming in color"/>
    <s v="10108 BofA Restricted Funds -055:Buffalo - 259"/>
    <n v="80"/>
    <n v="150572.93"/>
    <n v="-80"/>
  </r>
  <r>
    <n v="44000"/>
    <s v="Fund Raising Activities Income"/>
    <s v="03/31/2014"/>
    <s v="Journal Entry"/>
    <n v="475"/>
    <x v="0"/>
    <x v="3"/>
    <x v="0"/>
    <x v="38"/>
    <m/>
    <s v="-Split-"/>
    <n v="840"/>
    <n v="151412.93"/>
    <n v="-840"/>
  </r>
  <r>
    <n v="44000"/>
    <s v="Fund Raising Activities Income"/>
    <s v="04/07/2014"/>
    <s v="Journal Entry"/>
    <n v="479"/>
    <x v="0"/>
    <x v="3"/>
    <x v="0"/>
    <x v="38"/>
    <s v="DIC tickets"/>
    <s v="-Split-"/>
    <n v="562"/>
    <n v="151974.93"/>
    <n v="-562"/>
  </r>
  <r>
    <n v="44000"/>
    <s v="Fund Raising Activities Income"/>
    <s v="04/07/2014"/>
    <s v="Journal Entry"/>
    <n v="485"/>
    <x v="0"/>
    <x v="3"/>
    <x v="0"/>
    <x v="38"/>
    <s v="Dreaming in color"/>
    <s v="-Split-"/>
    <n v="1707"/>
    <n v="153681.93"/>
    <n v="-1707"/>
  </r>
  <r>
    <n v="65020"/>
    <s v="Postage, Mailing Service"/>
    <s v="07/07/2014"/>
    <s v="Expense"/>
    <m/>
    <x v="243"/>
    <x v="3"/>
    <x v="1"/>
    <x v="3"/>
    <m/>
    <s v="10411 BofA Buffalo"/>
    <n v="5.42"/>
    <n v="1666.81"/>
    <n v="5.42"/>
  </r>
  <r>
    <n v="65020"/>
    <s v="Postage, Mailing Service"/>
    <s v="07/14/2014"/>
    <s v="Expense"/>
    <m/>
    <x v="6"/>
    <x v="3"/>
    <x v="1"/>
    <x v="3"/>
    <m/>
    <s v="10411 BofA Buffalo"/>
    <n v="9.8000000000000007"/>
    <n v="1781.74"/>
    <n v="9.8000000000000007"/>
  </r>
  <r>
    <n v="65020"/>
    <s v="Postage, Mailing Service"/>
    <s v="08/14/2014"/>
    <s v="Expense"/>
    <m/>
    <x v="6"/>
    <x v="3"/>
    <x v="1"/>
    <x v="3"/>
    <m/>
    <s v="10411 BofA Buffalo"/>
    <n v="86.45"/>
    <n v="2488.87"/>
    <n v="86.45"/>
  </r>
  <r>
    <n v="65020"/>
    <s v="Postage, Mailing Service"/>
    <s v="10/10/2014"/>
    <s v="Expense"/>
    <m/>
    <x v="6"/>
    <x v="3"/>
    <x v="1"/>
    <x v="3"/>
    <m/>
    <s v="10411 BofA Buffalo"/>
    <n v="29.4"/>
    <n v="3474.53"/>
    <n v="29.4"/>
  </r>
  <r>
    <n v="65020"/>
    <s v="Postage, Mailing Service"/>
    <s v="10/14/2014"/>
    <s v="Expense"/>
    <m/>
    <x v="6"/>
    <x v="3"/>
    <x v="1"/>
    <x v="3"/>
    <m/>
    <s v="10411 BofA Buffalo"/>
    <n v="3.29"/>
    <n v="3477.82"/>
    <n v="3.29"/>
  </r>
  <r>
    <n v="65030"/>
    <s v="Printing and Copying"/>
    <s v="09/16/2014"/>
    <s v="Check"/>
    <n v="524"/>
    <x v="525"/>
    <x v="3"/>
    <x v="1"/>
    <x v="20"/>
    <s v="Buffalo Tshirts"/>
    <s v="10180 BofA Spec Spaces National 4695"/>
    <n v="940.27"/>
    <n v="8298.43"/>
    <n v="940.27"/>
  </r>
  <r>
    <n v="65061"/>
    <s v="Material for Rooms"/>
    <s v="07/01/2014"/>
    <s v="Check"/>
    <n v="1230"/>
    <x v="78"/>
    <x v="3"/>
    <x v="1"/>
    <x v="5"/>
    <m/>
    <s v="10411 BofA Buffalo"/>
    <n v="43.09"/>
    <n v="198850.67"/>
    <n v="43.09"/>
  </r>
  <r>
    <n v="65061"/>
    <s v="Material for Rooms"/>
    <s v="07/14/2014"/>
    <s v="Expense"/>
    <m/>
    <x v="33"/>
    <x v="3"/>
    <x v="1"/>
    <x v="5"/>
    <m/>
    <s v="10411 BofA Buffalo"/>
    <n v="8.18"/>
    <n v="209695.73"/>
    <n v="8.18"/>
  </r>
  <r>
    <n v="65061"/>
    <s v="Material for Rooms"/>
    <s v="07/14/2014"/>
    <s v="Check"/>
    <n v="1231"/>
    <x v="68"/>
    <x v="3"/>
    <x v="1"/>
    <x v="5"/>
    <m/>
    <s v="10411 BofA Buffalo"/>
    <n v="677.27"/>
    <n v="210373"/>
    <n v="677.27"/>
  </r>
  <r>
    <n v="65061"/>
    <s v="Material for Rooms"/>
    <s v="07/14/2014"/>
    <s v="Expense"/>
    <m/>
    <x v="33"/>
    <x v="3"/>
    <x v="1"/>
    <x v="5"/>
    <m/>
    <s v="10411 BofA Buffalo"/>
    <n v="46.98"/>
    <n v="210419.98"/>
    <n v="46.98"/>
  </r>
  <r>
    <n v="65061"/>
    <s v="Material for Rooms"/>
    <s v="07/14/2014"/>
    <s v="Expense"/>
    <m/>
    <x v="229"/>
    <x v="3"/>
    <x v="1"/>
    <x v="5"/>
    <m/>
    <s v="10411 BofA Buffalo"/>
    <n v="19.989999999999998"/>
    <n v="210439.97"/>
    <n v="19.989999999999998"/>
  </r>
  <r>
    <n v="65061"/>
    <s v="Material for Rooms"/>
    <s v="07/15/2014"/>
    <s v="Expense"/>
    <m/>
    <x v="30"/>
    <x v="3"/>
    <x v="1"/>
    <x v="5"/>
    <m/>
    <s v="10411 BofA Buffalo"/>
    <n v="99.89"/>
    <n v="214488.93"/>
    <n v="99.89"/>
  </r>
  <r>
    <n v="65061"/>
    <s v="Material for Rooms"/>
    <s v="07/15/2014"/>
    <s v="Expense"/>
    <m/>
    <x v="30"/>
    <x v="3"/>
    <x v="1"/>
    <x v="5"/>
    <m/>
    <s v="10411 BofA Buffalo"/>
    <n v="49.6"/>
    <n v="214538.53"/>
    <n v="49.6"/>
  </r>
  <r>
    <n v="65061"/>
    <s v="Material for Rooms"/>
    <s v="07/15/2014"/>
    <s v="Expense"/>
    <m/>
    <x v="33"/>
    <x v="3"/>
    <x v="1"/>
    <x v="5"/>
    <m/>
    <s v="10411 BofA Buffalo"/>
    <n v="44.8"/>
    <n v="214583.33"/>
    <n v="44.8"/>
  </r>
  <r>
    <n v="65061"/>
    <s v="Material for Rooms"/>
    <s v="07/16/2014"/>
    <s v="Expense"/>
    <m/>
    <x v="41"/>
    <x v="3"/>
    <x v="1"/>
    <x v="5"/>
    <m/>
    <s v="10411 BofA Buffalo"/>
    <n v="23.36"/>
    <n v="215568.37"/>
    <n v="23.36"/>
  </r>
  <r>
    <n v="65061"/>
    <s v="Material for Rooms"/>
    <s v="07/21/2014"/>
    <s v="Expense"/>
    <m/>
    <x v="33"/>
    <x v="3"/>
    <x v="1"/>
    <x v="5"/>
    <m/>
    <s v="10411 BofA Buffalo"/>
    <n v="52.92"/>
    <n v="221319.71"/>
    <n v="52.92"/>
  </r>
  <r>
    <n v="65061"/>
    <s v="Material for Rooms"/>
    <s v="07/23/2014"/>
    <s v="Expense"/>
    <m/>
    <x v="33"/>
    <x v="3"/>
    <x v="1"/>
    <x v="5"/>
    <m/>
    <s v="10411 BofA Buffalo"/>
    <n v="16.88"/>
    <n v="222298.81"/>
    <n v="16.88"/>
  </r>
  <r>
    <n v="65061"/>
    <s v="Material for Rooms"/>
    <s v="07/23/2014"/>
    <s v="Expense"/>
    <m/>
    <x v="41"/>
    <x v="3"/>
    <x v="1"/>
    <x v="5"/>
    <m/>
    <s v="10411 BofA Buffalo"/>
    <n v="235.35"/>
    <n v="222534.16"/>
    <n v="235.35"/>
  </r>
  <r>
    <n v="65061"/>
    <s v="Material for Rooms"/>
    <s v="07/23/2014"/>
    <s v="Expense"/>
    <m/>
    <x v="33"/>
    <x v="3"/>
    <x v="1"/>
    <x v="5"/>
    <m/>
    <s v="10411 BofA Buffalo"/>
    <n v="118.54"/>
    <n v="222652.7"/>
    <n v="118.54"/>
  </r>
  <r>
    <n v="65061"/>
    <s v="Material for Rooms"/>
    <s v="07/24/2014"/>
    <s v="Expense"/>
    <m/>
    <x v="41"/>
    <x v="3"/>
    <x v="1"/>
    <x v="5"/>
    <m/>
    <s v="10411 BofA Buffalo"/>
    <n v="13.34"/>
    <n v="224463.67"/>
    <n v="13.34"/>
  </r>
  <r>
    <n v="65061"/>
    <s v="Material for Rooms"/>
    <s v="07/24/2014"/>
    <s v="Expense"/>
    <m/>
    <x v="41"/>
    <x v="3"/>
    <x v="1"/>
    <x v="5"/>
    <m/>
    <s v="10411 BofA Buffalo"/>
    <n v="15.97"/>
    <n v="224479.64"/>
    <n v="15.97"/>
  </r>
  <r>
    <n v="65061"/>
    <s v="Material for Rooms"/>
    <s v="07/28/2014"/>
    <s v="Expense"/>
    <m/>
    <x v="41"/>
    <x v="3"/>
    <x v="1"/>
    <x v="5"/>
    <m/>
    <s v="10411 BofA Buffalo"/>
    <n v="73"/>
    <n v="225942.1"/>
    <n v="73"/>
  </r>
  <r>
    <n v="65061"/>
    <s v="Material for Rooms"/>
    <s v="07/28/2014"/>
    <s v="Expense"/>
    <m/>
    <x v="59"/>
    <x v="3"/>
    <x v="1"/>
    <x v="5"/>
    <m/>
    <s v="10411 BofA Buffalo"/>
    <n v="190"/>
    <n v="226132.1"/>
    <n v="190"/>
  </r>
  <r>
    <n v="65061"/>
    <s v="Material for Rooms"/>
    <s v="07/29/2014"/>
    <s v="Expense"/>
    <m/>
    <x v="231"/>
    <x v="3"/>
    <x v="1"/>
    <x v="5"/>
    <m/>
    <s v="10411 BofA Buffalo"/>
    <n v="92"/>
    <n v="226584.74"/>
    <n v="92"/>
  </r>
  <r>
    <n v="65061"/>
    <s v="Material for Rooms"/>
    <s v="07/30/2014"/>
    <s v="Expense"/>
    <m/>
    <x v="30"/>
    <x v="3"/>
    <x v="1"/>
    <x v="5"/>
    <m/>
    <s v="10411 BofA Buffalo"/>
    <n v="135.97999999999999"/>
    <n v="228397.6"/>
    <n v="135.97999999999999"/>
  </r>
  <r>
    <n v="65061"/>
    <s v="Material for Rooms"/>
    <s v="07/30/2014"/>
    <s v="Expense"/>
    <m/>
    <x v="29"/>
    <x v="3"/>
    <x v="1"/>
    <x v="5"/>
    <m/>
    <s v="10411 BofA Buffalo"/>
    <n v="57.18"/>
    <n v="228454.78"/>
    <n v="57.18"/>
  </r>
  <r>
    <n v="65061"/>
    <s v="Material for Rooms"/>
    <s v="07/31/2014"/>
    <s v="Expense"/>
    <m/>
    <x v="58"/>
    <x v="3"/>
    <x v="1"/>
    <x v="5"/>
    <m/>
    <s v="10411 BofA Buffalo"/>
    <n v="86.53"/>
    <n v="232051.51"/>
    <n v="86.53"/>
  </r>
  <r>
    <n v="65061"/>
    <s v="Material for Rooms"/>
    <s v="07/31/2014"/>
    <s v="Expense"/>
    <m/>
    <x v="63"/>
    <x v="3"/>
    <x v="1"/>
    <x v="5"/>
    <m/>
    <s v="10411 BofA Buffalo"/>
    <n v="15.21"/>
    <n v="232917.75"/>
    <n v="15.21"/>
  </r>
  <r>
    <n v="65061"/>
    <s v="Material for Rooms"/>
    <s v="08/01/2014"/>
    <s v="Expense"/>
    <m/>
    <x v="41"/>
    <x v="3"/>
    <x v="1"/>
    <x v="5"/>
    <m/>
    <s v="10411 BofA Buffalo"/>
    <n v="30.99"/>
    <n v="234411.16"/>
    <n v="30.99"/>
  </r>
  <r>
    <n v="65061"/>
    <s v="Material for Rooms"/>
    <s v="08/05/2014"/>
    <s v="Expense"/>
    <m/>
    <x v="156"/>
    <x v="3"/>
    <x v="1"/>
    <x v="5"/>
    <m/>
    <s v="10411 BofA Buffalo"/>
    <n v="50.01"/>
    <n v="236186.2"/>
    <n v="50.01"/>
  </r>
  <r>
    <n v="65061"/>
    <s v="Material for Rooms"/>
    <s v="08/07/2014"/>
    <s v="Expense"/>
    <m/>
    <x v="41"/>
    <x v="3"/>
    <x v="1"/>
    <x v="5"/>
    <m/>
    <s v="10411 BofA Buffalo"/>
    <n v="19.399999999999999"/>
    <n v="236886.37"/>
    <n v="19.399999999999999"/>
  </r>
  <r>
    <n v="65061"/>
    <s v="Material for Rooms"/>
    <s v="08/07/2014"/>
    <s v="Check"/>
    <n v="1232"/>
    <x v="586"/>
    <x v="3"/>
    <x v="1"/>
    <x v="5"/>
    <m/>
    <s v="10411 BofA Buffalo"/>
    <n v="77.11"/>
    <n v="236973.48"/>
    <n v="77.11"/>
  </r>
  <r>
    <n v="65061"/>
    <s v="Material for Rooms"/>
    <s v="08/11/2014"/>
    <s v="Expense"/>
    <m/>
    <x v="29"/>
    <x v="3"/>
    <x v="1"/>
    <x v="5"/>
    <m/>
    <s v="10411 BofA Buffalo"/>
    <n v="193.7"/>
    <n v="238488.87"/>
    <n v="193.7"/>
  </r>
  <r>
    <n v="65061"/>
    <s v="Material for Rooms"/>
    <s v="08/11/2014"/>
    <s v="Expense"/>
    <m/>
    <x v="64"/>
    <x v="3"/>
    <x v="1"/>
    <x v="5"/>
    <m/>
    <s v="10411 BofA Buffalo"/>
    <n v="132.18"/>
    <n v="238621.05"/>
    <n v="132.18"/>
  </r>
  <r>
    <n v="65061"/>
    <s v="Material for Rooms"/>
    <s v="08/11/2014"/>
    <s v="Expense"/>
    <m/>
    <x v="114"/>
    <x v="3"/>
    <x v="1"/>
    <x v="5"/>
    <m/>
    <s v="10411 BofA Buffalo"/>
    <n v="26.36"/>
    <n v="238647.41"/>
    <n v="26.36"/>
  </r>
  <r>
    <n v="65061"/>
    <s v="Material for Rooms"/>
    <s v="08/11/2014"/>
    <s v="Expense"/>
    <m/>
    <x v="64"/>
    <x v="3"/>
    <x v="1"/>
    <x v="5"/>
    <m/>
    <s v="10411 BofA Buffalo"/>
    <n v="56.32"/>
    <n v="238703.73"/>
    <n v="56.32"/>
  </r>
  <r>
    <n v="65061"/>
    <s v="Material for Rooms"/>
    <s v="08/11/2014"/>
    <s v="Expense"/>
    <m/>
    <x v="114"/>
    <x v="3"/>
    <x v="1"/>
    <x v="5"/>
    <m/>
    <s v="10411 BofA Buffalo"/>
    <n v="94.76"/>
    <n v="238798.49"/>
    <n v="94.76"/>
  </r>
  <r>
    <n v="65061"/>
    <s v="Material for Rooms"/>
    <s v="08/11/2014"/>
    <s v="Expense"/>
    <m/>
    <x v="114"/>
    <x v="3"/>
    <x v="1"/>
    <x v="5"/>
    <m/>
    <s v="10411 BofA Buffalo"/>
    <n v="8.66"/>
    <n v="238807.15"/>
    <n v="8.66"/>
  </r>
  <r>
    <n v="65061"/>
    <s v="Material for Rooms"/>
    <s v="08/18/2014"/>
    <s v="Check"/>
    <n v="1233"/>
    <x v="68"/>
    <x v="3"/>
    <x v="1"/>
    <x v="5"/>
    <m/>
    <s v="10411 BofA Buffalo"/>
    <n v="262.39999999999998"/>
    <n v="241462.53"/>
    <n v="262.39999999999998"/>
  </r>
  <r>
    <n v="65061"/>
    <s v="Material for Rooms"/>
    <s v="08/18/2014"/>
    <s v="Expense"/>
    <m/>
    <x v="65"/>
    <x v="3"/>
    <x v="1"/>
    <x v="5"/>
    <m/>
    <s v="10411 BofA Buffalo"/>
    <n v="20.23"/>
    <n v="241662.98"/>
    <n v="20.23"/>
  </r>
  <r>
    <n v="65061"/>
    <s v="Material for Rooms"/>
    <s v="08/18/2014"/>
    <s v="Expense"/>
    <m/>
    <x v="65"/>
    <x v="3"/>
    <x v="1"/>
    <x v="5"/>
    <m/>
    <s v="10411 BofA Buffalo"/>
    <n v="0.61"/>
    <n v="241663.59"/>
    <n v="0.61"/>
  </r>
  <r>
    <n v="65061"/>
    <s v="Material for Rooms"/>
    <s v="08/19/2014"/>
    <s v="Expense"/>
    <m/>
    <x v="41"/>
    <x v="3"/>
    <x v="1"/>
    <x v="5"/>
    <m/>
    <s v="10411 BofA Buffalo"/>
    <n v="17.27"/>
    <n v="242231.23"/>
    <n v="17.27"/>
  </r>
  <r>
    <n v="65061"/>
    <s v="Material for Rooms"/>
    <s v="08/27/2014"/>
    <s v="Expense"/>
    <m/>
    <x v="33"/>
    <x v="3"/>
    <x v="1"/>
    <x v="5"/>
    <m/>
    <s v="10411 BofA Buffalo"/>
    <n v="32.5"/>
    <n v="244476.7"/>
    <n v="32.5"/>
  </r>
  <r>
    <n v="65061"/>
    <s v="Material for Rooms"/>
    <s v="08/27/2014"/>
    <s v="Expense"/>
    <m/>
    <x v="33"/>
    <x v="3"/>
    <x v="1"/>
    <x v="5"/>
    <m/>
    <s v="10411 BofA Buffalo"/>
    <n v="19.489999999999998"/>
    <n v="244629.3"/>
    <n v="19.489999999999998"/>
  </r>
  <r>
    <n v="65061"/>
    <s v="Material for Rooms"/>
    <s v="08/28/2014"/>
    <s v="Expense"/>
    <m/>
    <x v="33"/>
    <x v="3"/>
    <x v="1"/>
    <x v="5"/>
    <m/>
    <s v="10411 BofA Buffalo"/>
    <n v="152.44"/>
    <n v="245197.61"/>
    <n v="152.44"/>
  </r>
  <r>
    <n v="65061"/>
    <s v="Material for Rooms"/>
    <s v="08/28/2014"/>
    <s v="Expense"/>
    <m/>
    <x v="33"/>
    <x v="3"/>
    <x v="1"/>
    <x v="5"/>
    <m/>
    <s v="10411 BofA Buffalo"/>
    <n v="77"/>
    <n v="245274.61"/>
    <n v="77"/>
  </r>
  <r>
    <n v="65061"/>
    <s v="Material for Rooms"/>
    <s v="09/02/2014"/>
    <s v="Check"/>
    <n v="1234"/>
    <x v="72"/>
    <x v="3"/>
    <x v="1"/>
    <x v="5"/>
    <m/>
    <s v="10411 BofA Buffalo"/>
    <n v="44.44"/>
    <n v="247259.64"/>
    <n v="44.44"/>
  </r>
  <r>
    <n v="65061"/>
    <s v="Material for Rooms"/>
    <s v="09/02/2014"/>
    <s v="Expense"/>
    <m/>
    <x v="587"/>
    <x v="3"/>
    <x v="1"/>
    <x v="5"/>
    <m/>
    <s v="10411 BofA Buffalo"/>
    <n v="29.82"/>
    <n v="247289.46"/>
    <n v="29.82"/>
  </r>
  <r>
    <n v="65061"/>
    <s v="Material for Rooms"/>
    <s v="09/04/2014"/>
    <s v="Expense"/>
    <m/>
    <x v="76"/>
    <x v="3"/>
    <x v="1"/>
    <x v="5"/>
    <m/>
    <s v="10411 BofA Buffalo"/>
    <n v="20.47"/>
    <n v="250075.67"/>
    <n v="20.47"/>
  </r>
  <r>
    <n v="65061"/>
    <s v="Material for Rooms"/>
    <s v="09/04/2014"/>
    <s v="Expense"/>
    <m/>
    <x v="41"/>
    <x v="3"/>
    <x v="1"/>
    <x v="5"/>
    <m/>
    <s v="10411 BofA Buffalo"/>
    <n v="9.09"/>
    <n v="250084.76"/>
    <n v="9.09"/>
  </r>
  <r>
    <n v="65061"/>
    <s v="Material for Rooms"/>
    <s v="09/09/2014"/>
    <s v="Expense"/>
    <m/>
    <x v="588"/>
    <x v="3"/>
    <x v="1"/>
    <x v="5"/>
    <m/>
    <s v="10411 BofA Buffalo"/>
    <n v="18.059999999999999"/>
    <n v="252292.26"/>
    <n v="18.059999999999999"/>
  </r>
  <r>
    <n v="65061"/>
    <s v="Material for Rooms"/>
    <s v="09/10/2014"/>
    <s v="Expense"/>
    <m/>
    <x v="33"/>
    <x v="3"/>
    <x v="1"/>
    <x v="5"/>
    <m/>
    <s v="10411 BofA Buffalo"/>
    <n v="22.83"/>
    <n v="252696.37"/>
    <n v="22.83"/>
  </r>
  <r>
    <n v="65061"/>
    <s v="Material for Rooms"/>
    <s v="09/10/2014"/>
    <s v="Expense"/>
    <m/>
    <x v="33"/>
    <x v="3"/>
    <x v="1"/>
    <x v="5"/>
    <m/>
    <s v="10411 BofA Buffalo"/>
    <n v="21.75"/>
    <n v="252853.15"/>
    <n v="21.75"/>
  </r>
  <r>
    <n v="65061"/>
    <s v="Material for Rooms"/>
    <s v="09/11/2014"/>
    <s v="Expense"/>
    <m/>
    <x v="41"/>
    <x v="3"/>
    <x v="1"/>
    <x v="5"/>
    <m/>
    <s v="10411 BofA Buffalo"/>
    <n v="6.46"/>
    <n v="253118.25"/>
    <n v="6.46"/>
  </r>
  <r>
    <n v="65061"/>
    <s v="Material for Rooms"/>
    <s v="09/15/2014"/>
    <s v="Expense"/>
    <m/>
    <x v="59"/>
    <x v="3"/>
    <x v="1"/>
    <x v="5"/>
    <m/>
    <s v="10411 BofA Buffalo"/>
    <n v="149.99"/>
    <n v="254885.71"/>
    <n v="149.99"/>
  </r>
  <r>
    <n v="65061"/>
    <s v="Material for Rooms"/>
    <s v="09/15/2014"/>
    <s v="Expense"/>
    <m/>
    <x v="30"/>
    <x v="3"/>
    <x v="1"/>
    <x v="5"/>
    <m/>
    <s v="10411 BofA Buffalo"/>
    <n v="39"/>
    <n v="255557.26"/>
    <n v="39"/>
  </r>
  <r>
    <n v="65061"/>
    <s v="Material for Rooms"/>
    <s v="09/15/2014"/>
    <s v="Expense"/>
    <m/>
    <x v="33"/>
    <x v="3"/>
    <x v="1"/>
    <x v="5"/>
    <m/>
    <s v="10411 BofA Buffalo"/>
    <n v="99"/>
    <n v="256247.07"/>
    <n v="99"/>
  </r>
  <r>
    <n v="65061"/>
    <s v="Material for Rooms"/>
    <s v="09/22/2014"/>
    <s v="Expense"/>
    <m/>
    <x v="82"/>
    <x v="3"/>
    <x v="1"/>
    <x v="5"/>
    <m/>
    <s v="10411 BofA Buffalo"/>
    <n v="645"/>
    <n v="259531.93"/>
    <n v="645"/>
  </r>
  <r>
    <n v="65061"/>
    <s v="Material for Rooms"/>
    <s v="09/22/2014"/>
    <s v="Expense"/>
    <m/>
    <x v="33"/>
    <x v="3"/>
    <x v="1"/>
    <x v="5"/>
    <m/>
    <s v="10411 BofA Buffalo"/>
    <n v="25.33"/>
    <n v="259557.26"/>
    <n v="25.33"/>
  </r>
  <r>
    <n v="65061"/>
    <s v="Material for Rooms"/>
    <s v="09/23/2014"/>
    <s v="Check"/>
    <n v="1235"/>
    <x v="53"/>
    <x v="3"/>
    <x v="1"/>
    <x v="5"/>
    <m/>
    <s v="10411 BofA Buffalo"/>
    <n v="379.52"/>
    <n v="264786.2"/>
    <n v="379.52"/>
  </r>
  <r>
    <n v="65061"/>
    <s v="Material for Rooms"/>
    <s v="09/23/2014"/>
    <s v="Expense"/>
    <m/>
    <x v="29"/>
    <x v="3"/>
    <x v="1"/>
    <x v="5"/>
    <m/>
    <s v="10411 BofA Buffalo"/>
    <n v="114.03"/>
    <n v="264900.23"/>
    <n v="114.03"/>
  </r>
  <r>
    <n v="65061"/>
    <s v="Material for Rooms"/>
    <s v="09/24/2014"/>
    <s v="Expense"/>
    <m/>
    <x v="41"/>
    <x v="3"/>
    <x v="1"/>
    <x v="5"/>
    <m/>
    <s v="10411 BofA Buffalo"/>
    <n v="17.829999999999998"/>
    <n v="267354.38"/>
    <n v="17.829999999999998"/>
  </r>
  <r>
    <n v="65061"/>
    <s v="Material for Rooms"/>
    <s v="10/06/2014"/>
    <s v="Expense"/>
    <m/>
    <x v="33"/>
    <x v="3"/>
    <x v="1"/>
    <x v="5"/>
    <m/>
    <s v="10411 BofA Buffalo"/>
    <n v="130.49"/>
    <n v="277965.37"/>
    <n v="130.49"/>
  </r>
  <r>
    <n v="65061"/>
    <s v="Material for Rooms"/>
    <s v="10/06/2014"/>
    <s v="Expense"/>
    <m/>
    <x v="33"/>
    <x v="3"/>
    <x v="1"/>
    <x v="5"/>
    <m/>
    <s v="10411 BofA Buffalo"/>
    <n v="18.93"/>
    <n v="277984.3"/>
    <n v="18.93"/>
  </r>
  <r>
    <n v="65061"/>
    <s v="Material for Rooms"/>
    <s v="10/06/2014"/>
    <s v="Expense"/>
    <m/>
    <x v="33"/>
    <x v="3"/>
    <x v="1"/>
    <x v="5"/>
    <m/>
    <s v="10411 BofA Buffalo"/>
    <n v="17.989999999999998"/>
    <n v="278002.28999999998"/>
    <n v="17.989999999999998"/>
  </r>
  <r>
    <n v="65061"/>
    <s v="Material for Rooms"/>
    <s v="10/06/2014"/>
    <s v="Expense"/>
    <m/>
    <x v="33"/>
    <x v="3"/>
    <x v="1"/>
    <x v="5"/>
    <m/>
    <s v="10411 BofA Buffalo"/>
    <n v="33.979999999999997"/>
    <n v="278036.27"/>
    <n v="33.979999999999997"/>
  </r>
  <r>
    <n v="65061"/>
    <s v="Material for Rooms"/>
    <s v="10/06/2014"/>
    <s v="Expense"/>
    <m/>
    <x v="33"/>
    <x v="3"/>
    <x v="1"/>
    <x v="5"/>
    <m/>
    <s v="10411 BofA Buffalo"/>
    <n v="127.4"/>
    <n v="278163.67"/>
    <n v="127.4"/>
  </r>
  <r>
    <n v="65061"/>
    <s v="Material for Rooms"/>
    <s v="10/06/2014"/>
    <s v="Expense"/>
    <m/>
    <x v="0"/>
    <x v="3"/>
    <x v="1"/>
    <x v="5"/>
    <m/>
    <s v="10411 BofA Buffalo"/>
    <n v="131.25"/>
    <n v="278294.92"/>
    <n v="131.25"/>
  </r>
  <r>
    <n v="65061"/>
    <s v="Material for Rooms"/>
    <s v="10/08/2014"/>
    <s v="Expense"/>
    <m/>
    <x v="33"/>
    <x v="3"/>
    <x v="1"/>
    <x v="5"/>
    <m/>
    <s v="10411 BofA Buffalo"/>
    <n v="54.95"/>
    <n v="283111.21999999997"/>
    <n v="54.95"/>
  </r>
  <r>
    <n v="65061"/>
    <s v="Material for Rooms"/>
    <s v="10/08/2014"/>
    <s v="Expense"/>
    <m/>
    <x v="41"/>
    <x v="3"/>
    <x v="1"/>
    <x v="5"/>
    <m/>
    <s v="10411 BofA Buffalo"/>
    <n v="185.43"/>
    <n v="283313.87"/>
    <n v="185.43"/>
  </r>
  <r>
    <n v="65061"/>
    <s v="Material for Rooms"/>
    <s v="10/08/2014"/>
    <s v="Check"/>
    <n v="1237"/>
    <x v="589"/>
    <x v="3"/>
    <x v="1"/>
    <x v="5"/>
    <m/>
    <s v="10411 BofA Buffalo"/>
    <n v="250.13"/>
    <n v="283564"/>
    <n v="250.13"/>
  </r>
  <r>
    <n v="65061"/>
    <s v="Material for Rooms"/>
    <s v="10/08/2014"/>
    <s v="Expense"/>
    <m/>
    <x v="33"/>
    <x v="3"/>
    <x v="1"/>
    <x v="5"/>
    <m/>
    <s v="10411 BofA Buffalo"/>
    <n v="34.99"/>
    <n v="286020.40999999997"/>
    <n v="34.99"/>
  </r>
  <r>
    <n v="65061"/>
    <s v="Material for Rooms"/>
    <s v="10/09/2014"/>
    <s v="Expense"/>
    <m/>
    <x v="33"/>
    <x v="3"/>
    <x v="1"/>
    <x v="5"/>
    <m/>
    <s v="10411 BofA Buffalo"/>
    <n v="146.21"/>
    <n v="286166.62"/>
    <n v="146.21"/>
  </r>
  <r>
    <n v="65061"/>
    <s v="Material for Rooms"/>
    <s v="10/09/2014"/>
    <s v="Expense"/>
    <m/>
    <x v="30"/>
    <x v="3"/>
    <x v="1"/>
    <x v="5"/>
    <m/>
    <s v="10411 BofA Buffalo"/>
    <n v="73.98"/>
    <n v="286240.59999999998"/>
    <n v="73.98"/>
  </r>
  <r>
    <n v="65061"/>
    <s v="Material for Rooms"/>
    <s v="10/09/2014"/>
    <s v="Check"/>
    <n v="1236"/>
    <x v="53"/>
    <x v="3"/>
    <x v="1"/>
    <x v="5"/>
    <m/>
    <s v="10411 BofA Buffalo"/>
    <n v="1092.26"/>
    <n v="287332.86"/>
    <n v="1092.26"/>
  </r>
  <r>
    <n v="65061"/>
    <s v="Material for Rooms"/>
    <s v="10/10/2014"/>
    <s v="Expense"/>
    <m/>
    <x v="33"/>
    <x v="3"/>
    <x v="1"/>
    <x v="5"/>
    <m/>
    <s v="10411 BofA Buffalo"/>
    <n v="67.88"/>
    <n v="288933.15000000002"/>
    <n v="67.88"/>
  </r>
  <r>
    <n v="65061"/>
    <s v="Material for Rooms"/>
    <s v="10/14/2014"/>
    <s v="Check"/>
    <n v="1238"/>
    <x v="590"/>
    <x v="3"/>
    <x v="1"/>
    <x v="5"/>
    <m/>
    <s v="10411 BofA Buffalo"/>
    <n v="87.55"/>
    <n v="290764.23"/>
    <n v="87.55"/>
  </r>
  <r>
    <n v="65061"/>
    <s v="Material for Rooms"/>
    <s v="10/14/2014"/>
    <s v="Expense"/>
    <m/>
    <x v="26"/>
    <x v="3"/>
    <x v="1"/>
    <x v="5"/>
    <m/>
    <s v="10411 BofA Buffalo"/>
    <n v="69.540000000000006"/>
    <n v="290833.77"/>
    <n v="69.540000000000006"/>
  </r>
  <r>
    <n v="65061"/>
    <s v="Material for Rooms"/>
    <s v="10/15/2014"/>
    <s v="Expense"/>
    <m/>
    <x v="41"/>
    <x v="3"/>
    <x v="1"/>
    <x v="5"/>
    <m/>
    <s v="10411 BofA Buffalo"/>
    <n v="59"/>
    <n v="291461.90000000002"/>
    <n v="59"/>
  </r>
  <r>
    <n v="65061"/>
    <s v="Material for Rooms"/>
    <s v="10/15/2014"/>
    <s v="Expense"/>
    <m/>
    <x v="591"/>
    <x v="3"/>
    <x v="1"/>
    <x v="5"/>
    <m/>
    <s v="10411 BofA Buffalo"/>
    <n v="45.62"/>
    <n v="291507.52"/>
    <n v="45.62"/>
  </r>
  <r>
    <n v="65061"/>
    <s v="Material for Rooms"/>
    <s v="10/16/2014"/>
    <s v="Expense"/>
    <m/>
    <x v="59"/>
    <x v="3"/>
    <x v="1"/>
    <x v="5"/>
    <m/>
    <s v="10411 BofA Buffalo"/>
    <n v="200"/>
    <n v="291838.43"/>
    <n v="200"/>
  </r>
  <r>
    <n v="65061"/>
    <s v="Material for Rooms"/>
    <s v="10/20/2014"/>
    <s v="Expense"/>
    <m/>
    <x v="58"/>
    <x v="3"/>
    <x v="1"/>
    <x v="5"/>
    <m/>
    <s v="10411 BofA Buffalo"/>
    <n v="35.979999999999997"/>
    <n v="295702.53999999998"/>
    <n v="35.979999999999997"/>
  </r>
  <r>
    <n v="65061"/>
    <s v="Material for Rooms"/>
    <s v="10/20/2014"/>
    <s v="Expense"/>
    <m/>
    <x v="41"/>
    <x v="3"/>
    <x v="1"/>
    <x v="5"/>
    <m/>
    <s v="10411 BofA Buffalo"/>
    <n v="11.33"/>
    <n v="295713.87"/>
    <n v="11.33"/>
  </r>
  <r>
    <n v="65061"/>
    <s v="Material for Rooms"/>
    <s v="10/20/2014"/>
    <s v="Expense"/>
    <m/>
    <x v="29"/>
    <x v="3"/>
    <x v="1"/>
    <x v="5"/>
    <m/>
    <s v="10411 BofA Buffalo"/>
    <n v="45.74"/>
    <n v="295759.61"/>
    <n v="45.74"/>
  </r>
  <r>
    <n v="65061"/>
    <s v="Material for Rooms"/>
    <s v="10/20/2014"/>
    <s v="Expense"/>
    <m/>
    <x v="29"/>
    <x v="3"/>
    <x v="1"/>
    <x v="5"/>
    <m/>
    <s v="10411 BofA Buffalo"/>
    <n v="75.75"/>
    <n v="295835.36"/>
    <n v="75.75"/>
  </r>
  <r>
    <n v="65095"/>
    <s v="Paypal Expense"/>
    <s v="09/29/2014"/>
    <s v="Journal Entry"/>
    <n v="689"/>
    <x v="0"/>
    <x v="3"/>
    <x v="4"/>
    <x v="19"/>
    <m/>
    <s v="-Split-"/>
    <n v="8.49"/>
    <n v="1003.45"/>
    <n v="8.49"/>
  </r>
  <r>
    <n v="44000"/>
    <s v="Fund Raising Activities Income"/>
    <s v="04/07/2014"/>
    <s v="Journal Entry"/>
    <n v="483"/>
    <x v="0"/>
    <x v="3"/>
    <x v="0"/>
    <x v="38"/>
    <s v="dreaming in color"/>
    <s v="-Split-"/>
    <n v="1001"/>
    <n v="154682.93"/>
    <n v="-1001"/>
  </r>
  <r>
    <n v="44000"/>
    <s v="Fund Raising Activities Income"/>
    <s v="04/07/2014"/>
    <s v="Journal Entry"/>
    <n v="481"/>
    <x v="0"/>
    <x v="3"/>
    <x v="0"/>
    <x v="38"/>
    <s v="dreaming in color tickets"/>
    <s v="-Split-"/>
    <n v="410"/>
    <n v="155342.93"/>
    <n v="-410"/>
  </r>
  <r>
    <n v="44000"/>
    <s v="Fund Raising Activities Income"/>
    <s v="04/15/2014"/>
    <s v="Deposit"/>
    <m/>
    <x v="3"/>
    <x v="3"/>
    <x v="0"/>
    <x v="38"/>
    <s v="Dreaming in Color"/>
    <s v="10108 BofA Restricted Funds -055:Buffalo - 259"/>
    <n v="6100"/>
    <n v="162265.25"/>
    <n v="-6100"/>
  </r>
  <r>
    <n v="44000"/>
    <s v="Fund Raising Activities Income"/>
    <s v="10/01/2014"/>
    <s v="Deposit"/>
    <m/>
    <x v="3"/>
    <x v="4"/>
    <x v="0"/>
    <x v="38"/>
    <m/>
    <s v="10139 BofA Restricted Funds -055:Sacramento 5171"/>
    <n v="125"/>
    <n v="225843.7"/>
    <n v="-125"/>
  </r>
  <r>
    <n v="44000"/>
    <s v="Fund Raising Activities Income"/>
    <s v="07/08/2014"/>
    <s v="Deposit"/>
    <m/>
    <x v="11"/>
    <x v="5"/>
    <x v="0"/>
    <x v="38"/>
    <m/>
    <s v="10542 BofA San Fran Restricted 0918"/>
    <n v="2725.03"/>
    <n v="187413.05"/>
    <n v="-2725.03"/>
  </r>
  <r>
    <n v="44000"/>
    <s v="Fund Raising Activities Income"/>
    <s v="07/17/2014"/>
    <s v="Deposit"/>
    <m/>
    <x v="0"/>
    <x v="5"/>
    <x v="0"/>
    <x v="38"/>
    <s v="Team Breezy"/>
    <s v="10542 BofA San Fran Restricted 0918"/>
    <n v="500"/>
    <n v="189163.05"/>
    <n v="-500"/>
  </r>
  <r>
    <n v="44000"/>
    <s v="Fund Raising Activities Income"/>
    <s v="03/05/2014"/>
    <s v="Deposit"/>
    <m/>
    <x v="3"/>
    <x v="7"/>
    <x v="0"/>
    <x v="38"/>
    <m/>
    <s v="10111 BofA Restricted Funds -055:Chicago 8350"/>
    <n v="3515"/>
    <n v="39920"/>
    <n v="-3515"/>
  </r>
  <r>
    <n v="44000"/>
    <s v="Fund Raising Activities Income"/>
    <s v="03/05/2014"/>
    <s v="Deposit"/>
    <m/>
    <x v="3"/>
    <x v="7"/>
    <x v="0"/>
    <x v="38"/>
    <m/>
    <s v="10111 BofA Restricted Funds -055:Chicago 8350"/>
    <n v="1040"/>
    <n v="40960"/>
    <n v="-1040"/>
  </r>
  <r>
    <n v="44000"/>
    <s v="Fund Raising Activities Income"/>
    <s v="03/05/2014"/>
    <s v="Deposit"/>
    <m/>
    <x v="3"/>
    <x v="7"/>
    <x v="0"/>
    <x v="38"/>
    <m/>
    <s v="10111 BofA Restricted Funds -055:Chicago 8350"/>
    <n v="4070"/>
    <n v="45030"/>
    <n v="-4070"/>
  </r>
  <r>
    <n v="44000"/>
    <s v="Fund Raising Activities Income"/>
    <s v="03/05/2014"/>
    <s v="Deposit"/>
    <m/>
    <x v="3"/>
    <x v="7"/>
    <x v="0"/>
    <x v="38"/>
    <s v="Casino night"/>
    <s v="10111 BofA Restricted Funds -055:Chicago 8350"/>
    <n v="425"/>
    <n v="45455"/>
    <n v="-425"/>
  </r>
  <r>
    <n v="44000"/>
    <s v="Fund Raising Activities Income"/>
    <s v="03/24/2014"/>
    <s v="Deposit"/>
    <m/>
    <x v="3"/>
    <x v="11"/>
    <x v="0"/>
    <x v="38"/>
    <m/>
    <s v="10145 BofA Restricted Funds -055:Dallas, Texas 8389"/>
    <n v="397.93"/>
    <n v="142292.93"/>
    <n v="-397.93"/>
  </r>
  <r>
    <n v="44000"/>
    <s v="Fund Raising Activities Income"/>
    <s v="04/15/2014"/>
    <s v="Deposit"/>
    <m/>
    <x v="3"/>
    <x v="11"/>
    <x v="0"/>
    <x v="38"/>
    <s v="Mixed Bag"/>
    <s v="10145 BofA Restricted Funds -055:Dallas, Texas 8389"/>
    <n v="122.32"/>
    <n v="156165.25"/>
    <n v="-122.32"/>
  </r>
  <r>
    <n v="44000"/>
    <s v="Fund Raising Activities Income"/>
    <s v="07/01/2014"/>
    <s v="Deposit"/>
    <m/>
    <x v="3"/>
    <x v="12"/>
    <x v="0"/>
    <x v="38"/>
    <m/>
    <s v="10117 BofA Restricted Funds -055:Delaware"/>
    <n v="650"/>
    <n v="184688.02"/>
    <n v="-650"/>
  </r>
  <r>
    <n v="65015"/>
    <s v="Travel Expense"/>
    <s v="10/15/2014"/>
    <s v="Expense"/>
    <m/>
    <x v="513"/>
    <x v="28"/>
    <x v="1"/>
    <x v="15"/>
    <m/>
    <s v="10550 BofA Triangle Account"/>
    <n v="534.20000000000005"/>
    <n v="10358.129999999999"/>
    <n v="534.20000000000005"/>
  </r>
  <r>
    <n v="65020"/>
    <s v="Postage, Mailing Service"/>
    <s v="09/16/2014"/>
    <s v="Expense"/>
    <m/>
    <x v="6"/>
    <x v="28"/>
    <x v="1"/>
    <x v="3"/>
    <m/>
    <s v="10550 BofA Triangle Account"/>
    <n v="67"/>
    <n v="2999.51"/>
    <n v="67"/>
  </r>
  <r>
    <n v="65025"/>
    <s v="Bank Service Charges"/>
    <s v="07/01/2014"/>
    <s v="Expense"/>
    <m/>
    <x v="92"/>
    <x v="28"/>
    <x v="1"/>
    <x v="14"/>
    <m/>
    <s v="10550 BofA Triangle Account"/>
    <n v="15"/>
    <n v="1733.52"/>
    <n v="15"/>
  </r>
  <r>
    <n v="65025"/>
    <s v="Bank Service Charges"/>
    <s v="10/01/2014"/>
    <s v="Expense"/>
    <m/>
    <x v="92"/>
    <x v="28"/>
    <x v="1"/>
    <x v="14"/>
    <m/>
    <s v="10550 BofA Triangle Account"/>
    <n v="15"/>
    <n v="2346.15"/>
    <n v="15"/>
  </r>
  <r>
    <n v="65036"/>
    <s v="Volunteer Hospitality"/>
    <s v="08/25/2014"/>
    <s v="Expense"/>
    <m/>
    <x v="592"/>
    <x v="28"/>
    <x v="1"/>
    <x v="13"/>
    <m/>
    <s v="10550 BofA Triangle Account"/>
    <n v="100"/>
    <n v="6557.91"/>
    <n v="100"/>
  </r>
  <r>
    <n v="65061"/>
    <s v="Material for Rooms"/>
    <s v="07/17/2014"/>
    <s v="Expense"/>
    <m/>
    <x v="14"/>
    <x v="28"/>
    <x v="1"/>
    <x v="5"/>
    <m/>
    <s v="10550 BofA Triangle Account"/>
    <n v="22.91"/>
    <n v="217250.79"/>
    <n v="22.91"/>
  </r>
  <r>
    <n v="65061"/>
    <s v="Material for Rooms"/>
    <s v="07/21/2014"/>
    <s v="Expense"/>
    <m/>
    <x v="593"/>
    <x v="28"/>
    <x v="1"/>
    <x v="5"/>
    <m/>
    <s v="10550 BofA Triangle Account"/>
    <n v="236.98"/>
    <n v="221266.79"/>
    <n v="236.98"/>
  </r>
  <r>
    <n v="65061"/>
    <s v="Material for Rooms"/>
    <s v="08/01/2014"/>
    <s v="Expense"/>
    <m/>
    <x v="175"/>
    <x v="28"/>
    <x v="1"/>
    <x v="5"/>
    <m/>
    <s v="10550 BofA Triangle Account"/>
    <n v="185.74"/>
    <n v="233459.78"/>
    <n v="185.74"/>
  </r>
  <r>
    <n v="65061"/>
    <s v="Material for Rooms"/>
    <s v="08/01/2014"/>
    <s v="Expense"/>
    <m/>
    <x v="19"/>
    <x v="28"/>
    <x v="1"/>
    <x v="5"/>
    <m/>
    <s v="10550 BofA Triangle Account"/>
    <n v="117.41"/>
    <n v="233577.19"/>
    <n v="117.41"/>
  </r>
  <r>
    <n v="65061"/>
    <s v="Material for Rooms"/>
    <s v="08/04/2014"/>
    <s v="Expense"/>
    <m/>
    <x v="175"/>
    <x v="28"/>
    <x v="1"/>
    <x v="5"/>
    <m/>
    <s v="10550 BofA Triangle Account"/>
    <n v="284.92"/>
    <n v="235012.55"/>
    <n v="284.92"/>
  </r>
  <r>
    <n v="65061"/>
    <s v="Material for Rooms"/>
    <s v="08/04/2014"/>
    <s v="Expense"/>
    <m/>
    <x v="33"/>
    <x v="28"/>
    <x v="1"/>
    <x v="5"/>
    <m/>
    <s v="10550 BofA Triangle Account"/>
    <n v="38.99"/>
    <n v="235051.54"/>
    <n v="38.99"/>
  </r>
  <r>
    <n v="65061"/>
    <s v="Material for Rooms"/>
    <s v="08/04/2014"/>
    <s v="Deposit"/>
    <m/>
    <x v="31"/>
    <x v="28"/>
    <x v="1"/>
    <x v="5"/>
    <m/>
    <s v="10550 BofA Triangle Account"/>
    <n v="-106.15"/>
    <n v="234945.39"/>
    <n v="-106.15"/>
  </r>
  <r>
    <n v="65061"/>
    <s v="Material for Rooms"/>
    <s v="08/04/2014"/>
    <s v="Expense"/>
    <m/>
    <x v="16"/>
    <x v="28"/>
    <x v="1"/>
    <x v="5"/>
    <m/>
    <s v="10550 BofA Triangle Account"/>
    <n v="351.21"/>
    <n v="235296.6"/>
    <n v="351.21"/>
  </r>
  <r>
    <n v="65061"/>
    <s v="Material for Rooms"/>
    <s v="08/06/2014"/>
    <s v="Expense"/>
    <m/>
    <x v="31"/>
    <x v="28"/>
    <x v="1"/>
    <x v="5"/>
    <m/>
    <s v="10550 BofA Triangle Account"/>
    <n v="112.32"/>
    <n v="236724.17"/>
    <n v="112.32"/>
  </r>
  <r>
    <n v="65061"/>
    <s v="Material for Rooms"/>
    <s v="08/18/2014"/>
    <s v="Expense"/>
    <m/>
    <x v="19"/>
    <x v="28"/>
    <x v="1"/>
    <x v="5"/>
    <m/>
    <s v="10550 BofA Triangle Account"/>
    <n v="84.19"/>
    <n v="241546.72"/>
    <n v="84.19"/>
  </r>
  <r>
    <n v="65061"/>
    <s v="Material for Rooms"/>
    <s v="08/18/2014"/>
    <s v="Expense"/>
    <m/>
    <x v="56"/>
    <x v="28"/>
    <x v="1"/>
    <x v="5"/>
    <m/>
    <s v="10550 BofA Triangle Account"/>
    <n v="42.69"/>
    <n v="241589.41"/>
    <n v="42.69"/>
  </r>
  <r>
    <n v="65061"/>
    <s v="Material for Rooms"/>
    <s v="08/18/2014"/>
    <s v="Expense"/>
    <m/>
    <x v="56"/>
    <x v="28"/>
    <x v="1"/>
    <x v="5"/>
    <m/>
    <s v="10550 BofA Triangle Account"/>
    <n v="53.34"/>
    <n v="241642.75"/>
    <n v="53.34"/>
  </r>
  <r>
    <n v="65061"/>
    <s v="Material for Rooms"/>
    <s v="08/18/2014"/>
    <s v="Expense"/>
    <m/>
    <x v="16"/>
    <x v="28"/>
    <x v="1"/>
    <x v="5"/>
    <m/>
    <s v="10550 BofA Triangle Account"/>
    <n v="116.56"/>
    <n v="242037.76000000001"/>
    <n v="116.56"/>
  </r>
  <r>
    <n v="65061"/>
    <s v="Material for Rooms"/>
    <s v="08/19/2014"/>
    <s v="Expense"/>
    <m/>
    <x v="137"/>
    <x v="28"/>
    <x v="1"/>
    <x v="5"/>
    <m/>
    <s v="10550 BofA Triangle Account"/>
    <n v="72.540000000000006"/>
    <n v="242337.43"/>
    <n v="72.540000000000006"/>
  </r>
  <r>
    <n v="65061"/>
    <s v="Material for Rooms"/>
    <s v="08/20/2014"/>
    <s v="Expense"/>
    <m/>
    <x v="594"/>
    <x v="28"/>
    <x v="1"/>
    <x v="5"/>
    <m/>
    <s v="10550 BofA Triangle Account"/>
    <n v="51.03"/>
    <n v="242659.62"/>
    <n v="51.03"/>
  </r>
  <r>
    <n v="65061"/>
    <s v="Material for Rooms"/>
    <s v="08/21/2014"/>
    <s v="Expense"/>
    <m/>
    <x v="16"/>
    <x v="28"/>
    <x v="1"/>
    <x v="5"/>
    <m/>
    <s v="10550 BofA Triangle Account"/>
    <n v="53.04"/>
    <n v="242686.27"/>
    <n v="53.04"/>
  </r>
  <r>
    <n v="65061"/>
    <s v="Material for Rooms"/>
    <s v="08/21/2014"/>
    <s v="Expense"/>
    <m/>
    <x v="33"/>
    <x v="28"/>
    <x v="1"/>
    <x v="5"/>
    <m/>
    <s v="10550 BofA Triangle Account"/>
    <n v="20.13"/>
    <n v="242706.4"/>
    <n v="20.13"/>
  </r>
  <r>
    <n v="65061"/>
    <s v="Material for Rooms"/>
    <s v="08/22/2014"/>
    <s v="Expense"/>
    <m/>
    <x v="33"/>
    <x v="28"/>
    <x v="1"/>
    <x v="5"/>
    <m/>
    <s v="10550 BofA Triangle Account"/>
    <n v="50.53"/>
    <n v="242986.66"/>
    <n v="50.53"/>
  </r>
  <r>
    <n v="65061"/>
    <s v="Material for Rooms"/>
    <s v="08/22/2014"/>
    <s v="Expense"/>
    <m/>
    <x v="33"/>
    <x v="28"/>
    <x v="1"/>
    <x v="5"/>
    <m/>
    <s v="10550 BofA Triangle Account"/>
    <n v="43.95"/>
    <n v="243077.49"/>
    <n v="43.95"/>
  </r>
  <r>
    <n v="65061"/>
    <s v="Material for Rooms"/>
    <s v="08/22/2014"/>
    <s v="Expense"/>
    <m/>
    <x v="33"/>
    <x v="28"/>
    <x v="1"/>
    <x v="5"/>
    <m/>
    <s v="10550 BofA Triangle Account"/>
    <n v="14.16"/>
    <n v="243091.65"/>
    <n v="14.16"/>
  </r>
  <r>
    <n v="65061"/>
    <s v="Material for Rooms"/>
    <s v="08/22/2014"/>
    <s v="Expense"/>
    <m/>
    <x v="27"/>
    <x v="28"/>
    <x v="1"/>
    <x v="5"/>
    <m/>
    <s v="10550 BofA Triangle Account"/>
    <n v="200"/>
    <n v="243291.65"/>
    <n v="200"/>
  </r>
  <r>
    <n v="65061"/>
    <s v="Material for Rooms"/>
    <s v="08/25/2014"/>
    <s v="Check"/>
    <n v="1076"/>
    <x v="595"/>
    <x v="28"/>
    <x v="1"/>
    <x v="5"/>
    <m/>
    <s v="10550 BofA Triangle Account"/>
    <n v="159.66"/>
    <n v="244085.65"/>
    <n v="159.66"/>
  </r>
  <r>
    <n v="65061"/>
    <s v="Material for Rooms"/>
    <s v="08/25/2014"/>
    <s v="Expense"/>
    <m/>
    <x v="19"/>
    <x v="28"/>
    <x v="1"/>
    <x v="5"/>
    <m/>
    <s v="10550 BofA Triangle Account"/>
    <n v="20.43"/>
    <n v="244106.08"/>
    <n v="20.43"/>
  </r>
  <r>
    <n v="65061"/>
    <s v="Material for Rooms"/>
    <s v="08/25/2014"/>
    <s v="Expense"/>
    <m/>
    <x v="53"/>
    <x v="28"/>
    <x v="1"/>
    <x v="5"/>
    <m/>
    <s v="10550 BofA Triangle Account"/>
    <n v="7.41"/>
    <n v="244113.49"/>
    <n v="7.41"/>
  </r>
  <r>
    <n v="65061"/>
    <s v="Material for Rooms"/>
    <s v="08/25/2014"/>
    <s v="Expense"/>
    <m/>
    <x v="56"/>
    <x v="28"/>
    <x v="1"/>
    <x v="5"/>
    <m/>
    <s v="10550 BofA Triangle Account"/>
    <n v="93.89"/>
    <n v="244207.38"/>
    <n v="93.89"/>
  </r>
  <r>
    <n v="65061"/>
    <s v="Material for Rooms"/>
    <s v="09/12/2014"/>
    <s v="Check"/>
    <n v="1077"/>
    <x v="596"/>
    <x v="28"/>
    <x v="1"/>
    <x v="5"/>
    <m/>
    <s v="10550 BofA Triangle Account"/>
    <n v="170"/>
    <n v="254301.36"/>
    <n v="170"/>
  </r>
  <r>
    <n v="65095"/>
    <s v="Paypal Expense"/>
    <s v="07/29/2014"/>
    <s v="Journal Entry"/>
    <n v="638"/>
    <x v="0"/>
    <x v="28"/>
    <x v="4"/>
    <x v="19"/>
    <s v="paypal"/>
    <s v="-Split-"/>
    <n v="7.33"/>
    <n v="746.82"/>
    <n v="7.33"/>
  </r>
  <r>
    <n v="65095"/>
    <s v="Paypal Expense"/>
    <s v="08/11/2014"/>
    <s v="Journal Entry"/>
    <n v="652"/>
    <x v="0"/>
    <x v="28"/>
    <x v="4"/>
    <x v="19"/>
    <s v="paypal"/>
    <s v="-Split-"/>
    <n v="56.27"/>
    <n v="825.96"/>
    <n v="56.27"/>
  </r>
  <r>
    <n v="65095"/>
    <s v="Paypal Expense"/>
    <s v="08/25/2014"/>
    <s v="Journal Entry"/>
    <n v="659"/>
    <x v="0"/>
    <x v="28"/>
    <x v="4"/>
    <x v="19"/>
    <m/>
    <s v="-Split-"/>
    <n v="0.96"/>
    <n v="839.51"/>
    <n v="0.96"/>
  </r>
  <r>
    <n v="65095"/>
    <s v="Paypal Expense"/>
    <s v="10/13/2014"/>
    <s v="Journal Entry"/>
    <n v="716"/>
    <x v="0"/>
    <x v="28"/>
    <x v="4"/>
    <x v="19"/>
    <m/>
    <s v="-Split-"/>
    <n v="1.95"/>
    <n v="1048.8800000000001"/>
    <n v="1.95"/>
  </r>
  <r>
    <n v="44000"/>
    <s v="Fund Raising Activities Income"/>
    <s v="07/09/2014"/>
    <s v="Deposit"/>
    <m/>
    <x v="3"/>
    <x v="12"/>
    <x v="0"/>
    <x v="38"/>
    <s v="Dream Big Casino Night"/>
    <s v="10117 BofA Restricted Funds -055:Delaware"/>
    <n v="225"/>
    <n v="187638.05"/>
    <n v="-225"/>
  </r>
  <r>
    <n v="44000"/>
    <s v="Fund Raising Activities Income"/>
    <s v="07/17/2014"/>
    <s v="Deposit"/>
    <m/>
    <x v="3"/>
    <x v="12"/>
    <x v="0"/>
    <x v="38"/>
    <m/>
    <s v="10117 BofA Restricted Funds -055:Delaware"/>
    <n v="1025"/>
    <n v="188663.05"/>
    <n v="-1025"/>
  </r>
  <r>
    <n v="44000"/>
    <s v="Fund Raising Activities Income"/>
    <s v="07/22/2014"/>
    <s v="Journal Entry"/>
    <n v="627"/>
    <x v="0"/>
    <x v="12"/>
    <x v="0"/>
    <x v="38"/>
    <s v="Design a Dream"/>
    <s v="-Split-"/>
    <n v="475"/>
    <n v="192049.05"/>
    <n v="-475"/>
  </r>
  <r>
    <n v="44000"/>
    <s v="Fund Raising Activities Income"/>
    <s v="07/22/2014"/>
    <s v="Deposit"/>
    <m/>
    <x v="3"/>
    <x v="12"/>
    <x v="0"/>
    <x v="38"/>
    <m/>
    <s v="10117 BofA Restricted Funds -055:Delaware"/>
    <n v="300"/>
    <n v="192349.05"/>
    <n v="-300"/>
  </r>
  <r>
    <n v="44000"/>
    <s v="Fund Raising Activities Income"/>
    <s v="07/29/2014"/>
    <s v="Deposit"/>
    <m/>
    <x v="3"/>
    <x v="12"/>
    <x v="0"/>
    <x v="38"/>
    <m/>
    <s v="10117 BofA Restricted Funds -055:Delaware"/>
    <n v="500"/>
    <n v="192849.05"/>
    <n v="-500"/>
  </r>
  <r>
    <n v="44000"/>
    <s v="Fund Raising Activities Income"/>
    <s v="08/04/2014"/>
    <s v="Deposit"/>
    <m/>
    <x v="3"/>
    <x v="12"/>
    <x v="0"/>
    <x v="38"/>
    <s v="design a dream"/>
    <s v="10117 BofA Restricted Funds -055:Delaware"/>
    <n v="1750"/>
    <n v="194599.05"/>
    <n v="-1750"/>
  </r>
  <r>
    <n v="44000"/>
    <s v="Fund Raising Activities Income"/>
    <s v="08/11/2014"/>
    <s v="Journal Entry"/>
    <n v="652"/>
    <x v="0"/>
    <x v="12"/>
    <x v="0"/>
    <x v="38"/>
    <s v="Design a Dream tickets"/>
    <s v="-Split-"/>
    <n v="600"/>
    <n v="196919.05"/>
    <n v="-600"/>
  </r>
  <r>
    <n v="44000"/>
    <s v="Fund Raising Activities Income"/>
    <s v="08/13/2014"/>
    <s v="Deposit"/>
    <m/>
    <x v="467"/>
    <x v="12"/>
    <x v="0"/>
    <x v="38"/>
    <m/>
    <s v="10117 BofA Restricted Funds -055:Delaware"/>
    <n v="0.49"/>
    <n v="196919.54"/>
    <n v="-0.49"/>
  </r>
  <r>
    <n v="44000"/>
    <s v="Fund Raising Activities Income"/>
    <s v="08/25/2014"/>
    <s v="Deposit"/>
    <m/>
    <x v="3"/>
    <x v="12"/>
    <x v="0"/>
    <x v="38"/>
    <s v="Design a Dream"/>
    <s v="10117 BofA Restricted Funds -055:Delaware"/>
    <n v="144.6"/>
    <n v="197064.14"/>
    <n v="-144.6"/>
  </r>
  <r>
    <n v="44000"/>
    <s v="Fund Raising Activities Income"/>
    <s v="08/25/2014"/>
    <s v="Journal Entry"/>
    <n v="659"/>
    <x v="0"/>
    <x v="12"/>
    <x v="0"/>
    <x v="38"/>
    <s v="Design a Dream"/>
    <s v="-Split-"/>
    <n v="1550"/>
    <n v="198614.14"/>
    <n v="-1550"/>
  </r>
  <r>
    <n v="44000"/>
    <s v="Fund Raising Activities Income"/>
    <s v="08/25/2014"/>
    <s v="Deposit"/>
    <m/>
    <x v="3"/>
    <x v="12"/>
    <x v="0"/>
    <x v="38"/>
    <s v="design a dream"/>
    <s v="10117 BofA Restricted Funds -055:Delaware"/>
    <n v="300"/>
    <n v="198914.14"/>
    <n v="-300"/>
  </r>
  <r>
    <n v="43440"/>
    <s v="Gifts in Kind - Goods"/>
    <s v="01/18/2014"/>
    <s v="Journal Entry"/>
    <n v="465"/>
    <x v="0"/>
    <x v="29"/>
    <x v="3"/>
    <x v="9"/>
    <s v="Caleb Jahn's room - book case"/>
    <s v="-Split-"/>
    <n v="314.52"/>
    <n v="4100.88"/>
    <n v="-314.52"/>
  </r>
  <r>
    <n v="43440"/>
    <s v="Gifts in Kind - Goods"/>
    <s v="04/24/2014"/>
    <s v="Journal Entry"/>
    <n v="510"/>
    <x v="0"/>
    <x v="29"/>
    <x v="3"/>
    <x v="9"/>
    <s v="Owen Fouts"/>
    <s v="-Split-"/>
    <n v="54.82"/>
    <n v="24546.45"/>
    <n v="-54.82"/>
  </r>
  <r>
    <n v="43440"/>
    <s v="Gifts in Kind - Goods"/>
    <s v="04/24/2014"/>
    <s v="Journal Entry"/>
    <n v="510"/>
    <x v="0"/>
    <x v="29"/>
    <x v="3"/>
    <x v="9"/>
    <s v="Owen Fouts"/>
    <s v="-Split-"/>
    <n v="180"/>
    <n v="24726.45"/>
    <n v="-180"/>
  </r>
  <r>
    <n v="65020"/>
    <s v="Postage, Mailing Service"/>
    <s v="03/18/2014"/>
    <s v="Check"/>
    <n v="1018"/>
    <x v="597"/>
    <x v="29"/>
    <x v="1"/>
    <x v="3"/>
    <m/>
    <s v="10903 *US Bank Wisc-Northshore"/>
    <n v="14.25"/>
    <n v="755.91"/>
    <n v="14.25"/>
  </r>
  <r>
    <n v="65020"/>
    <s v="Postage, Mailing Service"/>
    <s v="03/18/2014"/>
    <s v="Check"/>
    <n v="1016"/>
    <x v="597"/>
    <x v="29"/>
    <x v="1"/>
    <x v="3"/>
    <m/>
    <s v="10903 *US Bank Wisc-Northshore"/>
    <n v="5.05"/>
    <n v="760.96"/>
    <n v="5.05"/>
  </r>
  <r>
    <n v="65061"/>
    <s v="Material for Rooms Expense"/>
    <s v="01/06/2014"/>
    <s v="Check"/>
    <m/>
    <x v="23"/>
    <x v="29"/>
    <x v="1"/>
    <x v="5"/>
    <m/>
    <s v="10903 *US Bank Wisc-Northshore"/>
    <n v="242.87"/>
    <n v="-7321.73"/>
    <n v="242.87"/>
  </r>
  <r>
    <n v="65061"/>
    <s v="Material for Rooms Expense"/>
    <s v="01/06/2014"/>
    <s v="Check"/>
    <m/>
    <x v="0"/>
    <x v="29"/>
    <x v="1"/>
    <x v="5"/>
    <m/>
    <s v="10903 *US Bank Wisc-Northshore"/>
    <n v="85.47"/>
    <n v="-7236.26"/>
    <n v="85.47"/>
  </r>
  <r>
    <n v="65061"/>
    <s v="Material for Rooms Expense"/>
    <s v="01/06/2014"/>
    <s v="Check"/>
    <m/>
    <x v="58"/>
    <x v="29"/>
    <x v="1"/>
    <x v="5"/>
    <m/>
    <s v="10903 *US Bank Wisc-Northshore"/>
    <n v="43.12"/>
    <n v="-7193.14"/>
    <n v="43.12"/>
  </r>
  <r>
    <n v="65061"/>
    <s v="Material for Rooms Expense"/>
    <s v="01/06/2014"/>
    <s v="Check"/>
    <m/>
    <x v="41"/>
    <x v="29"/>
    <x v="1"/>
    <x v="5"/>
    <m/>
    <s v="10903 *US Bank Wisc-Northshore"/>
    <n v="21.81"/>
    <n v="-7171.33"/>
    <n v="21.81"/>
  </r>
  <r>
    <n v="65061"/>
    <s v="Material for Rooms Expense"/>
    <s v="01/06/2014"/>
    <s v="Check"/>
    <m/>
    <x v="598"/>
    <x v="29"/>
    <x v="1"/>
    <x v="5"/>
    <m/>
    <s v="10903 *US Bank Wisc-Northshore"/>
    <n v="83.3"/>
    <n v="-7051.23"/>
    <n v="83.3"/>
  </r>
  <r>
    <n v="65061"/>
    <s v="Material for Rooms Expense"/>
    <s v="01/08/2014"/>
    <s v="Check"/>
    <m/>
    <x v="19"/>
    <x v="29"/>
    <x v="1"/>
    <x v="5"/>
    <m/>
    <s v="10903 *US Bank Wisc-Northshore"/>
    <n v="89.72"/>
    <n v="-6124.11"/>
    <n v="89.72"/>
  </r>
  <r>
    <n v="65061"/>
    <s v="Material for Rooms Expense"/>
    <s v="01/09/2014"/>
    <s v="Check"/>
    <m/>
    <x v="310"/>
    <x v="29"/>
    <x v="1"/>
    <x v="5"/>
    <m/>
    <s v="10903 *US Bank Wisc-Northshore"/>
    <n v="168.36"/>
    <n v="-4222.1499999999996"/>
    <n v="168.36"/>
  </r>
  <r>
    <n v="65061"/>
    <s v="Material for Rooms Expense"/>
    <s v="01/10/2014"/>
    <s v="Check"/>
    <m/>
    <x v="599"/>
    <x v="29"/>
    <x v="1"/>
    <x v="5"/>
    <m/>
    <s v="10903 *US Bank Wisc-Northshore"/>
    <n v="12.75"/>
    <n v="-4209.3999999999996"/>
    <n v="12.75"/>
  </r>
  <r>
    <n v="65061"/>
    <s v="Material for Rooms Expense"/>
    <s v="01/13/2014"/>
    <s v="Check"/>
    <m/>
    <x v="600"/>
    <x v="29"/>
    <x v="1"/>
    <x v="5"/>
    <m/>
    <s v="10903 *US Bank Wisc-Northshore"/>
    <n v="135.46"/>
    <n v="1199.44"/>
    <n v="135.46"/>
  </r>
  <r>
    <n v="65061"/>
    <s v="Material for Rooms Expense"/>
    <s v="01/15/2014"/>
    <s v="Check"/>
    <m/>
    <x v="58"/>
    <x v="29"/>
    <x v="1"/>
    <x v="5"/>
    <m/>
    <s v="10903 *US Bank Wisc-Northshore"/>
    <n v="51.88"/>
    <n v="5743.92"/>
    <n v="51.88"/>
  </r>
  <r>
    <n v="65061"/>
    <s v="Material for Rooms Expense"/>
    <s v="01/16/2014"/>
    <s v="Check"/>
    <m/>
    <x v="395"/>
    <x v="29"/>
    <x v="1"/>
    <x v="5"/>
    <m/>
    <s v="10903 *US Bank Wisc-Northshore"/>
    <n v="60.26"/>
    <n v="6189.98"/>
    <n v="60.26"/>
  </r>
  <r>
    <n v="65061"/>
    <s v="Material for Rooms Expense"/>
    <s v="01/16/2014"/>
    <s v="Check"/>
    <m/>
    <x v="14"/>
    <x v="29"/>
    <x v="1"/>
    <x v="5"/>
    <m/>
    <s v="10903 *US Bank Wisc-Northshore"/>
    <n v="4"/>
    <n v="6193.98"/>
    <n v="4"/>
  </r>
  <r>
    <n v="65061"/>
    <s v="Material for Rooms Expense"/>
    <s v="01/22/2014"/>
    <s v="Deposit"/>
    <m/>
    <x v="19"/>
    <x v="29"/>
    <x v="1"/>
    <x v="5"/>
    <m/>
    <s v="10903 *US Bank Wisc-Northshore"/>
    <n v="-21.94"/>
    <n v="15454.66"/>
    <n v="-21.94"/>
  </r>
  <r>
    <n v="65061"/>
    <s v="Material for Rooms Expense"/>
    <s v="01/23/2014"/>
    <s v="Check"/>
    <n v="1010"/>
    <x v="401"/>
    <x v="29"/>
    <x v="1"/>
    <x v="5"/>
    <m/>
    <s v="10903 *US Bank Wisc-Northshore"/>
    <n v="609.63"/>
    <n v="16064.29"/>
    <n v="609.63"/>
  </r>
  <r>
    <n v="65061"/>
    <s v="Material for Rooms Expense"/>
    <s v="01/23/2014"/>
    <s v="Deposit"/>
    <m/>
    <x v="68"/>
    <x v="29"/>
    <x v="1"/>
    <x v="5"/>
    <m/>
    <s v="10903 *US Bank Wisc-Northshore"/>
    <n v="-76.739999999999995"/>
    <n v="16767.57"/>
    <n v="-76.739999999999995"/>
  </r>
  <r>
    <n v="65061"/>
    <s v="Material for Rooms Expense"/>
    <s v="01/24/2014"/>
    <s v="Check"/>
    <n v="1015"/>
    <x v="601"/>
    <x v="29"/>
    <x v="1"/>
    <x v="5"/>
    <m/>
    <s v="10903 *US Bank Wisc-Northshore"/>
    <n v="97.66"/>
    <n v="17415.71"/>
    <n v="97.66"/>
  </r>
  <r>
    <n v="65061"/>
    <s v="Material for Rooms Expense"/>
    <s v="01/27/2014"/>
    <s v="Deposit"/>
    <m/>
    <x v="58"/>
    <x v="29"/>
    <x v="1"/>
    <x v="5"/>
    <m/>
    <s v="10903 *US Bank Wisc-Northshore"/>
    <n v="-6.28"/>
    <n v="20239.66"/>
    <n v="-6.28"/>
  </r>
  <r>
    <n v="65061"/>
    <s v="Material for Rooms Expense"/>
    <s v="01/27/2014"/>
    <s v="Deposit"/>
    <m/>
    <x v="58"/>
    <x v="29"/>
    <x v="1"/>
    <x v="5"/>
    <m/>
    <s v="10903 *US Bank Wisc-Northshore"/>
    <n v="-21.62"/>
    <n v="20218.04"/>
    <n v="-21.62"/>
  </r>
  <r>
    <n v="65061"/>
    <s v="Material for Rooms Expense"/>
    <s v="01/27/2014"/>
    <s v="Deposit"/>
    <m/>
    <x v="58"/>
    <x v="29"/>
    <x v="1"/>
    <x v="5"/>
    <m/>
    <s v="10903 *US Bank Wisc-Northshore"/>
    <n v="-2.1"/>
    <n v="20215.939999999999"/>
    <n v="-2.1"/>
  </r>
  <r>
    <n v="65061"/>
    <s v="Material for Rooms Expense"/>
    <s v="01/27/2014"/>
    <s v="Check"/>
    <m/>
    <x v="58"/>
    <x v="29"/>
    <x v="1"/>
    <x v="5"/>
    <m/>
    <s v="10903 *US Bank Wisc-Northshore"/>
    <n v="81.819999999999993"/>
    <n v="20297.759999999998"/>
    <n v="81.819999999999993"/>
  </r>
  <r>
    <n v="65061"/>
    <s v="Material for Rooms Expense"/>
    <s v="01/27/2014"/>
    <s v="Deposit"/>
    <m/>
    <x v="19"/>
    <x v="29"/>
    <x v="1"/>
    <x v="5"/>
    <m/>
    <s v="10903 *US Bank Wisc-Northshore"/>
    <n v="-42.22"/>
    <n v="20255.54"/>
    <n v="-42.22"/>
  </r>
  <r>
    <n v="65061"/>
    <s v="Material for Rooms Expense"/>
    <s v="01/27/2014"/>
    <s v="Check"/>
    <m/>
    <x v="70"/>
    <x v="29"/>
    <x v="1"/>
    <x v="5"/>
    <m/>
    <s v="10903 *US Bank Wisc-Northshore"/>
    <n v="3.69"/>
    <n v="20259.23"/>
    <n v="3.69"/>
  </r>
  <r>
    <n v="65061"/>
    <s v="Material for Rooms Expense"/>
    <s v="01/27/2014"/>
    <s v="Check"/>
    <n v="1013"/>
    <x v="401"/>
    <x v="29"/>
    <x v="1"/>
    <x v="5"/>
    <m/>
    <s v="10903 *US Bank Wisc-Northshore"/>
    <n v="53.9"/>
    <n v="20419.189999999999"/>
    <n v="53.9"/>
  </r>
  <r>
    <n v="65061"/>
    <s v="Material for Rooms Expense"/>
    <s v="01/28/2014"/>
    <s v="Check"/>
    <m/>
    <x v="602"/>
    <x v="29"/>
    <x v="1"/>
    <x v="5"/>
    <m/>
    <s v="10903 *US Bank Wisc-Northshore"/>
    <n v="6.85"/>
    <n v="20436.599999999999"/>
    <n v="6.85"/>
  </r>
  <r>
    <n v="65061"/>
    <s v="Material for Rooms Expense"/>
    <s v="01/31/2014"/>
    <s v="Deposit"/>
    <m/>
    <x v="257"/>
    <x v="29"/>
    <x v="1"/>
    <x v="5"/>
    <m/>
    <s v="10903 *US Bank Wisc-Northshore"/>
    <n v="-0.08"/>
    <n v="25599.1"/>
    <n v="-0.08"/>
  </r>
  <r>
    <n v="65061"/>
    <s v="Material for Rooms Expense"/>
    <s v="02/03/2014"/>
    <s v="Deposit"/>
    <m/>
    <x v="310"/>
    <x v="29"/>
    <x v="1"/>
    <x v="5"/>
    <m/>
    <s v="10903 *US Bank Wisc-Northshore"/>
    <n v="-16.46"/>
    <n v="25964.92"/>
    <n v="-16.46"/>
  </r>
  <r>
    <n v="65061"/>
    <s v="Material for Rooms Expense"/>
    <s v="02/03/2014"/>
    <s v="Check"/>
    <m/>
    <x v="193"/>
    <x v="29"/>
    <x v="1"/>
    <x v="5"/>
    <m/>
    <s v="10903 *US Bank Wisc-Northshore"/>
    <n v="25.2"/>
    <n v="26138.82"/>
    <n v="25.2"/>
  </r>
  <r>
    <n v="65061"/>
    <s v="Material for Rooms Expense"/>
    <s v="02/05/2014"/>
    <s v="Check"/>
    <m/>
    <x v="29"/>
    <x v="29"/>
    <x v="1"/>
    <x v="5"/>
    <m/>
    <s v="10903 *US Bank Wisc-Northshore"/>
    <n v="26.39"/>
    <n v="30323.27"/>
    <n v="26.39"/>
  </r>
  <r>
    <n v="65061"/>
    <s v="Material for Rooms Expense"/>
    <s v="02/07/2014"/>
    <s v="Check"/>
    <m/>
    <x v="33"/>
    <x v="29"/>
    <x v="1"/>
    <x v="5"/>
    <m/>
    <s v="10903 *US Bank Wisc-Northshore"/>
    <n v="7.25"/>
    <n v="31763.77"/>
    <n v="7.25"/>
  </r>
  <r>
    <n v="65061"/>
    <s v="Material for Rooms Expense"/>
    <s v="02/07/2014"/>
    <s v="Check"/>
    <m/>
    <x v="33"/>
    <x v="29"/>
    <x v="1"/>
    <x v="5"/>
    <m/>
    <s v="10903 *US Bank Wisc-Northshore"/>
    <n v="89.99"/>
    <n v="31853.759999999998"/>
    <n v="89.99"/>
  </r>
  <r>
    <n v="65061"/>
    <s v="Material for Rooms Expense"/>
    <s v="02/07/2014"/>
    <s v="Check"/>
    <m/>
    <x v="33"/>
    <x v="29"/>
    <x v="1"/>
    <x v="5"/>
    <m/>
    <s v="10903 *US Bank Wisc-Northshore"/>
    <n v="5.68"/>
    <n v="31859.439999999999"/>
    <n v="5.68"/>
  </r>
  <r>
    <n v="65061"/>
    <s v="Material for Rooms Expense"/>
    <s v="02/10/2014"/>
    <s v="Check"/>
    <m/>
    <x v="33"/>
    <x v="29"/>
    <x v="1"/>
    <x v="5"/>
    <m/>
    <s v="10903 *US Bank Wisc-Northshore"/>
    <n v="23.73"/>
    <n v="32736.880000000001"/>
    <n v="23.73"/>
  </r>
  <r>
    <n v="65061"/>
    <s v="Material for Rooms Expense"/>
    <s v="02/10/2014"/>
    <s v="Check"/>
    <n v="1014"/>
    <x v="603"/>
    <x v="29"/>
    <x v="1"/>
    <x v="5"/>
    <m/>
    <s v="10903 *US Bank Wisc-Northshore"/>
    <n v="374.25"/>
    <n v="33111.129999999997"/>
    <n v="374.25"/>
  </r>
  <r>
    <n v="65061"/>
    <s v="Material for Rooms Expense"/>
    <s v="02/10/2014"/>
    <s v="Check"/>
    <m/>
    <x v="19"/>
    <x v="29"/>
    <x v="1"/>
    <x v="5"/>
    <m/>
    <s v="10903 *US Bank Wisc-Northshore"/>
    <n v="9.48"/>
    <n v="36802.35"/>
    <n v="9.48"/>
  </r>
  <r>
    <n v="65061"/>
    <s v="Material for Rooms Expense"/>
    <s v="02/10/2014"/>
    <s v="Check"/>
    <m/>
    <x v="604"/>
    <x v="29"/>
    <x v="1"/>
    <x v="5"/>
    <m/>
    <s v="10903 *US Bank Wisc-Northshore"/>
    <n v="52.8"/>
    <n v="37278.07"/>
    <n v="52.8"/>
  </r>
  <r>
    <n v="65061"/>
    <s v="Material for Rooms Expense"/>
    <s v="02/10/2014"/>
    <s v="Check"/>
    <m/>
    <x v="68"/>
    <x v="29"/>
    <x v="1"/>
    <x v="5"/>
    <m/>
    <s v="10903 *US Bank Wisc-Northshore"/>
    <n v="18.87"/>
    <n v="37296.94"/>
    <n v="18.87"/>
  </r>
  <r>
    <n v="65061"/>
    <s v="Material for Rooms Expense"/>
    <s v="02/10/2014"/>
    <s v="Check"/>
    <m/>
    <x v="68"/>
    <x v="29"/>
    <x v="1"/>
    <x v="5"/>
    <m/>
    <s v="10903 *US Bank Wisc-Northshore"/>
    <n v="159.34"/>
    <n v="37456.28"/>
    <n v="159.34"/>
  </r>
  <r>
    <n v="65061"/>
    <s v="Material for Rooms Expense"/>
    <s v="02/10/2014"/>
    <s v="Check"/>
    <m/>
    <x v="29"/>
    <x v="29"/>
    <x v="1"/>
    <x v="5"/>
    <m/>
    <s v="10903 *US Bank Wisc-Northshore"/>
    <n v="77.63"/>
    <n v="38231.300000000003"/>
    <n v="77.63"/>
  </r>
  <r>
    <n v="65061"/>
    <s v="Material for Rooms Expense"/>
    <s v="02/10/2014"/>
    <s v="Check"/>
    <m/>
    <x v="33"/>
    <x v="29"/>
    <x v="1"/>
    <x v="5"/>
    <m/>
    <s v="10903 *US Bank Wisc-Northshore"/>
    <n v="55.91"/>
    <n v="38229.17"/>
    <n v="55.91"/>
  </r>
  <r>
    <n v="65061"/>
    <s v="Material for Rooms Expense"/>
    <s v="02/11/2014"/>
    <s v="Check"/>
    <m/>
    <x v="33"/>
    <x v="29"/>
    <x v="1"/>
    <x v="5"/>
    <m/>
    <s v="10903 *US Bank Wisc-Northshore"/>
    <n v="48.98"/>
    <n v="38278.15"/>
    <n v="48.98"/>
  </r>
  <r>
    <n v="65061"/>
    <s v="Material for Rooms Expense"/>
    <s v="02/11/2014"/>
    <s v="Check"/>
    <m/>
    <x v="605"/>
    <x v="29"/>
    <x v="1"/>
    <x v="5"/>
    <m/>
    <s v="10903 *US Bank Wisc-Northshore"/>
    <n v="200.91"/>
    <n v="38844.21"/>
    <n v="200.91"/>
  </r>
  <r>
    <n v="65061"/>
    <s v="Material for Rooms Expense"/>
    <s v="02/18/2014"/>
    <s v="Deposit"/>
    <m/>
    <x v="282"/>
    <x v="29"/>
    <x v="1"/>
    <x v="5"/>
    <m/>
    <s v="10903 *US Bank Wisc-Northshore"/>
    <n v="-26.39"/>
    <n v="44038.16"/>
    <n v="-26.39"/>
  </r>
  <r>
    <n v="65061"/>
    <s v="Material for Rooms Expense"/>
    <s v="02/18/2014"/>
    <s v="Check"/>
    <m/>
    <x v="338"/>
    <x v="29"/>
    <x v="1"/>
    <x v="5"/>
    <m/>
    <s v="10903 *US Bank Wisc-Northshore"/>
    <n v="10.53"/>
    <n v="44375.49"/>
    <n v="10.53"/>
  </r>
  <r>
    <n v="65061"/>
    <s v="Material for Rooms Expense"/>
    <s v="02/19/2014"/>
    <s v="Check"/>
    <m/>
    <x v="606"/>
    <x v="29"/>
    <x v="1"/>
    <x v="5"/>
    <m/>
    <s v="10903 *US Bank Wisc-Northshore"/>
    <n v="382.56"/>
    <n v="46061.11"/>
    <n v="382.56"/>
  </r>
  <r>
    <n v="65061"/>
    <s v="Material for Rooms Expense"/>
    <s v="02/20/2014"/>
    <s v="Check"/>
    <m/>
    <x v="395"/>
    <x v="29"/>
    <x v="1"/>
    <x v="5"/>
    <m/>
    <s v="10903 *US Bank Wisc-Northshore"/>
    <n v="52.1"/>
    <n v="47479.71"/>
    <n v="52.1"/>
  </r>
  <r>
    <n v="65061"/>
    <s v="Material for Rooms Expense"/>
    <s v="02/20/2014"/>
    <s v="Check"/>
    <m/>
    <x v="607"/>
    <x v="29"/>
    <x v="1"/>
    <x v="5"/>
    <m/>
    <s v="10903 *US Bank Wisc-Northshore"/>
    <n v="5.27"/>
    <n v="47484.98"/>
    <n v="5.27"/>
  </r>
  <r>
    <n v="65061"/>
    <s v="Material for Rooms Expense"/>
    <s v="02/21/2014"/>
    <s v="Check"/>
    <m/>
    <x v="29"/>
    <x v="29"/>
    <x v="1"/>
    <x v="5"/>
    <m/>
    <s v="10903 *US Bank Wisc-Northshore"/>
    <n v="150.26"/>
    <n v="47718.42"/>
    <n v="150.26"/>
  </r>
  <r>
    <n v="65061"/>
    <s v="Material for Rooms Expense"/>
    <s v="02/24/2014"/>
    <s v="Check"/>
    <m/>
    <x v="608"/>
    <x v="29"/>
    <x v="1"/>
    <x v="5"/>
    <m/>
    <s v="10903 *US Bank Wisc-Northshore"/>
    <n v="4.62"/>
    <n v="51343.82"/>
    <n v="4.62"/>
  </r>
  <r>
    <n v="65061"/>
    <s v="Material for Rooms Expense"/>
    <s v="02/24/2014"/>
    <s v="Check"/>
    <m/>
    <x v="68"/>
    <x v="29"/>
    <x v="1"/>
    <x v="5"/>
    <m/>
    <s v="10903 *US Bank Wisc-Northshore"/>
    <n v="41.02"/>
    <n v="53078.83"/>
    <n v="41.02"/>
  </r>
  <r>
    <n v="65061"/>
    <s v="Material for Rooms Expense"/>
    <s v="02/24/2014"/>
    <s v="Check"/>
    <m/>
    <x v="68"/>
    <x v="29"/>
    <x v="1"/>
    <x v="5"/>
    <m/>
    <s v="10903 *US Bank Wisc-Northshore"/>
    <n v="52.35"/>
    <n v="53131.18"/>
    <n v="52.35"/>
  </r>
  <r>
    <n v="65061"/>
    <s v="Material for Rooms Expense"/>
    <s v="03/03/2014"/>
    <s v="Deposit"/>
    <m/>
    <x v="282"/>
    <x v="29"/>
    <x v="1"/>
    <x v="5"/>
    <m/>
    <s v="10903 *US Bank Wisc-Northshore"/>
    <n v="-10.53"/>
    <n v="57709.47"/>
    <n v="-10.53"/>
  </r>
  <r>
    <n v="65061"/>
    <s v="Material for Rooms Expense"/>
    <s v="03/03/2014"/>
    <s v="Deposit"/>
    <m/>
    <x v="68"/>
    <x v="29"/>
    <x v="1"/>
    <x v="5"/>
    <m/>
    <s v="10903 *US Bank Wisc-Northshore"/>
    <n v="-90.76"/>
    <n v="57719.03"/>
    <n v="-90.76"/>
  </r>
  <r>
    <n v="65061"/>
    <s v="Material for Rooms Expense"/>
    <s v="03/03/2014"/>
    <s v="Deposit"/>
    <m/>
    <x v="282"/>
    <x v="29"/>
    <x v="1"/>
    <x v="5"/>
    <m/>
    <s v="10903 *US Bank Wisc-Northshore"/>
    <n v="-6.34"/>
    <n v="57780.160000000003"/>
    <n v="-6.34"/>
  </r>
  <r>
    <n v="65061"/>
    <s v="Material for Rooms Expense"/>
    <s v="03/03/2014"/>
    <s v="Check"/>
    <m/>
    <x v="68"/>
    <x v="29"/>
    <x v="1"/>
    <x v="5"/>
    <m/>
    <s v="10903 *US Bank Wisc-Northshore"/>
    <n v="51.5"/>
    <n v="61254.55"/>
    <n v="51.5"/>
  </r>
  <r>
    <n v="65061"/>
    <s v="Material for Rooms Expense"/>
    <s v="05/08/2014"/>
    <s v="Check"/>
    <n v="1017"/>
    <x v="401"/>
    <x v="29"/>
    <x v="1"/>
    <x v="5"/>
    <m/>
    <s v="10903 *US Bank Wisc-Northshore"/>
    <n v="473.91"/>
    <n v="124982.09"/>
    <n v="473.91"/>
  </r>
  <r>
    <n v="65062"/>
    <s v="In-Kind Goods"/>
    <s v="01/18/2014"/>
    <s v="Journal Entry"/>
    <n v="465"/>
    <x v="0"/>
    <x v="29"/>
    <x v="1"/>
    <x v="10"/>
    <s v="Caleb Jahn's room - book case"/>
    <s v="-Split-"/>
    <n v="314.52"/>
    <n v="4100.88"/>
    <n v="314.52"/>
  </r>
  <r>
    <n v="65062"/>
    <s v="In-Kind Goods"/>
    <s v="04/24/2014"/>
    <s v="Journal Entry"/>
    <n v="510"/>
    <x v="0"/>
    <x v="29"/>
    <x v="1"/>
    <x v="10"/>
    <s v="Owen Fouts"/>
    <s v="-Split-"/>
    <n v="180"/>
    <n v="24671.63"/>
    <n v="180"/>
  </r>
  <r>
    <n v="65062"/>
    <s v="In-Kind Goods"/>
    <s v="04/24/2014"/>
    <s v="Journal Entry"/>
    <n v="510"/>
    <x v="0"/>
    <x v="29"/>
    <x v="1"/>
    <x v="10"/>
    <s v="Owen Fouts"/>
    <s v="-Split-"/>
    <n v="54.82"/>
    <n v="24726.45"/>
    <n v="54.82"/>
  </r>
  <r>
    <n v="44000"/>
    <s v="Fund Raising Activities Income"/>
    <s v="08/27/2014"/>
    <s v="Deposit"/>
    <m/>
    <x v="3"/>
    <x v="12"/>
    <x v="0"/>
    <x v="38"/>
    <s v="Design a Dream"/>
    <s v="10117 BofA Restricted Funds -055:Delaware"/>
    <n v="175"/>
    <n v="199089.14"/>
    <n v="-175"/>
  </r>
  <r>
    <n v="44000"/>
    <s v="Fund Raising Activities Income"/>
    <s v="09/04/2014"/>
    <s v="Deposit"/>
    <m/>
    <x v="3"/>
    <x v="12"/>
    <x v="0"/>
    <x v="38"/>
    <s v="Design a Dream"/>
    <s v="10117 BofA Restricted Funds -055:Delaware"/>
    <n v="850"/>
    <n v="199939.14"/>
    <n v="-850"/>
  </r>
  <r>
    <n v="44000"/>
    <s v="Fund Raising Activities Income"/>
    <s v="09/04/2014"/>
    <s v="Deposit"/>
    <m/>
    <x v="3"/>
    <x v="12"/>
    <x v="0"/>
    <x v="38"/>
    <s v="Design a Dream"/>
    <s v="10117 BofA Restricted Funds -055:Delaware"/>
    <n v="400"/>
    <n v="200339.14"/>
    <n v="-400"/>
  </r>
  <r>
    <n v="44000"/>
    <s v="Fund Raising Activities Income"/>
    <s v="09/08/2014"/>
    <s v="Deposit"/>
    <m/>
    <x v="3"/>
    <x v="12"/>
    <x v="0"/>
    <x v="38"/>
    <s v="Design a Dream"/>
    <s v="10117 BofA Restricted Funds -055:Delaware"/>
    <n v="2070"/>
    <n v="203059.14"/>
    <n v="-2070"/>
  </r>
  <r>
    <n v="44000"/>
    <s v="Fund Raising Activities Income"/>
    <s v="09/16/2014"/>
    <s v="Deposit"/>
    <m/>
    <x v="3"/>
    <x v="12"/>
    <x v="0"/>
    <x v="38"/>
    <s v="Design a Dream"/>
    <s v="10117 BofA Restricted Funds -055:Delaware"/>
    <n v="144.44"/>
    <n v="203864.88"/>
    <n v="-144.44"/>
  </r>
  <r>
    <n v="44000"/>
    <s v="Fund Raising Activities Income"/>
    <s v="09/16/2014"/>
    <s v="Journal Entry"/>
    <n v="670"/>
    <x v="0"/>
    <x v="12"/>
    <x v="0"/>
    <x v="38"/>
    <s v="Design a Dream paypal ticket sales"/>
    <s v="-Split-"/>
    <n v="4423"/>
    <n v="208287.88"/>
    <n v="-4423"/>
  </r>
  <r>
    <n v="44000"/>
    <s v="Fund Raising Activities Income"/>
    <s v="09/16/2014"/>
    <s v="Deposit"/>
    <m/>
    <x v="3"/>
    <x v="12"/>
    <x v="0"/>
    <x v="38"/>
    <s v="Design a Dream"/>
    <s v="10117 BofA Restricted Funds -055:Delaware"/>
    <n v="2818"/>
    <n v="211105.88"/>
    <n v="-2818"/>
  </r>
  <r>
    <n v="44000"/>
    <s v="Fund Raising Activities Income"/>
    <s v="09/16/2014"/>
    <s v="Deposit"/>
    <m/>
    <x v="3"/>
    <x v="12"/>
    <x v="0"/>
    <x v="38"/>
    <m/>
    <s v="10117 BofA Restricted Funds -055:Delaware"/>
    <n v="2390"/>
    <n v="213620.88"/>
    <n v="-2390"/>
  </r>
  <r>
    <n v="43440"/>
    <s v="Gifts in Kind - Goods"/>
    <s v="07/10/2014"/>
    <s v="Journal Entry"/>
    <n v="688"/>
    <x v="0"/>
    <x v="10"/>
    <x v="3"/>
    <x v="9"/>
    <s v="mattress for Allie's room"/>
    <s v="-Split-"/>
    <n v="229"/>
    <n v="36468.53"/>
    <n v="-229"/>
  </r>
  <r>
    <n v="44000"/>
    <s v="Fund Raising Activities Income"/>
    <s v="09/16/2014"/>
    <s v="Journal Entry"/>
    <n v="672"/>
    <x v="0"/>
    <x v="12"/>
    <x v="0"/>
    <x v="38"/>
    <s v="Design a Dream paypal deposits"/>
    <s v="-Split-"/>
    <n v="475"/>
    <n v="214105.88"/>
    <n v="-475"/>
  </r>
  <r>
    <n v="44000"/>
    <s v="Fund Raising Activities Income"/>
    <s v="09/16/2014"/>
    <s v="Deposit"/>
    <m/>
    <x v="3"/>
    <x v="12"/>
    <x v="0"/>
    <x v="38"/>
    <s v="Design a Dream"/>
    <s v="10117 BofA Restricted Funds -055:Delaware"/>
    <n v="7455.93"/>
    <n v="221561.81"/>
    <n v="-7455.93"/>
  </r>
  <r>
    <n v="44000"/>
    <s v="Fund Raising Activities Income"/>
    <s v="09/17/2014"/>
    <s v="Deposit"/>
    <m/>
    <x v="3"/>
    <x v="12"/>
    <x v="0"/>
    <x v="38"/>
    <s v="Design a Dream"/>
    <s v="10117 BofA Restricted Funds -055:Delaware"/>
    <n v="351.92"/>
    <n v="222013.73"/>
    <n v="-351.92"/>
  </r>
  <r>
    <n v="44000"/>
    <s v="Fund Raising Activities Income"/>
    <s v="09/22/2014"/>
    <s v="Deposit"/>
    <m/>
    <x v="3"/>
    <x v="12"/>
    <x v="0"/>
    <x v="38"/>
    <m/>
    <s v="10117 BofA Restricted Funds -055:Delaware"/>
    <n v="57.75"/>
    <n v="222071.48"/>
    <n v="-57.75"/>
  </r>
  <r>
    <n v="65036"/>
    <s v="Volunteer Hospitality"/>
    <s v="07/09/2014"/>
    <s v="Expense"/>
    <m/>
    <x v="609"/>
    <x v="10"/>
    <x v="1"/>
    <x v="13"/>
    <m/>
    <s v="10417 *US Bank Columbus"/>
    <n v="38.03"/>
    <n v="5282.94"/>
    <n v="38.03"/>
  </r>
  <r>
    <n v="65045"/>
    <s v="Rent/Storage"/>
    <s v="07/03/2014"/>
    <s v="Expense"/>
    <m/>
    <x v="218"/>
    <x v="10"/>
    <x v="1"/>
    <x v="16"/>
    <m/>
    <s v="10417 *US Bank Columbus"/>
    <n v="90"/>
    <n v="4741.3500000000004"/>
    <n v="90"/>
  </r>
  <r>
    <n v="65045"/>
    <s v="Rent/Storage"/>
    <s v="08/04/2014"/>
    <s v="Expense"/>
    <m/>
    <x v="218"/>
    <x v="10"/>
    <x v="1"/>
    <x v="16"/>
    <m/>
    <s v="10417 *US Bank Columbus"/>
    <n v="90"/>
    <n v="4831.3500000000004"/>
    <n v="90"/>
  </r>
  <r>
    <n v="65045"/>
    <s v="Rent/Storage"/>
    <s v="09/04/2014"/>
    <s v="Expense"/>
    <m/>
    <x v="218"/>
    <x v="10"/>
    <x v="1"/>
    <x v="16"/>
    <m/>
    <s v="10417 *US Bank Columbus"/>
    <n v="90"/>
    <n v="5628.35"/>
    <n v="90"/>
  </r>
  <r>
    <n v="65045"/>
    <s v="Rent/Storage"/>
    <s v="10/03/2014"/>
    <s v="Expense"/>
    <m/>
    <x v="218"/>
    <x v="10"/>
    <x v="1"/>
    <x v="16"/>
    <m/>
    <s v="10417 *US Bank Columbus"/>
    <n v="92"/>
    <n v="5855.35"/>
    <n v="92"/>
  </r>
  <r>
    <n v="65061"/>
    <s v="Material for Rooms"/>
    <s v="07/02/2014"/>
    <s v="Expense"/>
    <m/>
    <x v="139"/>
    <x v="10"/>
    <x v="1"/>
    <x v="5"/>
    <m/>
    <s v="10417 *US Bank Columbus"/>
    <n v="163.86"/>
    <n v="198983.4"/>
    <n v="163.86"/>
  </r>
  <r>
    <n v="65061"/>
    <s v="Material for Rooms"/>
    <s v="07/07/2014"/>
    <s v="Expense"/>
    <m/>
    <x v="41"/>
    <x v="10"/>
    <x v="1"/>
    <x v="5"/>
    <m/>
    <s v="10417 *US Bank Columbus"/>
    <n v="53.92"/>
    <n v="202458.05"/>
    <n v="53.92"/>
  </r>
  <r>
    <n v="65061"/>
    <s v="Material for Rooms"/>
    <s v="07/07/2014"/>
    <s v="Expense"/>
    <m/>
    <x v="30"/>
    <x v="10"/>
    <x v="1"/>
    <x v="5"/>
    <m/>
    <s v="10417 *US Bank Columbus"/>
    <n v="84.74"/>
    <n v="202542.79"/>
    <n v="84.74"/>
  </r>
  <r>
    <n v="65061"/>
    <s v="Material for Rooms"/>
    <s v="07/07/2014"/>
    <s v="Expense"/>
    <m/>
    <x v="58"/>
    <x v="10"/>
    <x v="1"/>
    <x v="5"/>
    <m/>
    <s v="10417 *US Bank Columbus"/>
    <n v="26.05"/>
    <n v="202568.84"/>
    <n v="26.05"/>
  </r>
  <r>
    <n v="65061"/>
    <s v="Material for Rooms"/>
    <s v="07/07/2014"/>
    <s v="Expense"/>
    <m/>
    <x v="53"/>
    <x v="10"/>
    <x v="1"/>
    <x v="5"/>
    <m/>
    <s v="10417 *US Bank Columbus"/>
    <n v="149.34"/>
    <n v="202718.18"/>
    <n v="149.34"/>
  </r>
  <r>
    <n v="65061"/>
    <s v="Material for Rooms"/>
    <s v="07/08/2014"/>
    <s v="Expense"/>
    <m/>
    <x v="610"/>
    <x v="10"/>
    <x v="1"/>
    <x v="5"/>
    <m/>
    <s v="10417 *US Bank Columbus"/>
    <n v="27.14"/>
    <n v="203858.11"/>
    <n v="27.14"/>
  </r>
  <r>
    <n v="65061"/>
    <s v="Material for Rooms"/>
    <s v="07/08/2014"/>
    <s v="Expense"/>
    <m/>
    <x v="16"/>
    <x v="10"/>
    <x v="1"/>
    <x v="5"/>
    <m/>
    <s v="10417 *US Bank Columbus"/>
    <n v="28.78"/>
    <n v="203875.58"/>
    <n v="28.78"/>
  </r>
  <r>
    <n v="65061"/>
    <s v="Material for Rooms"/>
    <s v="07/09/2014"/>
    <s v="Expense"/>
    <m/>
    <x v="23"/>
    <x v="10"/>
    <x v="1"/>
    <x v="5"/>
    <m/>
    <s v="10417 *US Bank Columbus"/>
    <n v="24.99"/>
    <n v="204377.1"/>
    <n v="24.99"/>
  </r>
  <r>
    <n v="65061"/>
    <s v="Material for Rooms"/>
    <s v="09/30/2014"/>
    <s v="Expense"/>
    <m/>
    <x v="73"/>
    <x v="10"/>
    <x v="1"/>
    <x v="5"/>
    <m/>
    <s v="10417 *US Bank Columbus"/>
    <n v="504.26"/>
    <n v="274493.03000000003"/>
    <n v="504.26"/>
  </r>
  <r>
    <n v="65061"/>
    <s v="Material for Rooms"/>
    <s v="10/01/2014"/>
    <s v="Expense"/>
    <m/>
    <x v="458"/>
    <x v="10"/>
    <x v="1"/>
    <x v="5"/>
    <m/>
    <s v="10417 *US Bank Columbus"/>
    <n v="27.6"/>
    <n v="275220.88"/>
    <n v="27.6"/>
  </r>
  <r>
    <n v="65061"/>
    <s v="Material for Rooms"/>
    <s v="10/03/2014"/>
    <s v="Expense"/>
    <m/>
    <x v="611"/>
    <x v="10"/>
    <x v="1"/>
    <x v="5"/>
    <m/>
    <s v="10417 *US Bank Columbus"/>
    <n v="49.99"/>
    <n v="277258.83"/>
    <n v="49.99"/>
  </r>
  <r>
    <n v="65061"/>
    <s v="Material for Rooms"/>
    <s v="10/06/2014"/>
    <s v="Expense"/>
    <m/>
    <x v="41"/>
    <x v="10"/>
    <x v="1"/>
    <x v="5"/>
    <m/>
    <s v="10417 *US Bank Columbus"/>
    <n v="46.56"/>
    <n v="277528.84999999998"/>
    <n v="46.56"/>
  </r>
  <r>
    <n v="65061"/>
    <s v="Material for Rooms"/>
    <s v="10/06/2014"/>
    <s v="Expense"/>
    <m/>
    <x v="30"/>
    <x v="10"/>
    <x v="1"/>
    <x v="5"/>
    <m/>
    <s v="10417 *US Bank Columbus"/>
    <n v="154.82"/>
    <n v="277683.67"/>
    <n v="154.82"/>
  </r>
  <r>
    <n v="65061"/>
    <s v="Material for Rooms"/>
    <s v="10/07/2014"/>
    <s v="Expense"/>
    <m/>
    <x v="53"/>
    <x v="10"/>
    <x v="1"/>
    <x v="5"/>
    <m/>
    <s v="10417 *US Bank Columbus"/>
    <n v="118.41"/>
    <n v="280715.76"/>
    <n v="118.41"/>
  </r>
  <r>
    <n v="65061"/>
    <s v="Material for Rooms"/>
    <s v="10/14/2014"/>
    <s v="Expense"/>
    <m/>
    <x v="53"/>
    <x v="10"/>
    <x v="1"/>
    <x v="5"/>
    <m/>
    <s v="10417 *US Bank Columbus"/>
    <n v="47.18"/>
    <n v="290101.40000000002"/>
    <n v="47.18"/>
  </r>
  <r>
    <n v="65061"/>
    <s v="Material for Rooms"/>
    <s v="10/14/2014"/>
    <s v="Expense"/>
    <m/>
    <x v="53"/>
    <x v="10"/>
    <x v="1"/>
    <x v="5"/>
    <m/>
    <s v="10417 *US Bank Columbus"/>
    <n v="25.97"/>
    <n v="290127.37"/>
    <n v="25.97"/>
  </r>
  <r>
    <n v="65062"/>
    <s v="In-Kind Goods"/>
    <s v="07/10/2014"/>
    <s v="Journal Entry"/>
    <n v="688"/>
    <x v="0"/>
    <x v="10"/>
    <x v="1"/>
    <x v="10"/>
    <s v="mattress for Allie's room"/>
    <s v="-Split-"/>
    <n v="229"/>
    <n v="36468.53"/>
    <n v="229"/>
  </r>
  <r>
    <n v="44000"/>
    <s v="Fund Raising Activities Income"/>
    <s v="09/22/2014"/>
    <s v="Deposit"/>
    <m/>
    <x v="3"/>
    <x v="12"/>
    <x v="0"/>
    <x v="38"/>
    <m/>
    <s v="10117 BofA Restricted Funds -055:Delaware"/>
    <n v="3100"/>
    <n v="225171.48"/>
    <n v="-3100"/>
  </r>
  <r>
    <n v="43430"/>
    <s v="Gifts in kind - Services"/>
    <s v="06/07/2014"/>
    <s v="Journal Entry"/>
    <n v="608"/>
    <x v="0"/>
    <x v="8"/>
    <x v="3"/>
    <x v="8"/>
    <s v="Design Services"/>
    <s v="-Split-"/>
    <n v="2500"/>
    <n v="15267.5"/>
    <n v="-2500"/>
  </r>
  <r>
    <n v="43430"/>
    <s v="Gifts in kind - Services"/>
    <s v="06/07/2014"/>
    <s v="Journal Entry"/>
    <n v="608"/>
    <x v="0"/>
    <x v="8"/>
    <x v="3"/>
    <x v="8"/>
    <s v="General Contracting"/>
    <s v="-Split-"/>
    <n v="1500"/>
    <n v="16972.5"/>
    <n v="-1500"/>
  </r>
  <r>
    <n v="43430"/>
    <s v="Gifts in kind - Services"/>
    <s v="06/07/2014"/>
    <s v="Journal Entry"/>
    <n v="608"/>
    <x v="0"/>
    <x v="8"/>
    <x v="3"/>
    <x v="8"/>
    <s v="Built Toy Chest and molding"/>
    <s v="-Split-"/>
    <n v="600"/>
    <n v="17572.5"/>
    <n v="-600"/>
  </r>
  <r>
    <n v="43440"/>
    <s v="Gifts in Kind - Goods"/>
    <s v="06/07/2014"/>
    <s v="Journal Entry"/>
    <n v="608"/>
    <x v="0"/>
    <x v="8"/>
    <x v="3"/>
    <x v="9"/>
    <s v="Pizza"/>
    <s v="-Split-"/>
    <n v="75"/>
    <n v="27675.42"/>
    <n v="-75"/>
  </r>
  <r>
    <n v="43440"/>
    <s v="Gifts in Kind - Goods"/>
    <s v="06/07/2014"/>
    <s v="Journal Entry"/>
    <n v="608"/>
    <x v="0"/>
    <x v="8"/>
    <x v="3"/>
    <x v="9"/>
    <s v="doll house furniture"/>
    <s v="-Split-"/>
    <n v="200"/>
    <n v="27875.42"/>
    <n v="-200"/>
  </r>
  <r>
    <n v="43440"/>
    <s v="Gifts in Kind - Goods"/>
    <s v="06/07/2014"/>
    <s v="Journal Entry"/>
    <n v="608"/>
    <x v="0"/>
    <x v="8"/>
    <x v="3"/>
    <x v="9"/>
    <s v="Food for volunteers/ costume for Raeleyn"/>
    <s v="-Split-"/>
    <n v="201.75"/>
    <n v="28077.17"/>
    <n v="-201.75"/>
  </r>
  <r>
    <n v="65025"/>
    <s v="Bank Service Charges"/>
    <s v="01/02/2014"/>
    <s v="Check"/>
    <m/>
    <x v="92"/>
    <x v="8"/>
    <x v="1"/>
    <x v="14"/>
    <m/>
    <s v="10526 BofA Orange County"/>
    <n v="15"/>
    <n v="15"/>
    <n v="15"/>
  </r>
  <r>
    <n v="65025"/>
    <s v="Bank Service Charges"/>
    <s v="02/03/2014"/>
    <s v="Check"/>
    <m/>
    <x v="92"/>
    <x v="8"/>
    <x v="1"/>
    <x v="14"/>
    <m/>
    <s v="10526 BofA Orange County"/>
    <n v="15"/>
    <n v="405.2"/>
    <n v="15"/>
  </r>
  <r>
    <n v="65025"/>
    <s v="Bank Service Charges"/>
    <s v="03/03/2014"/>
    <s v="Check"/>
    <m/>
    <x v="92"/>
    <x v="8"/>
    <x v="1"/>
    <x v="14"/>
    <m/>
    <s v="10526 BofA Orange County"/>
    <n v="15"/>
    <n v="520.72"/>
    <n v="15"/>
  </r>
  <r>
    <n v="65025"/>
    <s v="Bank Service Charges"/>
    <s v="04/01/2014"/>
    <s v="Check"/>
    <m/>
    <x v="92"/>
    <x v="8"/>
    <x v="1"/>
    <x v="14"/>
    <m/>
    <s v="10526 BofA Orange County"/>
    <n v="12"/>
    <n v="646.66999999999996"/>
    <n v="12"/>
  </r>
  <r>
    <n v="65025"/>
    <s v="Bank Service Charges"/>
    <s v="05/01/2014"/>
    <s v="Expense"/>
    <m/>
    <x v="92"/>
    <x v="8"/>
    <x v="1"/>
    <x v="14"/>
    <m/>
    <s v="10526 BofA Orange County"/>
    <n v="12"/>
    <n v="899.33"/>
    <n v="12"/>
  </r>
  <r>
    <n v="65025"/>
    <s v="Bank Service Charges"/>
    <s v="06/02/2014"/>
    <s v="Expense"/>
    <m/>
    <x v="92"/>
    <x v="8"/>
    <x v="1"/>
    <x v="14"/>
    <m/>
    <s v="10526 BofA Orange County"/>
    <n v="12"/>
    <n v="1396.96"/>
    <n v="12"/>
  </r>
  <r>
    <n v="65061"/>
    <s v="Material for Rooms Expense"/>
    <s v="06/02/2014"/>
    <s v="Expense"/>
    <m/>
    <x v="19"/>
    <x v="8"/>
    <x v="1"/>
    <x v="5"/>
    <m/>
    <s v="10526 BofA Orange County"/>
    <n v="26.98"/>
    <n v="147899.17000000001"/>
    <n v="26.98"/>
  </r>
  <r>
    <n v="65061"/>
    <s v="Material for Rooms Expense"/>
    <s v="06/03/2014"/>
    <s v="Expense"/>
    <m/>
    <x v="612"/>
    <x v="8"/>
    <x v="1"/>
    <x v="5"/>
    <m/>
    <s v="10526 BofA Orange County"/>
    <n v="176.38"/>
    <n v="151203.24"/>
    <n v="176.38"/>
  </r>
  <r>
    <n v="65061"/>
    <s v="Material for Rooms Expense"/>
    <s v="06/04/2014"/>
    <s v="Expense"/>
    <m/>
    <x v="53"/>
    <x v="8"/>
    <x v="1"/>
    <x v="5"/>
    <m/>
    <s v="10526 BofA Orange County"/>
    <n v="48.24"/>
    <n v="151603.29"/>
    <n v="48.24"/>
  </r>
  <r>
    <n v="65061"/>
    <s v="Material for Rooms Expense"/>
    <s v="06/04/2014"/>
    <s v="Expense"/>
    <m/>
    <x v="58"/>
    <x v="8"/>
    <x v="1"/>
    <x v="5"/>
    <m/>
    <s v="10526 BofA Orange County"/>
    <n v="141.76"/>
    <n v="151745.04999999999"/>
    <n v="141.76"/>
  </r>
  <r>
    <n v="65061"/>
    <s v="Material for Rooms Expense"/>
    <s v="06/04/2014"/>
    <s v="Expense"/>
    <m/>
    <x v="58"/>
    <x v="8"/>
    <x v="1"/>
    <x v="5"/>
    <m/>
    <s v="10526 BofA Orange County"/>
    <n v="33.81"/>
    <n v="151778.85999999999"/>
    <n v="33.81"/>
  </r>
  <r>
    <n v="65061"/>
    <s v="Material for Rooms Expense"/>
    <s v="06/06/2014"/>
    <s v="Expense"/>
    <m/>
    <x v="612"/>
    <x v="8"/>
    <x v="1"/>
    <x v="5"/>
    <m/>
    <s v="10526 BofA Orange County"/>
    <n v="44.15"/>
    <n v="156378.03"/>
    <n v="44.15"/>
  </r>
  <r>
    <n v="65061"/>
    <s v="Material for Rooms Expense"/>
    <s v="06/09/2014"/>
    <s v="Expense"/>
    <m/>
    <x v="613"/>
    <x v="8"/>
    <x v="1"/>
    <x v="5"/>
    <m/>
    <s v="10526 BofA Orange County"/>
    <n v="15"/>
    <n v="163770.82999999999"/>
    <n v="15"/>
  </r>
  <r>
    <n v="65061"/>
    <s v="Material for Rooms Expense"/>
    <s v="06/09/2014"/>
    <s v="Expense"/>
    <m/>
    <x v="16"/>
    <x v="8"/>
    <x v="1"/>
    <x v="5"/>
    <m/>
    <s v="10526 BofA Orange County"/>
    <n v="105.66"/>
    <n v="164026.75"/>
    <n v="105.66"/>
  </r>
  <r>
    <n v="65061"/>
    <s v="Material for Rooms Expense"/>
    <s v="06/09/2014"/>
    <s v="Expense"/>
    <m/>
    <x v="16"/>
    <x v="8"/>
    <x v="1"/>
    <x v="5"/>
    <m/>
    <s v="10526 BofA Orange County"/>
    <n v="66.11"/>
    <n v="164092.85999999999"/>
    <n v="66.11"/>
  </r>
  <r>
    <n v="65061"/>
    <s v="Material for Rooms Expense"/>
    <s v="06/09/2014"/>
    <s v="Expense"/>
    <m/>
    <x v="614"/>
    <x v="8"/>
    <x v="1"/>
    <x v="5"/>
    <m/>
    <s v="10526 BofA Orange County"/>
    <n v="239"/>
    <n v="164331.85999999999"/>
    <n v="239"/>
  </r>
  <r>
    <n v="65061"/>
    <s v="Material for Rooms Expense"/>
    <s v="06/09/2014"/>
    <s v="Expense"/>
    <m/>
    <x v="612"/>
    <x v="8"/>
    <x v="1"/>
    <x v="5"/>
    <m/>
    <s v="10526 BofA Orange County"/>
    <n v="50.21"/>
    <n v="165232.59"/>
    <n v="50.21"/>
  </r>
  <r>
    <n v="65061"/>
    <s v="Material for Rooms Expense"/>
    <s v="06/09/2014"/>
    <s v="Expense"/>
    <m/>
    <x v="73"/>
    <x v="8"/>
    <x v="1"/>
    <x v="5"/>
    <m/>
    <s v="10526 BofA Orange County"/>
    <n v="249.3"/>
    <n v="165481.89000000001"/>
    <n v="249.3"/>
  </r>
  <r>
    <n v="65061"/>
    <s v="Material for Rooms Expense"/>
    <s v="06/09/2014"/>
    <s v="Expense"/>
    <m/>
    <x v="615"/>
    <x v="8"/>
    <x v="1"/>
    <x v="5"/>
    <m/>
    <s v="10526 BofA Orange County"/>
    <n v="400"/>
    <n v="165881.89000000001"/>
    <n v="400"/>
  </r>
  <r>
    <n v="65061"/>
    <s v="Material for Rooms Expense"/>
    <s v="06/09/2014"/>
    <s v="Expense"/>
    <m/>
    <x v="616"/>
    <x v="8"/>
    <x v="1"/>
    <x v="5"/>
    <m/>
    <s v="10526 BofA Orange County"/>
    <n v="47.48"/>
    <n v="165983.07"/>
    <n v="47.48"/>
  </r>
  <r>
    <n v="65061"/>
    <s v="Material for Rooms Expense"/>
    <s v="06/13/2014"/>
    <s v="Deposit"/>
    <m/>
    <x v="73"/>
    <x v="8"/>
    <x v="1"/>
    <x v="5"/>
    <m/>
    <s v="10526 BofA Orange County"/>
    <n v="-43.19"/>
    <n v="169529.94"/>
    <n v="-43.19"/>
  </r>
  <r>
    <n v="65061"/>
    <s v="Material for Rooms Expense"/>
    <s v="06/16/2014"/>
    <s v="Deposit"/>
    <m/>
    <x v="58"/>
    <x v="8"/>
    <x v="1"/>
    <x v="5"/>
    <m/>
    <s v="10526 BofA Orange County"/>
    <n v="-2.15"/>
    <n v="169715.77"/>
    <n v="-2.15"/>
  </r>
  <r>
    <n v="65061"/>
    <s v="Material for Rooms Expense"/>
    <s v="06/16/2014"/>
    <s v="Deposit"/>
    <m/>
    <x v="58"/>
    <x v="8"/>
    <x v="1"/>
    <x v="5"/>
    <m/>
    <s v="10526 BofA Orange County"/>
    <n v="-21.59"/>
    <n v="172509.88"/>
    <n v="-21.59"/>
  </r>
  <r>
    <n v="65061"/>
    <s v="Material for Rooms Expense"/>
    <s v="06/23/2014"/>
    <s v="Check"/>
    <n v="999"/>
    <x v="617"/>
    <x v="8"/>
    <x v="1"/>
    <x v="5"/>
    <m/>
    <s v="10526 BofA Orange County"/>
    <n v="527.20000000000005"/>
    <n v="183724.92"/>
    <n v="527.20000000000005"/>
  </r>
  <r>
    <n v="65061"/>
    <s v="Material for Rooms Expense"/>
    <s v="06/26/2014"/>
    <s v="Expense"/>
    <m/>
    <x v="27"/>
    <x v="8"/>
    <x v="1"/>
    <x v="5"/>
    <m/>
    <s v="10526 BofA Orange County"/>
    <n v="100"/>
    <n v="189844.55"/>
    <n v="100"/>
  </r>
  <r>
    <n v="65061"/>
    <s v="Material for Rooms Expense"/>
    <s v="06/26/2014"/>
    <s v="Expense"/>
    <m/>
    <x v="27"/>
    <x v="8"/>
    <x v="1"/>
    <x v="5"/>
    <m/>
    <s v="10526 BofA Orange County"/>
    <n v="200"/>
    <n v="190044.55"/>
    <n v="200"/>
  </r>
  <r>
    <n v="65061"/>
    <s v="Material for Rooms Expense"/>
    <s v="06/30/2014"/>
    <s v="Expense"/>
    <m/>
    <x v="27"/>
    <x v="8"/>
    <x v="1"/>
    <x v="5"/>
    <m/>
    <s v="10526 BofA Orange County"/>
    <n v="40"/>
    <n v="193058.61"/>
    <n v="40"/>
  </r>
  <r>
    <n v="65061"/>
    <s v="Material for Rooms Expense"/>
    <s v="06/30/2014"/>
    <s v="Expense"/>
    <m/>
    <x v="27"/>
    <x v="8"/>
    <x v="1"/>
    <x v="5"/>
    <m/>
    <s v="10526 BofA Orange County"/>
    <n v="100"/>
    <n v="193158.61"/>
    <n v="100"/>
  </r>
  <r>
    <n v="65062"/>
    <s v="In-Kind Goods"/>
    <s v="06/07/2014"/>
    <s v="Journal Entry"/>
    <n v="608"/>
    <x v="0"/>
    <x v="8"/>
    <x v="1"/>
    <x v="10"/>
    <s v="Pizza"/>
    <s v="-Split-"/>
    <n v="75"/>
    <n v="28252.73"/>
    <n v="75"/>
  </r>
  <r>
    <n v="65062"/>
    <s v="In-Kind Goods"/>
    <s v="06/07/2014"/>
    <s v="Journal Entry"/>
    <n v="608"/>
    <x v="0"/>
    <x v="8"/>
    <x v="1"/>
    <x v="10"/>
    <s v="Food for volunteers/ costume for Raeleyn"/>
    <s v="-Split-"/>
    <n v="201.75"/>
    <n v="28454.48"/>
    <n v="201.75"/>
  </r>
  <r>
    <n v="65062"/>
    <s v="In-Kind Goods"/>
    <s v="06/07/2014"/>
    <s v="Journal Entry"/>
    <n v="608"/>
    <x v="0"/>
    <x v="8"/>
    <x v="1"/>
    <x v="10"/>
    <s v="Doll House Furniture"/>
    <s v="-Split-"/>
    <n v="200"/>
    <n v="28654.48"/>
    <n v="200"/>
  </r>
  <r>
    <n v="65063"/>
    <s v="In-Kind Services"/>
    <s v="06/07/2014"/>
    <s v="Journal Entry"/>
    <n v="608"/>
    <x v="0"/>
    <x v="8"/>
    <x v="1"/>
    <x v="11"/>
    <s v="Design Services"/>
    <s v="-Split-"/>
    <n v="2500"/>
    <n v="15267.5"/>
    <n v="2500"/>
  </r>
  <r>
    <n v="65063"/>
    <s v="In-Kind Services"/>
    <s v="06/07/2014"/>
    <s v="Journal Entry"/>
    <n v="608"/>
    <x v="0"/>
    <x v="8"/>
    <x v="1"/>
    <x v="11"/>
    <s v="General Contracting"/>
    <s v="-Split-"/>
    <n v="1500"/>
    <n v="16767.5"/>
    <n v="1500"/>
  </r>
  <r>
    <n v="65063"/>
    <s v="In-Kind Services"/>
    <s v="06/07/2014"/>
    <s v="Journal Entry"/>
    <n v="608"/>
    <x v="0"/>
    <x v="8"/>
    <x v="1"/>
    <x v="11"/>
    <s v="Built Toy Chest and molding"/>
    <s v="-Split-"/>
    <n v="600"/>
    <n v="17367.5"/>
    <n v="600"/>
  </r>
  <r>
    <n v="44000"/>
    <s v="Fund Raising Activities Income"/>
    <s v="09/22/2014"/>
    <s v="Deposit"/>
    <m/>
    <x v="3"/>
    <x v="12"/>
    <x v="0"/>
    <x v="38"/>
    <m/>
    <s v="10117 BofA Restricted Funds -055:Delaware"/>
    <n v="72.22"/>
    <n v="225243.7"/>
    <n v="-72.22"/>
  </r>
  <r>
    <n v="44000"/>
    <s v="Fund Raising Activities Income"/>
    <s v="09/23/2014"/>
    <s v="Deposit"/>
    <m/>
    <x v="3"/>
    <x v="12"/>
    <x v="0"/>
    <x v="38"/>
    <s v="Design a Dream"/>
    <s v="10117 BofA Restricted Funds -055:Delaware"/>
    <n v="150"/>
    <n v="225393.7"/>
    <n v="-150"/>
  </r>
  <r>
    <n v="67001"/>
    <s v="Fundraising Expense -  Direct"/>
    <s v="06/02/2014"/>
    <s v="Expense"/>
    <m/>
    <x v="88"/>
    <x v="13"/>
    <x v="2"/>
    <x v="7"/>
    <m/>
    <s v="10750 BoA Panama City 7873"/>
    <n v="38.340000000000003"/>
    <n v="57000.59"/>
    <n v="38.340000000000003"/>
  </r>
  <r>
    <n v="67001"/>
    <s v="Fundraising Expense -  Direct"/>
    <s v="06/02/2014"/>
    <s v="Expense"/>
    <m/>
    <x v="156"/>
    <x v="13"/>
    <x v="2"/>
    <x v="7"/>
    <m/>
    <s v="10750 BoA Panama City 7873"/>
    <n v="2.68"/>
    <n v="57003.27"/>
    <n v="2.68"/>
  </r>
  <r>
    <n v="67001"/>
    <s v="Fundraising Expense -  Direct"/>
    <s v="06/02/2014"/>
    <s v="Expense"/>
    <m/>
    <x v="156"/>
    <x v="13"/>
    <x v="2"/>
    <x v="7"/>
    <m/>
    <s v="10750 BoA Panama City 7873"/>
    <n v="26.34"/>
    <n v="57029.61"/>
    <n v="26.34"/>
  </r>
  <r>
    <n v="67001"/>
    <s v="Fundraising Expense -  Direct"/>
    <s v="06/04/2014"/>
    <s v="Check"/>
    <n v="469"/>
    <x v="618"/>
    <x v="13"/>
    <x v="2"/>
    <x v="7"/>
    <s v="Supplies for an auction"/>
    <s v="10180 BofA Spec Spaces National 4695"/>
    <n v="0"/>
    <n v="57029.61"/>
    <n v="0"/>
  </r>
  <r>
    <n v="44000"/>
    <s v="Fund Raising Activities Income"/>
    <s v="10/01/2014"/>
    <s v="Deposit"/>
    <m/>
    <x v="619"/>
    <x v="12"/>
    <x v="0"/>
    <x v="38"/>
    <s v="Design a Dream"/>
    <s v="10117 BofA Restricted Funds -055:Delaware"/>
    <n v="500"/>
    <n v="227843.7"/>
    <n v="-500"/>
  </r>
  <r>
    <n v="65015"/>
    <s v="Travel Expense"/>
    <s v="10/17/2014"/>
    <s v="Expense"/>
    <m/>
    <x v="513"/>
    <x v="26"/>
    <x v="1"/>
    <x v="15"/>
    <m/>
    <s v="10910 BoA NEPA 8719"/>
    <n v="539.20000000000005"/>
    <n v="10897.33"/>
    <n v="539.20000000000005"/>
  </r>
  <r>
    <n v="65025"/>
    <s v="Bank Service Charges"/>
    <s v="07/01/2014"/>
    <s v="Expense"/>
    <m/>
    <x v="92"/>
    <x v="26"/>
    <x v="1"/>
    <x v="14"/>
    <m/>
    <s v="10910 BoA NEPA 8719"/>
    <n v="16"/>
    <n v="1807.52"/>
    <n v="16"/>
  </r>
  <r>
    <n v="65025"/>
    <s v="Bank Service Charges"/>
    <s v="08/01/2014"/>
    <s v="Expense"/>
    <m/>
    <x v="92"/>
    <x v="26"/>
    <x v="1"/>
    <x v="14"/>
    <m/>
    <s v="10910 BoA NEPA 8719"/>
    <n v="16"/>
    <n v="1947.17"/>
    <n v="16"/>
  </r>
  <r>
    <n v="65025"/>
    <s v="Bank Service Charges"/>
    <s v="09/02/2014"/>
    <s v="Expense"/>
    <m/>
    <x v="92"/>
    <x v="26"/>
    <x v="1"/>
    <x v="14"/>
    <m/>
    <s v="10910 BoA NEPA 8719"/>
    <n v="16"/>
    <n v="2239.1999999999998"/>
    <n v="16"/>
  </r>
  <r>
    <n v="65025"/>
    <s v="Bank Service Charges"/>
    <s v="09/08/2014"/>
    <s v="Deposit"/>
    <m/>
    <x v="92"/>
    <x v="26"/>
    <x v="1"/>
    <x v="14"/>
    <m/>
    <s v="10910 BoA NEPA 8719"/>
    <n v="-16"/>
    <n v="2310.1999999999998"/>
    <n v="-16"/>
  </r>
  <r>
    <n v="65025"/>
    <s v="Bank Service Charges"/>
    <s v="10/01/2014"/>
    <s v="Expense"/>
    <m/>
    <x v="92"/>
    <x v="26"/>
    <x v="1"/>
    <x v="14"/>
    <m/>
    <s v="10910 BoA NEPA 8719"/>
    <n v="16"/>
    <n v="2392.1"/>
    <n v="16"/>
  </r>
  <r>
    <n v="65061"/>
    <s v="Material for Rooms"/>
    <s v="09/04/2014"/>
    <s v="Deposit"/>
    <m/>
    <x v="73"/>
    <x v="26"/>
    <x v="1"/>
    <x v="5"/>
    <m/>
    <s v="10910 BoA NEPA 8719"/>
    <n v="-539.47"/>
    <n v="249545.29"/>
    <n v="-539.47"/>
  </r>
  <r>
    <n v="65061"/>
    <s v="Material for Rooms"/>
    <s v="10/15/2014"/>
    <s v="Expense"/>
    <m/>
    <x v="620"/>
    <x v="26"/>
    <x v="1"/>
    <x v="5"/>
    <m/>
    <s v="10910 BoA NEPA 8719"/>
    <n v="1.49"/>
    <n v="291456.67"/>
    <n v="1.49"/>
  </r>
  <r>
    <n v="44000"/>
    <s v="Fund Raising Activities Income"/>
    <s v="09/29/2014"/>
    <s v="Journal Entry"/>
    <n v="689"/>
    <x v="0"/>
    <x v="14"/>
    <x v="0"/>
    <x v="38"/>
    <s v="Wine tasting event"/>
    <s v="-Split-"/>
    <n v="100"/>
    <n v="225718.7"/>
    <n v="-100"/>
  </r>
  <r>
    <n v="44000"/>
    <s v="Fund Raising Activities Income"/>
    <s v="10/02/2014"/>
    <s v="Deposit"/>
    <m/>
    <x v="3"/>
    <x v="14"/>
    <x v="0"/>
    <x v="38"/>
    <s v="wine tasting"/>
    <s v="10143 BofA Restricted Funds -055:Tampa - 8376"/>
    <n v="357"/>
    <n v="228300.7"/>
    <n v="-357"/>
  </r>
  <r>
    <n v="65025"/>
    <s v="Bank Service Charges"/>
    <s v="07/01/2014"/>
    <s v="Expense"/>
    <m/>
    <x v="92"/>
    <x v="30"/>
    <x v="1"/>
    <x v="14"/>
    <m/>
    <s v="10850 BoA Pittsburgh 3133"/>
    <n v="15"/>
    <n v="1748.52"/>
    <n v="15"/>
  </r>
  <r>
    <n v="65025"/>
    <s v="Bank Service Charges"/>
    <s v="08/01/2014"/>
    <s v="Expense"/>
    <m/>
    <x v="92"/>
    <x v="30"/>
    <x v="1"/>
    <x v="14"/>
    <m/>
    <s v="10850 BoA Pittsburgh 3133"/>
    <n v="15"/>
    <n v="1992.17"/>
    <n v="15"/>
  </r>
  <r>
    <n v="65025"/>
    <s v="Bank Service Charges"/>
    <s v="09/02/2014"/>
    <s v="Expense"/>
    <m/>
    <x v="92"/>
    <x v="30"/>
    <x v="1"/>
    <x v="14"/>
    <m/>
    <s v="10850 BoA Pittsburgh 3133"/>
    <n v="15"/>
    <n v="2209.1999999999998"/>
    <n v="15"/>
  </r>
  <r>
    <n v="65025"/>
    <s v="Bank Service Charges"/>
    <s v="10/01/2014"/>
    <s v="Expense"/>
    <m/>
    <x v="92"/>
    <x v="30"/>
    <x v="1"/>
    <x v="14"/>
    <m/>
    <s v="10850 BoA Pittsburgh 3133"/>
    <n v="15"/>
    <n v="2437.1"/>
    <n v="15"/>
  </r>
  <r>
    <n v="65061"/>
    <s v="Material for Rooms"/>
    <s v="10/14/2014"/>
    <s v="Expense"/>
    <m/>
    <x v="424"/>
    <x v="30"/>
    <x v="1"/>
    <x v="5"/>
    <m/>
    <s v="10850 BoA Pittsburgh 3133"/>
    <n v="400"/>
    <n v="290660.63"/>
    <n v="400"/>
  </r>
  <r>
    <n v="65061"/>
    <s v="Material for Rooms"/>
    <s v="10/14/2014"/>
    <s v="Expense"/>
    <m/>
    <x v="39"/>
    <x v="30"/>
    <x v="1"/>
    <x v="5"/>
    <m/>
    <s v="10850 BoA Pittsburgh 3133"/>
    <n v="16.05"/>
    <n v="290676.68"/>
    <n v="16.05"/>
  </r>
  <r>
    <n v="65061"/>
    <s v="Material for Rooms"/>
    <s v="10/20/2014"/>
    <s v="Expense"/>
    <m/>
    <x v="194"/>
    <x v="30"/>
    <x v="1"/>
    <x v="5"/>
    <m/>
    <s v="10850 BoA Pittsburgh 3133"/>
    <n v="9.0299999999999994"/>
    <n v="295630.18"/>
    <n v="9.0299999999999994"/>
  </r>
  <r>
    <n v="65061"/>
    <s v="Material for Rooms"/>
    <s v="10/20/2014"/>
    <s v="Expense"/>
    <m/>
    <x v="19"/>
    <x v="30"/>
    <x v="1"/>
    <x v="5"/>
    <m/>
    <s v="10850 BoA Pittsburgh 3133"/>
    <n v="41.64"/>
    <n v="295671.82"/>
    <n v="41.64"/>
  </r>
  <r>
    <n v="65095"/>
    <s v="Paypal Expense"/>
    <s v="10/28/2014"/>
    <s v="Journal Entry"/>
    <n v="746"/>
    <x v="0"/>
    <x v="30"/>
    <x v="4"/>
    <x v="19"/>
    <s v="paypal"/>
    <s v="-Split-"/>
    <n v="2.37"/>
    <n v="1108.3800000000001"/>
    <n v="2.37"/>
  </r>
  <r>
    <n v="44000"/>
    <s v="Fund Raising Activities Income"/>
    <s v="10/09/2014"/>
    <s v="Deposit"/>
    <m/>
    <x v="3"/>
    <x v="14"/>
    <x v="0"/>
    <x v="38"/>
    <s v="wine tasting"/>
    <s v="10143 BofA Restricted Funds -055:Tampa - 8376"/>
    <n v="1205"/>
    <n v="229505.7"/>
    <n v="-1205"/>
  </r>
  <r>
    <n v="44000"/>
    <s v="Fund Raising Activities Income"/>
    <s v="10/13/2014"/>
    <s v="Journal Entry"/>
    <n v="716"/>
    <x v="0"/>
    <x v="14"/>
    <x v="0"/>
    <x v="38"/>
    <s v="Wine Tasting"/>
    <s v="-Split-"/>
    <n v="450"/>
    <n v="231048.2"/>
    <n v="-450"/>
  </r>
  <r>
    <n v="44000"/>
    <s v="Fund Raising Activities Income"/>
    <s v="10/14/2014"/>
    <s v="Journal Entry"/>
    <n v="724"/>
    <x v="0"/>
    <x v="14"/>
    <x v="0"/>
    <x v="38"/>
    <s v="Wine Tasting paypal"/>
    <s v="-Split-"/>
    <n v="552"/>
    <n v="231600.2"/>
    <n v="-552"/>
  </r>
  <r>
    <n v="44000"/>
    <s v="Fund Raising Activities Income"/>
    <s v="10/14/2014"/>
    <s v="Deposit"/>
    <m/>
    <x v="3"/>
    <x v="14"/>
    <x v="0"/>
    <x v="38"/>
    <s v="wine tasting"/>
    <s v="10143 BofA Restricted Funds -055:Tampa - 8376"/>
    <n v="2175"/>
    <n v="233865.2"/>
    <n v="-2175"/>
  </r>
  <r>
    <n v="65025"/>
    <s v="Bank Service Charges"/>
    <s v="01/02/2014"/>
    <s v="Check"/>
    <m/>
    <x v="92"/>
    <x v="30"/>
    <x v="1"/>
    <x v="14"/>
    <m/>
    <s v="10850 BoA Pittsburgh 3133"/>
    <n v="15"/>
    <n v="45"/>
    <n v="15"/>
  </r>
  <r>
    <n v="65025"/>
    <s v="Bank Service Charges"/>
    <s v="04/01/2014"/>
    <s v="Check"/>
    <m/>
    <x v="92"/>
    <x v="30"/>
    <x v="1"/>
    <x v="14"/>
    <m/>
    <s v="10850 BoA Pittsburgh 3133"/>
    <n v="15"/>
    <n v="718.62"/>
    <n v="15"/>
  </r>
  <r>
    <n v="65025"/>
    <s v="Bank Service Charges"/>
    <s v="05/01/2014"/>
    <s v="Expense"/>
    <m/>
    <x v="92"/>
    <x v="30"/>
    <x v="1"/>
    <x v="14"/>
    <m/>
    <s v="10850 BoA Pittsburgh 3133"/>
    <n v="15"/>
    <n v="875.33"/>
    <n v="15"/>
  </r>
  <r>
    <n v="65025"/>
    <s v="Bank Service Charges"/>
    <s v="06/02/2014"/>
    <s v="Expense"/>
    <m/>
    <x v="92"/>
    <x v="30"/>
    <x v="1"/>
    <x v="14"/>
    <m/>
    <s v="10850 BoA Pittsburgh 3133"/>
    <n v="15"/>
    <n v="1552.91"/>
    <n v="15"/>
  </r>
  <r>
    <n v="65040"/>
    <s v="Supplies"/>
    <s v="06/16/2014"/>
    <s v="Expense"/>
    <m/>
    <x v="5"/>
    <x v="30"/>
    <x v="1"/>
    <x v="4"/>
    <m/>
    <s v="10850 BoA Pittsburgh 3133"/>
    <n v="22"/>
    <n v="1681.34"/>
    <n v="22"/>
  </r>
  <r>
    <n v="65061"/>
    <s v="Material for Rooms Expense"/>
    <s v="01/21/2014"/>
    <s v="Check"/>
    <m/>
    <x v="73"/>
    <x v="30"/>
    <x v="1"/>
    <x v="5"/>
    <m/>
    <s v="10850 BoA Pittsburgh 3133"/>
    <n v="73.73"/>
    <n v="9951.4500000000007"/>
    <n v="73.73"/>
  </r>
  <r>
    <n v="65061"/>
    <s v="Material for Rooms Expense"/>
    <s v="01/21/2014"/>
    <s v="Check"/>
    <m/>
    <x v="118"/>
    <x v="30"/>
    <x v="1"/>
    <x v="5"/>
    <m/>
    <s v="10850 BoA Pittsburgh 3133"/>
    <n v="8.0299999999999994"/>
    <n v="9983.69"/>
    <n v="8.0299999999999994"/>
  </r>
  <r>
    <n v="65061"/>
    <s v="Material for Rooms Expense"/>
    <s v="01/21/2014"/>
    <s v="Check"/>
    <m/>
    <x v="73"/>
    <x v="30"/>
    <x v="1"/>
    <x v="5"/>
    <m/>
    <s v="10850 BoA Pittsburgh 3133"/>
    <n v="9.74"/>
    <n v="9993.43"/>
    <n v="9.74"/>
  </r>
  <r>
    <n v="65061"/>
    <s v="Material for Rooms Expense"/>
    <s v="01/21/2014"/>
    <s v="Check"/>
    <m/>
    <x v="19"/>
    <x v="30"/>
    <x v="1"/>
    <x v="5"/>
    <m/>
    <s v="10850 BoA Pittsburgh 3133"/>
    <n v="54.56"/>
    <n v="12812.75"/>
    <n v="54.56"/>
  </r>
  <r>
    <n v="65061"/>
    <s v="Material for Rooms Expense"/>
    <s v="01/28/2014"/>
    <s v="Check"/>
    <m/>
    <x v="19"/>
    <x v="30"/>
    <x v="1"/>
    <x v="5"/>
    <m/>
    <s v="10850 BoA Pittsburgh 3133"/>
    <n v="22.61"/>
    <n v="20459.21"/>
    <n v="22.61"/>
  </r>
  <r>
    <n v="65061"/>
    <s v="Material for Rooms Expense"/>
    <s v="01/28/2014"/>
    <s v="Check"/>
    <m/>
    <x v="19"/>
    <x v="30"/>
    <x v="1"/>
    <x v="5"/>
    <m/>
    <s v="10850 BoA Pittsburgh 3133"/>
    <n v="90.95"/>
    <n v="20704.61"/>
    <n v="90.95"/>
  </r>
  <r>
    <n v="65061"/>
    <s v="Material for Rooms Expense"/>
    <s v="01/28/2014"/>
    <s v="Check"/>
    <m/>
    <x v="29"/>
    <x v="30"/>
    <x v="1"/>
    <x v="5"/>
    <m/>
    <s v="10850 BoA Pittsburgh 3133"/>
    <n v="27.74"/>
    <n v="20881.43"/>
    <n v="27.74"/>
  </r>
  <r>
    <n v="65061"/>
    <s v="Material for Rooms Expense"/>
    <s v="01/29/2014"/>
    <s v="Check"/>
    <m/>
    <x v="621"/>
    <x v="30"/>
    <x v="1"/>
    <x v="5"/>
    <m/>
    <s v="10850 BoA Pittsburgh 3133"/>
    <n v="16.37"/>
    <n v="21122.720000000001"/>
    <n v="16.37"/>
  </r>
  <r>
    <n v="65061"/>
    <s v="Material for Rooms Expense"/>
    <s v="01/30/2014"/>
    <s v="Check"/>
    <m/>
    <x v="73"/>
    <x v="30"/>
    <x v="1"/>
    <x v="5"/>
    <m/>
    <s v="10850 BoA Pittsburgh 3133"/>
    <n v="105.89"/>
    <n v="23219.599999999999"/>
    <n v="105.89"/>
  </r>
  <r>
    <n v="65061"/>
    <s v="Material for Rooms Expense"/>
    <s v="01/30/2014"/>
    <s v="Check"/>
    <m/>
    <x v="19"/>
    <x v="30"/>
    <x v="1"/>
    <x v="5"/>
    <m/>
    <s v="10850 BoA Pittsburgh 3133"/>
    <n v="9.61"/>
    <n v="23272.03"/>
    <n v="9.61"/>
  </r>
  <r>
    <n v="65061"/>
    <s v="Material for Rooms Expense"/>
    <s v="01/30/2014"/>
    <s v="Check"/>
    <m/>
    <x v="424"/>
    <x v="30"/>
    <x v="1"/>
    <x v="5"/>
    <m/>
    <s v="10850 BoA Pittsburgh 3133"/>
    <n v="371"/>
    <n v="24519.81"/>
    <n v="371"/>
  </r>
  <r>
    <n v="65061"/>
    <s v="Material for Rooms Expense"/>
    <s v="01/31/2014"/>
    <s v="Check"/>
    <m/>
    <x v="19"/>
    <x v="30"/>
    <x v="1"/>
    <x v="5"/>
    <m/>
    <s v="10850 BoA Pittsburgh 3133"/>
    <n v="9.6199999999999992"/>
    <n v="25573.24"/>
    <n v="9.6199999999999992"/>
  </r>
  <r>
    <n v="65061"/>
    <s v="Material for Rooms Expense"/>
    <s v="02/03/2014"/>
    <s v="Check"/>
    <m/>
    <x v="118"/>
    <x v="30"/>
    <x v="1"/>
    <x v="5"/>
    <m/>
    <s v="10850 BoA Pittsburgh 3133"/>
    <n v="26.74"/>
    <n v="27890.12"/>
    <n v="26.74"/>
  </r>
  <r>
    <n v="65061"/>
    <s v="Material for Rooms Expense"/>
    <s v="02/03/2014"/>
    <s v="Check"/>
    <m/>
    <x v="56"/>
    <x v="30"/>
    <x v="1"/>
    <x v="5"/>
    <m/>
    <s v="10850 BoA Pittsburgh 3133"/>
    <n v="111.27"/>
    <n v="28070.080000000002"/>
    <n v="111.27"/>
  </r>
  <r>
    <n v="65061"/>
    <s v="Material for Rooms Expense"/>
    <s v="02/03/2014"/>
    <s v="Check"/>
    <m/>
    <x v="33"/>
    <x v="30"/>
    <x v="1"/>
    <x v="5"/>
    <m/>
    <s v="10850 BoA Pittsburgh 3133"/>
    <n v="482.2"/>
    <n v="28552.28"/>
    <n v="482.2"/>
  </r>
  <r>
    <n v="65061"/>
    <s v="Material for Rooms Expense"/>
    <s v="02/05/2014"/>
    <s v="Check"/>
    <m/>
    <x v="19"/>
    <x v="30"/>
    <x v="1"/>
    <x v="5"/>
    <m/>
    <s v="10850 BoA Pittsburgh 3133"/>
    <n v="29.4"/>
    <n v="29904.49"/>
    <n v="29.4"/>
  </r>
  <r>
    <n v="65061"/>
    <s v="Material for Rooms Expense"/>
    <s v="02/07/2014"/>
    <s v="Check"/>
    <m/>
    <x v="16"/>
    <x v="30"/>
    <x v="1"/>
    <x v="5"/>
    <m/>
    <s v="10850 BoA Pittsburgh 3133"/>
    <n v="55.78"/>
    <n v="32326.15"/>
    <n v="55.78"/>
  </r>
  <r>
    <n v="65061"/>
    <s v="Material for Rooms Expense"/>
    <s v="02/07/2014"/>
    <s v="Check"/>
    <m/>
    <x v="29"/>
    <x v="30"/>
    <x v="1"/>
    <x v="5"/>
    <m/>
    <s v="10850 BoA Pittsburgh 3133"/>
    <n v="35.090000000000003"/>
    <n v="32713.15"/>
    <n v="35.090000000000003"/>
  </r>
  <r>
    <n v="65061"/>
    <s v="Material for Rooms Expense"/>
    <s v="02/10/2014"/>
    <s v="Check"/>
    <m/>
    <x v="53"/>
    <x v="30"/>
    <x v="1"/>
    <x v="5"/>
    <m/>
    <s v="10850 BoA Pittsburgh 3133"/>
    <n v="10.67"/>
    <n v="36119.1"/>
    <n v="10.67"/>
  </r>
  <r>
    <n v="65061"/>
    <s v="Material for Rooms Expense"/>
    <s v="02/10/2014"/>
    <s v="Check"/>
    <m/>
    <x v="26"/>
    <x v="30"/>
    <x v="1"/>
    <x v="5"/>
    <m/>
    <s v="10850 BoA Pittsburgh 3133"/>
    <n v="8.01"/>
    <n v="36409.86"/>
    <n v="8.01"/>
  </r>
  <r>
    <n v="65061"/>
    <s v="Material for Rooms Expense"/>
    <s v="02/10/2014"/>
    <s v="Check"/>
    <m/>
    <x v="19"/>
    <x v="30"/>
    <x v="1"/>
    <x v="5"/>
    <m/>
    <s v="10850 BoA Pittsburgh 3133"/>
    <n v="141.16"/>
    <n v="36792.870000000003"/>
    <n v="141.16"/>
  </r>
  <r>
    <n v="65061"/>
    <s v="Material for Rooms Expense"/>
    <s v="02/10/2014"/>
    <s v="Check"/>
    <m/>
    <x v="622"/>
    <x v="30"/>
    <x v="1"/>
    <x v="5"/>
    <m/>
    <s v="10850 BoA Pittsburgh 3133"/>
    <n v="25.68"/>
    <n v="37515.24"/>
    <n v="25.68"/>
  </r>
  <r>
    <n v="44000"/>
    <s v="Fund Raising Activities Income"/>
    <s v="10/20/2014"/>
    <s v="Journal Entry"/>
    <n v="733"/>
    <x v="0"/>
    <x v="14"/>
    <x v="0"/>
    <x v="38"/>
    <s v="wine tasting"/>
    <s v="-Split-"/>
    <n v="450"/>
    <n v="235185.2"/>
    <n v="-450"/>
  </r>
  <r>
    <n v="44000"/>
    <s v="Fund Raising Activities Income"/>
    <s v="10/23/2014"/>
    <s v="Deposit"/>
    <m/>
    <x v="3"/>
    <x v="14"/>
    <x v="0"/>
    <x v="38"/>
    <s v="Wine tasting"/>
    <s v="10143 BofA Restricted Funds -055:Tampa - 8376"/>
    <n v="2781"/>
    <n v="238560.68"/>
    <n v="-2781"/>
  </r>
  <r>
    <n v="44000"/>
    <s v="Fund Raising Activities Income"/>
    <s v="10/24/2014"/>
    <s v="Deposit"/>
    <m/>
    <x v="3"/>
    <x v="14"/>
    <x v="0"/>
    <x v="38"/>
    <m/>
    <s v="10143 BofA Restricted Funds -055:Tampa - 8376"/>
    <n v="100"/>
    <n v="239252.98"/>
    <n v="-100"/>
  </r>
  <r>
    <n v="65025"/>
    <s v="Bank Service Charges"/>
    <s v="01/02/2014"/>
    <s v="Check"/>
    <m/>
    <x v="92"/>
    <x v="4"/>
    <x v="1"/>
    <x v="14"/>
    <m/>
    <s v="10428 BoA Sacramento"/>
    <n v="16"/>
    <n v="93"/>
    <n v="16"/>
  </r>
  <r>
    <n v="65025"/>
    <s v="Bank Service Charges"/>
    <s v="05/01/2014"/>
    <s v="Expense"/>
    <m/>
    <x v="92"/>
    <x v="4"/>
    <x v="1"/>
    <x v="14"/>
    <m/>
    <s v="10428 BoA Sacramento"/>
    <n v="16"/>
    <n v="977.33"/>
    <n v="16"/>
  </r>
  <r>
    <n v="65025"/>
    <s v="Bank Service Charges"/>
    <s v="06/02/2014"/>
    <s v="Expense"/>
    <m/>
    <x v="92"/>
    <x v="4"/>
    <x v="1"/>
    <x v="14"/>
    <m/>
    <s v="10428 BoA Sacramento"/>
    <n v="16"/>
    <n v="1507.91"/>
    <n v="16"/>
  </r>
  <r>
    <n v="44000"/>
    <s v="Fund Raising Activities Income"/>
    <s v="01/13/2014"/>
    <s v="Deposit"/>
    <m/>
    <x v="3"/>
    <x v="22"/>
    <x v="0"/>
    <x v="38"/>
    <m/>
    <s v="10522 *US Bank - Milwaukee"/>
    <n v="3000"/>
    <n v="3390"/>
    <n v="-3000"/>
  </r>
  <r>
    <n v="65025"/>
    <s v="Bank Service Charges"/>
    <s v="02/03/2014"/>
    <s v="Check"/>
    <m/>
    <x v="92"/>
    <x v="33"/>
    <x v="1"/>
    <x v="14"/>
    <m/>
    <s v="10536 BoA San Antonio 2317"/>
    <n v="16"/>
    <n v="374.2"/>
    <n v="16"/>
  </r>
  <r>
    <n v="65025"/>
    <s v="Bank Service Charges"/>
    <s v="03/03/2014"/>
    <s v="Check"/>
    <m/>
    <x v="92"/>
    <x v="33"/>
    <x v="1"/>
    <x v="14"/>
    <m/>
    <s v="10536 BoA San Antonio 2317"/>
    <n v="16"/>
    <n v="572.66999999999996"/>
    <n v="16"/>
  </r>
  <r>
    <n v="65025"/>
    <s v="Bank Service Charges"/>
    <s v="04/01/2014"/>
    <s v="Check"/>
    <m/>
    <x v="92"/>
    <x v="33"/>
    <x v="1"/>
    <x v="14"/>
    <m/>
    <s v="10536 BoA San Antonio 2317"/>
    <n v="16"/>
    <n v="604.66999999999996"/>
    <n v="16"/>
  </r>
  <r>
    <n v="65025"/>
    <s v="Bank Service Charges"/>
    <s v="05/01/2014"/>
    <s v="Expense"/>
    <m/>
    <x v="92"/>
    <x v="33"/>
    <x v="1"/>
    <x v="14"/>
    <m/>
    <s v="10536 BoA San Antonio 2317"/>
    <n v="16"/>
    <n v="945.33"/>
    <n v="16"/>
  </r>
  <r>
    <n v="65025"/>
    <s v="Bank Service Charges"/>
    <s v="06/02/2014"/>
    <s v="Expense"/>
    <m/>
    <x v="92"/>
    <x v="33"/>
    <x v="1"/>
    <x v="14"/>
    <m/>
    <s v="10536 BoA San Antonio 2317"/>
    <n v="16"/>
    <n v="1568.91"/>
    <n v="16"/>
  </r>
  <r>
    <n v="65061"/>
    <s v="Material for Rooms Expense"/>
    <s v="01/29/2014"/>
    <s v="Check"/>
    <n v="1001"/>
    <x v="623"/>
    <x v="33"/>
    <x v="1"/>
    <x v="5"/>
    <m/>
    <s v="10536 BoA San Antonio 2317"/>
    <n v="307.10000000000002"/>
    <n v="23113.71"/>
    <n v="307.10000000000002"/>
  </r>
  <r>
    <n v="44000"/>
    <s v="Fund Raising Activities Income"/>
    <s v="01/21/2014"/>
    <s v="Deposit"/>
    <m/>
    <x v="3"/>
    <x v="22"/>
    <x v="0"/>
    <x v="38"/>
    <m/>
    <s v="10522 *US Bank - Milwaukee"/>
    <n v="1700"/>
    <n v="5215"/>
    <n v="-1700"/>
  </r>
  <r>
    <n v="44000"/>
    <s v="Fund Raising Activities Income"/>
    <s v="01/27/2014"/>
    <s v="Deposit"/>
    <m/>
    <x v="3"/>
    <x v="22"/>
    <x v="0"/>
    <x v="38"/>
    <m/>
    <s v="10522 *US Bank - Milwaukee"/>
    <n v="2200"/>
    <n v="7440"/>
    <n v="-2200"/>
  </r>
  <r>
    <n v="44000"/>
    <s v="Fund Raising Activities Income"/>
    <s v="02/04/2014"/>
    <s v="Deposit"/>
    <m/>
    <x v="3"/>
    <x v="22"/>
    <x v="0"/>
    <x v="38"/>
    <m/>
    <s v="10522 *US Bank - Milwaukee"/>
    <n v="3000"/>
    <n v="10440"/>
    <n v="-3000"/>
  </r>
  <r>
    <n v="44000"/>
    <s v="Fund Raising Activities Income"/>
    <s v="02/05/2014"/>
    <s v="Deposit"/>
    <m/>
    <x v="3"/>
    <x v="22"/>
    <x v="0"/>
    <x v="38"/>
    <m/>
    <s v="10522 *US Bank - Milwaukee"/>
    <n v="3000"/>
    <n v="13440"/>
    <n v="-3000"/>
  </r>
  <r>
    <n v="44000"/>
    <s v="Fund Raising Activities Income"/>
    <s v="02/06/2014"/>
    <s v="Deposit"/>
    <m/>
    <x v="3"/>
    <x v="22"/>
    <x v="0"/>
    <x v="38"/>
    <m/>
    <s v="10522 *US Bank - Milwaukee"/>
    <n v="1600"/>
    <n v="15040"/>
    <n v="-1600"/>
  </r>
  <r>
    <n v="44000"/>
    <s v="Fund Raising Activities Income"/>
    <s v="02/10/2014"/>
    <s v="Deposit"/>
    <m/>
    <x v="3"/>
    <x v="22"/>
    <x v="0"/>
    <x v="38"/>
    <m/>
    <s v="10522 *US Bank - Milwaukee"/>
    <n v="2400"/>
    <n v="17440"/>
    <n v="-2400"/>
  </r>
  <r>
    <n v="44000"/>
    <s v="Fund Raising Activities Income"/>
    <s v="02/10/2014"/>
    <s v="Deposit"/>
    <m/>
    <x v="3"/>
    <x v="22"/>
    <x v="0"/>
    <x v="38"/>
    <m/>
    <s v="10522 *US Bank - Milwaukee"/>
    <n v="1100"/>
    <n v="18540"/>
    <n v="-1100"/>
  </r>
  <r>
    <n v="44000"/>
    <s v="Fund Raising Activities Income"/>
    <s v="02/12/2014"/>
    <s v="Deposit"/>
    <m/>
    <x v="3"/>
    <x v="22"/>
    <x v="0"/>
    <x v="38"/>
    <m/>
    <s v="10522 *US Bank - Milwaukee"/>
    <n v="1500"/>
    <n v="20040"/>
    <n v="-1500"/>
  </r>
  <r>
    <n v="44000"/>
    <s v="Fund Raising Activities Income"/>
    <s v="02/18/2014"/>
    <s v="Deposit"/>
    <m/>
    <x v="3"/>
    <x v="22"/>
    <x v="0"/>
    <x v="38"/>
    <m/>
    <s v="10522 *US Bank - Milwaukee"/>
    <n v="4500"/>
    <n v="24540"/>
    <n v="-4500"/>
  </r>
  <r>
    <n v="44000"/>
    <s v="Fund Raising Activities Income"/>
    <s v="02/18/2014"/>
    <s v="Deposit"/>
    <m/>
    <x v="3"/>
    <x v="22"/>
    <x v="0"/>
    <x v="38"/>
    <m/>
    <s v="10522 *US Bank - Milwaukee"/>
    <n v="2015"/>
    <n v="26555"/>
    <n v="-2015"/>
  </r>
  <r>
    <n v="44000"/>
    <s v="Fund Raising Activities Income"/>
    <s v="02/21/2014"/>
    <s v="Deposit"/>
    <m/>
    <x v="3"/>
    <x v="22"/>
    <x v="0"/>
    <x v="38"/>
    <m/>
    <s v="10522 *US Bank - Milwaukee"/>
    <n v="650"/>
    <n v="27205"/>
    <n v="-650"/>
  </r>
  <r>
    <n v="44000"/>
    <s v="Fund Raising Activities Income"/>
    <s v="02/24/2014"/>
    <s v="Deposit"/>
    <m/>
    <x v="3"/>
    <x v="22"/>
    <x v="0"/>
    <x v="38"/>
    <m/>
    <s v="10522 *US Bank - Milwaukee"/>
    <n v="2400"/>
    <n v="29605"/>
    <n v="-2400"/>
  </r>
  <r>
    <n v="44000"/>
    <s v="Fund Raising Activities Income"/>
    <s v="02/24/2014"/>
    <s v="Deposit"/>
    <m/>
    <x v="3"/>
    <x v="22"/>
    <x v="0"/>
    <x v="38"/>
    <m/>
    <s v="10522 *US Bank - Milwaukee"/>
    <n v="1500"/>
    <n v="31105"/>
    <n v="-1500"/>
  </r>
  <r>
    <n v="44000"/>
    <s v="Fund Raising Activities Income"/>
    <s v="02/26/2014"/>
    <s v="Deposit"/>
    <m/>
    <x v="3"/>
    <x v="22"/>
    <x v="0"/>
    <x v="38"/>
    <m/>
    <s v="10522 *US Bank - Milwaukee"/>
    <n v="2300"/>
    <n v="33405"/>
    <n v="-2300"/>
  </r>
  <r>
    <n v="44000"/>
    <s v="Fund Raising Activities Income"/>
    <s v="03/03/2014"/>
    <s v="Deposit"/>
    <m/>
    <x v="3"/>
    <x v="22"/>
    <x v="0"/>
    <x v="38"/>
    <m/>
    <s v="10522 *US Bank - Milwaukee"/>
    <n v="3000"/>
    <n v="36405"/>
    <n v="-3000"/>
  </r>
  <r>
    <n v="44000"/>
    <s v="Fund Raising Activities Income"/>
    <s v="03/06/2014"/>
    <s v="Check"/>
    <m/>
    <x v="624"/>
    <x v="22"/>
    <x v="0"/>
    <x v="38"/>
    <m/>
    <s v="10522 *US Bank - Milwaukee"/>
    <n v="-100"/>
    <n v="45355"/>
    <n v="100"/>
  </r>
  <r>
    <n v="44000"/>
    <s v="Fund Raising Activities Income"/>
    <s v="03/07/2014"/>
    <s v="Deposit"/>
    <m/>
    <x v="417"/>
    <x v="22"/>
    <x v="0"/>
    <x v="38"/>
    <m/>
    <s v="10522 *US Bank - Milwaukee"/>
    <n v="90720"/>
    <n v="136075"/>
    <n v="-90720"/>
  </r>
  <r>
    <n v="44000"/>
    <s v="Fund Raising Activities Income"/>
    <s v="03/19/2014"/>
    <s v="Deposit"/>
    <m/>
    <x v="3"/>
    <x v="22"/>
    <x v="0"/>
    <x v="38"/>
    <m/>
    <s v="10522 *US Bank - Milwaukee"/>
    <n v="4665"/>
    <n v="141125"/>
    <n v="-4665"/>
  </r>
  <r>
    <n v="44000"/>
    <s v="Fund Raising Activities Income"/>
    <s v="03/24/2014"/>
    <s v="Deposit"/>
    <m/>
    <x v="3"/>
    <x v="22"/>
    <x v="0"/>
    <x v="38"/>
    <m/>
    <s v="10522 *US Bank - Milwaukee"/>
    <n v="8200"/>
    <n v="150492.93"/>
    <n v="-8200"/>
  </r>
  <r>
    <n v="44000"/>
    <s v="Fund Raising Activities Income"/>
    <s v="04/15/2014"/>
    <s v="Check"/>
    <n v="1065"/>
    <x v="625"/>
    <x v="22"/>
    <x v="0"/>
    <x v="38"/>
    <m/>
    <s v="10522 *US Bank - Milwaukee"/>
    <n v="-500"/>
    <n v="161765.25"/>
    <n v="500"/>
  </r>
  <r>
    <n v="44000"/>
    <s v="Fund Raising Activities Income"/>
    <s v="10/27/2014"/>
    <s v="Deposit"/>
    <m/>
    <x v="3"/>
    <x v="23"/>
    <x v="0"/>
    <x v="38"/>
    <s v="Octoberfest fundraiser"/>
    <s v="10123 BofA Restricted Funds -055:Minneapolis - 4572"/>
    <n v="1355"/>
    <n v="245607.98"/>
    <n v="-1355"/>
  </r>
  <r>
    <n v="44000"/>
    <s v="Fund Raising Activities Income"/>
    <s v="01/08/2014"/>
    <s v="Deposit"/>
    <m/>
    <x v="3"/>
    <x v="0"/>
    <x v="0"/>
    <x v="38"/>
    <s v="Christmas Campaign"/>
    <s v="10180 BofA Spec Spaces National 4695"/>
    <n v="390"/>
    <n v="390"/>
    <n v="-390"/>
  </r>
  <r>
    <n v="44000"/>
    <s v="Fund Raising Activities Income"/>
    <s v="01/14/2014"/>
    <s v="Deposit"/>
    <m/>
    <x v="0"/>
    <x v="0"/>
    <x v="0"/>
    <x v="38"/>
    <s v="Christmas Campaign"/>
    <s v="10180 BofA Spec Spaces National 4695"/>
    <n v="100"/>
    <n v="3490"/>
    <n v="-100"/>
  </r>
  <r>
    <n v="44000"/>
    <s v="Fund Raising Activities Income"/>
    <s v="01/14/2014"/>
    <s v="Deposit"/>
    <m/>
    <x v="0"/>
    <x v="0"/>
    <x v="0"/>
    <x v="38"/>
    <s v="Christmas Campaign"/>
    <s v="10180 BofA Spec Spaces National 4695"/>
    <n v="25"/>
    <n v="3515"/>
    <n v="-25"/>
  </r>
  <r>
    <n v="44000"/>
    <s v="Fund Raising Activities Income"/>
    <s v="01/27/2014"/>
    <s v="Deposit"/>
    <m/>
    <x v="0"/>
    <x v="0"/>
    <x v="0"/>
    <x v="38"/>
    <s v="Christmas Campaign"/>
    <s v="10180 BofA Spec Spaces National 4695"/>
    <n v="25"/>
    <n v="5240"/>
    <n v="-25"/>
  </r>
  <r>
    <n v="44000"/>
    <s v="Fund Raising Activities Income"/>
    <s v="03/15/2014"/>
    <s v="Deposit"/>
    <m/>
    <x v="0"/>
    <x v="0"/>
    <x v="0"/>
    <x v="38"/>
    <s v="Christmas Campaign"/>
    <s v="10180 BofA Spec Spaces National 4695"/>
    <n v="35"/>
    <n v="136460"/>
    <n v="-35"/>
  </r>
  <r>
    <n v="44000"/>
    <s v="Fund Raising Activities Income"/>
    <s v="06/05/2014"/>
    <s v="Journal Entry"/>
    <n v="564"/>
    <x v="0"/>
    <x v="0"/>
    <x v="0"/>
    <x v="38"/>
    <s v="Bed Race"/>
    <s v="-Split-"/>
    <n v="305"/>
    <n v="170980.52"/>
    <n v="-305"/>
  </r>
  <r>
    <n v="62130"/>
    <s v="Fundraising Fees"/>
    <s v="02/27/2014"/>
    <s v="Check"/>
    <m/>
    <x v="626"/>
    <x v="5"/>
    <x v="5"/>
    <x v="26"/>
    <s v="Team Breezy photo booth rental"/>
    <s v="10541 BofA San Francisco"/>
    <n v="299"/>
    <n v="446.45"/>
    <n v="299"/>
  </r>
  <r>
    <n v="65015"/>
    <s v="Travel Expense"/>
    <s v="02/18/2014"/>
    <s v="Check"/>
    <m/>
    <x v="101"/>
    <x v="5"/>
    <x v="1"/>
    <x v="15"/>
    <m/>
    <s v="10541 BofA San Francisco"/>
    <n v="86.04"/>
    <n v="1392.43"/>
    <n v="86.04"/>
  </r>
  <r>
    <n v="65015"/>
    <s v="Travel Expense"/>
    <s v="02/18/2014"/>
    <s v="Check"/>
    <m/>
    <x v="627"/>
    <x v="5"/>
    <x v="1"/>
    <x v="15"/>
    <m/>
    <s v="10541 BofA San Francisco"/>
    <n v="180.78"/>
    <n v="1573.21"/>
    <n v="180.78"/>
  </r>
  <r>
    <n v="65015"/>
    <s v="Travel Expense"/>
    <s v="05/05/2014"/>
    <s v="Expense"/>
    <m/>
    <x v="101"/>
    <x v="5"/>
    <x v="1"/>
    <x v="15"/>
    <m/>
    <s v="10541 BofA San Francisco"/>
    <n v="86.03"/>
    <n v="3052.68"/>
    <n v="86.03"/>
  </r>
  <r>
    <n v="65015"/>
    <s v="Travel Expense"/>
    <s v="06/09/2014"/>
    <s v="Expense"/>
    <m/>
    <x v="101"/>
    <x v="5"/>
    <x v="1"/>
    <x v="15"/>
    <m/>
    <s v="10541 BofA San Francisco"/>
    <n v="91.97"/>
    <n v="3201.64"/>
    <n v="91.97"/>
  </r>
  <r>
    <n v="65020"/>
    <s v="Postage, Mailing Service"/>
    <s v="04/21/2014"/>
    <s v="Check"/>
    <m/>
    <x v="7"/>
    <x v="5"/>
    <x v="1"/>
    <x v="3"/>
    <m/>
    <s v="10541 BofA San Francisco"/>
    <n v="32.67"/>
    <n v="1059.68"/>
    <n v="32.67"/>
  </r>
  <r>
    <n v="65025"/>
    <s v="Bank Service Charges"/>
    <s v="02/03/2014"/>
    <s v="Check"/>
    <m/>
    <x v="92"/>
    <x v="5"/>
    <x v="1"/>
    <x v="14"/>
    <m/>
    <s v="10542 BofA San Fran Restricted 0918"/>
    <n v="6.2"/>
    <n v="217.2"/>
    <n v="6.2"/>
  </r>
  <r>
    <n v="65030"/>
    <s v="Printing and Copying"/>
    <s v="03/26/2014"/>
    <s v="Check"/>
    <m/>
    <x v="527"/>
    <x v="5"/>
    <x v="1"/>
    <x v="20"/>
    <m/>
    <s v="10541 BofA San Francisco"/>
    <n v="234.76"/>
    <n v="684.67"/>
    <n v="234.76"/>
  </r>
  <r>
    <n v="65036"/>
    <s v="Volunteer Hospitality"/>
    <s v="01/27/2014"/>
    <s v="Check"/>
    <m/>
    <x v="628"/>
    <x v="5"/>
    <x v="1"/>
    <x v="13"/>
    <m/>
    <s v="10541 BofA San Francisco"/>
    <n v="140.11000000000001"/>
    <n v="264.04000000000002"/>
    <n v="140.11000000000001"/>
  </r>
  <r>
    <n v="65036"/>
    <s v="Volunteer Hospitality"/>
    <s v="02/13/2014"/>
    <s v="Check"/>
    <m/>
    <x v="629"/>
    <x v="5"/>
    <x v="1"/>
    <x v="13"/>
    <m/>
    <s v="10541 BofA San Francisco"/>
    <n v="35"/>
    <n v="657.91"/>
    <n v="35"/>
  </r>
  <r>
    <n v="65036"/>
    <s v="Volunteer Hospitality"/>
    <s v="06/02/2014"/>
    <s v="Check"/>
    <n v="1114"/>
    <x v="91"/>
    <x v="5"/>
    <x v="1"/>
    <x v="13"/>
    <m/>
    <s v="10541 BofA San Francisco"/>
    <n v="69.260000000000005"/>
    <n v="4945.8"/>
    <n v="69.260000000000005"/>
  </r>
  <r>
    <n v="65040"/>
    <s v="Supplies"/>
    <s v="01/22/2014"/>
    <s v="Check"/>
    <m/>
    <x v="156"/>
    <x v="5"/>
    <x v="1"/>
    <x v="4"/>
    <m/>
    <s v="10541 BofA San Francisco"/>
    <n v="60.79"/>
    <n v="630.30999999999995"/>
    <n v="60.79"/>
  </r>
  <r>
    <n v="65040"/>
    <s v="Supplies"/>
    <s v="05/16/2014"/>
    <s v="Check"/>
    <n v="1111"/>
    <x v="156"/>
    <x v="5"/>
    <x v="1"/>
    <x v="4"/>
    <m/>
    <s v="10541 BofA San Francisco"/>
    <n v="83.83"/>
    <n v="1438.49"/>
    <n v="83.83"/>
  </r>
  <r>
    <n v="65045"/>
    <s v="Rent"/>
    <s v="01/03/2014"/>
    <s v="Check"/>
    <m/>
    <x v="102"/>
    <x v="5"/>
    <x v="1"/>
    <x v="16"/>
    <m/>
    <s v="10541 BofA San Francisco"/>
    <n v="437"/>
    <n v="522"/>
    <n v="437"/>
  </r>
  <r>
    <n v="65045"/>
    <s v="Rent"/>
    <s v="02/03/2014"/>
    <s v="Check"/>
    <m/>
    <x v="102"/>
    <x v="5"/>
    <x v="1"/>
    <x v="16"/>
    <m/>
    <s v="10541 BofA San Francisco"/>
    <n v="437"/>
    <n v="1181"/>
    <n v="437"/>
  </r>
  <r>
    <n v="65045"/>
    <s v="Rent"/>
    <s v="03/03/2014"/>
    <s v="Check"/>
    <m/>
    <x v="102"/>
    <x v="5"/>
    <x v="1"/>
    <x v="16"/>
    <m/>
    <s v="10541 BofA San Francisco"/>
    <n v="437"/>
    <n v="1753"/>
    <n v="437"/>
  </r>
  <r>
    <n v="65045"/>
    <s v="Rent"/>
    <s v="03/10/2014"/>
    <s v="Check"/>
    <m/>
    <x v="102"/>
    <x v="5"/>
    <x v="1"/>
    <x v="16"/>
    <m/>
    <s v="10541 BofA San Francisco"/>
    <n v="250.35"/>
    <n v="2093.35"/>
    <n v="250.35"/>
  </r>
  <r>
    <n v="65045"/>
    <s v="Rent"/>
    <s v="04/03/2014"/>
    <s v="Check"/>
    <m/>
    <x v="102"/>
    <x v="5"/>
    <x v="1"/>
    <x v="16"/>
    <m/>
    <s v="10541 BofA San Francisco"/>
    <n v="437"/>
    <n v="2665.35"/>
    <n v="437"/>
  </r>
  <r>
    <n v="65045"/>
    <s v="Rent"/>
    <s v="05/05/2014"/>
    <s v="Expense"/>
    <m/>
    <x v="102"/>
    <x v="5"/>
    <x v="1"/>
    <x v="16"/>
    <m/>
    <s v="10541 BofA San Francisco"/>
    <n v="437"/>
    <n v="3327.35"/>
    <n v="437"/>
  </r>
  <r>
    <n v="65045"/>
    <s v="Rent"/>
    <s v="06/03/2014"/>
    <s v="Expense"/>
    <m/>
    <x v="102"/>
    <x v="5"/>
    <x v="1"/>
    <x v="16"/>
    <m/>
    <s v="10541 BofA San Francisco"/>
    <n v="437"/>
    <n v="3854.35"/>
    <n v="437"/>
  </r>
  <r>
    <n v="65050"/>
    <s v="Telephone, Telecommunications"/>
    <s v="02/04/2014"/>
    <s v="Check"/>
    <m/>
    <x v="630"/>
    <x v="5"/>
    <x v="1"/>
    <x v="17"/>
    <m/>
    <s v="10541 BofA San Francisco"/>
    <n v="59.95"/>
    <n v="166.01"/>
    <n v="59.95"/>
  </r>
  <r>
    <n v="65050"/>
    <s v="Telephone, Telecommunications"/>
    <s v="04/16/2014"/>
    <s v="Check"/>
    <n v="1100"/>
    <x v="103"/>
    <x v="5"/>
    <x v="1"/>
    <x v="17"/>
    <m/>
    <s v="10541 BofA San Francisco"/>
    <n v="359.9"/>
    <n v="525.91"/>
    <n v="359.9"/>
  </r>
  <r>
    <n v="65061"/>
    <s v="Material for Rooms Expense"/>
    <s v="01/02/2014"/>
    <s v="Deposit"/>
    <m/>
    <x v="631"/>
    <x v="5"/>
    <x v="1"/>
    <x v="5"/>
    <s v="Beard Growing web design"/>
    <s v="10541 BofA San Francisco"/>
    <n v="-35.200000000000003"/>
    <n v="-9159.84"/>
    <n v="-35.200000000000003"/>
  </r>
  <r>
    <n v="65061"/>
    <s v="Material for Rooms Expense"/>
    <s v="01/21/2014"/>
    <s v="Check"/>
    <n v="1095"/>
    <x v="632"/>
    <x v="5"/>
    <x v="1"/>
    <x v="5"/>
    <m/>
    <s v="10541 BofA San Francisco"/>
    <n v="10"/>
    <n v="10003.43"/>
    <n v="10"/>
  </r>
  <r>
    <n v="65061"/>
    <s v="Material for Rooms Expense"/>
    <s v="01/21/2014"/>
    <s v="Check"/>
    <m/>
    <x v="633"/>
    <x v="5"/>
    <x v="1"/>
    <x v="5"/>
    <m/>
    <s v="10541 BofA San Francisco"/>
    <n v="40"/>
    <n v="11620.64"/>
    <n v="40"/>
  </r>
  <r>
    <n v="65061"/>
    <s v="Material for Rooms Expense"/>
    <s v="01/24/2014"/>
    <s v="Check"/>
    <n v="1096"/>
    <x v="634"/>
    <x v="5"/>
    <x v="1"/>
    <x v="5"/>
    <m/>
    <s v="10541 BofA San Francisco"/>
    <n v="670.13"/>
    <n v="18819.66"/>
    <n v="670.13"/>
  </r>
  <r>
    <n v="65061"/>
    <s v="Material for Rooms Expense"/>
    <s v="01/27/2014"/>
    <s v="Check"/>
    <m/>
    <x v="635"/>
    <x v="5"/>
    <x v="1"/>
    <x v="5"/>
    <m/>
    <s v="10541 BofA San Francisco"/>
    <n v="17.95"/>
    <n v="20332.84"/>
    <n v="17.95"/>
  </r>
  <r>
    <n v="65061"/>
    <s v="Material for Rooms Expense"/>
    <s v="01/29/2014"/>
    <s v="Check"/>
    <m/>
    <x v="233"/>
    <x v="5"/>
    <x v="1"/>
    <x v="5"/>
    <m/>
    <s v="10541 BofA San Francisco"/>
    <n v="183.74"/>
    <n v="21971.18"/>
    <n v="183.74"/>
  </r>
  <r>
    <n v="65061"/>
    <s v="Material for Rooms Expense"/>
    <s v="02/06/2014"/>
    <s v="Check"/>
    <n v="1097"/>
    <x v="636"/>
    <x v="5"/>
    <x v="1"/>
    <x v="5"/>
    <m/>
    <s v="10541 BofA San Francisco"/>
    <n v="147.15"/>
    <n v="30538.78"/>
    <n v="147.15"/>
  </r>
  <r>
    <n v="65061"/>
    <s v="Material for Rooms Expense"/>
    <s v="02/10/2014"/>
    <s v="Check"/>
    <m/>
    <x v="637"/>
    <x v="5"/>
    <x v="1"/>
    <x v="5"/>
    <m/>
    <s v="10541 BofA San Francisco"/>
    <n v="1"/>
    <n v="38232.300000000003"/>
    <n v="1"/>
  </r>
  <r>
    <n v="65061"/>
    <s v="Material for Rooms Expense"/>
    <s v="02/12/2014"/>
    <s v="Check"/>
    <m/>
    <x v="33"/>
    <x v="5"/>
    <x v="1"/>
    <x v="5"/>
    <m/>
    <s v="10541 BofA San Francisco"/>
    <n v="19.989999999999998"/>
    <n v="39120.089999999997"/>
    <n v="19.989999999999998"/>
  </r>
  <r>
    <n v="65061"/>
    <s v="Material for Rooms Expense"/>
    <s v="02/12/2014"/>
    <s v="Check"/>
    <m/>
    <x v="33"/>
    <x v="5"/>
    <x v="1"/>
    <x v="5"/>
    <m/>
    <s v="10541 BofA San Francisco"/>
    <n v="65.19"/>
    <n v="39185.279999999999"/>
    <n v="65.19"/>
  </r>
  <r>
    <n v="65061"/>
    <s v="Material for Rooms Expense"/>
    <s v="02/12/2014"/>
    <s v="Check"/>
    <m/>
    <x v="33"/>
    <x v="5"/>
    <x v="1"/>
    <x v="5"/>
    <m/>
    <s v="10541 BofA San Francisco"/>
    <n v="130.13999999999999"/>
    <n v="39315.42"/>
    <n v="130.13999999999999"/>
  </r>
  <r>
    <n v="65061"/>
    <s v="Material for Rooms Expense"/>
    <s v="02/12/2014"/>
    <s v="Check"/>
    <m/>
    <x v="638"/>
    <x v="5"/>
    <x v="1"/>
    <x v="5"/>
    <m/>
    <s v="10541 BofA San Francisco"/>
    <n v="125.8"/>
    <n v="39506.75"/>
    <n v="125.8"/>
  </r>
  <r>
    <n v="65061"/>
    <s v="Material for Rooms Expense"/>
    <s v="02/12/2014"/>
    <s v="Check"/>
    <m/>
    <x v="228"/>
    <x v="5"/>
    <x v="1"/>
    <x v="5"/>
    <m/>
    <s v="10541 BofA San Francisco"/>
    <n v="132.19"/>
    <n v="40191.760000000002"/>
    <n v="132.19"/>
  </r>
  <r>
    <n v="65061"/>
    <s v="Material for Rooms Expense"/>
    <s v="02/18/2014"/>
    <s v="Check"/>
    <m/>
    <x v="228"/>
    <x v="5"/>
    <x v="1"/>
    <x v="5"/>
    <m/>
    <s v="10541 BofA San Francisco"/>
    <n v="78.069999999999993"/>
    <n v="43974.5"/>
    <n v="78.069999999999993"/>
  </r>
  <r>
    <n v="65061"/>
    <s v="Material for Rooms Expense"/>
    <s v="02/21/2014"/>
    <s v="Check"/>
    <n v="1104"/>
    <x v="639"/>
    <x v="5"/>
    <x v="1"/>
    <x v="5"/>
    <m/>
    <s v="10541 BofA San Francisco"/>
    <n v="2980.51"/>
    <n v="50860.81"/>
    <n v="2980.51"/>
  </r>
  <r>
    <n v="65061"/>
    <s v="Material for Rooms Expense"/>
    <s v="02/24/2014"/>
    <s v="Deposit"/>
    <m/>
    <x v="638"/>
    <x v="5"/>
    <x v="1"/>
    <x v="5"/>
    <m/>
    <s v="10541 BofA San Francisco"/>
    <n v="-125.8"/>
    <n v="53005.38"/>
    <n v="-125.8"/>
  </r>
  <r>
    <n v="65061"/>
    <s v="Material for Rooms Expense"/>
    <s v="02/25/2014"/>
    <s v="Check"/>
    <n v="1105"/>
    <x v="91"/>
    <x v="5"/>
    <x v="1"/>
    <x v="5"/>
    <m/>
    <s v="10541 BofA San Francisco"/>
    <n v="223.59"/>
    <n v="54494.63"/>
    <n v="223.59"/>
  </r>
  <r>
    <n v="65061"/>
    <s v="Material for Rooms Expense"/>
    <s v="02/27/2014"/>
    <s v="Check"/>
    <n v="1107"/>
    <x v="123"/>
    <x v="5"/>
    <x v="1"/>
    <x v="5"/>
    <m/>
    <s v="10541 BofA San Francisco"/>
    <n v="43.19"/>
    <n v="57217.78"/>
    <n v="43.19"/>
  </r>
  <r>
    <n v="65061"/>
    <s v="Material for Rooms Expense"/>
    <s v="03/07/2014"/>
    <s v="Check"/>
    <m/>
    <x v="640"/>
    <x v="5"/>
    <x v="1"/>
    <x v="5"/>
    <m/>
    <s v="10541 BofA San Francisco"/>
    <n v="15.2"/>
    <n v="65649.13"/>
    <n v="15.2"/>
  </r>
  <r>
    <n v="65061"/>
    <s v="Material for Rooms Expense"/>
    <s v="03/10/2014"/>
    <s v="Check"/>
    <m/>
    <x v="53"/>
    <x v="5"/>
    <x v="1"/>
    <x v="5"/>
    <m/>
    <s v="10541 BofA San Francisco"/>
    <n v="25"/>
    <n v="67835.91"/>
    <n v="25"/>
  </r>
  <r>
    <n v="65061"/>
    <s v="Material for Rooms Expense"/>
    <s v="03/10/2014"/>
    <s v="Deposit"/>
    <m/>
    <x v="53"/>
    <x v="5"/>
    <x v="1"/>
    <x v="5"/>
    <m/>
    <s v="10541 BofA San Francisco"/>
    <n v="-4.38"/>
    <n v="67831.53"/>
    <n v="-4.38"/>
  </r>
  <r>
    <n v="65061"/>
    <s v="Material for Rooms Expense"/>
    <s v="03/20/2014"/>
    <s v="Check"/>
    <n v="1108"/>
    <x v="121"/>
    <x v="5"/>
    <x v="1"/>
    <x v="5"/>
    <m/>
    <s v="10541 BofA San Francisco"/>
    <n v="55.57"/>
    <n v="74745.259999999995"/>
    <n v="55.57"/>
  </r>
  <r>
    <n v="65061"/>
    <s v="Material for Rooms Expense"/>
    <s v="03/21/2014"/>
    <s v="Check"/>
    <m/>
    <x v="641"/>
    <x v="5"/>
    <x v="1"/>
    <x v="5"/>
    <m/>
    <s v="10541 BofA San Francisco"/>
    <n v="108.95"/>
    <n v="74854.210000000006"/>
    <n v="108.95"/>
  </r>
  <r>
    <n v="65061"/>
    <s v="Material for Rooms Expense"/>
    <s v="03/24/2014"/>
    <s v="Check"/>
    <m/>
    <x v="33"/>
    <x v="5"/>
    <x v="1"/>
    <x v="5"/>
    <m/>
    <s v="10541 BofA San Francisco"/>
    <n v="53.28"/>
    <n v="75023.67"/>
    <n v="53.28"/>
  </r>
  <r>
    <n v="65061"/>
    <s v="Material for Rooms Expense"/>
    <s v="03/24/2014"/>
    <s v="Check"/>
    <m/>
    <x v="641"/>
    <x v="5"/>
    <x v="1"/>
    <x v="5"/>
    <m/>
    <s v="10541 BofA San Francisco"/>
    <n v="54.45"/>
    <n v="75078.12"/>
    <n v="54.45"/>
  </r>
  <r>
    <n v="65061"/>
    <s v="Material for Rooms Expense"/>
    <s v="03/24/2014"/>
    <s v="Check"/>
    <m/>
    <x v="642"/>
    <x v="5"/>
    <x v="1"/>
    <x v="5"/>
    <m/>
    <s v="10541 BofA San Francisco"/>
    <n v="2.71"/>
    <n v="75281.34"/>
    <n v="2.71"/>
  </r>
  <r>
    <n v="65061"/>
    <s v="Material for Rooms Expense"/>
    <s v="03/24/2014"/>
    <s v="Check"/>
    <m/>
    <x v="29"/>
    <x v="5"/>
    <x v="1"/>
    <x v="5"/>
    <m/>
    <s v="10541 BofA San Francisco"/>
    <n v="384.84"/>
    <n v="75666.179999999993"/>
    <n v="384.84"/>
  </r>
  <r>
    <n v="65061"/>
    <s v="Material for Rooms Expense"/>
    <s v="03/24/2014"/>
    <s v="Check"/>
    <m/>
    <x v="641"/>
    <x v="5"/>
    <x v="1"/>
    <x v="5"/>
    <m/>
    <s v="10541 BofA San Francisco"/>
    <n v="98"/>
    <n v="75764.179999999993"/>
    <n v="98"/>
  </r>
  <r>
    <n v="65061"/>
    <s v="Material for Rooms Expense"/>
    <s v="03/27/2014"/>
    <s v="Check"/>
    <m/>
    <x v="643"/>
    <x v="5"/>
    <x v="1"/>
    <x v="5"/>
    <m/>
    <s v="10541 BofA San Francisco"/>
    <n v="65.38"/>
    <n v="78216.13"/>
    <n v="65.38"/>
  </r>
  <r>
    <n v="65061"/>
    <s v="Material for Rooms Expense"/>
    <s v="03/27/2014"/>
    <s v="Check"/>
    <m/>
    <x v="73"/>
    <x v="5"/>
    <x v="1"/>
    <x v="5"/>
    <m/>
    <s v="10541 BofA San Francisco"/>
    <n v="953.46"/>
    <n v="79344.59"/>
    <n v="953.46"/>
  </r>
  <r>
    <n v="65061"/>
    <s v="Material for Rooms Expense"/>
    <s v="03/27/2014"/>
    <s v="Check"/>
    <m/>
    <x v="73"/>
    <x v="5"/>
    <x v="1"/>
    <x v="5"/>
    <m/>
    <s v="10541 BofA San Francisco"/>
    <n v="611.9"/>
    <n v="80006.490000000005"/>
    <n v="611.9"/>
  </r>
  <r>
    <n v="65061"/>
    <s v="Material for Rooms Expense"/>
    <s v="03/28/2014"/>
    <s v="Check"/>
    <m/>
    <x v="112"/>
    <x v="5"/>
    <x v="1"/>
    <x v="5"/>
    <m/>
    <s v="10541 BofA San Francisco"/>
    <n v="23.71"/>
    <n v="80225.19"/>
    <n v="23.71"/>
  </r>
  <r>
    <n v="65061"/>
    <s v="Material for Rooms Expense"/>
    <s v="03/28/2014"/>
    <s v="Check"/>
    <m/>
    <x v="644"/>
    <x v="5"/>
    <x v="1"/>
    <x v="5"/>
    <m/>
    <s v="10541 BofA San Francisco"/>
    <n v="81.3"/>
    <n v="80306.490000000005"/>
    <n v="81.3"/>
  </r>
  <r>
    <n v="65061"/>
    <s v="Material for Rooms Expense"/>
    <s v="03/28/2014"/>
    <s v="Check"/>
    <m/>
    <x v="19"/>
    <x v="5"/>
    <x v="1"/>
    <x v="5"/>
    <m/>
    <s v="10541 BofA San Francisco"/>
    <n v="161.41999999999999"/>
    <n v="80467.91"/>
    <n v="161.41999999999999"/>
  </r>
  <r>
    <n v="65061"/>
    <s v="Material for Rooms Expense"/>
    <s v="03/31/2014"/>
    <s v="Check"/>
    <m/>
    <x v="53"/>
    <x v="5"/>
    <x v="1"/>
    <x v="5"/>
    <m/>
    <s v="10541 BofA San Francisco"/>
    <n v="421.43"/>
    <n v="80954.34"/>
    <n v="421.43"/>
  </r>
  <r>
    <n v="65061"/>
    <s v="Material for Rooms Expense"/>
    <s v="03/31/2014"/>
    <s v="Check"/>
    <m/>
    <x v="41"/>
    <x v="5"/>
    <x v="1"/>
    <x v="5"/>
    <m/>
    <s v="10541 BofA San Francisco"/>
    <n v="71.97"/>
    <n v="81069.11"/>
    <n v="71.97"/>
  </r>
  <r>
    <n v="65061"/>
    <s v="Material for Rooms Expense"/>
    <s v="03/31/2014"/>
    <s v="Check"/>
    <m/>
    <x v="109"/>
    <x v="5"/>
    <x v="1"/>
    <x v="5"/>
    <m/>
    <s v="10541 BofA San Francisco"/>
    <n v="134.07"/>
    <n v="81306.64"/>
    <n v="134.07"/>
  </r>
  <r>
    <n v="65061"/>
    <s v="Material for Rooms Expense"/>
    <s v="03/31/2014"/>
    <s v="Check"/>
    <m/>
    <x v="23"/>
    <x v="5"/>
    <x v="1"/>
    <x v="5"/>
    <m/>
    <s v="10541 BofA San Francisco"/>
    <n v="465.75"/>
    <n v="82105.78"/>
    <n v="465.75"/>
  </r>
  <r>
    <n v="65061"/>
    <s v="Material for Rooms Expense"/>
    <s v="03/31/2014"/>
    <s v="Check"/>
    <m/>
    <x v="645"/>
    <x v="5"/>
    <x v="1"/>
    <x v="5"/>
    <m/>
    <s v="10541 BofA San Francisco"/>
    <n v="57.9"/>
    <n v="82303.77"/>
    <n v="57.9"/>
  </r>
  <r>
    <n v="65061"/>
    <s v="Material for Rooms Expense"/>
    <s v="03/31/2014"/>
    <s v="Check"/>
    <m/>
    <x v="122"/>
    <x v="5"/>
    <x v="1"/>
    <x v="5"/>
    <m/>
    <s v="10541 BofA San Francisco"/>
    <n v="86.04"/>
    <n v="82389.81"/>
    <n v="86.04"/>
  </r>
  <r>
    <n v="65061"/>
    <s v="Material for Rooms Expense"/>
    <s v="03/31/2014"/>
    <s v="Check"/>
    <m/>
    <x v="53"/>
    <x v="5"/>
    <x v="1"/>
    <x v="5"/>
    <m/>
    <s v="10541 BofA San Francisco"/>
    <n v="63.73"/>
    <n v="82453.539999999994"/>
    <n v="63.73"/>
  </r>
  <r>
    <n v="65061"/>
    <s v="Material for Rooms Expense"/>
    <s v="04/01/2014"/>
    <s v="Check"/>
    <m/>
    <x v="522"/>
    <x v="5"/>
    <x v="1"/>
    <x v="5"/>
    <m/>
    <s v="10541 BofA San Francisco"/>
    <n v="261.97000000000003"/>
    <n v="83420.460000000006"/>
    <n v="261.97000000000003"/>
  </r>
  <r>
    <n v="65061"/>
    <s v="Material for Rooms Expense"/>
    <s v="04/01/2014"/>
    <s v="Check"/>
    <n v="1109"/>
    <x v="632"/>
    <x v="5"/>
    <x v="1"/>
    <x v="5"/>
    <m/>
    <s v="10541 BofA San Francisco"/>
    <n v="76.8"/>
    <n v="83590.710000000006"/>
    <n v="76.8"/>
  </r>
  <r>
    <n v="65061"/>
    <s v="Material for Rooms Expense"/>
    <s v="04/09/2014"/>
    <s v="Deposit"/>
    <m/>
    <x v="641"/>
    <x v="5"/>
    <x v="1"/>
    <x v="5"/>
    <m/>
    <s v="10541 BofA San Francisco"/>
    <n v="-54.45"/>
    <n v="90468.77"/>
    <n v="-54.45"/>
  </r>
  <r>
    <n v="65061"/>
    <s v="Material for Rooms Expense"/>
    <s v="04/17/2014"/>
    <s v="Deposit"/>
    <m/>
    <x v="53"/>
    <x v="5"/>
    <x v="1"/>
    <x v="5"/>
    <m/>
    <s v="10541 BofA San Francisco"/>
    <n v="-36.979999999999997"/>
    <n v="97558.399999999994"/>
    <n v="-36.979999999999997"/>
  </r>
  <r>
    <n v="65061"/>
    <s v="Material for Rooms Expense"/>
    <s v="04/22/2014"/>
    <s v="Check"/>
    <m/>
    <x v="19"/>
    <x v="5"/>
    <x v="1"/>
    <x v="5"/>
    <m/>
    <s v="10541 BofA San Francisco"/>
    <n v="38.14"/>
    <n v="101693.94"/>
    <n v="38.14"/>
  </r>
  <r>
    <n v="65061"/>
    <s v="Material for Rooms Expense"/>
    <s v="04/23/2014"/>
    <s v="Check"/>
    <m/>
    <x v="33"/>
    <x v="5"/>
    <x v="1"/>
    <x v="5"/>
    <m/>
    <s v="10541 BofA San Francisco"/>
    <n v="60.7"/>
    <n v="102162.91"/>
    <n v="60.7"/>
  </r>
  <r>
    <n v="65061"/>
    <s v="Material for Rooms Expense"/>
    <s v="04/23/2014"/>
    <s v="Check"/>
    <m/>
    <x v="33"/>
    <x v="5"/>
    <x v="1"/>
    <x v="5"/>
    <m/>
    <s v="10541 BofA San Francisco"/>
    <n v="52.47"/>
    <n v="102215.38"/>
    <n v="52.47"/>
  </r>
  <r>
    <n v="65061"/>
    <s v="Material for Rooms Expense"/>
    <s v="04/24/2014"/>
    <s v="Check"/>
    <m/>
    <x v="33"/>
    <x v="5"/>
    <x v="1"/>
    <x v="5"/>
    <m/>
    <s v="10541 BofA San Francisco"/>
    <n v="17.41"/>
    <n v="103744.11"/>
    <n v="17.41"/>
  </r>
  <r>
    <n v="65061"/>
    <s v="Material for Rooms Expense"/>
    <s v="04/28/2014"/>
    <s v="Check"/>
    <m/>
    <x v="8"/>
    <x v="5"/>
    <x v="1"/>
    <x v="5"/>
    <m/>
    <s v="10541 BofA San Francisco"/>
    <n v="38.67"/>
    <n v="105432.99"/>
    <n v="38.67"/>
  </r>
  <r>
    <n v="65061"/>
    <s v="Material for Rooms Expense"/>
    <s v="04/28/2014"/>
    <s v="Check"/>
    <m/>
    <x v="88"/>
    <x v="5"/>
    <x v="1"/>
    <x v="5"/>
    <m/>
    <s v="10541 BofA San Francisco"/>
    <n v="16.559999999999999"/>
    <n v="106829.5"/>
    <n v="16.559999999999999"/>
  </r>
  <r>
    <n v="65061"/>
    <s v="Material for Rooms Expense"/>
    <s v="04/28/2014"/>
    <s v="Check"/>
    <m/>
    <x v="19"/>
    <x v="5"/>
    <x v="1"/>
    <x v="5"/>
    <m/>
    <s v="10541 BofA San Francisco"/>
    <n v="175.41"/>
    <n v="108116.86"/>
    <n v="175.41"/>
  </r>
  <r>
    <n v="65061"/>
    <s v="Material for Rooms Expense"/>
    <s v="04/30/2014"/>
    <s v="Check"/>
    <m/>
    <x v="33"/>
    <x v="5"/>
    <x v="1"/>
    <x v="5"/>
    <m/>
    <s v="10541 BofA San Francisco"/>
    <n v="107.42"/>
    <n v="110647.85"/>
    <n v="107.42"/>
  </r>
  <r>
    <n v="65061"/>
    <s v="Material for Rooms Expense"/>
    <s v="05/07/2014"/>
    <s v="Expense"/>
    <m/>
    <x v="640"/>
    <x v="5"/>
    <x v="1"/>
    <x v="5"/>
    <m/>
    <s v="10541 BofA San Francisco"/>
    <n v="15.2"/>
    <n v="121997.12"/>
    <n v="15.2"/>
  </r>
  <r>
    <n v="65061"/>
    <s v="Material for Rooms Expense"/>
    <s v="05/12/2014"/>
    <s v="Expense"/>
    <m/>
    <x v="66"/>
    <x v="5"/>
    <x v="1"/>
    <x v="5"/>
    <m/>
    <s v="10541 BofA San Francisco"/>
    <n v="1855.62"/>
    <n v="131427.84"/>
    <n v="1855.62"/>
  </r>
  <r>
    <n v="65061"/>
    <s v="Material for Rooms Expense"/>
    <s v="05/15/2014"/>
    <s v="Check"/>
    <n v="1113"/>
    <x v="646"/>
    <x v="5"/>
    <x v="1"/>
    <x v="5"/>
    <m/>
    <s v="10541 BofA San Francisco"/>
    <n v="415.23"/>
    <n v="132766.22"/>
    <n v="415.23"/>
  </r>
  <r>
    <n v="65061"/>
    <s v="Material for Rooms Expense"/>
    <s v="05/15/2014"/>
    <s v="Expense"/>
    <m/>
    <x v="647"/>
    <x v="5"/>
    <x v="1"/>
    <x v="5"/>
    <m/>
    <s v="10541 BofA San Francisco"/>
    <n v="33.9"/>
    <n v="133030.15"/>
    <n v="33.9"/>
  </r>
  <r>
    <n v="65061"/>
    <s v="Material for Rooms Expense"/>
    <s v="05/15/2014"/>
    <s v="Expense"/>
    <m/>
    <x v="648"/>
    <x v="5"/>
    <x v="1"/>
    <x v="5"/>
    <m/>
    <s v="10541 BofA San Francisco"/>
    <n v="23"/>
    <n v="135828.47"/>
    <n v="23"/>
  </r>
  <r>
    <n v="65061"/>
    <s v="Material for Rooms Expense"/>
    <s v="05/16/2014"/>
    <s v="Check"/>
    <n v="1117"/>
    <x v="123"/>
    <x v="5"/>
    <x v="1"/>
    <x v="5"/>
    <m/>
    <s v="10541 BofA San Francisco"/>
    <n v="72.56"/>
    <n v="136020.67000000001"/>
    <n v="72.56"/>
  </r>
  <r>
    <n v="65061"/>
    <s v="Material for Rooms Expense"/>
    <s v="05/16/2014"/>
    <s v="Expense"/>
    <m/>
    <x v="62"/>
    <x v="5"/>
    <x v="1"/>
    <x v="5"/>
    <m/>
    <s v="10541 BofA San Francisco"/>
    <n v="69.14"/>
    <n v="136601.67000000001"/>
    <n v="69.14"/>
  </r>
  <r>
    <n v="65061"/>
    <s v="Material for Rooms Expense"/>
    <s v="05/16/2014"/>
    <s v="Expense"/>
    <m/>
    <x v="19"/>
    <x v="5"/>
    <x v="1"/>
    <x v="5"/>
    <m/>
    <s v="10541 BofA San Francisco"/>
    <n v="91.16"/>
    <n v="136692.82999999999"/>
    <n v="91.16"/>
  </r>
  <r>
    <n v="65061"/>
    <s v="Material for Rooms Expense"/>
    <s v="05/16/2014"/>
    <s v="Check"/>
    <n v="1112"/>
    <x v="632"/>
    <x v="5"/>
    <x v="1"/>
    <x v="5"/>
    <m/>
    <s v="10541 BofA San Francisco"/>
    <n v="76.8"/>
    <n v="136769.63"/>
    <n v="76.8"/>
  </r>
  <r>
    <n v="65061"/>
    <s v="Material for Rooms Expense"/>
    <s v="05/19/2014"/>
    <s v="Expense"/>
    <m/>
    <x v="649"/>
    <x v="5"/>
    <x v="1"/>
    <x v="5"/>
    <m/>
    <s v="10541 BofA San Francisco"/>
    <n v="286.49"/>
    <n v="138743.29"/>
    <n v="286.49"/>
  </r>
  <r>
    <n v="65061"/>
    <s v="Material for Rooms Expense"/>
    <s v="05/19/2014"/>
    <s v="Expense"/>
    <m/>
    <x v="66"/>
    <x v="5"/>
    <x v="1"/>
    <x v="5"/>
    <m/>
    <s v="10541 BofA San Francisco"/>
    <n v="380.97"/>
    <n v="139124.26"/>
    <n v="380.97"/>
  </r>
  <r>
    <n v="65061"/>
    <s v="Material for Rooms Expense"/>
    <s v="05/19/2014"/>
    <s v="Expense"/>
    <m/>
    <x v="73"/>
    <x v="5"/>
    <x v="1"/>
    <x v="5"/>
    <m/>
    <s v="10541 BofA San Francisco"/>
    <n v="440.12"/>
    <n v="139564.38"/>
    <n v="440.12"/>
  </r>
  <r>
    <n v="65061"/>
    <s v="Material for Rooms Expense"/>
    <s v="05/21/2014"/>
    <s v="Expense"/>
    <m/>
    <x v="56"/>
    <x v="5"/>
    <x v="1"/>
    <x v="5"/>
    <m/>
    <s v="10541 BofA San Francisco"/>
    <n v="58.57"/>
    <n v="143018.79999999999"/>
    <n v="58.57"/>
  </r>
  <r>
    <n v="65061"/>
    <s v="Material for Rooms Expense"/>
    <s v="05/22/2014"/>
    <s v="Expense"/>
    <m/>
    <x v="56"/>
    <x v="5"/>
    <x v="1"/>
    <x v="5"/>
    <m/>
    <s v="10541 BofA San Francisco"/>
    <n v="26.02"/>
    <n v="143044.82"/>
    <n v="26.02"/>
  </r>
  <r>
    <n v="65061"/>
    <s v="Material for Rooms Expense"/>
    <s v="05/23/2014"/>
    <s v="Expense"/>
    <m/>
    <x v="19"/>
    <x v="5"/>
    <x v="1"/>
    <x v="5"/>
    <m/>
    <s v="10541 BofA San Francisco"/>
    <n v="54.45"/>
    <n v="144462.23000000001"/>
    <n v="54.45"/>
  </r>
  <r>
    <n v="65061"/>
    <s v="Material for Rooms Expense"/>
    <s v="05/27/2014"/>
    <s v="Expense"/>
    <m/>
    <x v="56"/>
    <x v="5"/>
    <x v="1"/>
    <x v="5"/>
    <m/>
    <s v="10541 BofA San Francisco"/>
    <n v="66.930000000000007"/>
    <n v="144818.78"/>
    <n v="66.930000000000007"/>
  </r>
  <r>
    <n v="65061"/>
    <s v="Material for Rooms Expense"/>
    <s v="05/27/2014"/>
    <s v="Deposit"/>
    <m/>
    <x v="56"/>
    <x v="5"/>
    <x v="1"/>
    <x v="5"/>
    <m/>
    <s v="10541 BofA San Francisco"/>
    <n v="-58.84"/>
    <n v="144988.04"/>
    <n v="-58.84"/>
  </r>
  <r>
    <n v="65061"/>
    <s v="Material for Rooms Expense"/>
    <s v="05/27/2014"/>
    <s v="Expense"/>
    <m/>
    <x v="650"/>
    <x v="5"/>
    <x v="1"/>
    <x v="5"/>
    <m/>
    <s v="10541 BofA San Francisco"/>
    <n v="411.8"/>
    <n v="145399.84"/>
    <n v="411.8"/>
  </r>
  <r>
    <n v="65061"/>
    <s v="Material for Rooms Expense"/>
    <s v="05/28/2014"/>
    <s v="Expense"/>
    <m/>
    <x v="118"/>
    <x v="5"/>
    <x v="1"/>
    <x v="5"/>
    <m/>
    <s v="10541 BofA San Francisco"/>
    <n v="44.62"/>
    <n v="146136.21"/>
    <n v="44.62"/>
  </r>
  <r>
    <n v="65061"/>
    <s v="Material for Rooms Expense"/>
    <s v="05/28/2014"/>
    <s v="Expense"/>
    <m/>
    <x v="29"/>
    <x v="5"/>
    <x v="1"/>
    <x v="5"/>
    <m/>
    <s v="10541 BofA San Francisco"/>
    <n v="70.75"/>
    <n v="146206.96"/>
    <n v="70.75"/>
  </r>
  <r>
    <n v="65061"/>
    <s v="Material for Rooms Expense"/>
    <s v="05/29/2014"/>
    <s v="Check"/>
    <n v="1118"/>
    <x v="651"/>
    <x v="5"/>
    <x v="1"/>
    <x v="5"/>
    <m/>
    <s v="10541 BofA San Francisco"/>
    <n v="425"/>
    <n v="147094.10999999999"/>
    <n v="425"/>
  </r>
  <r>
    <n v="65061"/>
    <s v="Material for Rooms Expense"/>
    <s v="05/29/2014"/>
    <s v="Expense"/>
    <m/>
    <x v="41"/>
    <x v="5"/>
    <x v="1"/>
    <x v="5"/>
    <m/>
    <s v="10541 BofA San Francisco"/>
    <n v="15.03"/>
    <n v="147231.29"/>
    <n v="15.03"/>
  </r>
  <r>
    <n v="65061"/>
    <s v="Material for Rooms Expense"/>
    <s v="05/30/2014"/>
    <s v="Expense"/>
    <m/>
    <x v="39"/>
    <x v="5"/>
    <x v="1"/>
    <x v="5"/>
    <m/>
    <s v="10541 BofA San Francisco"/>
    <n v="89.97"/>
    <n v="147321.26"/>
    <n v="89.97"/>
  </r>
  <r>
    <n v="65061"/>
    <s v="Material for Rooms Expense"/>
    <s v="05/30/2014"/>
    <s v="Expense"/>
    <m/>
    <x v="26"/>
    <x v="5"/>
    <x v="1"/>
    <x v="5"/>
    <m/>
    <s v="10541 BofA San Francisco"/>
    <n v="41.13"/>
    <n v="147449.35999999999"/>
    <n v="41.13"/>
  </r>
  <r>
    <n v="65061"/>
    <s v="Material for Rooms Expense"/>
    <s v="06/02/2014"/>
    <s v="Expense"/>
    <m/>
    <x v="160"/>
    <x v="5"/>
    <x v="1"/>
    <x v="5"/>
    <m/>
    <s v="10541 BofA San Francisco"/>
    <n v="123.74"/>
    <n v="147800.01999999999"/>
    <n v="123.74"/>
  </r>
  <r>
    <n v="65061"/>
    <s v="Material for Rooms Expense"/>
    <s v="06/02/2014"/>
    <s v="Expense"/>
    <m/>
    <x v="19"/>
    <x v="5"/>
    <x v="1"/>
    <x v="5"/>
    <m/>
    <s v="10541 BofA San Francisco"/>
    <n v="15.17"/>
    <n v="147815.19"/>
    <n v="15.17"/>
  </r>
  <r>
    <n v="65061"/>
    <s v="Material for Rooms Expense"/>
    <s v="06/02/2014"/>
    <s v="Expense"/>
    <m/>
    <x v="122"/>
    <x v="5"/>
    <x v="1"/>
    <x v="5"/>
    <m/>
    <s v="10541 BofA San Francisco"/>
    <n v="57"/>
    <n v="147872.19"/>
    <n v="57"/>
  </r>
  <r>
    <n v="65061"/>
    <s v="Material for Rooms Expense"/>
    <s v="06/05/2014"/>
    <s v="Expense"/>
    <m/>
    <x v="652"/>
    <x v="5"/>
    <x v="1"/>
    <x v="5"/>
    <m/>
    <s v="10541 BofA San Francisco"/>
    <n v="20.86"/>
    <n v="155690.75"/>
    <n v="20.86"/>
  </r>
  <r>
    <n v="65061"/>
    <s v="Material for Rooms Expense"/>
    <s v="06/05/2014"/>
    <s v="Expense"/>
    <m/>
    <x v="53"/>
    <x v="5"/>
    <x v="1"/>
    <x v="5"/>
    <m/>
    <s v="10541 BofA San Francisco"/>
    <n v="149.32"/>
    <n v="155840.07"/>
    <n v="149.32"/>
  </r>
  <r>
    <n v="65061"/>
    <s v="Material for Rooms Expense"/>
    <s v="06/06/2014"/>
    <s v="Expense"/>
    <m/>
    <x v="653"/>
    <x v="5"/>
    <x v="1"/>
    <x v="5"/>
    <m/>
    <s v="10541 BofA San Francisco"/>
    <n v="51.38"/>
    <n v="156457.76"/>
    <n v="51.38"/>
  </r>
  <r>
    <n v="65061"/>
    <s v="Material for Rooms Expense"/>
    <s v="06/06/2014"/>
    <s v="Expense"/>
    <m/>
    <x v="33"/>
    <x v="5"/>
    <x v="1"/>
    <x v="5"/>
    <m/>
    <s v="10541 BofA San Francisco"/>
    <n v="23.98"/>
    <n v="156481.74"/>
    <n v="23.98"/>
  </r>
  <r>
    <n v="65061"/>
    <s v="Material for Rooms Expense"/>
    <s v="06/06/2014"/>
    <s v="Expense"/>
    <m/>
    <x v="53"/>
    <x v="5"/>
    <x v="1"/>
    <x v="5"/>
    <m/>
    <s v="10541 BofA San Francisco"/>
    <n v="76.37"/>
    <n v="156558.10999999999"/>
    <n v="76.37"/>
  </r>
  <r>
    <n v="65061"/>
    <s v="Material for Rooms Expense"/>
    <s v="06/06/2014"/>
    <s v="Expense"/>
    <m/>
    <x v="53"/>
    <x v="5"/>
    <x v="1"/>
    <x v="5"/>
    <m/>
    <s v="10541 BofA San Francisco"/>
    <n v="12.56"/>
    <n v="156570.67000000001"/>
    <n v="12.56"/>
  </r>
  <r>
    <n v="65061"/>
    <s v="Material for Rooms Expense"/>
    <s v="06/06/2014"/>
    <s v="Expense"/>
    <m/>
    <x v="23"/>
    <x v="5"/>
    <x v="1"/>
    <x v="5"/>
    <m/>
    <s v="10541 BofA San Francisco"/>
    <n v="178.39"/>
    <n v="156749.06"/>
    <n v="178.39"/>
  </r>
  <r>
    <n v="65061"/>
    <s v="Material for Rooms Expense"/>
    <s v="06/06/2014"/>
    <s v="Expense"/>
    <m/>
    <x v="23"/>
    <x v="5"/>
    <x v="1"/>
    <x v="5"/>
    <m/>
    <s v="10541 BofA San Francisco"/>
    <n v="36.68"/>
    <n v="156785.74"/>
    <n v="36.68"/>
  </r>
  <r>
    <n v="65061"/>
    <s v="Material for Rooms Expense"/>
    <s v="06/06/2014"/>
    <s v="Expense"/>
    <m/>
    <x v="53"/>
    <x v="5"/>
    <x v="1"/>
    <x v="5"/>
    <m/>
    <s v="10541 BofA San Francisco"/>
    <n v="12.44"/>
    <n v="156798.18"/>
    <n v="12.44"/>
  </r>
  <r>
    <n v="65061"/>
    <s v="Material for Rooms Expense"/>
    <s v="06/06/2014"/>
    <s v="Expense"/>
    <m/>
    <x v="73"/>
    <x v="5"/>
    <x v="1"/>
    <x v="5"/>
    <m/>
    <s v="10541 BofA San Francisco"/>
    <n v="638.47"/>
    <n v="157436.65"/>
    <n v="638.47"/>
  </r>
  <r>
    <n v="65061"/>
    <s v="Material for Rooms Expense"/>
    <s v="06/06/2014"/>
    <s v="Check"/>
    <n v="1119"/>
    <x v="639"/>
    <x v="5"/>
    <x v="1"/>
    <x v="5"/>
    <m/>
    <s v="10541 BofA San Francisco"/>
    <n v="6163.83"/>
    <n v="163600.48000000001"/>
    <n v="6163.83"/>
  </r>
  <r>
    <n v="65061"/>
    <s v="Material for Rooms Expense"/>
    <s v="06/09/2014"/>
    <s v="Expense"/>
    <m/>
    <x v="29"/>
    <x v="5"/>
    <x v="1"/>
    <x v="5"/>
    <m/>
    <s v="10541 BofA San Francisco"/>
    <n v="150.26"/>
    <n v="163921.09"/>
    <n v="150.26"/>
  </r>
  <r>
    <n v="65061"/>
    <s v="Material for Rooms Expense"/>
    <s v="06/09/2014"/>
    <s v="Expense"/>
    <m/>
    <x v="159"/>
    <x v="5"/>
    <x v="1"/>
    <x v="5"/>
    <m/>
    <s v="10541 BofA San Francisco"/>
    <n v="53.7"/>
    <n v="165935.59"/>
    <n v="53.7"/>
  </r>
  <r>
    <n v="65061"/>
    <s v="Material for Rooms Expense"/>
    <s v="06/10/2014"/>
    <s v="Deposit"/>
    <m/>
    <x v="118"/>
    <x v="5"/>
    <x v="1"/>
    <x v="5"/>
    <m/>
    <s v="10541 BofA San Francisco"/>
    <n v="-18.5"/>
    <n v="165809.63"/>
    <n v="-18.5"/>
  </r>
  <r>
    <n v="65061"/>
    <s v="Material for Rooms Expense"/>
    <s v="06/11/2014"/>
    <s v="Deposit"/>
    <m/>
    <x v="19"/>
    <x v="5"/>
    <x v="1"/>
    <x v="5"/>
    <m/>
    <s v="10541 BofA San Francisco"/>
    <n v="-14.96"/>
    <n v="168694.71"/>
    <n v="-14.96"/>
  </r>
  <r>
    <n v="65061"/>
    <s v="Material for Rooms Expense"/>
    <s v="06/12/2014"/>
    <s v="Expense"/>
    <m/>
    <x v="33"/>
    <x v="5"/>
    <x v="1"/>
    <x v="5"/>
    <m/>
    <s v="10541 BofA San Francisco"/>
    <n v="29.98"/>
    <n v="169435.27"/>
    <n v="29.98"/>
  </r>
  <r>
    <n v="65061"/>
    <s v="Material for Rooms Expense"/>
    <s v="06/17/2014"/>
    <s v="Expense"/>
    <m/>
    <x v="110"/>
    <x v="5"/>
    <x v="1"/>
    <x v="5"/>
    <m/>
    <s v="10541 BofA San Francisco"/>
    <n v="9.8000000000000007"/>
    <n v="172939.71"/>
    <n v="9.8000000000000007"/>
  </r>
  <r>
    <n v="65061"/>
    <s v="Material for Rooms Expense"/>
    <s v="06/18/2014"/>
    <s v="Expense"/>
    <m/>
    <x v="33"/>
    <x v="5"/>
    <x v="1"/>
    <x v="5"/>
    <m/>
    <s v="10541 BofA San Francisco"/>
    <n v="24.38"/>
    <n v="175446.91"/>
    <n v="24.38"/>
  </r>
  <r>
    <n v="65061"/>
    <s v="Material for Rooms Expense"/>
    <s v="06/18/2014"/>
    <s v="Check"/>
    <n v="1120"/>
    <x v="654"/>
    <x v="5"/>
    <x v="1"/>
    <x v="5"/>
    <m/>
    <s v="10541 BofA San Francisco"/>
    <n v="1812.84"/>
    <n v="177259.75"/>
    <n v="1812.84"/>
  </r>
  <r>
    <n v="65061"/>
    <s v="Material for Rooms Expense"/>
    <s v="06/18/2014"/>
    <s v="Expense"/>
    <m/>
    <x v="33"/>
    <x v="5"/>
    <x v="1"/>
    <x v="5"/>
    <m/>
    <s v="10541 BofA San Francisco"/>
    <n v="40.14"/>
    <n v="179538.68"/>
    <n v="40.14"/>
  </r>
  <r>
    <n v="65061"/>
    <s v="Material for Rooms Expense"/>
    <s v="06/18/2014"/>
    <s v="Expense"/>
    <m/>
    <x v="19"/>
    <x v="5"/>
    <x v="1"/>
    <x v="5"/>
    <m/>
    <s v="10541 BofA San Francisco"/>
    <n v="265.93"/>
    <n v="179804.61"/>
    <n v="265.93"/>
  </r>
  <r>
    <n v="65061"/>
    <s v="Material for Rooms Expense"/>
    <s v="06/18/2014"/>
    <s v="Expense"/>
    <m/>
    <x v="41"/>
    <x v="5"/>
    <x v="1"/>
    <x v="5"/>
    <m/>
    <s v="10541 BofA San Francisco"/>
    <n v="94.18"/>
    <n v="179898.79"/>
    <n v="94.18"/>
  </r>
  <r>
    <n v="65061"/>
    <s v="Material for Rooms Expense"/>
    <s v="06/19/2014"/>
    <s v="Expense"/>
    <m/>
    <x v="655"/>
    <x v="5"/>
    <x v="1"/>
    <x v="5"/>
    <m/>
    <s v="10541 BofA San Francisco"/>
    <n v="8"/>
    <n v="179979.64"/>
    <n v="8"/>
  </r>
  <r>
    <n v="65061"/>
    <s v="Material for Rooms Expense"/>
    <s v="06/19/2014"/>
    <s v="Expense"/>
    <m/>
    <x v="656"/>
    <x v="5"/>
    <x v="1"/>
    <x v="5"/>
    <m/>
    <s v="10541 BofA San Francisco"/>
    <n v="54.13"/>
    <n v="180033.77"/>
    <n v="54.13"/>
  </r>
  <r>
    <n v="65061"/>
    <s v="Material for Rooms Expense"/>
    <s v="06/19/2014"/>
    <s v="Expense"/>
    <m/>
    <x v="425"/>
    <x v="5"/>
    <x v="1"/>
    <x v="5"/>
    <m/>
    <s v="10541 BofA San Francisco"/>
    <n v="147"/>
    <n v="180180.77"/>
    <n v="147"/>
  </r>
  <r>
    <n v="65061"/>
    <s v="Material for Rooms Expense"/>
    <s v="06/20/2014"/>
    <s v="Expense"/>
    <m/>
    <x v="657"/>
    <x v="5"/>
    <x v="1"/>
    <x v="5"/>
    <m/>
    <s v="10541 BofA San Francisco"/>
    <n v="428"/>
    <n v="180608.77"/>
    <n v="428"/>
  </r>
  <r>
    <n v="65061"/>
    <s v="Material for Rooms Expense"/>
    <s v="06/20/2014"/>
    <s v="Expense"/>
    <m/>
    <x v="658"/>
    <x v="5"/>
    <x v="1"/>
    <x v="5"/>
    <m/>
    <s v="10541 BofA San Francisco"/>
    <n v="47.41"/>
    <n v="180656.18"/>
    <n v="47.41"/>
  </r>
  <r>
    <n v="65061"/>
    <s v="Material for Rooms Expense"/>
    <s v="06/20/2014"/>
    <s v="Check"/>
    <n v="1121"/>
    <x v="659"/>
    <x v="5"/>
    <x v="1"/>
    <x v="5"/>
    <m/>
    <s v="10541 BofA San Francisco"/>
    <n v="79.17"/>
    <n v="180735.35"/>
    <n v="79.17"/>
  </r>
  <r>
    <n v="65061"/>
    <s v="Material for Rooms Expense"/>
    <s v="06/20/2014"/>
    <s v="Expense"/>
    <m/>
    <x v="19"/>
    <x v="5"/>
    <x v="1"/>
    <x v="5"/>
    <m/>
    <s v="10541 BofA San Francisco"/>
    <n v="37.96"/>
    <n v="181248.59"/>
    <n v="37.96"/>
  </r>
  <r>
    <n v="65061"/>
    <s v="Material for Rooms Expense"/>
    <s v="06/20/2014"/>
    <s v="Expense"/>
    <m/>
    <x v="19"/>
    <x v="5"/>
    <x v="1"/>
    <x v="5"/>
    <m/>
    <s v="10541 BofA San Francisco"/>
    <n v="54.24"/>
    <n v="181302.83"/>
    <n v="54.24"/>
  </r>
  <r>
    <n v="65061"/>
    <s v="Material for Rooms Expense"/>
    <s v="06/24/2014"/>
    <s v="Expense"/>
    <m/>
    <x v="137"/>
    <x v="5"/>
    <x v="1"/>
    <x v="5"/>
    <m/>
    <s v="10541 BofA San Francisco"/>
    <n v="20"/>
    <n v="184849.91"/>
    <n v="20"/>
  </r>
  <r>
    <n v="65061"/>
    <s v="Material for Rooms Expense"/>
    <s v="06/24/2014"/>
    <s v="Expense"/>
    <m/>
    <x v="137"/>
    <x v="5"/>
    <x v="1"/>
    <x v="5"/>
    <m/>
    <s v="10541 BofA San Francisco"/>
    <n v="17"/>
    <n v="185339.81"/>
    <n v="17"/>
  </r>
  <r>
    <n v="65061"/>
    <s v="Material for Rooms Expense"/>
    <s v="06/24/2014"/>
    <s v="Check"/>
    <n v="1125"/>
    <x v="91"/>
    <x v="5"/>
    <x v="1"/>
    <x v="5"/>
    <m/>
    <s v="10541 BofA San Francisco"/>
    <n v="1500"/>
    <n v="186839.81"/>
    <n v="1500"/>
  </r>
  <r>
    <n v="65061"/>
    <s v="Material for Rooms Expense"/>
    <s v="06/26/2014"/>
    <s v="Expense"/>
    <m/>
    <x v="73"/>
    <x v="5"/>
    <x v="1"/>
    <x v="5"/>
    <m/>
    <s v="10541 BofA San Francisco"/>
    <n v="58.58"/>
    <n v="190103.13"/>
    <n v="58.58"/>
  </r>
  <r>
    <n v="65061"/>
    <s v="Material for Rooms Expense"/>
    <s v="06/26/2014"/>
    <s v="Expense"/>
    <m/>
    <x v="137"/>
    <x v="5"/>
    <x v="1"/>
    <x v="5"/>
    <m/>
    <s v="10541 BofA San Francisco"/>
    <n v="32.950000000000003"/>
    <n v="190136.08"/>
    <n v="32.950000000000003"/>
  </r>
  <r>
    <n v="65061"/>
    <s v="Material for Rooms Expense"/>
    <s v="06/27/2014"/>
    <s v="Expense"/>
    <m/>
    <x v="53"/>
    <x v="5"/>
    <x v="1"/>
    <x v="5"/>
    <m/>
    <s v="10541 BofA San Francisco"/>
    <n v="737.83"/>
    <n v="192391.98"/>
    <n v="737.83"/>
  </r>
  <r>
    <n v="65061"/>
    <s v="Material for Rooms Expense"/>
    <s v="06/27/2014"/>
    <s v="Expense"/>
    <m/>
    <x v="19"/>
    <x v="5"/>
    <x v="1"/>
    <x v="5"/>
    <m/>
    <s v="10541 BofA San Francisco"/>
    <n v="91.51"/>
    <n v="192483.49"/>
    <n v="91.51"/>
  </r>
  <r>
    <n v="65061"/>
    <s v="Material for Rooms Expense"/>
    <s v="06/30/2014"/>
    <s v="Expense"/>
    <m/>
    <x v="33"/>
    <x v="5"/>
    <x v="1"/>
    <x v="5"/>
    <m/>
    <s v="10541 BofA San Francisco"/>
    <n v="23.99"/>
    <n v="193182.6"/>
    <n v="23.99"/>
  </r>
  <r>
    <n v="65061"/>
    <s v="Material for Rooms Expense"/>
    <s v="06/30/2014"/>
    <s v="Expense"/>
    <m/>
    <x v="33"/>
    <x v="5"/>
    <x v="1"/>
    <x v="5"/>
    <m/>
    <s v="10541 BofA San Francisco"/>
    <n v="77.739999999999995"/>
    <n v="193390.74"/>
    <n v="77.739999999999995"/>
  </r>
  <r>
    <n v="65061"/>
    <s v="Material for Rooms Expense"/>
    <s v="06/30/2014"/>
    <s v="Expense"/>
    <m/>
    <x v="16"/>
    <x v="5"/>
    <x v="1"/>
    <x v="5"/>
    <m/>
    <s v="10541 BofA San Francisco"/>
    <n v="30.71"/>
    <n v="195012.71"/>
    <n v="30.71"/>
  </r>
  <r>
    <n v="65090"/>
    <s v="Advertising Expense"/>
    <s v="06/20/2014"/>
    <s v="Check"/>
    <n v="1124"/>
    <x v="660"/>
    <x v="5"/>
    <x v="1"/>
    <x v="6"/>
    <m/>
    <s v="10541 BofA San Francisco"/>
    <n v="525.29"/>
    <n v="1033.6199999999999"/>
    <n v="525.29"/>
  </r>
  <r>
    <n v="66800"/>
    <s v="Wages - Taxes"/>
    <s v="01/01/2014"/>
    <s v="Payroll Check"/>
    <s v="DD"/>
    <x v="563"/>
    <x v="5"/>
    <x v="5"/>
    <x v="36"/>
    <s v="Employer Taxes"/>
    <s v="26000 Direct Deposit Payable"/>
    <n v="83.63"/>
    <n v="133.36000000000001"/>
    <n v="83.63"/>
  </r>
  <r>
    <n v="66800"/>
    <s v="Wages - Taxes"/>
    <s v="01/16/2014"/>
    <s v="Payroll Check"/>
    <s v="DD"/>
    <x v="563"/>
    <x v="5"/>
    <x v="5"/>
    <x v="36"/>
    <s v="Employer Taxes"/>
    <s v="26000 Direct Deposit Payable"/>
    <n v="83.62"/>
    <n v="567.6"/>
    <n v="83.62"/>
  </r>
  <r>
    <n v="66800"/>
    <s v="Wages - Taxes"/>
    <s v="02/01/2014"/>
    <s v="Payroll Check"/>
    <s v="DD"/>
    <x v="563"/>
    <x v="5"/>
    <x v="5"/>
    <x v="36"/>
    <s v="Employer Taxes"/>
    <s v="26000 Direct Deposit Payable"/>
    <n v="83.63"/>
    <n v="1728.6"/>
    <n v="83.63"/>
  </r>
  <r>
    <n v="66800"/>
    <s v="Wages - Taxes"/>
    <s v="02/16/2014"/>
    <s v="Payroll Check"/>
    <s v="DD"/>
    <x v="563"/>
    <x v="5"/>
    <x v="5"/>
    <x v="36"/>
    <s v="Employer Taxes"/>
    <s v="26000 Direct Deposit Payable"/>
    <n v="83.62"/>
    <n v="1812.22"/>
    <n v="83.62"/>
  </r>
  <r>
    <n v="66800"/>
    <s v="Wages - Taxes"/>
    <s v="03/01/2014"/>
    <s v="Payroll Check"/>
    <s v="DD"/>
    <x v="563"/>
    <x v="5"/>
    <x v="5"/>
    <x v="36"/>
    <s v="Employer Taxes"/>
    <s v="26000 Direct Deposit Payable"/>
    <n v="83.63"/>
    <n v="2131.73"/>
    <n v="83.63"/>
  </r>
  <r>
    <n v="66800"/>
    <s v="Wages - Taxes"/>
    <s v="03/16/2014"/>
    <s v="Payroll Check"/>
    <s v="DD"/>
    <x v="563"/>
    <x v="5"/>
    <x v="5"/>
    <x v="36"/>
    <s v="Employer Taxes"/>
    <s v="26000 Direct Deposit Payable"/>
    <n v="83.62"/>
    <n v="2687.1"/>
    <n v="83.62"/>
  </r>
  <r>
    <n v="66800"/>
    <s v="Wages - Taxes"/>
    <s v="04/01/2014"/>
    <s v="Payroll Check"/>
    <s v="DD"/>
    <x v="563"/>
    <x v="5"/>
    <x v="5"/>
    <x v="36"/>
    <s v="Employer Taxes"/>
    <s v="26000 Direct Deposit Payable"/>
    <n v="83.63"/>
    <n v="2923.73"/>
    <n v="83.63"/>
  </r>
  <r>
    <n v="66800"/>
    <s v="Wages - Taxes"/>
    <s v="04/16/2014"/>
    <s v="Payroll Check"/>
    <s v="DD"/>
    <x v="563"/>
    <x v="5"/>
    <x v="5"/>
    <x v="36"/>
    <s v="Employer Taxes"/>
    <s v="26000 Direct Deposit Payable"/>
    <n v="83.62"/>
    <n v="3243.22"/>
    <n v="83.62"/>
  </r>
  <r>
    <n v="66800"/>
    <s v="Wages - Taxes"/>
    <s v="05/01/2014"/>
    <s v="Payroll Check"/>
    <s v="DD"/>
    <x v="563"/>
    <x v="5"/>
    <x v="5"/>
    <x v="36"/>
    <s v="Employer Taxes"/>
    <s v="26000 Direct Deposit Payable"/>
    <n v="83.63"/>
    <n v="3645.6"/>
    <n v="83.63"/>
  </r>
  <r>
    <n v="66800"/>
    <s v="Wages - Taxes"/>
    <s v="05/16/2014"/>
    <s v="Payroll Check"/>
    <s v="DD"/>
    <x v="563"/>
    <x v="5"/>
    <x v="5"/>
    <x v="36"/>
    <s v="Employer Taxes"/>
    <s v="26000 Direct Deposit Payable"/>
    <n v="66.12"/>
    <n v="3947.6"/>
    <n v="66.12"/>
  </r>
  <r>
    <n v="66800"/>
    <s v="Wages - Taxes"/>
    <s v="05/30/2014"/>
    <s v="Payroll Check"/>
    <s v="DD"/>
    <x v="563"/>
    <x v="5"/>
    <x v="5"/>
    <x v="36"/>
    <s v="Employer Taxes"/>
    <s v="26000 Direct Deposit Payable"/>
    <n v="57.38"/>
    <n v="4087.85"/>
    <n v="57.38"/>
  </r>
  <r>
    <n v="66800"/>
    <s v="Wages - Taxes"/>
    <s v="06/16/2014"/>
    <s v="Payroll Check"/>
    <s v="DD"/>
    <x v="563"/>
    <x v="5"/>
    <x v="5"/>
    <x v="36"/>
    <s v="Employer Taxes"/>
    <s v="26000 Direct Deposit Payable"/>
    <n v="57.37"/>
    <n v="4298.22"/>
    <n v="57.37"/>
  </r>
  <r>
    <n v="66855"/>
    <s v="Wages -  Fund Raising"/>
    <s v="02/01/2014"/>
    <s v="Payroll Check"/>
    <s v="DD"/>
    <x v="563"/>
    <x v="5"/>
    <x v="5"/>
    <x v="36"/>
    <s v="Gross Pay - This is not a legal pay stub"/>
    <s v="26000 Direct Deposit Payable"/>
    <n v="750"/>
    <n v="2750"/>
    <n v="750"/>
  </r>
  <r>
    <n v="66855"/>
    <s v="Wages -  Fund Raising"/>
    <s v="02/16/2014"/>
    <s v="Payroll Check"/>
    <s v="DD"/>
    <x v="563"/>
    <x v="5"/>
    <x v="5"/>
    <x v="36"/>
    <s v="Gross Pay - This is not a legal pay stub"/>
    <s v="26000 Direct Deposit Payable"/>
    <n v="750"/>
    <n v="5500"/>
    <n v="750"/>
  </r>
  <r>
    <n v="66855"/>
    <s v="Wages -  Fund Raising"/>
    <s v="03/01/2014"/>
    <s v="Payroll Check"/>
    <s v="DD"/>
    <x v="563"/>
    <x v="5"/>
    <x v="5"/>
    <x v="36"/>
    <s v="Gross Pay - This is not a legal pay stub"/>
    <s v="26000 Direct Deposit Payable"/>
    <n v="750"/>
    <n v="8250"/>
    <n v="750"/>
  </r>
  <r>
    <n v="66855"/>
    <s v="Wages -  Fund Raising"/>
    <s v="03/16/2014"/>
    <s v="Payroll Check"/>
    <s v="DD"/>
    <x v="563"/>
    <x v="5"/>
    <x v="5"/>
    <x v="36"/>
    <s v="Gross Pay - This is not a legal pay stub"/>
    <s v="26000 Direct Deposit Payable"/>
    <n v="750"/>
    <n v="9000"/>
    <n v="750"/>
  </r>
  <r>
    <n v="66855"/>
    <s v="Wages -  Fund Raising"/>
    <s v="04/01/2014"/>
    <s v="Payroll Check"/>
    <s v="DD"/>
    <x v="563"/>
    <x v="5"/>
    <x v="5"/>
    <x v="36"/>
    <s v="Gross Pay - This is not a legal pay stub"/>
    <s v="26000 Direct Deposit Payable"/>
    <n v="750"/>
    <n v="11750"/>
    <n v="750"/>
  </r>
  <r>
    <n v="66855"/>
    <s v="Wages -  Fund Raising"/>
    <s v="06/16/2014"/>
    <s v="Payroll Check"/>
    <s v="DD"/>
    <x v="563"/>
    <x v="5"/>
    <x v="1"/>
    <x v="36"/>
    <s v="Gross Pay - This is not a legal pay stub"/>
    <s v="26000 Direct Deposit Payable"/>
    <n v="750"/>
    <n v="16958.330000000002"/>
    <n v="750"/>
  </r>
  <r>
    <n v="66855"/>
    <s v="Wages -  Fund Raising"/>
    <s v="04/16/2014"/>
    <s v="Payroll Check"/>
    <s v="DD"/>
    <x v="563"/>
    <x v="5"/>
    <x v="5"/>
    <x v="36"/>
    <s v="Gross Pay - This is not a legal pay stub"/>
    <s v="26000 Direct Deposit Payable"/>
    <n v="750"/>
    <n v="2000"/>
    <n v="750"/>
  </r>
  <r>
    <n v="66855"/>
    <s v="Wages -  Fund Raising"/>
    <s v="05/01/2014"/>
    <s v="Payroll Check"/>
    <s v="DD"/>
    <x v="563"/>
    <x v="5"/>
    <x v="1"/>
    <x v="36"/>
    <s v="Gross Pay - This is not a legal pay stub"/>
    <s v="26000 Direct Deposit Payable"/>
    <n v="750"/>
    <n v="2750"/>
    <n v="750"/>
  </r>
  <r>
    <n v="66855"/>
    <s v="Wages -  Fund Raising"/>
    <s v="05/16/2014"/>
    <s v="Payroll Check"/>
    <s v="DD"/>
    <x v="563"/>
    <x v="5"/>
    <x v="1"/>
    <x v="36"/>
    <s v="Gross Pay - This is not a legal pay stub"/>
    <s v="26000 Direct Deposit Payable"/>
    <n v="750"/>
    <n v="3500"/>
    <n v="750"/>
  </r>
  <r>
    <n v="66855"/>
    <s v="Wages -  Fund Raising"/>
    <s v="05/30/2014"/>
    <s v="Payroll Check"/>
    <s v="DD"/>
    <x v="563"/>
    <x v="5"/>
    <x v="1"/>
    <x v="36"/>
    <s v="Gross Pay - This is not a legal pay stub"/>
    <s v="26000 Direct Deposit Payable"/>
    <n v="750"/>
    <n v="8250"/>
    <n v="750"/>
  </r>
  <r>
    <n v="67001"/>
    <s v="Fundraising Expense -  Direct"/>
    <s v="01/21/2014"/>
    <s v="Check"/>
    <m/>
    <x v="661"/>
    <x v="5"/>
    <x v="2"/>
    <x v="7"/>
    <m/>
    <s v="10541 BofA San Francisco"/>
    <n v="400"/>
    <n v="-890.02"/>
    <n v="400"/>
  </r>
  <r>
    <n v="67001"/>
    <s v="Fundraising Expense -  Direct"/>
    <s v="01/21/2014"/>
    <s v="Check"/>
    <m/>
    <x v="661"/>
    <x v="5"/>
    <x v="2"/>
    <x v="7"/>
    <m/>
    <s v="10541 BofA San Francisco"/>
    <n v="9.2200000000000006"/>
    <n v="-861.86"/>
    <n v="9.2200000000000006"/>
  </r>
  <r>
    <n v="67001"/>
    <s v="Fundraising Expense -  Direct"/>
    <s v="01/21/2014"/>
    <s v="Check"/>
    <m/>
    <x v="661"/>
    <x v="5"/>
    <x v="2"/>
    <x v="7"/>
    <m/>
    <s v="10541 BofA San Francisco"/>
    <n v="400"/>
    <n v="-461.86"/>
    <n v="400"/>
  </r>
  <r>
    <n v="67001"/>
    <s v="Fundraising Expense -  Direct"/>
    <s v="02/06/2014"/>
    <s v="Check"/>
    <n v="1098"/>
    <x v="388"/>
    <x v="5"/>
    <x v="2"/>
    <x v="7"/>
    <m/>
    <s v="10541 BofA San Francisco"/>
    <n v="400"/>
    <n v="3740.21"/>
    <n v="400"/>
  </r>
  <r>
    <n v="67001"/>
    <s v="Fundraising Expense -  Direct"/>
    <s v="02/25/2014"/>
    <s v="Check"/>
    <n v="1103"/>
    <x v="91"/>
    <x v="5"/>
    <x v="2"/>
    <x v="7"/>
    <m/>
    <s v="10541 BofA San Francisco"/>
    <n v="250"/>
    <n v="9082.23"/>
    <n v="250"/>
  </r>
  <r>
    <n v="67001"/>
    <s v="Fundraising Expense -  Direct"/>
    <s v="02/27/2014"/>
    <s v="Check"/>
    <m/>
    <x v="662"/>
    <x v="5"/>
    <x v="2"/>
    <x v="7"/>
    <s v="Team Breezy deposit on inflatable games"/>
    <s v="10541 BofA San Francisco"/>
    <n v="75"/>
    <n v="9643.49"/>
    <n v="75"/>
  </r>
  <r>
    <n v="67001"/>
    <s v="Fundraising Expense -  Direct"/>
    <s v="02/27/2014"/>
    <s v="Check"/>
    <n v="1106"/>
    <x v="388"/>
    <x v="5"/>
    <x v="2"/>
    <x v="7"/>
    <m/>
    <s v="10541 BofA San Francisco"/>
    <n v="150"/>
    <n v="9898.34"/>
    <n v="150"/>
  </r>
  <r>
    <n v="67001"/>
    <s v="Fundraising Expense -  Direct"/>
    <s v="04/07/2014"/>
    <s v="Check"/>
    <m/>
    <x v="640"/>
    <x v="5"/>
    <x v="2"/>
    <x v="7"/>
    <s v="Team Breezy - web"/>
    <s v="10541 BofA San Francisco"/>
    <n v="15.2"/>
    <n v="46928.32"/>
    <n v="15.2"/>
  </r>
  <r>
    <n v="67001"/>
    <s v="Fundraising Expense -  Direct"/>
    <s v="04/21/2014"/>
    <s v="Check"/>
    <m/>
    <x v="8"/>
    <x v="5"/>
    <x v="2"/>
    <x v="7"/>
    <s v="Team Breezy"/>
    <s v="10541 BofA San Francisco"/>
    <n v="64.599999999999994"/>
    <n v="50676.44"/>
    <n v="64.599999999999994"/>
  </r>
  <r>
    <n v="67001"/>
    <s v="Fundraising Expense -  Direct"/>
    <s v="04/21/2014"/>
    <s v="Check"/>
    <m/>
    <x v="527"/>
    <x v="5"/>
    <x v="2"/>
    <x v="7"/>
    <s v="Team Breezy - printing"/>
    <s v="10541 BofA San Francisco"/>
    <n v="750.13"/>
    <n v="51426.57"/>
    <n v="750.13"/>
  </r>
  <r>
    <n v="67001"/>
    <s v="Fundraising Expense -  Direct"/>
    <s v="04/21/2014"/>
    <s v="Check"/>
    <m/>
    <x v="19"/>
    <x v="5"/>
    <x v="2"/>
    <x v="7"/>
    <s v="Team Breezy - tshirts"/>
    <s v="10541 BofA San Francisco"/>
    <n v="157.16"/>
    <n v="51583.73"/>
    <n v="157.16"/>
  </r>
  <r>
    <n v="67001"/>
    <s v="Fundraising Expense -  Direct"/>
    <s v="04/22/2014"/>
    <s v="Check"/>
    <m/>
    <x v="19"/>
    <x v="5"/>
    <x v="2"/>
    <x v="7"/>
    <s v="Team Breezy - T shirts"/>
    <s v="10541 BofA San Francisco"/>
    <n v="38.24"/>
    <n v="53169.11"/>
    <n v="38.24"/>
  </r>
  <r>
    <n v="67001"/>
    <s v="Fundraising Expense -  Direct"/>
    <s v="04/23/2014"/>
    <s v="Check"/>
    <m/>
    <x v="33"/>
    <x v="5"/>
    <x v="2"/>
    <x v="7"/>
    <s v="Team Breezy - Decorations"/>
    <s v="10541 BofA San Francisco"/>
    <n v="49.19"/>
    <n v="53293.3"/>
    <n v="49.19"/>
  </r>
  <r>
    <n v="67001"/>
    <s v="Fundraising Expense -  Direct"/>
    <s v="04/23/2014"/>
    <s v="Check"/>
    <m/>
    <x v="33"/>
    <x v="5"/>
    <x v="2"/>
    <x v="7"/>
    <s v="Team Breezy Decorations"/>
    <s v="10541 BofA San Francisco"/>
    <n v="27.98"/>
    <n v="53321.279999999999"/>
    <n v="27.98"/>
  </r>
  <r>
    <n v="67001"/>
    <s v="Fundraising Expense -  Direct"/>
    <s v="04/24/2014"/>
    <s v="Check"/>
    <m/>
    <x v="33"/>
    <x v="5"/>
    <x v="2"/>
    <x v="7"/>
    <s v="Team Breezy Decorations"/>
    <s v="10541 BofA San Francisco"/>
    <n v="13.99"/>
    <n v="53335.27"/>
    <n v="13.99"/>
  </r>
  <r>
    <n v="67001"/>
    <s v="Fundraising Expense -  Direct"/>
    <s v="04/24/2014"/>
    <s v="Check"/>
    <m/>
    <x v="33"/>
    <x v="5"/>
    <x v="2"/>
    <x v="7"/>
    <s v="Team Breezy Decorations"/>
    <s v="10541 BofA San Francisco"/>
    <n v="22.1"/>
    <n v="53357.37"/>
    <n v="22.1"/>
  </r>
  <r>
    <n v="67001"/>
    <s v="Fundraising Expense -  Direct"/>
    <s v="04/25/2014"/>
    <s v="Check"/>
    <m/>
    <x v="33"/>
    <x v="5"/>
    <x v="2"/>
    <x v="7"/>
    <s v="Team Breezy - Decorations"/>
    <s v="10541 BofA San Francisco"/>
    <n v="43.38"/>
    <n v="53400.75"/>
    <n v="43.38"/>
  </r>
  <r>
    <n v="67001"/>
    <s v="Fundraising Expense -  Direct"/>
    <s v="04/25/2014"/>
    <s v="Check"/>
    <m/>
    <x v="33"/>
    <x v="5"/>
    <x v="2"/>
    <x v="7"/>
    <s v="Team Breezy decorations"/>
    <s v="10541 BofA San Francisco"/>
    <n v="37.799999999999997"/>
    <n v="53438.55"/>
    <n v="37.799999999999997"/>
  </r>
  <r>
    <n v="67001"/>
    <s v="Fundraising Expense -  Direct"/>
    <s v="04/28/2014"/>
    <s v="Check"/>
    <m/>
    <x v="663"/>
    <x v="5"/>
    <x v="2"/>
    <x v="7"/>
    <m/>
    <s v="10541 BofA San Francisco"/>
    <n v="1"/>
    <n v="53495.11"/>
    <n v="1"/>
  </r>
  <r>
    <n v="67001"/>
    <s v="Fundraising Expense -  Direct"/>
    <s v="04/28/2014"/>
    <s v="Check"/>
    <m/>
    <x v="274"/>
    <x v="5"/>
    <x v="2"/>
    <x v="7"/>
    <m/>
    <s v="10542 BofA San Fran Restricted 0918"/>
    <n v="0.49"/>
    <n v="53495.6"/>
    <n v="0.49"/>
  </r>
  <r>
    <n v="67001"/>
    <s v="Fundraising Expense -  Direct"/>
    <s v="04/28/2014"/>
    <s v="Check"/>
    <m/>
    <x v="663"/>
    <x v="5"/>
    <x v="2"/>
    <x v="7"/>
    <m/>
    <s v="10541 BofA San Francisco"/>
    <n v="1"/>
    <n v="53496.6"/>
    <n v="1"/>
  </r>
  <r>
    <n v="67001"/>
    <s v="Fundraising Expense -  Direct"/>
    <s v="04/28/2014"/>
    <s v="Deposit"/>
    <m/>
    <x v="0"/>
    <x v="5"/>
    <x v="2"/>
    <x v="7"/>
    <m/>
    <s v="10542 BofA San Fran Restricted 0918"/>
    <n v="-0.49"/>
    <n v="53496.11"/>
    <n v="-0.49"/>
  </r>
  <r>
    <n v="67001"/>
    <s v="Fundraising Expense -  Direct"/>
    <s v="04/28/2014"/>
    <s v="Check"/>
    <m/>
    <x v="274"/>
    <x v="5"/>
    <x v="2"/>
    <x v="7"/>
    <m/>
    <s v="10542 BofA San Fran Restricted 0918"/>
    <n v="0.49"/>
    <n v="53496.6"/>
    <n v="0.49"/>
  </r>
  <r>
    <n v="67001"/>
    <s v="Fundraising Expense -  Direct"/>
    <s v="04/28/2014"/>
    <s v="Deposit"/>
    <m/>
    <x v="0"/>
    <x v="5"/>
    <x v="2"/>
    <x v="7"/>
    <m/>
    <s v="10542 BofA San Fran Restricted 0918"/>
    <n v="-0.49"/>
    <n v="53496.11"/>
    <n v="-0.49"/>
  </r>
  <r>
    <n v="67001"/>
    <s v="Fundraising Expense -  Direct"/>
    <s v="04/28/2014"/>
    <s v="Check"/>
    <m/>
    <x v="663"/>
    <x v="5"/>
    <x v="2"/>
    <x v="7"/>
    <m/>
    <s v="10541 BofA San Francisco"/>
    <n v="1"/>
    <n v="53497.11"/>
    <n v="1"/>
  </r>
  <r>
    <n v="67001"/>
    <s v="Fundraising Expense -  Direct"/>
    <s v="04/28/2014"/>
    <s v="Check"/>
    <m/>
    <x v="663"/>
    <x v="5"/>
    <x v="2"/>
    <x v="7"/>
    <m/>
    <s v="10541 BofA San Francisco"/>
    <n v="1"/>
    <n v="53498.11"/>
    <n v="1"/>
  </r>
  <r>
    <n v="67001"/>
    <s v="Fundraising Expense -  Direct"/>
    <s v="04/28/2014"/>
    <s v="Check"/>
    <m/>
    <x v="663"/>
    <x v="5"/>
    <x v="2"/>
    <x v="7"/>
    <m/>
    <s v="10541 BofA San Francisco"/>
    <n v="1"/>
    <n v="53499.11"/>
    <n v="1"/>
  </r>
  <r>
    <n v="67001"/>
    <s v="Fundraising Expense -  Direct"/>
    <s v="04/28/2014"/>
    <s v="Check"/>
    <m/>
    <x v="663"/>
    <x v="5"/>
    <x v="2"/>
    <x v="7"/>
    <m/>
    <s v="10541 BofA San Francisco"/>
    <n v="1"/>
    <n v="53500.11"/>
    <n v="1"/>
  </r>
  <r>
    <n v="67001"/>
    <s v="Fundraising Expense -  Direct"/>
    <s v="04/28/2014"/>
    <s v="Check"/>
    <m/>
    <x v="663"/>
    <x v="5"/>
    <x v="2"/>
    <x v="7"/>
    <m/>
    <s v="10541 BofA San Francisco"/>
    <n v="1"/>
    <n v="53501.11"/>
    <n v="1"/>
  </r>
  <r>
    <n v="67001"/>
    <s v="Fundraising Expense -  Direct"/>
    <s v="04/28/2014"/>
    <s v="Check"/>
    <m/>
    <x v="663"/>
    <x v="5"/>
    <x v="2"/>
    <x v="7"/>
    <m/>
    <s v="10541 BofA San Francisco"/>
    <n v="10"/>
    <n v="53511.11"/>
    <n v="10"/>
  </r>
  <r>
    <n v="67001"/>
    <s v="Fundraising Expense -  Direct"/>
    <s v="04/29/2014"/>
    <s v="Check"/>
    <m/>
    <x v="662"/>
    <x v="5"/>
    <x v="2"/>
    <x v="7"/>
    <s v="Team Breezy  games"/>
    <s v="10541 BofA San Francisco"/>
    <n v="658"/>
    <n v="54169.11"/>
    <n v="658"/>
  </r>
  <r>
    <n v="67001"/>
    <s v="Fundraising Expense -  Direct"/>
    <s v="05/05/2014"/>
    <s v="Deposit"/>
    <m/>
    <x v="19"/>
    <x v="5"/>
    <x v="2"/>
    <x v="7"/>
    <s v="Team Breezy Decorations"/>
    <s v="10541 BofA San Francisco"/>
    <n v="-19.97"/>
    <n v="55576.14"/>
    <n v="-19.97"/>
  </r>
  <r>
    <n v="67001"/>
    <s v="Fundraising Expense -  Direct"/>
    <s v="05/05/2014"/>
    <s v="Deposit"/>
    <m/>
    <x v="8"/>
    <x v="5"/>
    <x v="2"/>
    <x v="7"/>
    <s v="Team Breezy - Decorations"/>
    <s v="10541 BofA San Francisco"/>
    <n v="-23.97"/>
    <n v="55552.17"/>
    <n v="-23.97"/>
  </r>
  <r>
    <n v="67001"/>
    <s v="Fundraising Expense -  Direct"/>
    <s v="05/05/2014"/>
    <s v="Deposit"/>
    <m/>
    <x v="19"/>
    <x v="5"/>
    <x v="2"/>
    <x v="7"/>
    <s v="Team Breezy - Decorations"/>
    <s v="10541 BofA San Francisco"/>
    <n v="-29.06"/>
    <n v="55523.11"/>
    <n v="-29.06"/>
  </r>
  <r>
    <n v="67001"/>
    <s v="Fundraising Expense -  Direct"/>
    <s v="05/20/2014"/>
    <s v="Check"/>
    <n v="1115"/>
    <x v="636"/>
    <x v="5"/>
    <x v="2"/>
    <x v="7"/>
    <s v="Team Breezy - printing "/>
    <s v="10541 BofA San Francisco"/>
    <n v="163.5"/>
    <n v="56462.25"/>
    <n v="163.5"/>
  </r>
  <r>
    <n v="65025"/>
    <s v="Bank Service Charges"/>
    <s v="07/01/2014"/>
    <s v="Expense"/>
    <m/>
    <x v="92"/>
    <x v="9"/>
    <x v="1"/>
    <x v="14"/>
    <m/>
    <s v="10310 BoA Columbia 4798"/>
    <n v="14"/>
    <n v="1821.52"/>
    <n v="14"/>
  </r>
  <r>
    <n v="65025"/>
    <s v="Bank Service Charges"/>
    <s v="08/01/2014"/>
    <s v="Expense"/>
    <m/>
    <x v="92"/>
    <x v="9"/>
    <x v="1"/>
    <x v="14"/>
    <m/>
    <s v="10310 BoA Columbia 4798"/>
    <n v="14"/>
    <n v="1977.17"/>
    <n v="14"/>
  </r>
  <r>
    <n v="65025"/>
    <s v="Bank Service Charges"/>
    <s v="09/02/2014"/>
    <s v="Expense"/>
    <m/>
    <x v="92"/>
    <x v="9"/>
    <x v="1"/>
    <x v="14"/>
    <m/>
    <s v="10310 BoA Columbia 4798"/>
    <n v="14"/>
    <n v="2223.1999999999998"/>
    <n v="14"/>
  </r>
  <r>
    <n v="65025"/>
    <s v="Bank Service Charges"/>
    <s v="10/01/2014"/>
    <s v="Expense"/>
    <m/>
    <x v="92"/>
    <x v="9"/>
    <x v="1"/>
    <x v="14"/>
    <m/>
    <s v="10310 BoA Columbia 4798"/>
    <n v="14"/>
    <n v="2406.1"/>
    <n v="14"/>
  </r>
  <r>
    <n v="44000"/>
    <s v="Fund Raising Activities Income"/>
    <s v="07/01/2014"/>
    <s v="Deposit"/>
    <m/>
    <x v="3"/>
    <x v="0"/>
    <x v="0"/>
    <x v="38"/>
    <s v="Bed Race"/>
    <s v="10125 BofA Restricted Funds -055:National"/>
    <n v="1000"/>
    <n v="184018.02"/>
    <n v="-1000"/>
  </r>
  <r>
    <n v="44000"/>
    <s v="Fund Raising Activities Income"/>
    <s v="07/01/2014"/>
    <s v="Deposit"/>
    <m/>
    <x v="3"/>
    <x v="0"/>
    <x v="0"/>
    <x v="38"/>
    <s v="Bed Race"/>
    <s v="10125 BofA Restricted Funds -055:National"/>
    <n v="20"/>
    <n v="184038.02"/>
    <n v="-20"/>
  </r>
  <r>
    <n v="44000"/>
    <s v="Fund Raising Activities Income"/>
    <s v="08/05/2014"/>
    <s v="Deposit"/>
    <m/>
    <x v="664"/>
    <x v="0"/>
    <x v="0"/>
    <x v="38"/>
    <s v="Vendor fee for Bed Race"/>
    <s v="10125 BofA Restricted Funds -055:National"/>
    <n v="100"/>
    <n v="196319.05"/>
    <n v="-100"/>
  </r>
  <r>
    <n v="44000"/>
    <s v="Fund Raising Activities Income"/>
    <s v="09/16/2014"/>
    <s v="Journal Entry"/>
    <n v="670"/>
    <x v="0"/>
    <x v="0"/>
    <x v="0"/>
    <x v="38"/>
    <s v="Bed Race entry fee"/>
    <s v="-Split-"/>
    <n v="125"/>
    <n v="211230.88"/>
    <n v="-125"/>
  </r>
  <r>
    <n v="44000"/>
    <s v="Fund Raising Activities Income"/>
    <s v="09/16/2014"/>
    <s v="Journal Entry"/>
    <n v="672"/>
    <x v="0"/>
    <x v="0"/>
    <x v="0"/>
    <x v="38"/>
    <s v="Bed race sponsor SSN team"/>
    <s v="-Split-"/>
    <n v="10"/>
    <n v="213630.88"/>
    <n v="-10"/>
  </r>
  <r>
    <n v="44000"/>
    <s v="Fund Raising Activities Income"/>
    <s v="09/17/2014"/>
    <s v="Deposit"/>
    <m/>
    <x v="3"/>
    <x v="0"/>
    <x v="0"/>
    <x v="38"/>
    <s v="NYR Organic Booth bed race"/>
    <s v="10180 BofA Spec Spaces National 4695"/>
    <n v="100"/>
    <n v="221661.81"/>
    <n v="-100"/>
  </r>
  <r>
    <n v="44000"/>
    <s v="Fund Raising Activities Income"/>
    <s v="09/29/2014"/>
    <s v="Journal Entry"/>
    <n v="689"/>
    <x v="0"/>
    <x v="0"/>
    <x v="0"/>
    <x v="38"/>
    <s v="Bed race"/>
    <s v="-Split-"/>
    <n v="225"/>
    <n v="225618.7"/>
    <n v="-225"/>
  </r>
  <r>
    <n v="44000"/>
    <s v="Fund Raising Activities Income"/>
    <s v="10/01/2014"/>
    <s v="Deposit"/>
    <m/>
    <x v="665"/>
    <x v="0"/>
    <x v="0"/>
    <x v="38"/>
    <s v="Bed Race"/>
    <s v="10125 BofA Restricted Funds -055:National"/>
    <n v="1500"/>
    <n v="227343.7"/>
    <n v="-1500"/>
  </r>
  <r>
    <n v="44000"/>
    <s v="Fund Raising Activities Income"/>
    <s v="10/02/2014"/>
    <s v="Deposit"/>
    <m/>
    <x v="0"/>
    <x v="0"/>
    <x v="0"/>
    <x v="38"/>
    <s v="bed race Team SSN"/>
    <s v="10125 BofA Restricted Funds -055:National"/>
    <n v="100"/>
    <n v="227943.7"/>
    <n v="-100"/>
  </r>
  <r>
    <n v="44000"/>
    <s v="Fund Raising Activities Income"/>
    <s v="10/10/2014"/>
    <s v="Deposit"/>
    <m/>
    <x v="666"/>
    <x v="0"/>
    <x v="0"/>
    <x v="38"/>
    <s v="bed race  Team SSN"/>
    <s v="10125 BofA Restricted Funds -055:National"/>
    <n v="50"/>
    <n v="229555.7"/>
    <n v="-50"/>
  </r>
  <r>
    <n v="44000"/>
    <s v="Fund Raising Activities Income"/>
    <s v="10/13/2014"/>
    <s v="Journal Entry"/>
    <n v="716"/>
    <x v="0"/>
    <x v="0"/>
    <x v="0"/>
    <x v="38"/>
    <s v="Bed Race"/>
    <s v="-Split-"/>
    <n v="255"/>
    <n v="230598.2"/>
    <n v="-255"/>
  </r>
  <r>
    <n v="65020"/>
    <s v="Postage, Mailing Service"/>
    <s v="01/06/2014"/>
    <s v="Check"/>
    <m/>
    <x v="243"/>
    <x v="24"/>
    <x v="1"/>
    <x v="3"/>
    <m/>
    <s v="10461 BofA St Louis"/>
    <n v="52.85"/>
    <n v="102.53"/>
    <n v="52.85"/>
  </r>
  <r>
    <n v="65020"/>
    <s v="Postage, Mailing Service"/>
    <s v="01/08/2014"/>
    <s v="Check"/>
    <m/>
    <x v="6"/>
    <x v="24"/>
    <x v="1"/>
    <x v="3"/>
    <m/>
    <s v="10461 BofA St Louis"/>
    <n v="3.38"/>
    <n v="105.91"/>
    <n v="3.38"/>
  </r>
  <r>
    <n v="65020"/>
    <s v="Postage, Mailing Service"/>
    <s v="01/21/2014"/>
    <s v="Check"/>
    <m/>
    <x v="445"/>
    <x v="24"/>
    <x v="1"/>
    <x v="3"/>
    <m/>
    <s v="10461 BofA St Louis"/>
    <n v="6.99"/>
    <n v="419.49"/>
    <n v="6.99"/>
  </r>
  <r>
    <n v="65020"/>
    <s v="Postage, Mailing Service"/>
    <s v="02/19/2014"/>
    <s v="Check"/>
    <m/>
    <x v="445"/>
    <x v="24"/>
    <x v="1"/>
    <x v="3"/>
    <m/>
    <s v="10461 BofA St Louis"/>
    <n v="6.99"/>
    <n v="641.45000000000005"/>
    <n v="6.99"/>
  </r>
  <r>
    <n v="65020"/>
    <s v="Postage, Mailing Service"/>
    <s v="03/19/2014"/>
    <s v="Check"/>
    <m/>
    <x v="445"/>
    <x v="24"/>
    <x v="1"/>
    <x v="3"/>
    <m/>
    <s v="10461 BofA St Louis"/>
    <n v="6.99"/>
    <n v="810.3"/>
    <n v="6.99"/>
  </r>
  <r>
    <n v="65020"/>
    <s v="Postage, Mailing Service"/>
    <s v="04/21/2014"/>
    <s v="Check"/>
    <m/>
    <x v="445"/>
    <x v="24"/>
    <x v="1"/>
    <x v="3"/>
    <m/>
    <s v="10461 BofA St Louis"/>
    <n v="6.99"/>
    <n v="1069.54"/>
    <n v="6.99"/>
  </r>
  <r>
    <n v="65020"/>
    <s v="Postage, Mailing Service"/>
    <s v="05/08/2014"/>
    <s v="Expense"/>
    <m/>
    <x v="243"/>
    <x v="24"/>
    <x v="1"/>
    <x v="3"/>
    <m/>
    <s v="10461 BofA St Louis"/>
    <n v="20"/>
    <n v="1319.19"/>
    <n v="20"/>
  </r>
  <r>
    <n v="65020"/>
    <s v="Postage, Mailing Service"/>
    <s v="05/19/2014"/>
    <s v="Expense"/>
    <m/>
    <x v="445"/>
    <x v="24"/>
    <x v="1"/>
    <x v="3"/>
    <m/>
    <s v="10461 BofA St Louis"/>
    <n v="6.99"/>
    <n v="1331.55"/>
    <n v="6.99"/>
  </r>
  <r>
    <n v="65020"/>
    <s v="Postage, Mailing Service"/>
    <s v="06/19/2014"/>
    <s v="Expense"/>
    <m/>
    <x v="445"/>
    <x v="24"/>
    <x v="1"/>
    <x v="3"/>
    <m/>
    <s v="10461 BofA St Louis"/>
    <n v="6.99"/>
    <n v="1712.75"/>
    <n v="6.99"/>
  </r>
  <r>
    <n v="65025"/>
    <s v="Bank Service Charges"/>
    <s v="01/03/2014"/>
    <s v="Check"/>
    <m/>
    <x v="92"/>
    <x v="24"/>
    <x v="1"/>
    <x v="14"/>
    <m/>
    <s v="10461 BofA St Louis"/>
    <n v="35"/>
    <n v="188"/>
    <n v="35"/>
  </r>
  <r>
    <n v="65025"/>
    <s v="Bank Service Charges"/>
    <s v="01/30/2014"/>
    <s v="Check"/>
    <m/>
    <x v="92"/>
    <x v="24"/>
    <x v="1"/>
    <x v="14"/>
    <m/>
    <s v="10461 BofA St Louis"/>
    <n v="23"/>
    <n v="211"/>
    <n v="23"/>
  </r>
  <r>
    <n v="65025"/>
    <s v="Bank Service Charges"/>
    <s v="04/28/2014"/>
    <s v="Check"/>
    <m/>
    <x v="92"/>
    <x v="24"/>
    <x v="1"/>
    <x v="14"/>
    <m/>
    <s v="10461 BofA St Louis"/>
    <n v="35"/>
    <n v="768.62"/>
    <n v="35"/>
  </r>
  <r>
    <n v="65025"/>
    <s v="Bank Service Charges"/>
    <s v="04/28/2014"/>
    <s v="Check"/>
    <m/>
    <x v="92"/>
    <x v="24"/>
    <x v="1"/>
    <x v="14"/>
    <m/>
    <s v="10461 BofA St Louis"/>
    <n v="35"/>
    <n v="803.62"/>
    <n v="35"/>
  </r>
  <r>
    <n v="65025"/>
    <s v="Bank Service Charges"/>
    <s v="04/28/2014"/>
    <s v="Check"/>
    <m/>
    <x v="92"/>
    <x v="24"/>
    <x v="1"/>
    <x v="14"/>
    <m/>
    <s v="10461 BofA St Louis"/>
    <n v="35"/>
    <n v="838.62"/>
    <n v="35"/>
  </r>
  <r>
    <n v="65025"/>
    <s v="Bank Service Charges"/>
    <s v="05/05/2014"/>
    <s v="Expense"/>
    <m/>
    <x v="92"/>
    <x v="24"/>
    <x v="1"/>
    <x v="14"/>
    <m/>
    <s v="10461 BofA St Louis"/>
    <n v="35"/>
    <n v="1093.23"/>
    <n v="35"/>
  </r>
  <r>
    <n v="65025"/>
    <s v="Bank Service Charges"/>
    <s v="05/05/2014"/>
    <s v="Expense"/>
    <m/>
    <x v="92"/>
    <x v="24"/>
    <x v="1"/>
    <x v="14"/>
    <m/>
    <s v="10461 BofA St Louis"/>
    <n v="35"/>
    <n v="1128.23"/>
    <n v="35"/>
  </r>
  <r>
    <n v="65025"/>
    <s v="Bank Service Charges"/>
    <s v="05/05/2014"/>
    <s v="Expense"/>
    <m/>
    <x v="92"/>
    <x v="24"/>
    <x v="1"/>
    <x v="14"/>
    <m/>
    <s v="10461 BofA St Louis"/>
    <n v="35"/>
    <n v="1163.23"/>
    <n v="35"/>
  </r>
  <r>
    <n v="65025"/>
    <s v="Bank Service Charges"/>
    <s v="05/05/2014"/>
    <s v="Expense"/>
    <m/>
    <x v="92"/>
    <x v="24"/>
    <x v="1"/>
    <x v="14"/>
    <m/>
    <s v="10461 BofA St Louis"/>
    <n v="35"/>
    <n v="1198.23"/>
    <n v="35"/>
  </r>
  <r>
    <n v="65025"/>
    <s v="Bank Service Charges"/>
    <s v="05/05/2014"/>
    <s v="Expense"/>
    <m/>
    <x v="92"/>
    <x v="24"/>
    <x v="1"/>
    <x v="14"/>
    <m/>
    <s v="10461 BofA St Louis"/>
    <n v="35"/>
    <n v="1233.23"/>
    <n v="35"/>
  </r>
  <r>
    <n v="65025"/>
    <s v="Bank Service Charges"/>
    <s v="05/05/2014"/>
    <s v="Expense"/>
    <m/>
    <x v="92"/>
    <x v="24"/>
    <x v="1"/>
    <x v="14"/>
    <m/>
    <s v="10461 BofA St Louis"/>
    <n v="35"/>
    <n v="1268.23"/>
    <n v="35"/>
  </r>
  <r>
    <n v="65025"/>
    <s v="Bank Service Charges"/>
    <s v="05/05/2014"/>
    <s v="Expense"/>
    <m/>
    <x v="92"/>
    <x v="24"/>
    <x v="1"/>
    <x v="14"/>
    <m/>
    <s v="10461 BofA St Louis"/>
    <n v="35"/>
    <n v="1303.23"/>
    <n v="35"/>
  </r>
  <r>
    <n v="65025"/>
    <s v="Bank Service Charges"/>
    <s v="05/05/2014"/>
    <s v="Expense"/>
    <m/>
    <x v="92"/>
    <x v="24"/>
    <x v="1"/>
    <x v="14"/>
    <m/>
    <s v="10461 BofA St Louis"/>
    <n v="35"/>
    <n v="1338.23"/>
    <n v="35"/>
  </r>
  <r>
    <n v="65030"/>
    <s v="Printing and Copying"/>
    <s v="06/09/2014"/>
    <s v="Expense"/>
    <m/>
    <x v="667"/>
    <x v="24"/>
    <x v="1"/>
    <x v="20"/>
    <m/>
    <s v="10461 BofA St Louis"/>
    <n v="51.5"/>
    <n v="2067.88"/>
    <n v="51.5"/>
  </r>
  <r>
    <n v="65045"/>
    <s v="Rent"/>
    <s v="02/03/2014"/>
    <s v="Check"/>
    <m/>
    <x v="447"/>
    <x v="24"/>
    <x v="1"/>
    <x v="16"/>
    <m/>
    <s v="10461 BofA St Louis"/>
    <n v="50"/>
    <n v="572"/>
    <n v="50"/>
  </r>
  <r>
    <n v="65045"/>
    <s v="Rent"/>
    <s v="03/03/2014"/>
    <s v="Check"/>
    <m/>
    <x v="447"/>
    <x v="24"/>
    <x v="1"/>
    <x v="16"/>
    <m/>
    <s v="10461 BofA St Louis"/>
    <n v="50"/>
    <n v="1316"/>
    <n v="50"/>
  </r>
  <r>
    <n v="65045"/>
    <s v="Rent"/>
    <s v="04/02/2014"/>
    <s v="Check"/>
    <m/>
    <x v="447"/>
    <x v="24"/>
    <x v="1"/>
    <x v="16"/>
    <m/>
    <s v="10461 BofA St Louis"/>
    <n v="50"/>
    <n v="2228.35"/>
    <n v="50"/>
  </r>
  <r>
    <n v="65045"/>
    <s v="Rent"/>
    <s v="05/02/2014"/>
    <s v="Expense"/>
    <m/>
    <x v="447"/>
    <x v="24"/>
    <x v="1"/>
    <x v="16"/>
    <m/>
    <s v="10461 BofA St Louis"/>
    <n v="50"/>
    <n v="2805.35"/>
    <n v="50"/>
  </r>
  <r>
    <n v="65045"/>
    <s v="Rent"/>
    <s v="06/03/2014"/>
    <s v="Expense"/>
    <m/>
    <x v="447"/>
    <x v="24"/>
    <x v="1"/>
    <x v="16"/>
    <m/>
    <s v="10461 BofA St Louis"/>
    <n v="50"/>
    <n v="3904.35"/>
    <n v="50"/>
  </r>
  <r>
    <n v="65060"/>
    <s v="Material for Rooms Expense"/>
    <s v="05/22/2014"/>
    <s v="Check"/>
    <n v="1004"/>
    <x v="453"/>
    <x v="24"/>
    <x v="1"/>
    <x v="5"/>
    <m/>
    <s v="10461 BofA St Louis"/>
    <n v="475"/>
    <n v="563.78"/>
    <n v="475"/>
  </r>
  <r>
    <n v="65061"/>
    <s v="Material for Rooms Expense"/>
    <s v="01/02/2014"/>
    <s v="Check"/>
    <m/>
    <x v="14"/>
    <x v="24"/>
    <x v="1"/>
    <x v="5"/>
    <m/>
    <s v="10461 BofA St Louis"/>
    <n v="12.15"/>
    <n v="-9239.35"/>
    <n v="12.15"/>
  </r>
  <r>
    <n v="65061"/>
    <s v="Material for Rooms Expense"/>
    <s v="01/02/2014"/>
    <s v="Check"/>
    <m/>
    <x v="19"/>
    <x v="24"/>
    <x v="1"/>
    <x v="5"/>
    <m/>
    <s v="10461 BofA St Louis"/>
    <n v="77.709999999999994"/>
    <n v="-9161.64"/>
    <n v="77.709999999999994"/>
  </r>
  <r>
    <n v="65061"/>
    <s v="Material for Rooms Expense"/>
    <s v="01/03/2014"/>
    <s v="Check"/>
    <m/>
    <x v="29"/>
    <x v="24"/>
    <x v="1"/>
    <x v="5"/>
    <m/>
    <s v="10461 BofA St Louis"/>
    <n v="152.16"/>
    <n v="-8152.73"/>
    <n v="152.16"/>
  </r>
  <r>
    <n v="65061"/>
    <s v="Material for Rooms Expense"/>
    <s v="01/03/2014"/>
    <s v="Check"/>
    <m/>
    <x v="668"/>
    <x v="24"/>
    <x v="1"/>
    <x v="5"/>
    <m/>
    <s v="10461 BofA St Louis"/>
    <n v="44.54"/>
    <n v="-8108.19"/>
    <n v="44.54"/>
  </r>
  <r>
    <n v="65061"/>
    <s v="Material for Rooms Expense"/>
    <s v="01/03/2014"/>
    <s v="Check"/>
    <m/>
    <x v="19"/>
    <x v="24"/>
    <x v="1"/>
    <x v="5"/>
    <m/>
    <s v="10461 BofA St Louis"/>
    <n v="36.68"/>
    <n v="-8071.51"/>
    <n v="36.68"/>
  </r>
  <r>
    <n v="65061"/>
    <s v="Material for Rooms Expense"/>
    <s v="01/03/2014"/>
    <s v="Check"/>
    <m/>
    <x v="447"/>
    <x v="24"/>
    <x v="1"/>
    <x v="5"/>
    <m/>
    <s v="10461 BofA St Louis"/>
    <n v="50"/>
    <n v="-8021.51"/>
    <n v="50"/>
  </r>
  <r>
    <n v="65061"/>
    <s v="Material for Rooms Expense"/>
    <s v="01/03/2014"/>
    <s v="Check"/>
    <m/>
    <x v="53"/>
    <x v="24"/>
    <x v="1"/>
    <x v="5"/>
    <m/>
    <s v="10461 BofA St Louis"/>
    <n v="108.57"/>
    <n v="-7912.94"/>
    <n v="108.57"/>
  </r>
  <r>
    <n v="65061"/>
    <s v="Material for Rooms Expense"/>
    <s v="01/03/2014"/>
    <s v="Check"/>
    <m/>
    <x v="19"/>
    <x v="24"/>
    <x v="1"/>
    <x v="5"/>
    <m/>
    <s v="10461 BofA St Louis"/>
    <n v="152.13"/>
    <n v="-7760.81"/>
    <n v="152.13"/>
  </r>
  <r>
    <n v="65061"/>
    <s v="Material for Rooms Expense"/>
    <s v="01/03/2014"/>
    <s v="Check"/>
    <m/>
    <x v="19"/>
    <x v="24"/>
    <x v="1"/>
    <x v="5"/>
    <m/>
    <s v="10461 BofA St Louis"/>
    <n v="8.64"/>
    <n v="-7752.17"/>
    <n v="8.64"/>
  </r>
  <r>
    <n v="65061"/>
    <s v="Material for Rooms Expense"/>
    <s v="01/06/2014"/>
    <s v="Check"/>
    <m/>
    <x v="669"/>
    <x v="24"/>
    <x v="1"/>
    <x v="5"/>
    <m/>
    <s v="10461 BofA St Louis"/>
    <n v="16.27"/>
    <n v="-6544.26"/>
    <n v="16.27"/>
  </r>
  <r>
    <n v="65061"/>
    <s v="Material for Rooms Expense"/>
    <s v="01/06/2014"/>
    <s v="Check"/>
    <m/>
    <x v="669"/>
    <x v="24"/>
    <x v="1"/>
    <x v="5"/>
    <m/>
    <s v="10461 BofA St Louis"/>
    <n v="5.05"/>
    <n v="-6539.21"/>
    <n v="5.05"/>
  </r>
  <r>
    <n v="65061"/>
    <s v="Material for Rooms Expense"/>
    <s v="01/06/2014"/>
    <s v="Check"/>
    <m/>
    <x v="670"/>
    <x v="24"/>
    <x v="1"/>
    <x v="5"/>
    <m/>
    <s v="10461 BofA St Louis"/>
    <n v="32.54"/>
    <n v="-6506.67"/>
    <n v="32.54"/>
  </r>
  <r>
    <n v="65061"/>
    <s v="Material for Rooms Expense"/>
    <s v="01/13/2014"/>
    <s v="Check"/>
    <m/>
    <x v="671"/>
    <x v="24"/>
    <x v="1"/>
    <x v="5"/>
    <m/>
    <s v="10461 BofA St Louis"/>
    <n v="21.73"/>
    <n v="-105.69"/>
    <n v="21.73"/>
  </r>
  <r>
    <n v="65061"/>
    <s v="Material for Rooms Expense"/>
    <s v="01/17/2014"/>
    <s v="Check"/>
    <m/>
    <x v="672"/>
    <x v="24"/>
    <x v="1"/>
    <x v="5"/>
    <m/>
    <s v="10461 BofA St Louis"/>
    <n v="267.16000000000003"/>
    <n v="8833.49"/>
    <n v="267.16000000000003"/>
  </r>
  <r>
    <n v="65061"/>
    <s v="Material for Rooms Expense"/>
    <s v="01/24/2014"/>
    <s v="Check"/>
    <n v="999"/>
    <x v="673"/>
    <x v="24"/>
    <x v="1"/>
    <x v="5"/>
    <m/>
    <s v="10461 BofA St Louis"/>
    <n v="437.76"/>
    <n v="21185.68"/>
    <n v="437.76"/>
  </r>
  <r>
    <n v="65061"/>
    <s v="Material for Rooms Expense"/>
    <s v="01/30/2014"/>
    <s v="Check"/>
    <m/>
    <x v="671"/>
    <x v="24"/>
    <x v="1"/>
    <x v="5"/>
    <m/>
    <s v="10461 BofA St Louis"/>
    <n v="42.82"/>
    <n v="23262.42"/>
    <n v="42.82"/>
  </r>
  <r>
    <n v="65061"/>
    <s v="Material for Rooms Expense"/>
    <s v="01/30/2014"/>
    <s v="Check"/>
    <m/>
    <x v="671"/>
    <x v="24"/>
    <x v="1"/>
    <x v="5"/>
    <m/>
    <s v="10461 BofA St Louis"/>
    <n v="77.05"/>
    <n v="25505.7"/>
    <n v="77.05"/>
  </r>
  <r>
    <n v="65061"/>
    <s v="Material for Rooms Expense"/>
    <s v="01/30/2014"/>
    <s v="Check"/>
    <m/>
    <x v="671"/>
    <x v="24"/>
    <x v="1"/>
    <x v="5"/>
    <m/>
    <s v="10461 BofA St Louis"/>
    <n v="26.75"/>
    <n v="25532.45"/>
    <n v="26.75"/>
  </r>
  <r>
    <n v="65061"/>
    <s v="Material for Rooms Expense"/>
    <s v="01/31/2014"/>
    <s v="Check"/>
    <m/>
    <x v="19"/>
    <x v="24"/>
    <x v="1"/>
    <x v="5"/>
    <m/>
    <s v="10461 BofA St Louis"/>
    <n v="61.6"/>
    <n v="25439.69"/>
    <n v="61.6"/>
  </r>
  <r>
    <n v="65061"/>
    <s v="Material for Rooms Expense"/>
    <s v="01/31/2014"/>
    <s v="Check"/>
    <m/>
    <x v="19"/>
    <x v="24"/>
    <x v="1"/>
    <x v="5"/>
    <m/>
    <s v="10461 BofA St Louis"/>
    <n v="25.94"/>
    <n v="25465.63"/>
    <n v="25.94"/>
  </r>
  <r>
    <n v="65061"/>
    <s v="Material for Rooms Expense"/>
    <s v="01/31/2014"/>
    <s v="Check"/>
    <m/>
    <x v="19"/>
    <x v="24"/>
    <x v="1"/>
    <x v="5"/>
    <m/>
    <s v="10461 BofA St Louis"/>
    <n v="83"/>
    <n v="25548.63"/>
    <n v="83"/>
  </r>
  <r>
    <n v="65061"/>
    <s v="Material for Rooms Expense"/>
    <s v="02/03/2014"/>
    <s v="Check"/>
    <m/>
    <x v="671"/>
    <x v="24"/>
    <x v="1"/>
    <x v="5"/>
    <m/>
    <s v="10461 BofA St Louis"/>
    <n v="10.73"/>
    <n v="25876.87"/>
    <n v="10.73"/>
  </r>
  <r>
    <n v="65061"/>
    <s v="Material for Rooms Expense"/>
    <s v="02/03/2014"/>
    <s v="Check"/>
    <m/>
    <x v="671"/>
    <x v="24"/>
    <x v="1"/>
    <x v="5"/>
    <m/>
    <s v="10461 BofA St Louis"/>
    <n v="68.73"/>
    <n v="25945.599999999999"/>
    <n v="68.73"/>
  </r>
  <r>
    <n v="65061"/>
    <s v="Material for Rooms Expense"/>
    <s v="02/03/2014"/>
    <s v="Check"/>
    <m/>
    <x v="28"/>
    <x v="24"/>
    <x v="1"/>
    <x v="5"/>
    <m/>
    <s v="10461 BofA St Louis"/>
    <n v="161.91999999999999"/>
    <n v="26850.39"/>
    <n v="161.91999999999999"/>
  </r>
  <r>
    <n v="65061"/>
    <s v="Material for Rooms Expense"/>
    <s v="02/04/2014"/>
    <s v="Check"/>
    <m/>
    <x v="28"/>
    <x v="24"/>
    <x v="1"/>
    <x v="5"/>
    <m/>
    <s v="10461 BofA St Louis"/>
    <n v="70.16"/>
    <n v="28762.43"/>
    <n v="70.16"/>
  </r>
  <r>
    <n v="65061"/>
    <s v="Material for Rooms Expense"/>
    <s v="02/04/2014"/>
    <s v="Check"/>
    <m/>
    <x v="16"/>
    <x v="24"/>
    <x v="1"/>
    <x v="5"/>
    <m/>
    <s v="10461 BofA St Louis"/>
    <n v="117.52"/>
    <n v="29193.4"/>
    <n v="117.52"/>
  </r>
  <r>
    <n v="65061"/>
    <s v="Material for Rooms Expense"/>
    <s v="02/04/2014"/>
    <s v="Check"/>
    <m/>
    <x v="33"/>
    <x v="24"/>
    <x v="1"/>
    <x v="5"/>
    <m/>
    <s v="10461 BofA St Louis"/>
    <n v="125.5"/>
    <n v="29537.37"/>
    <n v="125.5"/>
  </r>
  <r>
    <n v="65061"/>
    <s v="Material for Rooms Expense"/>
    <s v="02/05/2014"/>
    <s v="Check"/>
    <m/>
    <x v="33"/>
    <x v="24"/>
    <x v="1"/>
    <x v="5"/>
    <m/>
    <s v="10461 BofA St Louis"/>
    <n v="112.01"/>
    <n v="29649.38"/>
    <n v="112.01"/>
  </r>
  <r>
    <n v="65061"/>
    <s v="Material for Rooms Expense"/>
    <s v="02/05/2014"/>
    <s v="Check"/>
    <m/>
    <x v="19"/>
    <x v="24"/>
    <x v="1"/>
    <x v="5"/>
    <m/>
    <s v="10461 BofA St Louis"/>
    <n v="183.98"/>
    <n v="30088.47"/>
    <n v="183.98"/>
  </r>
  <r>
    <n v="65061"/>
    <s v="Material for Rooms Expense"/>
    <s v="02/05/2014"/>
    <s v="Check"/>
    <m/>
    <x v="19"/>
    <x v="24"/>
    <x v="1"/>
    <x v="5"/>
    <m/>
    <s v="10461 BofA St Louis"/>
    <n v="130.63999999999999"/>
    <n v="30219.11"/>
    <n v="130.63999999999999"/>
  </r>
  <r>
    <n v="65061"/>
    <s v="Material for Rooms Expense"/>
    <s v="02/05/2014"/>
    <s v="Check"/>
    <m/>
    <x v="19"/>
    <x v="24"/>
    <x v="1"/>
    <x v="5"/>
    <m/>
    <s v="10461 BofA St Louis"/>
    <n v="77.77"/>
    <n v="30296.880000000001"/>
    <n v="77.77"/>
  </r>
  <r>
    <n v="65061"/>
    <s v="Material for Rooms Expense"/>
    <s v="02/06/2014"/>
    <s v="Check"/>
    <m/>
    <x v="118"/>
    <x v="24"/>
    <x v="1"/>
    <x v="5"/>
    <m/>
    <s v="10461 BofA St Louis"/>
    <n v="37.450000000000003"/>
    <n v="31274.9"/>
    <n v="37.450000000000003"/>
  </r>
  <r>
    <n v="65061"/>
    <s v="Material for Rooms Expense"/>
    <s v="02/06/2014"/>
    <s v="Check"/>
    <m/>
    <x v="671"/>
    <x v="24"/>
    <x v="1"/>
    <x v="5"/>
    <m/>
    <s v="10461 BofA St Louis"/>
    <n v="58.88"/>
    <n v="31333.78"/>
    <n v="58.88"/>
  </r>
  <r>
    <n v="65061"/>
    <s v="Material for Rooms Expense"/>
    <s v="02/07/2014"/>
    <s v="Check"/>
    <m/>
    <x v="56"/>
    <x v="24"/>
    <x v="1"/>
    <x v="5"/>
    <m/>
    <s v="10461 BofA St Louis"/>
    <n v="239.64"/>
    <n v="32568.18"/>
    <n v="239.64"/>
  </r>
  <r>
    <n v="65061"/>
    <s v="Material for Rooms Expense"/>
    <s v="02/07/2014"/>
    <s v="Check"/>
    <m/>
    <x v="118"/>
    <x v="24"/>
    <x v="1"/>
    <x v="5"/>
    <m/>
    <s v="10461 BofA St Louis"/>
    <n v="39.92"/>
    <n v="32608.1"/>
    <n v="39.92"/>
  </r>
  <r>
    <n v="65061"/>
    <s v="Material for Rooms Expense"/>
    <s v="02/10/2014"/>
    <s v="Check"/>
    <m/>
    <x v="238"/>
    <x v="24"/>
    <x v="1"/>
    <x v="5"/>
    <m/>
    <s v="10461 BofA St Louis"/>
    <n v="26.27"/>
    <n v="33137.4"/>
    <n v="26.27"/>
  </r>
  <r>
    <n v="65061"/>
    <s v="Material for Rooms Expense"/>
    <s v="02/10/2014"/>
    <s v="Check"/>
    <m/>
    <x v="56"/>
    <x v="24"/>
    <x v="1"/>
    <x v="5"/>
    <m/>
    <s v="10461 BofA St Louis"/>
    <n v="34.85"/>
    <n v="33172.25"/>
    <n v="34.85"/>
  </r>
  <r>
    <n v="65061"/>
    <s v="Material for Rooms Expense"/>
    <s v="02/10/2014"/>
    <s v="Check"/>
    <m/>
    <x v="88"/>
    <x v="24"/>
    <x v="1"/>
    <x v="5"/>
    <m/>
    <s v="10461 BofA St Louis"/>
    <n v="18.440000000000001"/>
    <n v="33360.68"/>
    <n v="18.440000000000001"/>
  </r>
  <r>
    <n v="65061"/>
    <s v="Material for Rooms Expense"/>
    <s v="02/10/2014"/>
    <s v="Check"/>
    <m/>
    <x v="164"/>
    <x v="24"/>
    <x v="1"/>
    <x v="5"/>
    <m/>
    <s v="10461 BofA St Louis"/>
    <n v="65.239999999999995"/>
    <n v="33458"/>
    <n v="65.239999999999995"/>
  </r>
  <r>
    <n v="65061"/>
    <s v="Material for Rooms Expense"/>
    <s v="02/10/2014"/>
    <s v="Check"/>
    <m/>
    <x v="28"/>
    <x v="24"/>
    <x v="1"/>
    <x v="5"/>
    <m/>
    <s v="10461 BofA St Louis"/>
    <n v="62.57"/>
    <n v="33520.57"/>
    <n v="62.57"/>
  </r>
  <r>
    <n v="65061"/>
    <s v="Material for Rooms Expense"/>
    <s v="02/10/2014"/>
    <s v="Check"/>
    <m/>
    <x v="39"/>
    <x v="24"/>
    <x v="1"/>
    <x v="5"/>
    <m/>
    <s v="10461 BofA St Louis"/>
    <n v="15.15"/>
    <n v="36147.620000000003"/>
    <n v="15.15"/>
  </r>
  <r>
    <n v="65061"/>
    <s v="Material for Rooms Expense"/>
    <s v="02/10/2014"/>
    <s v="Check"/>
    <m/>
    <x v="39"/>
    <x v="24"/>
    <x v="1"/>
    <x v="5"/>
    <m/>
    <s v="10461 BofA St Louis"/>
    <n v="18.41"/>
    <n v="36166.03"/>
    <n v="18.41"/>
  </r>
  <r>
    <n v="65061"/>
    <s v="Material for Rooms Expense"/>
    <s v="02/10/2014"/>
    <s v="Check"/>
    <m/>
    <x v="39"/>
    <x v="24"/>
    <x v="1"/>
    <x v="5"/>
    <m/>
    <s v="10461 BofA St Louis"/>
    <n v="67.14"/>
    <n v="36233.17"/>
    <n v="67.14"/>
  </r>
  <r>
    <n v="65061"/>
    <s v="Material for Rooms Expense"/>
    <s v="02/10/2014"/>
    <s v="Check"/>
    <m/>
    <x v="674"/>
    <x v="24"/>
    <x v="1"/>
    <x v="5"/>
    <m/>
    <s v="10461 BofA St Louis"/>
    <n v="44.56"/>
    <n v="36277.730000000003"/>
    <n v="44.56"/>
  </r>
  <r>
    <n v="65061"/>
    <s v="Material for Rooms Expense"/>
    <s v="02/10/2014"/>
    <s v="Check"/>
    <m/>
    <x v="118"/>
    <x v="24"/>
    <x v="1"/>
    <x v="5"/>
    <m/>
    <s v="10461 BofA St Louis"/>
    <n v="54.78"/>
    <n v="36401.85"/>
    <n v="54.78"/>
  </r>
  <r>
    <n v="65061"/>
    <s v="Material for Rooms Expense"/>
    <s v="02/10/2014"/>
    <s v="Check"/>
    <m/>
    <x v="671"/>
    <x v="24"/>
    <x v="1"/>
    <x v="5"/>
    <m/>
    <s v="10461 BofA St Louis"/>
    <n v="58.47"/>
    <n v="37602.71"/>
    <n v="58.47"/>
  </r>
  <r>
    <n v="65061"/>
    <s v="Material for Rooms Expense"/>
    <s v="02/10/2014"/>
    <s v="Check"/>
    <m/>
    <x v="675"/>
    <x v="24"/>
    <x v="1"/>
    <x v="5"/>
    <m/>
    <s v="10461 BofA St Louis"/>
    <n v="84.2"/>
    <n v="37686.910000000003"/>
    <n v="84.2"/>
  </r>
  <r>
    <n v="65061"/>
    <s v="Material for Rooms Expense"/>
    <s v="02/10/2014"/>
    <s v="Check"/>
    <m/>
    <x v="675"/>
    <x v="24"/>
    <x v="1"/>
    <x v="5"/>
    <m/>
    <s v="10461 BofA St Louis"/>
    <n v="213.74"/>
    <n v="37900.65"/>
    <n v="213.74"/>
  </r>
  <r>
    <n v="65061"/>
    <s v="Material for Rooms Expense"/>
    <s v="02/10/2014"/>
    <s v="Check"/>
    <m/>
    <x v="29"/>
    <x v="24"/>
    <x v="1"/>
    <x v="5"/>
    <m/>
    <s v="10461 BofA St Louis"/>
    <n v="253.02"/>
    <n v="38153.67"/>
    <n v="253.02"/>
  </r>
  <r>
    <n v="65061"/>
    <s v="Material for Rooms Expense"/>
    <s v="02/11/2014"/>
    <s v="Check"/>
    <m/>
    <x v="28"/>
    <x v="24"/>
    <x v="1"/>
    <x v="5"/>
    <m/>
    <s v="10461 BofA St Louis"/>
    <n v="279.04000000000002"/>
    <n v="38557.19"/>
    <n v="279.04000000000002"/>
  </r>
  <r>
    <n v="65061"/>
    <s v="Material for Rooms Expense"/>
    <s v="02/11/2014"/>
    <s v="Check"/>
    <m/>
    <x v="33"/>
    <x v="24"/>
    <x v="1"/>
    <x v="5"/>
    <m/>
    <s v="10461 BofA St Louis"/>
    <n v="89.95"/>
    <n v="38934.160000000003"/>
    <n v="89.95"/>
  </r>
  <r>
    <n v="65061"/>
    <s v="Material for Rooms Expense"/>
    <s v="02/12/2014"/>
    <s v="Check"/>
    <m/>
    <x v="676"/>
    <x v="24"/>
    <x v="1"/>
    <x v="5"/>
    <m/>
    <s v="10461 BofA St Louis"/>
    <n v="150.41"/>
    <n v="40342.17"/>
    <n v="150.41"/>
  </r>
  <r>
    <n v="65061"/>
    <s v="Material for Rooms Expense"/>
    <s v="02/13/2014"/>
    <s v="Check"/>
    <m/>
    <x v="677"/>
    <x v="24"/>
    <x v="1"/>
    <x v="5"/>
    <m/>
    <s v="10461 BofA St Louis"/>
    <n v="6"/>
    <n v="40714.720000000001"/>
    <n v="6"/>
  </r>
  <r>
    <n v="65061"/>
    <s v="Material for Rooms Expense"/>
    <s v="02/13/2014"/>
    <s v="Check"/>
    <m/>
    <x v="33"/>
    <x v="24"/>
    <x v="1"/>
    <x v="5"/>
    <m/>
    <s v="10461 BofA St Louis"/>
    <n v="69.989999999999995"/>
    <n v="40784.71"/>
    <n v="69.989999999999995"/>
  </r>
  <r>
    <n v="65061"/>
    <s v="Material for Rooms Expense"/>
    <s v="02/13/2014"/>
    <s v="Check"/>
    <m/>
    <x v="671"/>
    <x v="24"/>
    <x v="1"/>
    <x v="5"/>
    <m/>
    <s v="10461 BofA St Louis"/>
    <n v="10.7"/>
    <n v="40795.410000000003"/>
    <n v="10.7"/>
  </r>
  <r>
    <n v="65061"/>
    <s v="Material for Rooms Expense"/>
    <s v="02/13/2014"/>
    <s v="Check"/>
    <m/>
    <x v="118"/>
    <x v="24"/>
    <x v="1"/>
    <x v="5"/>
    <m/>
    <s v="10461 BofA St Louis"/>
    <n v="75.53"/>
    <n v="40870.94"/>
    <n v="75.53"/>
  </r>
  <r>
    <n v="65061"/>
    <s v="Material for Rooms Expense"/>
    <s v="02/13/2014"/>
    <s v="Check"/>
    <m/>
    <x v="56"/>
    <x v="24"/>
    <x v="1"/>
    <x v="5"/>
    <m/>
    <s v="10461 BofA St Louis"/>
    <n v="16.670000000000002"/>
    <n v="40887.61"/>
    <n v="16.670000000000002"/>
  </r>
  <r>
    <n v="65061"/>
    <s v="Material for Rooms Expense"/>
    <s v="02/13/2014"/>
    <s v="Check"/>
    <m/>
    <x v="118"/>
    <x v="24"/>
    <x v="1"/>
    <x v="5"/>
    <m/>
    <s v="10461 BofA St Louis"/>
    <n v="64.739999999999995"/>
    <n v="40952.35"/>
    <n v="64.739999999999995"/>
  </r>
  <r>
    <n v="65061"/>
    <s v="Material for Rooms Expense"/>
    <s v="02/14/2014"/>
    <s v="Check"/>
    <m/>
    <x v="19"/>
    <x v="24"/>
    <x v="1"/>
    <x v="5"/>
    <m/>
    <s v="10461 BofA St Louis"/>
    <n v="7.76"/>
    <n v="42865.2"/>
    <n v="7.76"/>
  </r>
  <r>
    <n v="65061"/>
    <s v="Material for Rooms Expense"/>
    <s v="02/18/2014"/>
    <s v="Check"/>
    <m/>
    <x v="678"/>
    <x v="24"/>
    <x v="1"/>
    <x v="5"/>
    <m/>
    <s v="10461 BofA St Louis"/>
    <n v="75"/>
    <n v="43119.199999999997"/>
    <n v="75"/>
  </r>
  <r>
    <n v="65061"/>
    <s v="Material for Rooms Expense"/>
    <s v="02/18/2014"/>
    <s v="Check"/>
    <m/>
    <x v="679"/>
    <x v="24"/>
    <x v="1"/>
    <x v="5"/>
    <m/>
    <s v="10461 BofA St Louis"/>
    <n v="4.54"/>
    <n v="43337.99"/>
    <n v="4.54"/>
  </r>
  <r>
    <n v="65061"/>
    <s v="Material for Rooms Expense"/>
    <s v="02/18/2014"/>
    <s v="Check"/>
    <m/>
    <x v="28"/>
    <x v="24"/>
    <x v="1"/>
    <x v="5"/>
    <m/>
    <s v="10461 BofA St Louis"/>
    <n v="33.44"/>
    <n v="43371.43"/>
    <n v="33.44"/>
  </r>
  <r>
    <n v="65061"/>
    <s v="Material for Rooms Expense"/>
    <s v="02/18/2014"/>
    <s v="Check"/>
    <m/>
    <x v="53"/>
    <x v="24"/>
    <x v="1"/>
    <x v="5"/>
    <m/>
    <s v="10461 BofA St Louis"/>
    <n v="32.15"/>
    <n v="43423.83"/>
    <n v="32.15"/>
  </r>
  <r>
    <n v="65061"/>
    <s v="Material for Rooms Expense"/>
    <s v="02/18/2014"/>
    <s v="Check"/>
    <m/>
    <x v="53"/>
    <x v="24"/>
    <x v="1"/>
    <x v="5"/>
    <m/>
    <s v="10461 BofA St Louis"/>
    <n v="28.27"/>
    <n v="43452.1"/>
    <n v="28.27"/>
  </r>
  <r>
    <n v="65061"/>
    <s v="Material for Rooms Expense"/>
    <s v="02/18/2014"/>
    <s v="Check"/>
    <m/>
    <x v="19"/>
    <x v="24"/>
    <x v="1"/>
    <x v="5"/>
    <m/>
    <s v="10461 BofA St Louis"/>
    <n v="21.66"/>
    <n v="43665.4"/>
    <n v="21.66"/>
  </r>
  <r>
    <n v="65061"/>
    <s v="Material for Rooms Expense"/>
    <s v="02/18/2014"/>
    <s v="Check"/>
    <m/>
    <x v="19"/>
    <x v="24"/>
    <x v="1"/>
    <x v="5"/>
    <m/>
    <s v="10461 BofA St Louis"/>
    <n v="231.03"/>
    <n v="43896.43"/>
    <n v="231.03"/>
  </r>
  <r>
    <n v="65061"/>
    <s v="Material for Rooms Expense"/>
    <s v="02/18/2014"/>
    <s v="Check"/>
    <m/>
    <x v="118"/>
    <x v="24"/>
    <x v="1"/>
    <x v="5"/>
    <m/>
    <s v="10461 BofA St Louis"/>
    <n v="78.760000000000005"/>
    <n v="44849.39"/>
    <n v="78.760000000000005"/>
  </r>
  <r>
    <n v="65061"/>
    <s v="Material for Rooms Expense"/>
    <s v="02/19/2014"/>
    <s v="Check"/>
    <m/>
    <x v="19"/>
    <x v="24"/>
    <x v="1"/>
    <x v="5"/>
    <m/>
    <s v="10461 BofA St Louis"/>
    <n v="170.54"/>
    <n v="45517.51"/>
    <n v="170.54"/>
  </r>
  <r>
    <n v="65061"/>
    <s v="Material for Rooms Expense"/>
    <s v="02/20/2014"/>
    <s v="Check"/>
    <m/>
    <x v="28"/>
    <x v="24"/>
    <x v="1"/>
    <x v="5"/>
    <m/>
    <s v="10461 BofA St Louis"/>
    <n v="113.3"/>
    <n v="47031.22"/>
    <n v="113.3"/>
  </r>
  <r>
    <n v="65061"/>
    <s v="Material for Rooms Expense"/>
    <s v="02/20/2014"/>
    <s v="Check"/>
    <m/>
    <x v="19"/>
    <x v="24"/>
    <x v="1"/>
    <x v="5"/>
    <m/>
    <s v="10461 BofA St Louis"/>
    <n v="57.84"/>
    <n v="47089.06"/>
    <n v="57.84"/>
  </r>
  <r>
    <n v="65061"/>
    <s v="Material for Rooms Expense"/>
    <s v="02/20/2014"/>
    <s v="Check"/>
    <m/>
    <x v="118"/>
    <x v="24"/>
    <x v="1"/>
    <x v="5"/>
    <m/>
    <s v="10461 BofA St Louis"/>
    <n v="296.75"/>
    <n v="47385.81"/>
    <n v="296.75"/>
  </r>
  <r>
    <n v="65061"/>
    <s v="Material for Rooms Expense"/>
    <s v="02/20/2014"/>
    <s v="Check"/>
    <m/>
    <x v="118"/>
    <x v="24"/>
    <x v="1"/>
    <x v="5"/>
    <m/>
    <s v="10461 BofA St Louis"/>
    <n v="21.57"/>
    <n v="47427.61"/>
    <n v="21.57"/>
  </r>
  <r>
    <n v="65061"/>
    <s v="Material for Rooms Expense"/>
    <s v="02/20/2014"/>
    <s v="Check"/>
    <m/>
    <x v="28"/>
    <x v="24"/>
    <x v="1"/>
    <x v="5"/>
    <m/>
    <s v="10461 BofA St Louis"/>
    <n v="82.57"/>
    <n v="47568.160000000003"/>
    <n v="82.57"/>
  </r>
  <r>
    <n v="65061"/>
    <s v="Material for Rooms Expense"/>
    <s v="02/21/2014"/>
    <s v="Deposit"/>
    <m/>
    <x v="19"/>
    <x v="24"/>
    <x v="1"/>
    <x v="5"/>
    <m/>
    <s v="10461 BofA St Louis"/>
    <n v="-47.03"/>
    <n v="50813.78"/>
    <n v="-47.03"/>
  </r>
  <r>
    <n v="65061"/>
    <s v="Material for Rooms Expense"/>
    <s v="02/21/2014"/>
    <s v="Check"/>
    <m/>
    <x v="53"/>
    <x v="24"/>
    <x v="1"/>
    <x v="5"/>
    <m/>
    <s v="10461 BofA St Louis"/>
    <n v="15.77"/>
    <n v="50849.51"/>
    <n v="15.77"/>
  </r>
  <r>
    <n v="65061"/>
    <s v="Material for Rooms Expense"/>
    <s v="02/24/2014"/>
    <s v="Check"/>
    <m/>
    <x v="678"/>
    <x v="24"/>
    <x v="1"/>
    <x v="5"/>
    <m/>
    <s v="10461 BofA St Louis"/>
    <n v="24"/>
    <n v="51034.83"/>
    <n v="24"/>
  </r>
  <r>
    <n v="65061"/>
    <s v="Material for Rooms Expense"/>
    <s v="02/24/2014"/>
    <s v="Check"/>
    <m/>
    <x v="26"/>
    <x v="24"/>
    <x v="1"/>
    <x v="5"/>
    <m/>
    <s v="10461 BofA St Louis"/>
    <n v="58.2"/>
    <n v="51402.02"/>
    <n v="58.2"/>
  </r>
  <r>
    <n v="65061"/>
    <s v="Material for Rooms Expense"/>
    <s v="02/24/2014"/>
    <s v="Check"/>
    <m/>
    <x v="680"/>
    <x v="24"/>
    <x v="1"/>
    <x v="5"/>
    <m/>
    <s v="10461 BofA St Louis"/>
    <n v="11.78"/>
    <n v="52501.68"/>
    <n v="11.78"/>
  </r>
  <r>
    <n v="65061"/>
    <s v="Material for Rooms Expense"/>
    <s v="02/24/2014"/>
    <s v="Deposit"/>
    <m/>
    <x v="19"/>
    <x v="24"/>
    <x v="1"/>
    <x v="5"/>
    <m/>
    <s v="10461 BofA St Louis"/>
    <n v="-43.17"/>
    <n v="52994.64"/>
    <n v="-43.17"/>
  </r>
  <r>
    <n v="65061"/>
    <s v="Material for Rooms Expense"/>
    <s v="02/24/2014"/>
    <s v="Check"/>
    <m/>
    <x v="19"/>
    <x v="24"/>
    <x v="1"/>
    <x v="5"/>
    <m/>
    <s v="10461 BofA St Louis"/>
    <n v="43.17"/>
    <n v="53037.81"/>
    <n v="43.17"/>
  </r>
  <r>
    <n v="65061"/>
    <s v="Material for Rooms Expense"/>
    <s v="02/24/2014"/>
    <s v="Check"/>
    <n v="1001"/>
    <x v="448"/>
    <x v="24"/>
    <x v="1"/>
    <x v="5"/>
    <m/>
    <s v="10461 BofA St Louis"/>
    <n v="127.97"/>
    <n v="53183.7"/>
    <n v="127.97"/>
  </r>
  <r>
    <n v="65061"/>
    <s v="Material for Rooms Expense"/>
    <s v="02/24/2014"/>
    <s v="Check"/>
    <m/>
    <x v="681"/>
    <x v="24"/>
    <x v="1"/>
    <x v="5"/>
    <m/>
    <s v="10461 BofA St Louis"/>
    <n v="125"/>
    <n v="53551.96"/>
    <n v="125"/>
  </r>
  <r>
    <n v="65061"/>
    <s v="Material for Rooms Expense"/>
    <s v="02/24/2014"/>
    <s v="Check"/>
    <m/>
    <x v="53"/>
    <x v="24"/>
    <x v="1"/>
    <x v="5"/>
    <m/>
    <s v="10461 BofA St Louis"/>
    <n v="11.71"/>
    <n v="53743.31"/>
    <n v="11.71"/>
  </r>
  <r>
    <n v="65061"/>
    <s v="Material for Rooms Expense"/>
    <s v="02/24/2014"/>
    <s v="Check"/>
    <m/>
    <x v="53"/>
    <x v="24"/>
    <x v="1"/>
    <x v="5"/>
    <m/>
    <s v="10461 BofA St Louis"/>
    <n v="14.94"/>
    <n v="53758.25"/>
    <n v="14.94"/>
  </r>
  <r>
    <n v="65061"/>
    <s v="Material for Rooms Expense"/>
    <s v="02/24/2014"/>
    <s v="Check"/>
    <m/>
    <x v="53"/>
    <x v="24"/>
    <x v="1"/>
    <x v="5"/>
    <m/>
    <s v="10461 BofA St Louis"/>
    <n v="28.92"/>
    <n v="53787.17"/>
    <n v="28.92"/>
  </r>
  <r>
    <n v="65061"/>
    <s v="Material for Rooms Expense"/>
    <s v="02/24/2014"/>
    <s v="Check"/>
    <m/>
    <x v="53"/>
    <x v="24"/>
    <x v="1"/>
    <x v="5"/>
    <m/>
    <s v="10461 BofA St Louis"/>
    <n v="42.83"/>
    <n v="53830"/>
    <n v="42.83"/>
  </r>
  <r>
    <n v="65061"/>
    <s v="Material for Rooms Expense"/>
    <s v="02/24/2014"/>
    <s v="Check"/>
    <m/>
    <x v="53"/>
    <x v="24"/>
    <x v="1"/>
    <x v="5"/>
    <m/>
    <s v="10461 BofA St Louis"/>
    <n v="7"/>
    <n v="53837"/>
    <n v="7"/>
  </r>
  <r>
    <n v="65061"/>
    <s v="Material for Rooms Expense"/>
    <s v="02/25/2014"/>
    <s v="Deposit"/>
    <m/>
    <x v="118"/>
    <x v="24"/>
    <x v="1"/>
    <x v="5"/>
    <m/>
    <s v="10461 BofA St Louis"/>
    <n v="-169.43"/>
    <n v="54276.59"/>
    <n v="-169.43"/>
  </r>
  <r>
    <n v="65061"/>
    <s v="Material for Rooms Expense"/>
    <s v="02/25/2014"/>
    <s v="Deposit"/>
    <m/>
    <x v="161"/>
    <x v="24"/>
    <x v="1"/>
    <x v="5"/>
    <m/>
    <s v="10461 BofA St Louis"/>
    <n v="-32.119999999999997"/>
    <n v="54271.040000000001"/>
    <n v="-32.119999999999997"/>
  </r>
  <r>
    <n v="65061"/>
    <s v="Material for Rooms Expense"/>
    <s v="03/14/2014"/>
    <s v="Check"/>
    <m/>
    <x v="53"/>
    <x v="24"/>
    <x v="1"/>
    <x v="5"/>
    <m/>
    <s v="10461 BofA St Louis"/>
    <n v="62.25"/>
    <n v="69398.559999999998"/>
    <n v="62.25"/>
  </r>
  <r>
    <n v="65061"/>
    <s v="Material for Rooms Expense"/>
    <s v="03/14/2014"/>
    <s v="Check"/>
    <m/>
    <x v="53"/>
    <x v="24"/>
    <x v="1"/>
    <x v="5"/>
    <m/>
    <s v="10461 BofA St Louis"/>
    <n v="191.83"/>
    <n v="69590.39"/>
    <n v="191.83"/>
  </r>
  <r>
    <n v="65061"/>
    <s v="Material for Rooms Expense"/>
    <s v="03/14/2014"/>
    <s v="Check"/>
    <m/>
    <x v="682"/>
    <x v="24"/>
    <x v="1"/>
    <x v="5"/>
    <m/>
    <s v="10461 BofA St Louis"/>
    <n v="106.7"/>
    <n v="69868.97"/>
    <n v="106.7"/>
  </r>
  <r>
    <n v="65061"/>
    <s v="Material for Rooms Expense"/>
    <s v="03/14/2014"/>
    <s v="Check"/>
    <m/>
    <x v="19"/>
    <x v="24"/>
    <x v="1"/>
    <x v="5"/>
    <m/>
    <s v="10461 BofA St Louis"/>
    <n v="260.63"/>
    <n v="70129.600000000006"/>
    <n v="260.63"/>
  </r>
  <r>
    <n v="65061"/>
    <s v="Material for Rooms Expense"/>
    <s v="03/14/2014"/>
    <s v="Check"/>
    <m/>
    <x v="29"/>
    <x v="24"/>
    <x v="1"/>
    <x v="5"/>
    <m/>
    <s v="10461 BofA St Louis"/>
    <n v="49.61"/>
    <n v="70236.72"/>
    <n v="49.61"/>
  </r>
  <r>
    <n v="65061"/>
    <s v="Material for Rooms Expense"/>
    <s v="03/14/2014"/>
    <s v="Check"/>
    <m/>
    <x v="118"/>
    <x v="24"/>
    <x v="1"/>
    <x v="5"/>
    <m/>
    <s v="10461 BofA St Louis"/>
    <n v="343.19"/>
    <n v="70579.91"/>
    <n v="343.19"/>
  </r>
  <r>
    <n v="65061"/>
    <s v="Material for Rooms Expense"/>
    <s v="03/24/2014"/>
    <s v="Deposit"/>
    <m/>
    <x v="53"/>
    <x v="24"/>
    <x v="1"/>
    <x v="5"/>
    <m/>
    <s v="10461 BofA St Louis"/>
    <n v="-29.77"/>
    <n v="75278.63"/>
    <n v="-29.77"/>
  </r>
  <r>
    <n v="65061"/>
    <s v="Material for Rooms Expense"/>
    <s v="04/07/2014"/>
    <s v="Check"/>
    <m/>
    <x v="118"/>
    <x v="24"/>
    <x v="1"/>
    <x v="5"/>
    <m/>
    <s v="10461 BofA St Louis"/>
    <n v="36.39"/>
    <n v="88316.06"/>
    <n v="36.39"/>
  </r>
  <r>
    <n v="65061"/>
    <s v="Material for Rooms Expense"/>
    <s v="04/07/2014"/>
    <s v="Check"/>
    <m/>
    <x v="118"/>
    <x v="24"/>
    <x v="1"/>
    <x v="5"/>
    <m/>
    <s v="10461 BofA St Louis"/>
    <n v="161.88"/>
    <n v="88477.94"/>
    <n v="161.88"/>
  </r>
  <r>
    <n v="65061"/>
    <s v="Material for Rooms Expense"/>
    <s v="04/07/2014"/>
    <s v="Check"/>
    <m/>
    <x v="671"/>
    <x v="24"/>
    <x v="1"/>
    <x v="5"/>
    <m/>
    <s v="10461 BofA St Louis"/>
    <n v="133.29"/>
    <n v="88635.3"/>
    <n v="133.29"/>
  </r>
  <r>
    <n v="65061"/>
    <s v="Material for Rooms Expense"/>
    <s v="04/08/2014"/>
    <s v="Check"/>
    <m/>
    <x v="683"/>
    <x v="24"/>
    <x v="1"/>
    <x v="5"/>
    <m/>
    <s v="10461 BofA St Louis"/>
    <n v="80.47"/>
    <n v="89459.23"/>
    <n v="80.47"/>
  </r>
  <r>
    <n v="65061"/>
    <s v="Material for Rooms Expense"/>
    <s v="04/08/2014"/>
    <s v="Check"/>
    <m/>
    <x v="39"/>
    <x v="24"/>
    <x v="1"/>
    <x v="5"/>
    <m/>
    <s v="10461 BofA St Louis"/>
    <n v="140.86000000000001"/>
    <n v="90194.21"/>
    <n v="140.86000000000001"/>
  </r>
  <r>
    <n v="65061"/>
    <s v="Material for Rooms Expense"/>
    <s v="04/08/2014"/>
    <s v="Check"/>
    <m/>
    <x v="19"/>
    <x v="24"/>
    <x v="1"/>
    <x v="5"/>
    <m/>
    <s v="10461 BofA St Louis"/>
    <n v="13.26"/>
    <n v="90452.05"/>
    <n v="13.26"/>
  </r>
  <r>
    <n v="65061"/>
    <s v="Material for Rooms Expense"/>
    <s v="04/09/2014"/>
    <s v="Check"/>
    <m/>
    <x v="683"/>
    <x v="24"/>
    <x v="1"/>
    <x v="5"/>
    <m/>
    <s v="10461 BofA St Louis"/>
    <n v="45.17"/>
    <n v="90513.94"/>
    <n v="45.17"/>
  </r>
  <r>
    <n v="65061"/>
    <s v="Material for Rooms Expense"/>
    <s v="04/09/2014"/>
    <s v="Check"/>
    <m/>
    <x v="19"/>
    <x v="24"/>
    <x v="1"/>
    <x v="5"/>
    <m/>
    <s v="10461 BofA St Louis"/>
    <n v="13.32"/>
    <n v="90631.25"/>
    <n v="13.32"/>
  </r>
  <r>
    <n v="65061"/>
    <s v="Material for Rooms Expense"/>
    <s v="04/14/2014"/>
    <s v="Check"/>
    <m/>
    <x v="56"/>
    <x v="24"/>
    <x v="1"/>
    <x v="5"/>
    <m/>
    <s v="10461 BofA St Louis"/>
    <n v="359.4"/>
    <n v="92981.32"/>
    <n v="359.4"/>
  </r>
  <r>
    <n v="65061"/>
    <s v="Material for Rooms Expense"/>
    <s v="04/14/2014"/>
    <s v="Check"/>
    <m/>
    <x v="16"/>
    <x v="24"/>
    <x v="1"/>
    <x v="5"/>
    <m/>
    <s v="10461 BofA St Louis"/>
    <n v="42.6"/>
    <n v="93703.32"/>
    <n v="42.6"/>
  </r>
  <r>
    <n v="65061"/>
    <s v="Material for Rooms Expense"/>
    <s v="04/14/2014"/>
    <s v="Check"/>
    <m/>
    <x v="684"/>
    <x v="24"/>
    <x v="1"/>
    <x v="5"/>
    <m/>
    <s v="10461 BofA St Louis"/>
    <n v="103.52"/>
    <n v="93806.84"/>
    <n v="103.52"/>
  </r>
  <r>
    <n v="65061"/>
    <s v="Material for Rooms Expense"/>
    <s v="04/16/2014"/>
    <s v="Check"/>
    <m/>
    <x v="360"/>
    <x v="24"/>
    <x v="1"/>
    <x v="5"/>
    <m/>
    <s v="10461 BofA St Louis"/>
    <n v="369.39"/>
    <n v="97387.72"/>
    <n v="369.39"/>
  </r>
  <r>
    <n v="65061"/>
    <s v="Material for Rooms Expense"/>
    <s v="04/18/2014"/>
    <s v="Check"/>
    <m/>
    <x v="28"/>
    <x v="24"/>
    <x v="1"/>
    <x v="5"/>
    <m/>
    <s v="10461 BofA St Louis"/>
    <n v="67"/>
    <n v="98725.87"/>
    <n v="67"/>
  </r>
  <r>
    <n v="65061"/>
    <s v="Material for Rooms Expense"/>
    <s v="04/18/2014"/>
    <s v="Check"/>
    <m/>
    <x v="28"/>
    <x v="24"/>
    <x v="1"/>
    <x v="5"/>
    <m/>
    <s v="10461 BofA St Louis"/>
    <n v="83.84"/>
    <n v="98809.71"/>
    <n v="83.84"/>
  </r>
  <r>
    <n v="65061"/>
    <s v="Material for Rooms Expense"/>
    <s v="04/21/2014"/>
    <s v="Check"/>
    <m/>
    <x v="449"/>
    <x v="24"/>
    <x v="1"/>
    <x v="5"/>
    <m/>
    <s v="10461 BofA St Louis"/>
    <n v="730"/>
    <n v="101289.33"/>
    <n v="730"/>
  </r>
  <r>
    <n v="65061"/>
    <s v="Material for Rooms Expense"/>
    <s v="04/23/2014"/>
    <s v="Check"/>
    <m/>
    <x v="118"/>
    <x v="24"/>
    <x v="1"/>
    <x v="5"/>
    <m/>
    <s v="10461 BofA St Louis"/>
    <n v="332.28"/>
    <n v="102958.28"/>
    <n v="332.28"/>
  </r>
  <r>
    <n v="65061"/>
    <s v="Material for Rooms Expense"/>
    <s v="04/25/2014"/>
    <s v="Check"/>
    <m/>
    <x v="685"/>
    <x v="24"/>
    <x v="1"/>
    <x v="5"/>
    <m/>
    <s v="10461 BofA St Louis"/>
    <n v="175.63"/>
    <n v="104591.06"/>
    <n v="175.63"/>
  </r>
  <r>
    <n v="65061"/>
    <s v="Material for Rooms Expense"/>
    <s v="04/28/2014"/>
    <s v="Deposit"/>
    <m/>
    <x v="28"/>
    <x v="24"/>
    <x v="1"/>
    <x v="5"/>
    <m/>
    <s v="10461 BofA St Louis"/>
    <n v="-4.2699999999999996"/>
    <n v="106630.61"/>
    <n v="-4.2699999999999996"/>
  </r>
  <r>
    <n v="65061"/>
    <s v="Material for Rooms Expense"/>
    <s v="04/28/2014"/>
    <s v="Check"/>
    <m/>
    <x v="28"/>
    <x v="24"/>
    <x v="1"/>
    <x v="5"/>
    <m/>
    <s v="10461 BofA St Louis"/>
    <n v="112.96"/>
    <n v="106743.57"/>
    <n v="112.96"/>
  </r>
  <r>
    <n v="65061"/>
    <s v="Material for Rooms Expense"/>
    <s v="04/28/2014"/>
    <s v="Check"/>
    <m/>
    <x v="164"/>
    <x v="24"/>
    <x v="1"/>
    <x v="5"/>
    <m/>
    <s v="10461 BofA St Louis"/>
    <n v="57.46"/>
    <n v="106801.03"/>
    <n v="57.46"/>
  </r>
  <r>
    <n v="65061"/>
    <s v="Material for Rooms Expense"/>
    <s v="04/28/2014"/>
    <s v="Check"/>
    <m/>
    <x v="449"/>
    <x v="24"/>
    <x v="1"/>
    <x v="5"/>
    <m/>
    <s v="10461 BofA St Louis"/>
    <n v="940"/>
    <n v="107871.06"/>
    <n v="940"/>
  </r>
  <r>
    <n v="65061"/>
    <s v="Material for Rooms Expense"/>
    <s v="04/28/2014"/>
    <s v="Check"/>
    <m/>
    <x v="19"/>
    <x v="24"/>
    <x v="1"/>
    <x v="5"/>
    <m/>
    <s v="10461 BofA St Louis"/>
    <n v="259.8"/>
    <n v="108376.66"/>
    <n v="259.8"/>
  </r>
  <r>
    <n v="65061"/>
    <s v="Material for Rooms Expense"/>
    <s v="04/28/2014"/>
    <s v="Check"/>
    <m/>
    <x v="19"/>
    <x v="24"/>
    <x v="1"/>
    <x v="5"/>
    <m/>
    <s v="10461 BofA St Louis"/>
    <n v="76.8"/>
    <n v="108453.46"/>
    <n v="76.8"/>
  </r>
  <r>
    <n v="65061"/>
    <s v="Material for Rooms Expense"/>
    <s v="04/30/2014"/>
    <s v="Check"/>
    <m/>
    <x v="19"/>
    <x v="24"/>
    <x v="1"/>
    <x v="5"/>
    <m/>
    <s v="10461 BofA St Louis"/>
    <n v="45.9"/>
    <n v="110540.43"/>
    <n v="45.9"/>
  </r>
  <r>
    <n v="65061"/>
    <s v="Material for Rooms Expense"/>
    <s v="04/30/2014"/>
    <s v="Check"/>
    <m/>
    <x v="67"/>
    <x v="24"/>
    <x v="1"/>
    <x v="5"/>
    <m/>
    <s v="10461 BofA St Louis"/>
    <n v="651.91999999999996"/>
    <n v="113899.77"/>
    <n v="651.91999999999996"/>
  </r>
  <r>
    <n v="65061"/>
    <s v="Material for Rooms Expense"/>
    <s v="05/01/2014"/>
    <s v="Deposit"/>
    <m/>
    <x v="56"/>
    <x v="24"/>
    <x v="1"/>
    <x v="5"/>
    <m/>
    <s v="10461 BofA St Louis"/>
    <n v="-78.38"/>
    <n v="114522.46"/>
    <n v="-78.38"/>
  </r>
  <r>
    <n v="65061"/>
    <s v="Material for Rooms Expense"/>
    <s v="05/02/2014"/>
    <s v="Expense"/>
    <m/>
    <x v="96"/>
    <x v="24"/>
    <x v="1"/>
    <x v="5"/>
    <m/>
    <s v="10461 BofA St Louis"/>
    <n v="9.2799999999999994"/>
    <n v="115978.99"/>
    <n v="9.2799999999999994"/>
  </r>
  <r>
    <n v="65061"/>
    <s v="Material for Rooms Expense"/>
    <s v="05/05/2014"/>
    <s v="Expense"/>
    <m/>
    <x v="29"/>
    <x v="24"/>
    <x v="1"/>
    <x v="5"/>
    <m/>
    <s v="10461 BofA St Louis"/>
    <n v="21.29"/>
    <n v="116920.09"/>
    <n v="21.29"/>
  </r>
  <r>
    <n v="65061"/>
    <s v="Material for Rooms Expense"/>
    <s v="05/05/2014"/>
    <s v="Expense"/>
    <m/>
    <x v="53"/>
    <x v="24"/>
    <x v="1"/>
    <x v="5"/>
    <m/>
    <s v="10461 BofA St Louis"/>
    <n v="1157.1500000000001"/>
    <n v="118077.24"/>
    <n v="1157.1500000000001"/>
  </r>
  <r>
    <n v="65061"/>
    <s v="Material for Rooms Expense"/>
    <s v="05/05/2014"/>
    <s v="Expense"/>
    <m/>
    <x v="686"/>
    <x v="24"/>
    <x v="1"/>
    <x v="5"/>
    <m/>
    <s v="10461 BofA St Louis"/>
    <n v="66.78"/>
    <n v="118228.38"/>
    <n v="66.78"/>
  </r>
  <r>
    <n v="65061"/>
    <s v="Material for Rooms Expense"/>
    <s v="05/05/2014"/>
    <s v="Expense"/>
    <m/>
    <x v="118"/>
    <x v="24"/>
    <x v="1"/>
    <x v="5"/>
    <m/>
    <s v="10461 BofA St Louis"/>
    <n v="161.85"/>
    <n v="118390.23"/>
    <n v="161.85"/>
  </r>
  <r>
    <n v="65061"/>
    <s v="Material for Rooms Expense"/>
    <s v="05/05/2014"/>
    <s v="Expense"/>
    <m/>
    <x v="53"/>
    <x v="24"/>
    <x v="1"/>
    <x v="5"/>
    <m/>
    <s v="10461 BofA St Louis"/>
    <n v="114.61"/>
    <n v="118504.84"/>
    <n v="114.61"/>
  </r>
  <r>
    <n v="65061"/>
    <s v="Material for Rooms Expense"/>
    <s v="05/05/2014"/>
    <s v="Expense"/>
    <m/>
    <x v="28"/>
    <x v="24"/>
    <x v="1"/>
    <x v="5"/>
    <m/>
    <s v="10461 BofA St Louis"/>
    <n v="101.39"/>
    <n v="118606.23"/>
    <n v="101.39"/>
  </r>
  <r>
    <n v="65061"/>
    <s v="Material for Rooms Expense"/>
    <s v="05/05/2014"/>
    <s v="Expense"/>
    <m/>
    <x v="138"/>
    <x v="24"/>
    <x v="1"/>
    <x v="5"/>
    <m/>
    <s v="10461 BofA St Louis"/>
    <n v="139.69999999999999"/>
    <n v="118745.93"/>
    <n v="139.69999999999999"/>
  </r>
  <r>
    <n v="65061"/>
    <s v="Material for Rooms Expense"/>
    <s v="05/05/2014"/>
    <s v="Expense"/>
    <m/>
    <x v="29"/>
    <x v="24"/>
    <x v="1"/>
    <x v="5"/>
    <m/>
    <s v="10461 BofA St Louis"/>
    <n v="60.31"/>
    <n v="118806.24"/>
    <n v="60.31"/>
  </r>
  <r>
    <n v="65061"/>
    <s v="Material for Rooms Expense"/>
    <s v="05/05/2014"/>
    <s v="Expense"/>
    <m/>
    <x v="19"/>
    <x v="24"/>
    <x v="1"/>
    <x v="5"/>
    <m/>
    <s v="10461 BofA St Louis"/>
    <n v="73.680000000000007"/>
    <n v="118879.92"/>
    <n v="73.680000000000007"/>
  </r>
  <r>
    <n v="65061"/>
    <s v="Material for Rooms Expense"/>
    <s v="05/05/2014"/>
    <s v="Expense"/>
    <m/>
    <x v="19"/>
    <x v="24"/>
    <x v="1"/>
    <x v="5"/>
    <m/>
    <s v="10461 BofA St Louis"/>
    <n v="177.02"/>
    <n v="119056.94"/>
    <n v="177.02"/>
  </r>
  <r>
    <n v="65061"/>
    <s v="Material for Rooms Expense"/>
    <s v="05/05/2014"/>
    <s v="Expense"/>
    <m/>
    <x v="118"/>
    <x v="24"/>
    <x v="1"/>
    <x v="5"/>
    <m/>
    <s v="10461 BofA St Louis"/>
    <n v="240.72"/>
    <n v="119297.66"/>
    <n v="240.72"/>
  </r>
  <r>
    <n v="65061"/>
    <s v="Material for Rooms Expense"/>
    <s v="05/05/2014"/>
    <s v="Expense"/>
    <m/>
    <x v="16"/>
    <x v="24"/>
    <x v="1"/>
    <x v="5"/>
    <m/>
    <s v="10461 BofA St Louis"/>
    <n v="171.9"/>
    <n v="119469.56"/>
    <n v="171.9"/>
  </r>
  <r>
    <n v="65061"/>
    <s v="Material for Rooms Expense"/>
    <s v="05/06/2014"/>
    <s v="Expense"/>
    <m/>
    <x v="161"/>
    <x v="24"/>
    <x v="1"/>
    <x v="5"/>
    <m/>
    <s v="10461 BofA St Louis"/>
    <n v="54.28"/>
    <n v="120096.58"/>
    <n v="54.28"/>
  </r>
  <r>
    <n v="65061"/>
    <s v="Material for Rooms Expense"/>
    <s v="05/07/2014"/>
    <s v="Expense"/>
    <m/>
    <x v="118"/>
    <x v="24"/>
    <x v="1"/>
    <x v="5"/>
    <m/>
    <s v="10461 BofA St Louis"/>
    <n v="16.239999999999998"/>
    <n v="121691.12"/>
    <n v="16.239999999999998"/>
  </r>
  <r>
    <n v="65061"/>
    <s v="Material for Rooms Expense"/>
    <s v="05/07/2014"/>
    <s v="Expense"/>
    <m/>
    <x v="29"/>
    <x v="24"/>
    <x v="1"/>
    <x v="5"/>
    <m/>
    <s v="10461 BofA St Louis"/>
    <n v="85.46"/>
    <n v="121776.58"/>
    <n v="85.46"/>
  </r>
  <r>
    <n v="65061"/>
    <s v="Material for Rooms Expense"/>
    <s v="05/07/2014"/>
    <s v="Expense"/>
    <m/>
    <x v="687"/>
    <x v="24"/>
    <x v="1"/>
    <x v="5"/>
    <m/>
    <s v="10461 BofA St Louis"/>
    <n v="38.729999999999997"/>
    <n v="121815.31"/>
    <n v="38.729999999999997"/>
  </r>
  <r>
    <n v="65061"/>
    <s v="Material for Rooms Expense"/>
    <s v="05/07/2014"/>
    <s v="Expense"/>
    <m/>
    <x v="56"/>
    <x v="24"/>
    <x v="1"/>
    <x v="5"/>
    <m/>
    <s v="10461 BofA St Louis"/>
    <n v="166.61"/>
    <n v="121981.92"/>
    <n v="166.61"/>
  </r>
  <r>
    <n v="65061"/>
    <s v="Material for Rooms Expense"/>
    <s v="05/08/2014"/>
    <s v="Expense"/>
    <m/>
    <x v="29"/>
    <x v="24"/>
    <x v="1"/>
    <x v="5"/>
    <m/>
    <s v="10461 BofA St Louis"/>
    <n v="20.260000000000002"/>
    <n v="124144.56"/>
    <n v="20.260000000000002"/>
  </r>
  <r>
    <n v="65061"/>
    <s v="Material for Rooms Expense"/>
    <s v="05/08/2014"/>
    <s v="Expense"/>
    <m/>
    <x v="53"/>
    <x v="24"/>
    <x v="1"/>
    <x v="5"/>
    <m/>
    <s v="10461 BofA St Louis"/>
    <n v="8.42"/>
    <n v="124152.98"/>
    <n v="8.42"/>
  </r>
  <r>
    <n v="65061"/>
    <s v="Material for Rooms Expense"/>
    <s v="05/09/2014"/>
    <s v="Expense"/>
    <m/>
    <x v="311"/>
    <x v="24"/>
    <x v="1"/>
    <x v="5"/>
    <m/>
    <s v="10461 BofA St Louis"/>
    <n v="37.86"/>
    <n v="126744.61"/>
    <n v="37.86"/>
  </r>
  <r>
    <n v="65061"/>
    <s v="Material for Rooms Expense"/>
    <s v="05/19/2014"/>
    <s v="Expense"/>
    <m/>
    <x v="8"/>
    <x v="24"/>
    <x v="1"/>
    <x v="5"/>
    <m/>
    <s v="10461 BofA St Louis"/>
    <n v="3"/>
    <n v="136895.71"/>
    <n v="3"/>
  </r>
  <r>
    <n v="65061"/>
    <s v="Material for Rooms Expense"/>
    <s v="06/05/2014"/>
    <s v="Check"/>
    <n v="1005"/>
    <x v="688"/>
    <x v="24"/>
    <x v="1"/>
    <x v="5"/>
    <m/>
    <s v="10461 BofA St Louis"/>
    <n v="91.47"/>
    <n v="155064.76999999999"/>
    <n v="91.47"/>
  </r>
  <r>
    <n v="65061"/>
    <s v="Material for Rooms Expense"/>
    <s v="06/20/2014"/>
    <s v="Expense"/>
    <m/>
    <x v="689"/>
    <x v="24"/>
    <x v="1"/>
    <x v="5"/>
    <m/>
    <s v="10461 BofA St Louis"/>
    <n v="60"/>
    <n v="180876.53"/>
    <n v="60"/>
  </r>
  <r>
    <n v="65061"/>
    <s v="Material for Rooms Expense"/>
    <s v="06/20/2014"/>
    <s v="Expense"/>
    <m/>
    <x v="690"/>
    <x v="24"/>
    <x v="1"/>
    <x v="5"/>
    <m/>
    <s v="10461 BofA St Louis"/>
    <n v="17.350000000000001"/>
    <n v="180893.88"/>
    <n v="17.350000000000001"/>
  </r>
  <r>
    <n v="65061"/>
    <s v="Material for Rooms Expense"/>
    <s v="06/20/2014"/>
    <s v="Expense"/>
    <m/>
    <x v="689"/>
    <x v="24"/>
    <x v="1"/>
    <x v="5"/>
    <m/>
    <s v="10461 BofA St Louis"/>
    <n v="200"/>
    <n v="181093.88"/>
    <n v="200"/>
  </r>
  <r>
    <n v="67001"/>
    <s v="Fundraising Expense -  Direct"/>
    <s v="05/12/2014"/>
    <s v="Check"/>
    <n v="1003"/>
    <x v="691"/>
    <x v="24"/>
    <x v="2"/>
    <x v="7"/>
    <m/>
    <s v="10461 BofA St Louis"/>
    <n v="150"/>
    <n v="55824.73"/>
    <n v="150"/>
  </r>
  <r>
    <n v="44000"/>
    <s v="Fund Raising Activities Income"/>
    <s v="10/14/2014"/>
    <s v="Journal Entry"/>
    <n v="724"/>
    <x v="0"/>
    <x v="0"/>
    <x v="0"/>
    <x v="38"/>
    <s v="Bed Race paypal"/>
    <s v="-Split-"/>
    <n v="50"/>
    <n v="233915.2"/>
    <n v="-50"/>
  </r>
  <r>
    <n v="44000"/>
    <s v="Fund Raising Activities Income"/>
    <s v="10/16/2014"/>
    <s v="Deposit"/>
    <m/>
    <x v="692"/>
    <x v="0"/>
    <x v="0"/>
    <x v="38"/>
    <s v="Bed Race Home Depot"/>
    <s v="10125 BofA Restricted Funds -055:National"/>
    <n v="125"/>
    <n v="234040.2"/>
    <n v="-125"/>
  </r>
  <r>
    <n v="65061"/>
    <s v="Material for Rooms Expense"/>
    <s v="01/22/2014"/>
    <s v="Check"/>
    <n v="405"/>
    <x v="693"/>
    <x v="31"/>
    <x v="1"/>
    <x v="5"/>
    <s v="Devin's room"/>
    <s v="10180 BofA Spec Spaces National 4695"/>
    <n v="1890.25"/>
    <n v="14703"/>
    <n v="1890.25"/>
  </r>
  <r>
    <n v="44000"/>
    <s v="Fund Raising Activities Income"/>
    <s v="10/20/2014"/>
    <s v="Journal Entry"/>
    <n v="727"/>
    <x v="0"/>
    <x v="0"/>
    <x v="0"/>
    <x v="38"/>
    <s v="to national for bed race"/>
    <s v="-Split-"/>
    <n v="500"/>
    <n v="235685.2"/>
    <n v="-500"/>
  </r>
  <r>
    <n v="44000"/>
    <s v="Fund Raising Activities Income"/>
    <s v="10/25/2014"/>
    <s v="Invoice"/>
    <n v="1007"/>
    <x v="694"/>
    <x v="0"/>
    <x v="0"/>
    <x v="38"/>
    <s v="The Bed Race"/>
    <s v="11000 Accounts Receivable"/>
    <n v="5000"/>
    <n v="244252.98"/>
    <n v="-5000"/>
  </r>
  <r>
    <n v="44000"/>
    <s v="Fund Raising Activities Income"/>
    <s v="10/27/2014"/>
    <s v="Deposit"/>
    <m/>
    <x v="3"/>
    <x v="0"/>
    <x v="0"/>
    <x v="38"/>
    <m/>
    <s v="10180 BofA Spec Spaces National 4695"/>
    <n v="1784"/>
    <n v="247391.98"/>
    <n v="-1784"/>
  </r>
  <r>
    <n v="43430"/>
    <s v="Gifts in kind - Services"/>
    <s v="06/07/2014"/>
    <s v="Journal Entry"/>
    <n v="620"/>
    <x v="0"/>
    <x v="14"/>
    <x v="3"/>
    <x v="8"/>
    <s v="mural for Hudson"/>
    <s v="-Split-"/>
    <n v="300"/>
    <n v="17872.5"/>
    <n v="-300"/>
  </r>
  <r>
    <n v="43440"/>
    <s v="Gifts in Kind - Goods"/>
    <s v="06/07/2014"/>
    <s v="Journal Entry"/>
    <n v="620"/>
    <x v="0"/>
    <x v="14"/>
    <x v="3"/>
    <x v="9"/>
    <s v="Paint and molding"/>
    <s v="-Split-"/>
    <n v="292.31"/>
    <n v="28402.48"/>
    <n v="-292.31"/>
  </r>
  <r>
    <n v="43440"/>
    <s v="Gifts in Kind - Goods"/>
    <s v="06/07/2014"/>
    <s v="Journal Entry"/>
    <n v="620"/>
    <x v="0"/>
    <x v="14"/>
    <x v="3"/>
    <x v="9"/>
    <s v="Shutter"/>
    <s v="-Split-"/>
    <n v="285"/>
    <n v="28687.48"/>
    <n v="-285"/>
  </r>
  <r>
    <n v="65015"/>
    <s v="Travel Expense"/>
    <s v="02/18/2014"/>
    <s v="Check"/>
    <m/>
    <x v="101"/>
    <x v="14"/>
    <x v="1"/>
    <x v="15"/>
    <m/>
    <s v="10549 BoA Tampa - 8376"/>
    <n v="80.41"/>
    <n v="1306.3900000000001"/>
    <n v="80.41"/>
  </r>
  <r>
    <n v="65025"/>
    <s v="Bank Service Charges"/>
    <s v="01/02/2014"/>
    <s v="Check"/>
    <m/>
    <x v="92"/>
    <x v="14"/>
    <x v="1"/>
    <x v="14"/>
    <m/>
    <s v="10549 BoA Tampa - 8376"/>
    <n v="15"/>
    <n v="30"/>
    <n v="15"/>
  </r>
  <r>
    <n v="65025"/>
    <s v="Bank Service Charges"/>
    <s v="02/03/2014"/>
    <s v="Check"/>
    <m/>
    <x v="92"/>
    <x v="14"/>
    <x v="1"/>
    <x v="14"/>
    <m/>
    <s v="10549 BoA Tampa - 8376"/>
    <n v="35"/>
    <n v="343.2"/>
    <n v="35"/>
  </r>
  <r>
    <n v="65025"/>
    <s v="Bank Service Charges"/>
    <s v="03/03/2014"/>
    <s v="Check"/>
    <s v="dbt"/>
    <x v="92"/>
    <x v="14"/>
    <x v="1"/>
    <x v="14"/>
    <m/>
    <s v="10535 BofA Scranton (NEPA) - 4608"/>
    <n v="15"/>
    <n v="535.72"/>
    <n v="15"/>
  </r>
  <r>
    <n v="65025"/>
    <s v="Bank Service Charges"/>
    <s v="04/01/2014"/>
    <s v="Check"/>
    <m/>
    <x v="92"/>
    <x v="14"/>
    <x v="1"/>
    <x v="14"/>
    <m/>
    <s v="10549 BoA Tampa - 8376"/>
    <n v="15"/>
    <n v="619.66999999999996"/>
    <n v="15"/>
  </r>
  <r>
    <n v="65025"/>
    <s v="Bank Service Charges"/>
    <s v="05/01/2014"/>
    <s v="Expense"/>
    <m/>
    <x v="92"/>
    <x v="14"/>
    <x v="1"/>
    <x v="14"/>
    <m/>
    <s v="10549 BoA Tampa - 8376"/>
    <n v="15"/>
    <n v="929.33"/>
    <n v="15"/>
  </r>
  <r>
    <n v="65061"/>
    <s v="Material for Rooms Expense"/>
    <s v="01/02/2014"/>
    <s v="Check"/>
    <m/>
    <x v="137"/>
    <x v="14"/>
    <x v="1"/>
    <x v="5"/>
    <m/>
    <s v="10549 BoA Tampa - 8376"/>
    <n v="181.9"/>
    <n v="-8977.94"/>
    <n v="181.9"/>
  </r>
  <r>
    <n v="65061"/>
    <s v="Material for Rooms Expense"/>
    <s v="01/02/2014"/>
    <s v="Check"/>
    <m/>
    <x v="137"/>
    <x v="14"/>
    <x v="1"/>
    <x v="5"/>
    <m/>
    <s v="10549 BoA Tampa - 8376"/>
    <n v="8"/>
    <n v="-8969.94"/>
    <n v="8"/>
  </r>
  <r>
    <n v="65061"/>
    <s v="Material for Rooms Expense"/>
    <s v="01/02/2014"/>
    <s v="Check"/>
    <m/>
    <x v="695"/>
    <x v="14"/>
    <x v="1"/>
    <x v="5"/>
    <m/>
    <s v="10549 BoA Tampa - 8376"/>
    <n v="85.71"/>
    <n v="-8784.23"/>
    <n v="85.71"/>
  </r>
  <r>
    <n v="65061"/>
    <s v="Material for Rooms Expense"/>
    <s v="01/03/2014"/>
    <s v="Check"/>
    <m/>
    <x v="56"/>
    <x v="14"/>
    <x v="1"/>
    <x v="5"/>
    <m/>
    <s v="10549 BoA Tampa - 8376"/>
    <n v="20.309999999999999"/>
    <n v="-8763.92"/>
    <n v="20.309999999999999"/>
  </r>
  <r>
    <n v="65061"/>
    <s v="Material for Rooms Expense"/>
    <s v="01/03/2014"/>
    <s v="Check"/>
    <m/>
    <x v="73"/>
    <x v="14"/>
    <x v="1"/>
    <x v="5"/>
    <m/>
    <s v="10549 BoA Tampa - 8376"/>
    <n v="459.03"/>
    <n v="-8304.89"/>
    <n v="459.03"/>
  </r>
  <r>
    <n v="65061"/>
    <s v="Material for Rooms Expense"/>
    <s v="01/06/2014"/>
    <s v="Check"/>
    <m/>
    <x v="164"/>
    <x v="14"/>
    <x v="1"/>
    <x v="5"/>
    <m/>
    <s v="10549 BoA Tampa - 8376"/>
    <n v="36.799999999999997"/>
    <n v="-7134.53"/>
    <n v="36.799999999999997"/>
  </r>
  <r>
    <n v="65061"/>
    <s v="Material for Rooms Expense"/>
    <s v="01/06/2014"/>
    <s v="Check"/>
    <m/>
    <x v="159"/>
    <x v="14"/>
    <x v="1"/>
    <x v="5"/>
    <m/>
    <s v="10549 BoA Tampa - 8376"/>
    <n v="85.8"/>
    <n v="-6965.43"/>
    <n v="85.8"/>
  </r>
  <r>
    <n v="65061"/>
    <s v="Material for Rooms Expense"/>
    <s v="01/06/2014"/>
    <s v="Check"/>
    <m/>
    <x v="67"/>
    <x v="14"/>
    <x v="1"/>
    <x v="5"/>
    <m/>
    <s v="10549 BoA Tampa - 8376"/>
    <n v="176.39"/>
    <n v="-6789.04"/>
    <n v="176.39"/>
  </r>
  <r>
    <n v="65061"/>
    <s v="Material for Rooms Expense"/>
    <s v="01/06/2014"/>
    <s v="Check"/>
    <m/>
    <x v="696"/>
    <x v="14"/>
    <x v="1"/>
    <x v="5"/>
    <m/>
    <s v="10549 BoA Tampa - 8376"/>
    <n v="71.459999999999994"/>
    <n v="-6717.58"/>
    <n v="71.459999999999994"/>
  </r>
  <r>
    <n v="65061"/>
    <s v="Material for Rooms Expense"/>
    <s v="01/06/2014"/>
    <s v="Check"/>
    <m/>
    <x v="9"/>
    <x v="14"/>
    <x v="1"/>
    <x v="5"/>
    <m/>
    <s v="10549 BoA Tampa - 8376"/>
    <n v="66.44"/>
    <n v="-6651.14"/>
    <n v="66.44"/>
  </r>
  <r>
    <n v="65061"/>
    <s v="Material for Rooms Expense"/>
    <s v="01/21/2014"/>
    <s v="Check"/>
    <m/>
    <x v="33"/>
    <x v="14"/>
    <x v="1"/>
    <x v="5"/>
    <m/>
    <s v="10549 BoA Tampa - 8376"/>
    <n v="164.99"/>
    <n v="10532.92"/>
    <n v="164.99"/>
  </r>
  <r>
    <n v="65061"/>
    <s v="Material for Rooms Expense"/>
    <s v="01/21/2014"/>
    <s v="Check"/>
    <m/>
    <x v="137"/>
    <x v="14"/>
    <x v="1"/>
    <x v="5"/>
    <m/>
    <s v="10549 BoA Tampa - 8376"/>
    <n v="74"/>
    <n v="10606.92"/>
    <n v="74"/>
  </r>
  <r>
    <n v="65061"/>
    <s v="Material for Rooms Expense"/>
    <s v="01/21/2014"/>
    <s v="Check"/>
    <m/>
    <x v="62"/>
    <x v="14"/>
    <x v="1"/>
    <x v="5"/>
    <m/>
    <s v="10549 BoA Tampa - 8376"/>
    <n v="971.56"/>
    <n v="11578.48"/>
    <n v="971.56"/>
  </r>
  <r>
    <n v="65061"/>
    <s v="Material for Rooms Expense"/>
    <s v="01/24/2014"/>
    <s v="Deposit"/>
    <m/>
    <x v="62"/>
    <x v="14"/>
    <x v="1"/>
    <x v="5"/>
    <m/>
    <s v="10549 BoA Tampa - 8376"/>
    <n v="-971.56"/>
    <n v="20328.23"/>
    <n v="-971.56"/>
  </r>
  <r>
    <n v="65061"/>
    <s v="Material for Rooms Expense"/>
    <s v="01/24/2014"/>
    <s v="Deposit"/>
    <m/>
    <x v="62"/>
    <x v="14"/>
    <x v="1"/>
    <x v="5"/>
    <m/>
    <s v="10549 BoA Tampa - 8376"/>
    <n v="-63.56"/>
    <n v="20264.669999999998"/>
    <n v="-63.56"/>
  </r>
  <r>
    <n v="65061"/>
    <s v="Material for Rooms Expense"/>
    <s v="01/28/2014"/>
    <s v="Check"/>
    <m/>
    <x v="311"/>
    <x v="14"/>
    <x v="1"/>
    <x v="5"/>
    <m/>
    <s v="10549 BoA Tampa - 8376"/>
    <n v="149.08000000000001"/>
    <n v="20853.689999999999"/>
    <n v="149.08000000000001"/>
  </r>
  <r>
    <n v="65061"/>
    <s v="Material for Rooms Expense"/>
    <s v="01/29/2014"/>
    <s v="Check"/>
    <m/>
    <x v="697"/>
    <x v="14"/>
    <x v="1"/>
    <x v="5"/>
    <m/>
    <s v="10549 BoA Tampa - 8376"/>
    <n v="835.43"/>
    <n v="22806.61"/>
    <n v="835.43"/>
  </r>
  <r>
    <n v="65061"/>
    <s v="Material for Rooms Expense"/>
    <s v="02/03/2014"/>
    <s v="Check"/>
    <m/>
    <x v="53"/>
    <x v="14"/>
    <x v="1"/>
    <x v="5"/>
    <m/>
    <s v="10549 BoA Tampa - 8376"/>
    <n v="246.95"/>
    <n v="26510.77"/>
    <n v="246.95"/>
  </r>
  <r>
    <n v="65061"/>
    <s v="Material for Rooms Expense"/>
    <s v="02/04/2014"/>
    <s v="Check"/>
    <m/>
    <x v="137"/>
    <x v="14"/>
    <x v="1"/>
    <x v="5"/>
    <m/>
    <s v="10549 BoA Tampa - 8376"/>
    <n v="27.95"/>
    <n v="28790.38"/>
    <n v="27.95"/>
  </r>
  <r>
    <n v="65061"/>
    <s v="Material for Rooms Expense"/>
    <s v="02/04/2014"/>
    <s v="Check"/>
    <m/>
    <x v="33"/>
    <x v="14"/>
    <x v="1"/>
    <x v="5"/>
    <m/>
    <s v="10549 BoA Tampa - 8376"/>
    <n v="54.46"/>
    <n v="29411.87"/>
    <n v="54.46"/>
  </r>
  <r>
    <n v="65061"/>
    <s v="Material for Rooms Expense"/>
    <s v="02/10/2014"/>
    <s v="Check"/>
    <m/>
    <x v="53"/>
    <x v="14"/>
    <x v="1"/>
    <x v="5"/>
    <m/>
    <s v="10549 BoA Tampa - 8376"/>
    <n v="13.37"/>
    <n v="36132.47"/>
    <n v="13.37"/>
  </r>
  <r>
    <n v="65061"/>
    <s v="Material for Rooms Expense"/>
    <s v="04/03/2014"/>
    <s v="Check"/>
    <m/>
    <x v="137"/>
    <x v="14"/>
    <x v="1"/>
    <x v="5"/>
    <m/>
    <s v="10549 BoA Tampa - 8376"/>
    <n v="17.43"/>
    <n v="85891.53"/>
    <n v="17.43"/>
  </r>
  <r>
    <n v="65061"/>
    <s v="Material for Rooms Expense"/>
    <s v="04/07/2014"/>
    <s v="Check"/>
    <m/>
    <x v="7"/>
    <x v="14"/>
    <x v="1"/>
    <x v="5"/>
    <m/>
    <s v="10549 BoA Tampa - 8376"/>
    <n v="178.05"/>
    <n v="87578.98"/>
    <n v="178.05"/>
  </r>
  <r>
    <n v="65061"/>
    <s v="Material for Rooms Expense"/>
    <s v="06/02/2014"/>
    <s v="Expense"/>
    <m/>
    <x v="698"/>
    <x v="14"/>
    <x v="1"/>
    <x v="5"/>
    <m/>
    <s v="10549 BoA Tampa - 8376"/>
    <n v="24.93"/>
    <n v="148122.41"/>
    <n v="24.93"/>
  </r>
  <r>
    <n v="65061"/>
    <s v="Material for Rooms Expense"/>
    <s v="06/02/2014"/>
    <s v="Expense"/>
    <m/>
    <x v="137"/>
    <x v="14"/>
    <x v="1"/>
    <x v="5"/>
    <m/>
    <s v="10549 BoA Tampa - 8376"/>
    <n v="115.95"/>
    <n v="148238.35999999999"/>
    <n v="115.95"/>
  </r>
  <r>
    <n v="65061"/>
    <s v="Material for Rooms Expense"/>
    <s v="06/02/2014"/>
    <s v="Expense"/>
    <m/>
    <x v="699"/>
    <x v="14"/>
    <x v="1"/>
    <x v="5"/>
    <m/>
    <s v="10549 BoA Tampa - 8376"/>
    <n v="74.989999999999995"/>
    <n v="148313.35"/>
    <n v="74.989999999999995"/>
  </r>
  <r>
    <n v="65061"/>
    <s v="Material for Rooms Expense"/>
    <s v="06/02/2014"/>
    <s v="Expense"/>
    <m/>
    <x v="67"/>
    <x v="14"/>
    <x v="1"/>
    <x v="5"/>
    <m/>
    <s v="10549 BoA Tampa - 8376"/>
    <n v="177.29"/>
    <n v="148490.64000000001"/>
    <n v="177.29"/>
  </r>
  <r>
    <n v="65061"/>
    <s v="Material for Rooms Expense"/>
    <s v="06/02/2014"/>
    <s v="Expense"/>
    <m/>
    <x v="137"/>
    <x v="14"/>
    <x v="1"/>
    <x v="5"/>
    <m/>
    <s v="10549 BoA Tampa - 8376"/>
    <n v="24.76"/>
    <n v="148515.4"/>
    <n v="24.76"/>
  </r>
  <r>
    <n v="65061"/>
    <s v="Material for Rooms Expense"/>
    <s v="06/02/2014"/>
    <s v="Expense"/>
    <m/>
    <x v="137"/>
    <x v="14"/>
    <x v="1"/>
    <x v="5"/>
    <m/>
    <s v="10549 BoA Tampa - 8376"/>
    <n v="27"/>
    <n v="148542.39999999999"/>
    <n v="27"/>
  </r>
  <r>
    <n v="65061"/>
    <s v="Material for Rooms Expense"/>
    <s v="06/02/2014"/>
    <s v="Expense"/>
    <m/>
    <x v="700"/>
    <x v="14"/>
    <x v="1"/>
    <x v="5"/>
    <m/>
    <s v="10549 BoA Tampa - 8376"/>
    <n v="68.31"/>
    <n v="148610.71"/>
    <n v="68.31"/>
  </r>
  <r>
    <n v="65061"/>
    <s v="Material for Rooms Expense"/>
    <s v="06/02/2014"/>
    <s v="Expense"/>
    <m/>
    <x v="701"/>
    <x v="14"/>
    <x v="1"/>
    <x v="5"/>
    <m/>
    <s v="10549 BoA Tampa - 8376"/>
    <n v="34.99"/>
    <n v="148645.70000000001"/>
    <n v="34.99"/>
  </r>
  <r>
    <n v="65061"/>
    <s v="Material for Rooms Expense"/>
    <s v="06/02/2014"/>
    <s v="Expense"/>
    <m/>
    <x v="137"/>
    <x v="14"/>
    <x v="1"/>
    <x v="5"/>
    <m/>
    <s v="10549 BoA Tampa - 8376"/>
    <n v="130"/>
    <n v="148775.70000000001"/>
    <n v="130"/>
  </r>
  <r>
    <n v="65061"/>
    <s v="Material for Rooms Expense"/>
    <s v="06/02/2014"/>
    <s v="Expense"/>
    <m/>
    <x v="702"/>
    <x v="14"/>
    <x v="1"/>
    <x v="5"/>
    <m/>
    <s v="10549 BoA Tampa - 8376"/>
    <n v="70.510000000000005"/>
    <n v="148846.21"/>
    <n v="70.510000000000005"/>
  </r>
  <r>
    <n v="65061"/>
    <s v="Material for Rooms Expense"/>
    <s v="06/02/2014"/>
    <s v="Expense"/>
    <m/>
    <x v="164"/>
    <x v="14"/>
    <x v="1"/>
    <x v="5"/>
    <m/>
    <s v="10549 BoA Tampa - 8376"/>
    <n v="168.03"/>
    <n v="149014.24"/>
    <n v="168.03"/>
  </r>
  <r>
    <n v="65061"/>
    <s v="Material for Rooms Expense"/>
    <s v="06/03/2014"/>
    <s v="Expense"/>
    <m/>
    <x v="703"/>
    <x v="14"/>
    <x v="1"/>
    <x v="5"/>
    <m/>
    <s v="10549 BoA Tampa - 8376"/>
    <n v="95.85"/>
    <n v="150810.91"/>
    <n v="95.85"/>
  </r>
  <r>
    <n v="65061"/>
    <s v="Material for Rooms Expense"/>
    <s v="06/03/2014"/>
    <s v="Expense"/>
    <m/>
    <x v="704"/>
    <x v="14"/>
    <x v="1"/>
    <x v="5"/>
    <m/>
    <s v="10549 BoA Tampa - 8376"/>
    <n v="24.97"/>
    <n v="150835.88"/>
    <n v="24.97"/>
  </r>
  <r>
    <n v="65061"/>
    <s v="Material for Rooms Expense"/>
    <s v="06/03/2014"/>
    <s v="Expense"/>
    <m/>
    <x v="33"/>
    <x v="14"/>
    <x v="1"/>
    <x v="5"/>
    <m/>
    <s v="10549 BoA Tampa - 8376"/>
    <n v="22.94"/>
    <n v="150858.82"/>
    <n v="22.94"/>
  </r>
  <r>
    <n v="65061"/>
    <s v="Material for Rooms Expense"/>
    <s v="06/03/2014"/>
    <s v="Expense"/>
    <m/>
    <x v="160"/>
    <x v="14"/>
    <x v="1"/>
    <x v="5"/>
    <m/>
    <s v="10549 BoA Tampa - 8376"/>
    <n v="86.92"/>
    <n v="150945.74"/>
    <n v="86.92"/>
  </r>
  <r>
    <n v="65061"/>
    <s v="Material for Rooms Expense"/>
    <s v="06/04/2014"/>
    <s v="Expense"/>
    <m/>
    <x v="705"/>
    <x v="14"/>
    <x v="1"/>
    <x v="5"/>
    <m/>
    <s v="10549 BoA Tampa - 8376"/>
    <n v="72.5"/>
    <n v="151759.67999999999"/>
    <n v="72.5"/>
  </r>
  <r>
    <n v="65061"/>
    <s v="Material for Rooms Expense"/>
    <s v="06/04/2014"/>
    <s v="Expense"/>
    <m/>
    <x v="706"/>
    <x v="14"/>
    <x v="1"/>
    <x v="5"/>
    <m/>
    <s v="10549 BoA Tampa - 8376"/>
    <n v="31.99"/>
    <n v="151791.67000000001"/>
    <n v="31.99"/>
  </r>
  <r>
    <n v="65061"/>
    <s v="Material for Rooms Expense"/>
    <s v="06/04/2014"/>
    <s v="Expense"/>
    <m/>
    <x v="67"/>
    <x v="14"/>
    <x v="1"/>
    <x v="5"/>
    <m/>
    <s v="10549 BoA Tampa - 8376"/>
    <n v="425.94"/>
    <n v="152217.60999999999"/>
    <n v="425.94"/>
  </r>
  <r>
    <n v="65061"/>
    <s v="Material for Rooms Expense"/>
    <s v="06/04/2014"/>
    <s v="Expense"/>
    <m/>
    <x v="67"/>
    <x v="14"/>
    <x v="1"/>
    <x v="5"/>
    <m/>
    <s v="10549 BoA Tampa - 8376"/>
    <n v="144.99"/>
    <n v="152362.6"/>
    <n v="144.99"/>
  </r>
  <r>
    <n v="65061"/>
    <s v="Material for Rooms Expense"/>
    <s v="06/05/2014"/>
    <s v="Expense"/>
    <m/>
    <x v="707"/>
    <x v="14"/>
    <x v="1"/>
    <x v="5"/>
    <m/>
    <s v="10549 BoA Tampa - 8376"/>
    <n v="158.13999999999999"/>
    <n v="155659.89000000001"/>
    <n v="158.13999999999999"/>
  </r>
  <r>
    <n v="65061"/>
    <s v="Material for Rooms Expense"/>
    <s v="06/06/2014"/>
    <s v="Expense"/>
    <m/>
    <x v="19"/>
    <x v="14"/>
    <x v="1"/>
    <x v="5"/>
    <m/>
    <s v="10549 BoA Tampa - 8376"/>
    <n v="164.1"/>
    <n v="156333.88"/>
    <n v="164.1"/>
  </r>
  <r>
    <n v="65061"/>
    <s v="Material for Rooms Expense"/>
    <s v="06/09/2014"/>
    <s v="Expense"/>
    <m/>
    <x v="708"/>
    <x v="14"/>
    <x v="1"/>
    <x v="5"/>
    <m/>
    <s v="10549 BoA Tampa - 8376"/>
    <n v="120.15"/>
    <n v="165108.01999999999"/>
    <n v="120.15"/>
  </r>
  <r>
    <n v="65061"/>
    <s v="Material for Rooms Expense"/>
    <s v="06/10/2014"/>
    <s v="Expense"/>
    <m/>
    <x v="701"/>
    <x v="14"/>
    <x v="1"/>
    <x v="5"/>
    <m/>
    <s v="10549 BoA Tampa - 8376"/>
    <n v="315.61"/>
    <n v="166294.13"/>
    <n v="315.61"/>
  </r>
  <r>
    <n v="65061"/>
    <s v="Material for Rooms Expense"/>
    <s v="06/11/2014"/>
    <s v="Expense"/>
    <m/>
    <x v="19"/>
    <x v="14"/>
    <x v="1"/>
    <x v="5"/>
    <m/>
    <s v="10549 BoA Tampa - 8376"/>
    <n v="19.89"/>
    <n v="167613.62"/>
    <n v="19.89"/>
  </r>
  <r>
    <n v="65061"/>
    <s v="Material for Rooms Expense"/>
    <s v="06/12/2014"/>
    <s v="Expense"/>
    <m/>
    <x v="546"/>
    <x v="14"/>
    <x v="1"/>
    <x v="5"/>
    <m/>
    <s v="10549 BoA Tampa - 8376"/>
    <n v="203.28"/>
    <n v="169329.93"/>
    <n v="203.28"/>
  </r>
  <r>
    <n v="65061"/>
    <s v="Material for Rooms Expense"/>
    <s v="06/16/2014"/>
    <s v="Expense"/>
    <m/>
    <x v="53"/>
    <x v="14"/>
    <x v="1"/>
    <x v="5"/>
    <m/>
    <s v="10549 BoA Tampa - 8376"/>
    <n v="208.34"/>
    <n v="170835.59"/>
    <n v="208.34"/>
  </r>
  <r>
    <n v="65061"/>
    <s v="Material for Rooms Expense"/>
    <s v="06/16/2014"/>
    <s v="Deposit"/>
    <m/>
    <x v="546"/>
    <x v="14"/>
    <x v="1"/>
    <x v="5"/>
    <m/>
    <s v="10549 BoA Tampa - 8376"/>
    <n v="-13.3"/>
    <n v="170822.29"/>
    <n v="-13.3"/>
  </r>
  <r>
    <n v="65062"/>
    <s v="In-Kind Goods"/>
    <s v="06/07/2014"/>
    <s v="Journal Entry"/>
    <n v="620"/>
    <x v="0"/>
    <x v="14"/>
    <x v="1"/>
    <x v="10"/>
    <s v="Paint and molding"/>
    <s v="-Split-"/>
    <n v="292.31"/>
    <n v="27892.73"/>
    <n v="292.31"/>
  </r>
  <r>
    <n v="65062"/>
    <s v="In-Kind Goods"/>
    <s v="06/07/2014"/>
    <s v="Journal Entry"/>
    <n v="620"/>
    <x v="0"/>
    <x v="14"/>
    <x v="1"/>
    <x v="10"/>
    <s v="Shutter"/>
    <s v="-Split-"/>
    <n v="285"/>
    <n v="28177.73"/>
    <n v="285"/>
  </r>
  <r>
    <n v="65063"/>
    <s v="In-Kind Services"/>
    <s v="06/07/2014"/>
    <s v="Journal Entry"/>
    <n v="620"/>
    <x v="0"/>
    <x v="14"/>
    <x v="1"/>
    <x v="11"/>
    <s v="mural for Hudson"/>
    <s v="-Split-"/>
    <n v="300"/>
    <n v="17872.5"/>
    <n v="300"/>
  </r>
  <r>
    <n v="67001"/>
    <s v="Fundraising Expense -  Direct"/>
    <s v="05/14/2014"/>
    <s v="Expense"/>
    <m/>
    <x v="9"/>
    <x v="14"/>
    <x v="2"/>
    <x v="7"/>
    <m/>
    <s v="10549 BoA Tampa - 8376"/>
    <n v="50.26"/>
    <n v="55874.99"/>
    <n v="50.26"/>
  </r>
  <r>
    <n v="67001"/>
    <s v="Fundraising Expense -  Direct"/>
    <s v="05/16/2014"/>
    <s v="Expense"/>
    <m/>
    <x v="0"/>
    <x v="14"/>
    <x v="2"/>
    <x v="7"/>
    <m/>
    <s v="10549 BoA Tampa - 8376"/>
    <n v="245.34"/>
    <n v="56298.75"/>
    <n v="245.34"/>
  </r>
  <r>
    <n v="44000"/>
    <s v="Fund Raising Activities Income"/>
    <s v="10/28/2014"/>
    <s v="Journal Entry"/>
    <n v="746"/>
    <x v="0"/>
    <x v="0"/>
    <x v="0"/>
    <x v="38"/>
    <s v="Bed Race"/>
    <s v="-Split-"/>
    <n v="1735"/>
    <n v="249126.98"/>
    <n v="-1735"/>
  </r>
  <r>
    <n v="44000"/>
    <s v="Fund Raising Activities Income"/>
    <s v="10/29/2014"/>
    <s v="Deposit"/>
    <m/>
    <x v="709"/>
    <x v="0"/>
    <x v="0"/>
    <x v="38"/>
    <m/>
    <s v="10180 BofA Spec Spaces National 4695"/>
    <n v="100"/>
    <n v="249226.98"/>
    <n v="-100"/>
  </r>
  <r>
    <n v="44000"/>
    <s v="Fund Raising Activities Income"/>
    <s v="08/04/2014"/>
    <s v="Deposit"/>
    <m/>
    <x v="3"/>
    <x v="1"/>
    <x v="0"/>
    <x v="38"/>
    <s v="golf tournament"/>
    <s v="10106 BofA Restricted Funds -055:BofA Albequerque - 233"/>
    <n v="1620"/>
    <n v="196219.05"/>
    <n v="-1620"/>
  </r>
  <r>
    <n v="44000"/>
    <s v="Fund Raising Activities Income"/>
    <s v="10/21/2014"/>
    <s v="Deposit"/>
    <m/>
    <x v="3"/>
    <x v="1"/>
    <x v="0"/>
    <x v="38"/>
    <s v="Give Grande New Mexico Fundraiser"/>
    <s v="10106 BofA Restricted Funds -055:BofA Albequerque - 233"/>
    <n v="94.48"/>
    <n v="235779.68"/>
    <n v="-94.48"/>
  </r>
  <r>
    <n v="65025"/>
    <s v="Bank Service Charges"/>
    <s v="08/01/2014"/>
    <s v="Expense"/>
    <m/>
    <x v="92"/>
    <x v="6"/>
    <x v="1"/>
    <x v="14"/>
    <m/>
    <s v="10486 BofA Chattanooga"/>
    <n v="15"/>
    <n v="2064.17"/>
    <n v="15"/>
  </r>
  <r>
    <n v="65025"/>
    <s v="Bank Service Charges"/>
    <s v="08/25/2014"/>
    <s v="Expense"/>
    <m/>
    <x v="92"/>
    <x v="6"/>
    <x v="1"/>
    <x v="14"/>
    <m/>
    <s v="10486 BofA Chattanooga"/>
    <n v="35"/>
    <n v="2135.12"/>
    <n v="35"/>
  </r>
  <r>
    <n v="65025"/>
    <s v="Bank Service Charges"/>
    <s v="10/01/2014"/>
    <s v="Expense"/>
    <m/>
    <x v="92"/>
    <x v="6"/>
    <x v="1"/>
    <x v="14"/>
    <m/>
    <s v="10486 BofA Chattanooga"/>
    <n v="15"/>
    <n v="2512.1"/>
    <n v="15"/>
  </r>
  <r>
    <n v="65036"/>
    <s v="Volunteer Hospitality"/>
    <s v="08/25/2014"/>
    <s v="Expense"/>
    <m/>
    <x v="48"/>
    <x v="6"/>
    <x v="1"/>
    <x v="13"/>
    <m/>
    <s v="10486 BofA Chattanooga"/>
    <n v="114"/>
    <n v="6358.71"/>
    <n v="114"/>
  </r>
  <r>
    <n v="65045"/>
    <s v="Rent/Storage"/>
    <s v="10/09/2014"/>
    <s v="Expense"/>
    <m/>
    <x v="710"/>
    <x v="6"/>
    <x v="1"/>
    <x v="16"/>
    <m/>
    <s v="10486 BofA Chattanooga"/>
    <n v="840"/>
    <n v="6695.35"/>
    <n v="840"/>
  </r>
  <r>
    <n v="65061"/>
    <s v="Material for Rooms"/>
    <s v="07/02/2014"/>
    <s v="Deposit"/>
    <m/>
    <x v="19"/>
    <x v="6"/>
    <x v="1"/>
    <x v="5"/>
    <m/>
    <s v="10486 BofA Chattanooga"/>
    <n v="-31.13"/>
    <n v="198819.54"/>
    <n v="-31.13"/>
  </r>
  <r>
    <n v="65061"/>
    <s v="Material for Rooms"/>
    <s v="08/06/2014"/>
    <s v="Expense"/>
    <m/>
    <x v="28"/>
    <x v="6"/>
    <x v="1"/>
    <x v="5"/>
    <m/>
    <s v="10486 BofA Chattanooga"/>
    <n v="37.79"/>
    <n v="236761.96"/>
    <n v="37.79"/>
  </r>
  <r>
    <n v="65061"/>
    <s v="Material for Rooms"/>
    <s v="08/06/2014"/>
    <s v="Deposit"/>
    <m/>
    <x v="28"/>
    <x v="6"/>
    <x v="1"/>
    <x v="5"/>
    <m/>
    <s v="10486 BofA Chattanooga"/>
    <n v="-17.95"/>
    <n v="236773.01"/>
    <n v="-17.95"/>
  </r>
  <r>
    <n v="65061"/>
    <s v="Material for Rooms"/>
    <s v="08/14/2014"/>
    <s v="Expense"/>
    <m/>
    <x v="23"/>
    <x v="6"/>
    <x v="1"/>
    <x v="5"/>
    <m/>
    <s v="10486 BofA Chattanooga"/>
    <n v="459.98"/>
    <n v="240236.46"/>
    <n v="459.98"/>
  </r>
  <r>
    <n v="65061"/>
    <s v="Material for Rooms"/>
    <s v="08/14/2014"/>
    <s v="Expense"/>
    <m/>
    <x v="29"/>
    <x v="6"/>
    <x v="1"/>
    <x v="5"/>
    <m/>
    <s v="10486 BofA Chattanooga"/>
    <n v="72.89"/>
    <n v="240309.35"/>
    <n v="72.89"/>
  </r>
  <r>
    <n v="65061"/>
    <s v="Material for Rooms"/>
    <s v="08/14/2014"/>
    <s v="Expense"/>
    <m/>
    <x v="540"/>
    <x v="6"/>
    <x v="1"/>
    <x v="5"/>
    <m/>
    <s v="10486 BofA Chattanooga"/>
    <n v="74.989999999999995"/>
    <n v="240408.34"/>
    <n v="74.989999999999995"/>
  </r>
  <r>
    <n v="65061"/>
    <s v="Material for Rooms"/>
    <s v="08/14/2014"/>
    <s v="Expense"/>
    <m/>
    <x v="711"/>
    <x v="6"/>
    <x v="1"/>
    <x v="5"/>
    <m/>
    <s v="10486 BofA Chattanooga"/>
    <n v="206.95"/>
    <n v="240615.29"/>
    <n v="206.95"/>
  </r>
  <r>
    <n v="65061"/>
    <s v="Material for Rooms"/>
    <s v="08/15/2014"/>
    <s v="Expense"/>
    <m/>
    <x v="712"/>
    <x v="6"/>
    <x v="1"/>
    <x v="5"/>
    <m/>
    <s v="10486 BofA Chattanooga"/>
    <n v="398"/>
    <n v="241013.29"/>
    <n v="398"/>
  </r>
  <r>
    <n v="65061"/>
    <s v="Material for Rooms"/>
    <s v="08/18/2014"/>
    <s v="Expense"/>
    <m/>
    <x v="19"/>
    <x v="6"/>
    <x v="1"/>
    <x v="5"/>
    <m/>
    <s v="10486 BofA Chattanooga"/>
    <n v="186.84"/>
    <n v="241200.13"/>
    <n v="186.84"/>
  </r>
  <r>
    <n v="65061"/>
    <s v="Material for Rooms"/>
    <s v="08/18/2014"/>
    <s v="Expense"/>
    <m/>
    <x v="19"/>
    <x v="6"/>
    <x v="1"/>
    <x v="5"/>
    <m/>
    <s v="10486 BofA Chattanooga"/>
    <n v="14.1"/>
    <n v="241558.69"/>
    <n v="14.1"/>
  </r>
  <r>
    <n v="65061"/>
    <s v="Material for Rooms"/>
    <s v="08/18/2014"/>
    <s v="Expense"/>
    <m/>
    <x v="19"/>
    <x v="6"/>
    <x v="1"/>
    <x v="5"/>
    <m/>
    <s v="10486 BofA Chattanooga"/>
    <n v="57.06"/>
    <n v="241615.75"/>
    <n v="57.06"/>
  </r>
  <r>
    <n v="65061"/>
    <s v="Material for Rooms"/>
    <s v="08/18/2014"/>
    <s v="Expense"/>
    <m/>
    <x v="713"/>
    <x v="6"/>
    <x v="1"/>
    <x v="5"/>
    <m/>
    <s v="10486 BofA Chattanooga"/>
    <n v="182.31"/>
    <n v="241798.06"/>
    <n v="182.31"/>
  </r>
  <r>
    <n v="65061"/>
    <s v="Material for Rooms"/>
    <s v="08/19/2014"/>
    <s v="Expense"/>
    <m/>
    <x v="14"/>
    <x v="6"/>
    <x v="1"/>
    <x v="5"/>
    <m/>
    <s v="10486 BofA Chattanooga"/>
    <n v="33.659999999999997"/>
    <n v="242264.89"/>
    <n v="33.659999999999997"/>
  </r>
  <r>
    <n v="65061"/>
    <s v="Material for Rooms"/>
    <s v="08/22/2014"/>
    <s v="Expense"/>
    <m/>
    <x v="117"/>
    <x v="6"/>
    <x v="1"/>
    <x v="5"/>
    <m/>
    <s v="10486 BofA Chattanooga"/>
    <n v="50"/>
    <n v="242756.4"/>
    <n v="50"/>
  </r>
  <r>
    <n v="65061"/>
    <s v="Material for Rooms"/>
    <s v="08/22/2014"/>
    <s v="Expense"/>
    <m/>
    <x v="29"/>
    <x v="6"/>
    <x v="1"/>
    <x v="5"/>
    <m/>
    <s v="10486 BofA Chattanooga"/>
    <n v="73.78"/>
    <n v="242936.13"/>
    <n v="73.78"/>
  </r>
  <r>
    <n v="65061"/>
    <s v="Material for Rooms"/>
    <s v="08/25/2014"/>
    <s v="Expense"/>
    <m/>
    <x v="519"/>
    <x v="6"/>
    <x v="1"/>
    <x v="5"/>
    <m/>
    <s v="10486 BofA Chattanooga"/>
    <n v="9.25"/>
    <n v="243484.96"/>
    <n v="9.25"/>
  </r>
  <r>
    <n v="65061"/>
    <s v="Material for Rooms"/>
    <s v="08/25/2014"/>
    <s v="Expense"/>
    <m/>
    <x v="19"/>
    <x v="6"/>
    <x v="1"/>
    <x v="5"/>
    <m/>
    <s v="10486 BofA Chattanooga"/>
    <n v="34.229999999999997"/>
    <n v="243519.19"/>
    <n v="34.229999999999997"/>
  </r>
  <r>
    <n v="65061"/>
    <s v="Material for Rooms"/>
    <s v="08/25/2014"/>
    <s v="Expense"/>
    <m/>
    <x v="19"/>
    <x v="6"/>
    <x v="1"/>
    <x v="5"/>
    <m/>
    <s v="10486 BofA Chattanooga"/>
    <n v="27.43"/>
    <n v="243546.62"/>
    <n v="27.43"/>
  </r>
  <r>
    <n v="65061"/>
    <s v="Material for Rooms"/>
    <s v="08/27/2014"/>
    <s v="Deposit"/>
    <m/>
    <x v="19"/>
    <x v="6"/>
    <x v="1"/>
    <x v="5"/>
    <m/>
    <s v="10486 BofA Chattanooga"/>
    <n v="-38.39"/>
    <n v="244077.05"/>
    <n v="-38.39"/>
  </r>
  <r>
    <n v="65061"/>
    <s v="Material for Rooms"/>
    <s v="10/15/2014"/>
    <s v="Expense"/>
    <m/>
    <x v="175"/>
    <x v="6"/>
    <x v="1"/>
    <x v="5"/>
    <m/>
    <s v="10486 BofA Chattanooga"/>
    <n v="88.36"/>
    <n v="291223.57"/>
    <n v="88.36"/>
  </r>
  <r>
    <n v="65061"/>
    <s v="Material for Rooms"/>
    <s v="10/22/2014"/>
    <s v="Expense"/>
    <m/>
    <x v="714"/>
    <x v="6"/>
    <x v="1"/>
    <x v="5"/>
    <m/>
    <s v="10486 BofA Chattanooga"/>
    <n v="126.73"/>
    <n v="297152.51"/>
    <n v="126.73"/>
  </r>
  <r>
    <n v="65061"/>
    <s v="Material for Rooms"/>
    <s v="10/28/2014"/>
    <s v="Expense"/>
    <m/>
    <x v="19"/>
    <x v="6"/>
    <x v="1"/>
    <x v="5"/>
    <m/>
    <s v="10486 BofA Chattanooga"/>
    <n v="28.01"/>
    <n v="299594.42"/>
    <n v="28.01"/>
  </r>
  <r>
    <n v="65061"/>
    <s v="Material for Rooms"/>
    <s v="10/28/2014"/>
    <s v="Expense"/>
    <m/>
    <x v="19"/>
    <x v="6"/>
    <x v="1"/>
    <x v="5"/>
    <m/>
    <s v="10486 BofA Chattanooga"/>
    <n v="132.32"/>
    <n v="299796.94"/>
    <n v="132.32"/>
  </r>
  <r>
    <n v="65061"/>
    <s v="Material for Rooms"/>
    <s v="10/30/2014"/>
    <s v="Expense"/>
    <m/>
    <x v="56"/>
    <x v="6"/>
    <x v="1"/>
    <x v="5"/>
    <m/>
    <s v="10486 BofA Chattanooga"/>
    <n v="74.260000000000005"/>
    <n v="304051.33"/>
    <n v="74.260000000000005"/>
  </r>
  <r>
    <n v="65095"/>
    <s v="Paypal Expense"/>
    <s v="10/20/2014"/>
    <s v="Journal Entry"/>
    <n v="733"/>
    <x v="0"/>
    <x v="6"/>
    <x v="4"/>
    <x v="19"/>
    <m/>
    <s v="-Split-"/>
    <n v="2.8"/>
    <n v="1106.01"/>
    <n v="2.8"/>
  </r>
  <r>
    <n v="44000"/>
    <s v="Fund Raising Activities Income"/>
    <s v="07/17/2014"/>
    <s v="Deposit"/>
    <m/>
    <x v="3"/>
    <x v="28"/>
    <x v="0"/>
    <x v="38"/>
    <s v="Wine walk"/>
    <s v="10146 BofA Restricted Funds -055:Triangle - 4585"/>
    <n v="1135"/>
    <n v="190298.05"/>
    <n v="-1135"/>
  </r>
  <r>
    <n v="44000"/>
    <s v="Fund Raising Activities Income"/>
    <s v="07/18/2014"/>
    <s v="Deposit"/>
    <m/>
    <x v="3"/>
    <x v="28"/>
    <x v="0"/>
    <x v="38"/>
    <m/>
    <s v="10146 BofA Restricted Funds -055:Triangle - 4585"/>
    <n v="1276"/>
    <n v="191574.05"/>
    <n v="-1276"/>
  </r>
  <r>
    <n v="44000"/>
    <s v="Fund Raising Activities Income"/>
    <s v="06/04/2014"/>
    <s v="Deposit"/>
    <m/>
    <x v="3"/>
    <x v="13"/>
    <x v="0"/>
    <x v="38"/>
    <m/>
    <s v="10133 BofA Restricted Funds -055:Panama City"/>
    <n v="450"/>
    <n v="169800.52"/>
    <n v="-450"/>
  </r>
  <r>
    <n v="44000"/>
    <s v="Fund Raising Activities Income"/>
    <s v="04/28/2014"/>
    <s v="Deposit"/>
    <m/>
    <x v="0"/>
    <x v="5"/>
    <x v="0"/>
    <x v="38"/>
    <m/>
    <s v="10542 BofA San Fran Restricted 0918"/>
    <n v="925.27"/>
    <n v="163040.51999999999"/>
    <n v="-925.27"/>
  </r>
  <r>
    <n v="65015"/>
    <s v="Travel Expense"/>
    <s v="10/27/2014"/>
    <s v="Expense"/>
    <m/>
    <x v="715"/>
    <x v="34"/>
    <x v="1"/>
    <x v="15"/>
    <m/>
    <s v="10531 BofA Knoxville"/>
    <n v="15"/>
    <n v="12196.63"/>
    <n v="15"/>
  </r>
  <r>
    <n v="65090"/>
    <s v="Advertising/Publicity Expense"/>
    <s v="10/27/2014"/>
    <s v="Expense"/>
    <m/>
    <x v="53"/>
    <x v="34"/>
    <x v="1"/>
    <x v="6"/>
    <m/>
    <s v="10531 BofA Knoxville"/>
    <n v="13.26"/>
    <n v="1902.88"/>
    <n v="13.26"/>
  </r>
  <r>
    <n v="65090"/>
    <s v="Advertising/Publicity Expense"/>
    <s v="10/27/2014"/>
    <s v="Expense"/>
    <m/>
    <x v="29"/>
    <x v="34"/>
    <x v="1"/>
    <x v="6"/>
    <m/>
    <s v="10531 BofA Knoxville"/>
    <n v="12.94"/>
    <n v="1915.82"/>
    <n v="12.94"/>
  </r>
  <r>
    <n v="65090"/>
    <s v="Advertising/Publicity Expense"/>
    <s v="10/28/2014"/>
    <s v="Deposit"/>
    <m/>
    <x v="282"/>
    <x v="34"/>
    <x v="1"/>
    <x v="6"/>
    <m/>
    <s v="10531 BofA Knoxville"/>
    <n v="-10.89"/>
    <n v="1904.93"/>
    <n v="-10.89"/>
  </r>
  <r>
    <n v="65090"/>
    <s v="Advertising/Publicity Expense"/>
    <s v="10/28/2014"/>
    <s v="Expense"/>
    <m/>
    <x v="53"/>
    <x v="34"/>
    <x v="1"/>
    <x v="6"/>
    <m/>
    <s v="10531 BofA Knoxville"/>
    <n v="63.5"/>
    <n v="2012.38"/>
    <n v="63.5"/>
  </r>
  <r>
    <n v="44000"/>
    <s v="Fund Raising Activities Income"/>
    <s v="05/19/2014"/>
    <s v="Deposit"/>
    <m/>
    <x v="3"/>
    <x v="5"/>
    <x v="0"/>
    <x v="38"/>
    <m/>
    <s v="10542 BofA San Fran Restricted 0918"/>
    <n v="1300"/>
    <n v="164690.51999999999"/>
    <n v="-1300"/>
  </r>
  <r>
    <n v="43430"/>
    <s v="Gifts in kind - Services"/>
    <s v="08/29/2014"/>
    <s v="Journal Entry"/>
    <n v="731"/>
    <x v="0"/>
    <x v="19"/>
    <x v="3"/>
    <x v="8"/>
    <s v="106.1 radio for Bed Race"/>
    <s v="-Split-"/>
    <n v="1000"/>
    <n v="37130.5"/>
    <n v="-1000"/>
  </r>
  <r>
    <n v="43430"/>
    <s v="Gifts in kind - Services"/>
    <s v="09/29/2014"/>
    <s v="Journal Entry"/>
    <n v="732"/>
    <x v="0"/>
    <x v="19"/>
    <x v="3"/>
    <x v="8"/>
    <s v="106.1 radio for Bed Race"/>
    <s v="-Split-"/>
    <n v="1000"/>
    <n v="38130.5"/>
    <n v="-1000"/>
  </r>
  <r>
    <n v="43440"/>
    <s v="Gifts in Kind - Goods"/>
    <s v="10/20/2014"/>
    <s v="Journal Entry"/>
    <n v="730"/>
    <x v="0"/>
    <x v="19"/>
    <x v="3"/>
    <x v="9"/>
    <s v="Dollywood tickets for bed race"/>
    <s v="-Split-"/>
    <n v="120"/>
    <n v="48236.95"/>
    <n v="-120"/>
  </r>
  <r>
    <n v="44000"/>
    <s v="Fund Raising Activities Income"/>
    <s v="05/20/2014"/>
    <s v="Deposit"/>
    <m/>
    <x v="3"/>
    <x v="5"/>
    <x v="0"/>
    <x v="38"/>
    <m/>
    <s v="10542 BofA San Fran Restricted 0918"/>
    <n v="2360"/>
    <n v="167050.51999999999"/>
    <n v="-2360"/>
  </r>
  <r>
    <n v="65015"/>
    <s v="Travel Expense"/>
    <s v="09/10/2014"/>
    <s v="Expense"/>
    <m/>
    <x v="515"/>
    <x v="19"/>
    <x v="1"/>
    <x v="15"/>
    <m/>
    <s v="10531 BofA Knoxville"/>
    <n v="304.2"/>
    <n v="6062.38"/>
    <n v="304.2"/>
  </r>
  <r>
    <n v="65015"/>
    <s v="Travel Expense"/>
    <s v="09/10/2014"/>
    <s v="Expense"/>
    <m/>
    <x v="716"/>
    <x v="19"/>
    <x v="1"/>
    <x v="15"/>
    <m/>
    <s v="10531 BofA Knoxville"/>
    <n v="27.38"/>
    <n v="6089.76"/>
    <n v="27.38"/>
  </r>
  <r>
    <n v="65015"/>
    <s v="Travel Expense"/>
    <s v="09/10/2014"/>
    <s v="Expense"/>
    <m/>
    <x v="515"/>
    <x v="19"/>
    <x v="1"/>
    <x v="15"/>
    <m/>
    <s v="10531 BofA Knoxville"/>
    <n v="304.2"/>
    <n v="6393.96"/>
    <n v="304.2"/>
  </r>
  <r>
    <n v="65015"/>
    <s v="Travel Expense"/>
    <s v="10/27/2014"/>
    <s v="Expense"/>
    <m/>
    <x v="0"/>
    <x v="19"/>
    <x v="1"/>
    <x v="15"/>
    <m/>
    <s v="10531 BofA Knoxville"/>
    <n v="127.9"/>
    <n v="12181.63"/>
    <n v="127.9"/>
  </r>
  <r>
    <n v="65015"/>
    <s v="Travel Expense"/>
    <s v="10/28/2014"/>
    <s v="Expense"/>
    <m/>
    <x v="362"/>
    <x v="19"/>
    <x v="1"/>
    <x v="15"/>
    <m/>
    <s v="10531 BofA Knoxville"/>
    <n v="80"/>
    <n v="12276.63"/>
    <n v="80"/>
  </r>
  <r>
    <n v="65025"/>
    <s v="Bank Service Charges"/>
    <s v="08/01/2014"/>
    <s v="Expense"/>
    <m/>
    <x v="92"/>
    <x v="19"/>
    <x v="1"/>
    <x v="14"/>
    <m/>
    <s v="10531 BofA Knoxville"/>
    <n v="15"/>
    <n v="2049.17"/>
    <n v="15"/>
  </r>
  <r>
    <n v="65025"/>
    <s v="Bank Service Charges"/>
    <s v="09/02/2014"/>
    <s v="Expense"/>
    <m/>
    <x v="92"/>
    <x v="19"/>
    <x v="1"/>
    <x v="14"/>
    <m/>
    <s v="10531 BofA Knoxville"/>
    <n v="15"/>
    <n v="2311.1999999999998"/>
    <n v="15"/>
  </r>
  <r>
    <n v="65025"/>
    <s v="Bank Service Charges"/>
    <s v="10/29/2014"/>
    <s v="Expense"/>
    <m/>
    <x v="92"/>
    <x v="19"/>
    <x v="1"/>
    <x v="14"/>
    <m/>
    <s v="10531 BofA Knoxville"/>
    <n v="35"/>
    <n v="2772.05"/>
    <n v="35"/>
  </r>
  <r>
    <n v="65025"/>
    <s v="Bank Service Charges"/>
    <s v="10/29/2014"/>
    <s v="Expense"/>
    <m/>
    <x v="92"/>
    <x v="19"/>
    <x v="1"/>
    <x v="14"/>
    <m/>
    <s v="10531 BofA Knoxville"/>
    <n v="35"/>
    <n v="2807.05"/>
    <n v="35"/>
  </r>
  <r>
    <n v="65036"/>
    <s v="Volunteer Hospitality"/>
    <s v="10/23/2014"/>
    <s v="Expense"/>
    <m/>
    <x v="717"/>
    <x v="19"/>
    <x v="1"/>
    <x v="13"/>
    <m/>
    <s v="10531 BofA Knoxville"/>
    <n v="26"/>
    <n v="7071.85"/>
    <n v="26"/>
  </r>
  <r>
    <n v="65045"/>
    <s v="Rent/Storage"/>
    <s v="10/29/2014"/>
    <s v="Expense"/>
    <m/>
    <x v="536"/>
    <x v="19"/>
    <x v="1"/>
    <x v="16"/>
    <m/>
    <s v="10531 BofA Knoxville"/>
    <n v="29"/>
    <n v="6799.35"/>
    <n v="29"/>
  </r>
  <r>
    <n v="65045"/>
    <s v="Rent/Storage"/>
    <s v="10/31/2014"/>
    <s v="Deposit"/>
    <m/>
    <x v="536"/>
    <x v="19"/>
    <x v="1"/>
    <x v="16"/>
    <m/>
    <s v="10531 BofA Knoxville"/>
    <n v="-20"/>
    <n v="6779.35"/>
    <n v="-20"/>
  </r>
  <r>
    <n v="65061"/>
    <s v="Material for Rooms"/>
    <s v="10/22/2014"/>
    <s v="Expense"/>
    <m/>
    <x v="27"/>
    <x v="19"/>
    <x v="1"/>
    <x v="5"/>
    <m/>
    <s v="10531 BofA Knoxville"/>
    <n v="60"/>
    <n v="297212.51"/>
    <n v="60"/>
  </r>
  <r>
    <n v="65061"/>
    <s v="Material for Rooms"/>
    <s v="10/23/2014"/>
    <s v="Expense"/>
    <m/>
    <x v="718"/>
    <x v="19"/>
    <x v="1"/>
    <x v="5"/>
    <m/>
    <s v="10531 BofA Knoxville"/>
    <n v="80.91"/>
    <n v="297486.24"/>
    <n v="80.91"/>
  </r>
  <r>
    <n v="65061"/>
    <s v="Material for Rooms"/>
    <s v="10/27/2014"/>
    <s v="Expense"/>
    <m/>
    <x v="29"/>
    <x v="19"/>
    <x v="1"/>
    <x v="5"/>
    <m/>
    <s v="10531 BofA Knoxville"/>
    <n v="30.07"/>
    <n v="299602.27"/>
    <n v="30.07"/>
  </r>
  <r>
    <n v="65062"/>
    <s v="In-Kind Goods"/>
    <s v="10/20/2014"/>
    <s v="Journal Entry"/>
    <n v="730"/>
    <x v="0"/>
    <x v="19"/>
    <x v="1"/>
    <x v="10"/>
    <s v="Dollywood tickets for bed race"/>
    <s v="-Split-"/>
    <n v="120"/>
    <n v="49936.95"/>
    <n v="120"/>
  </r>
  <r>
    <n v="65062"/>
    <s v="In-Kind Goods"/>
    <s v="08/29/2014"/>
    <s v="Journal Entry"/>
    <n v="731"/>
    <x v="0"/>
    <x v="19"/>
    <x v="1"/>
    <x v="10"/>
    <s v="106.1 radio for Bed Race"/>
    <s v="-Split-"/>
    <n v="1000"/>
    <n v="37130.5"/>
    <n v="1000"/>
  </r>
  <r>
    <n v="65062"/>
    <s v="In-Kind Goods"/>
    <s v="09/29/2014"/>
    <s v="Journal Entry"/>
    <n v="732"/>
    <x v="0"/>
    <x v="19"/>
    <x v="1"/>
    <x v="10"/>
    <s v="106.1 radio for Bed Race"/>
    <s v="-Split-"/>
    <n v="1000"/>
    <n v="38130.5"/>
    <n v="1000"/>
  </r>
  <r>
    <n v="65090"/>
    <s v="Advertising/Publicity Expense"/>
    <s v="10/28/2014"/>
    <s v="Expense"/>
    <m/>
    <x v="16"/>
    <x v="19"/>
    <x v="1"/>
    <x v="6"/>
    <m/>
    <s v="10531 BofA Knoxville"/>
    <n v="43.95"/>
    <n v="1948.88"/>
    <n v="43.95"/>
  </r>
  <r>
    <n v="65095"/>
    <s v="Paypal Expense"/>
    <s v="10/20/2014"/>
    <s v="Journal Entry"/>
    <n v="733"/>
    <x v="0"/>
    <x v="19"/>
    <x v="4"/>
    <x v="19"/>
    <s v="Bed Race"/>
    <s v="-Split-"/>
    <n v="12.2"/>
    <n v="1087.92"/>
    <n v="12.2"/>
  </r>
  <r>
    <n v="67001"/>
    <s v="Fundraising Expense -  Direct"/>
    <s v="10/24/2014"/>
    <s v="Expense"/>
    <m/>
    <x v="53"/>
    <x v="19"/>
    <x v="2"/>
    <x v="7"/>
    <m/>
    <s v="10531 BofA Knoxville"/>
    <n v="150.94999999999999"/>
    <n v="77571.97"/>
    <n v="150.94999999999999"/>
  </r>
  <r>
    <n v="68320"/>
    <s v="Travel"/>
    <s v="10/24/2014"/>
    <s v="Expense"/>
    <m/>
    <x v="719"/>
    <x v="19"/>
    <x v="5"/>
    <x v="15"/>
    <m/>
    <s v="10531 BofA Knoxville"/>
    <n v="75.7"/>
    <n v="75.7"/>
    <n v="75.7"/>
  </r>
  <r>
    <n v="44000"/>
    <s v="Fund Raising Activities Income"/>
    <s v="05/20/2014"/>
    <s v="Deposit"/>
    <m/>
    <x v="3"/>
    <x v="5"/>
    <x v="0"/>
    <x v="38"/>
    <m/>
    <s v="10542 BofA San Fran Restricted 0918"/>
    <n v="300"/>
    <n v="167350.51999999999"/>
    <n v="-300"/>
  </r>
  <r>
    <n v="65025"/>
    <s v="Bank Service Charges"/>
    <s v="07/01/2014"/>
    <s v="Expense"/>
    <m/>
    <x v="92"/>
    <x v="32"/>
    <x v="1"/>
    <x v="14"/>
    <m/>
    <s v="10401 BofA Nashville"/>
    <n v="15"/>
    <n v="1691.52"/>
    <n v="15"/>
  </r>
  <r>
    <n v="65025"/>
    <s v="Bank Service Charges"/>
    <s v="08/01/2014"/>
    <s v="Expense"/>
    <m/>
    <x v="92"/>
    <x v="32"/>
    <x v="1"/>
    <x v="14"/>
    <m/>
    <s v="10401 BofA Nashville"/>
    <n v="15"/>
    <n v="2034.17"/>
    <n v="15"/>
  </r>
  <r>
    <n v="65025"/>
    <s v="Bank Service Charges"/>
    <s v="09/02/2014"/>
    <s v="Expense"/>
    <m/>
    <x v="92"/>
    <x v="32"/>
    <x v="1"/>
    <x v="14"/>
    <m/>
    <s v="10401 BofA Nashville"/>
    <n v="15"/>
    <n v="2326.1999999999998"/>
    <n v="15"/>
  </r>
  <r>
    <n v="65025"/>
    <s v="Bank Service Charges"/>
    <s v="10/01/2014"/>
    <s v="Expense"/>
    <m/>
    <x v="92"/>
    <x v="32"/>
    <x v="1"/>
    <x v="14"/>
    <m/>
    <s v="10401 BofA Nashville"/>
    <n v="15"/>
    <n v="2467.1"/>
    <n v="15"/>
  </r>
  <r>
    <n v="44000"/>
    <s v="Fund Raising Activities Income"/>
    <s v="05/23/2014"/>
    <s v="Deposit"/>
    <m/>
    <x v="720"/>
    <x v="5"/>
    <x v="0"/>
    <x v="38"/>
    <s v="Team Breezy"/>
    <s v="10541 BofA San Francisco"/>
    <n v="2000"/>
    <n v="169350.52"/>
    <n v="-2000"/>
  </r>
  <r>
    <n v="44000"/>
    <s v="Fund Raising Activities Income"/>
    <s v="06/12/2014"/>
    <s v="Deposit"/>
    <m/>
    <x v="3"/>
    <x v="5"/>
    <x v="0"/>
    <x v="38"/>
    <m/>
    <s v="10542 BofA San Fran Restricted 0918"/>
    <n v="6370"/>
    <n v="177350.52"/>
    <n v="-6370"/>
  </r>
  <r>
    <n v="44000"/>
    <s v="Fund Raising Activities Income"/>
    <s v="06/12/2014"/>
    <s v="Deposit"/>
    <m/>
    <x v="3"/>
    <x v="5"/>
    <x v="0"/>
    <x v="38"/>
    <m/>
    <s v="10542 BofA San Fran Restricted 0918"/>
    <n v="1550"/>
    <n v="178900.52"/>
    <n v="-1550"/>
  </r>
  <r>
    <n v="44000"/>
    <s v="Fund Raising Activities Income"/>
    <s v="06/24/2014"/>
    <s v="Deposit"/>
    <m/>
    <x v="3"/>
    <x v="5"/>
    <x v="0"/>
    <x v="38"/>
    <s v="Team Breezy"/>
    <s v="10144 BofA Restricted Funds -055:San Francisco - 107"/>
    <n v="1000"/>
    <n v="180370.52"/>
    <n v="-1000"/>
  </r>
  <r>
    <n v="44000"/>
    <s v="Fund Raising Activities Income"/>
    <s v="10/20/2014"/>
    <s v="Journal Entry"/>
    <n v="733"/>
    <x v="0"/>
    <x v="6"/>
    <x v="0"/>
    <x v="38"/>
    <m/>
    <s v="-Split-"/>
    <n v="100"/>
    <n v="234140.2"/>
    <n v="-100"/>
  </r>
  <r>
    <n v="44000"/>
    <s v="Fund Raising Activities Income"/>
    <s v="10/20/2014"/>
    <s v="Journal Entry"/>
    <n v="733"/>
    <x v="0"/>
    <x v="19"/>
    <x v="0"/>
    <x v="38"/>
    <s v="Bed Race"/>
    <s v="-Split-"/>
    <n v="500"/>
    <n v="234640.2"/>
    <n v="-500"/>
  </r>
  <r>
    <n v="65015"/>
    <s v="Travel Expense"/>
    <s v="10/14/2014"/>
    <s v="Expense"/>
    <m/>
    <x v="513"/>
    <x v="36"/>
    <x v="1"/>
    <x v="15"/>
    <m/>
    <s v="10496 BofA Tri Cities"/>
    <n v="314.7"/>
    <n v="8929.5300000000007"/>
    <n v="314.7"/>
  </r>
  <r>
    <n v="65020"/>
    <s v="Postage, Mailing Service"/>
    <s v="08/15/2014"/>
    <s v="Expense"/>
    <m/>
    <x v="6"/>
    <x v="36"/>
    <x v="1"/>
    <x v="3"/>
    <m/>
    <s v="10496 BofA Tri Cities"/>
    <n v="3.04"/>
    <n v="2499.31"/>
    <n v="3.04"/>
  </r>
  <r>
    <n v="65020"/>
    <s v="Postage, Mailing Service"/>
    <s v="08/28/2014"/>
    <s v="Expense"/>
    <m/>
    <x v="6"/>
    <x v="36"/>
    <x v="1"/>
    <x v="3"/>
    <m/>
    <s v="10496 BofA Tri Cities"/>
    <n v="18.2"/>
    <n v="2560.31"/>
    <n v="18.2"/>
  </r>
  <r>
    <n v="65020"/>
    <s v="Postage, Mailing Service"/>
    <s v="09/09/2014"/>
    <s v="Expense"/>
    <m/>
    <x v="6"/>
    <x v="36"/>
    <x v="1"/>
    <x v="3"/>
    <m/>
    <s v="10496 BofA Tri Cities"/>
    <n v="25.35"/>
    <n v="2896.9"/>
    <n v="25.35"/>
  </r>
  <r>
    <n v="65025"/>
    <s v="Bank Service Charges"/>
    <s v="09/02/2014"/>
    <s v="Expense"/>
    <m/>
    <x v="92"/>
    <x v="36"/>
    <x v="1"/>
    <x v="14"/>
    <m/>
    <s v="10496 BofA Tri Cities"/>
    <n v="15"/>
    <n v="2269.1999999999998"/>
    <n v="15"/>
  </r>
  <r>
    <n v="65036"/>
    <s v="Volunteer Hospitality"/>
    <s v="07/21/2014"/>
    <s v="Expense"/>
    <m/>
    <x v="721"/>
    <x v="36"/>
    <x v="1"/>
    <x v="13"/>
    <m/>
    <s v="10496 BofA Tri Cities"/>
    <n v="8.4499999999999993"/>
    <n v="5318.96"/>
    <n v="8.4499999999999993"/>
  </r>
  <r>
    <n v="65036"/>
    <s v="Volunteer Hospitality"/>
    <s v="08/22/2014"/>
    <s v="Expense"/>
    <m/>
    <x v="721"/>
    <x v="36"/>
    <x v="1"/>
    <x v="13"/>
    <m/>
    <s v="10496 BofA Tri Cities"/>
    <n v="19.940000000000001"/>
    <n v="6244.71"/>
    <n v="19.940000000000001"/>
  </r>
  <r>
    <n v="65061"/>
    <s v="Material for Rooms"/>
    <s v="07/03/2014"/>
    <s v="Expense"/>
    <m/>
    <x v="159"/>
    <x v="36"/>
    <x v="1"/>
    <x v="5"/>
    <m/>
    <s v="10496 BofA Tri Cities"/>
    <n v="99.95"/>
    <n v="201154.89"/>
    <n v="99.95"/>
  </r>
  <r>
    <n v="65061"/>
    <s v="Material for Rooms"/>
    <s v="07/10/2014"/>
    <s v="Expense"/>
    <m/>
    <x v="722"/>
    <x v="36"/>
    <x v="1"/>
    <x v="5"/>
    <m/>
    <s v="10496 BofA Tri Cities"/>
    <n v="289.99"/>
    <n v="208179.91"/>
    <n v="289.99"/>
  </r>
  <r>
    <n v="65061"/>
    <s v="Material for Rooms"/>
    <s v="07/11/2014"/>
    <s v="Expense"/>
    <m/>
    <x v="33"/>
    <x v="36"/>
    <x v="1"/>
    <x v="5"/>
    <m/>
    <s v="10496 BofA Tri Cities"/>
    <n v="28.98"/>
    <n v="209240.23"/>
    <n v="28.98"/>
  </r>
  <r>
    <n v="65061"/>
    <s v="Material for Rooms"/>
    <s v="07/14/2014"/>
    <s v="Expense"/>
    <m/>
    <x v="58"/>
    <x v="36"/>
    <x v="1"/>
    <x v="5"/>
    <m/>
    <s v="10496 BofA Tri Cities"/>
    <n v="332.31"/>
    <n v="212310.28"/>
    <n v="332.31"/>
  </r>
  <r>
    <n v="65061"/>
    <s v="Material for Rooms"/>
    <s v="07/14/2014"/>
    <s v="Expense"/>
    <m/>
    <x v="67"/>
    <x v="36"/>
    <x v="1"/>
    <x v="5"/>
    <m/>
    <s v="10496 BofA Tri Cities"/>
    <n v="84.99"/>
    <n v="212395.27"/>
    <n v="84.99"/>
  </r>
  <r>
    <n v="65061"/>
    <s v="Material for Rooms"/>
    <s v="07/18/2014"/>
    <s v="Expense"/>
    <m/>
    <x v="16"/>
    <x v="36"/>
    <x v="1"/>
    <x v="5"/>
    <m/>
    <s v="10496 BofA Tri Cities"/>
    <n v="4.91"/>
    <n v="219277.63"/>
    <n v="4.91"/>
  </r>
  <r>
    <n v="65061"/>
    <s v="Material for Rooms"/>
    <s v="07/18/2014"/>
    <s v="Expense"/>
    <m/>
    <x v="33"/>
    <x v="36"/>
    <x v="1"/>
    <x v="5"/>
    <m/>
    <s v="10496 BofA Tri Cities"/>
    <n v="108.29"/>
    <n v="220191.21"/>
    <n v="108.29"/>
  </r>
  <r>
    <n v="65061"/>
    <s v="Material for Rooms"/>
    <s v="07/21/2014"/>
    <s v="Expense"/>
    <m/>
    <x v="29"/>
    <x v="36"/>
    <x v="1"/>
    <x v="5"/>
    <m/>
    <s v="10496 BofA Tri Cities"/>
    <n v="105.44"/>
    <n v="221502.83"/>
    <n v="105.44"/>
  </r>
  <r>
    <n v="65061"/>
    <s v="Material for Rooms"/>
    <s v="07/21/2014"/>
    <s v="Check"/>
    <n v="1048"/>
    <x v="282"/>
    <x v="36"/>
    <x v="1"/>
    <x v="5"/>
    <m/>
    <s v="10496 BofA Tri Cities"/>
    <n v="154.08000000000001"/>
    <n v="221656.91"/>
    <n v="154.08000000000001"/>
  </r>
  <r>
    <n v="65061"/>
    <s v="Material for Rooms"/>
    <s v="07/21/2014"/>
    <s v="Expense"/>
    <m/>
    <x v="16"/>
    <x v="36"/>
    <x v="1"/>
    <x v="5"/>
    <m/>
    <s v="10496 BofA Tri Cities"/>
    <n v="104.94"/>
    <n v="221761.85"/>
    <n v="104.94"/>
  </r>
  <r>
    <n v="65061"/>
    <s v="Material for Rooms"/>
    <s v="07/21/2014"/>
    <s v="Expense"/>
    <m/>
    <x v="16"/>
    <x v="36"/>
    <x v="1"/>
    <x v="5"/>
    <m/>
    <s v="10496 BofA Tri Cities"/>
    <n v="470.45"/>
    <n v="222232.3"/>
    <n v="470.45"/>
  </r>
  <r>
    <n v="65061"/>
    <s v="Material for Rooms"/>
    <s v="07/24/2014"/>
    <s v="Check"/>
    <n v="1050"/>
    <x v="723"/>
    <x v="36"/>
    <x v="1"/>
    <x v="5"/>
    <m/>
    <s v="10496 BofA Tri Cities"/>
    <n v="200"/>
    <n v="224890.26"/>
    <n v="200"/>
  </r>
  <r>
    <n v="65061"/>
    <s v="Material for Rooms"/>
    <s v="07/29/2014"/>
    <s v="Check"/>
    <n v="1051"/>
    <x v="398"/>
    <x v="36"/>
    <x v="1"/>
    <x v="5"/>
    <m/>
    <s v="10496 BofA Tri Cities"/>
    <n v="500"/>
    <n v="227084.74"/>
    <n v="500"/>
  </r>
  <r>
    <n v="65061"/>
    <s v="Material for Rooms"/>
    <s v="08/06/2014"/>
    <s v="Check"/>
    <n v="1049"/>
    <x v="724"/>
    <x v="36"/>
    <x v="1"/>
    <x v="5"/>
    <m/>
    <s v="10496 BofA Tri Cities"/>
    <n v="170.17"/>
    <n v="236555.18"/>
    <n v="170.17"/>
  </r>
  <r>
    <n v="65061"/>
    <s v="Material for Rooms"/>
    <s v="08/07/2014"/>
    <s v="Expense"/>
    <m/>
    <x v="725"/>
    <x v="36"/>
    <x v="1"/>
    <x v="5"/>
    <m/>
    <s v="10496 BofA Tri Cities"/>
    <n v="10"/>
    <n v="236896.37"/>
    <n v="10"/>
  </r>
  <r>
    <n v="65061"/>
    <s v="Material for Rooms"/>
    <s v="08/08/2014"/>
    <s v="Expense"/>
    <m/>
    <x v="725"/>
    <x v="36"/>
    <x v="1"/>
    <x v="5"/>
    <m/>
    <s v="10496 BofA Tri Cities"/>
    <n v="1.99"/>
    <n v="238316.67"/>
    <n v="1.99"/>
  </r>
  <r>
    <n v="65061"/>
    <s v="Material for Rooms"/>
    <s v="08/12/2014"/>
    <s v="Expense"/>
    <m/>
    <x v="19"/>
    <x v="36"/>
    <x v="1"/>
    <x v="5"/>
    <m/>
    <s v="10496 BofA Tri Cities"/>
    <n v="26.24"/>
    <n v="239691.36"/>
    <n v="26.24"/>
  </r>
  <r>
    <n v="65061"/>
    <s v="Material for Rooms"/>
    <s v="09/05/2014"/>
    <s v="Deposit"/>
    <m/>
    <x v="56"/>
    <x v="36"/>
    <x v="1"/>
    <x v="5"/>
    <m/>
    <s v="10496 BofA Tri Cities"/>
    <n v="-28.45"/>
    <n v="250658.79"/>
    <n v="-28.45"/>
  </r>
  <r>
    <n v="65061"/>
    <s v="Material for Rooms"/>
    <s v="09/15/2014"/>
    <s v="Expense"/>
    <m/>
    <x v="722"/>
    <x v="36"/>
    <x v="1"/>
    <x v="5"/>
    <m/>
    <s v="10496 BofA Tri Cities"/>
    <n v="492.99"/>
    <n v="255378.7"/>
    <n v="492.99"/>
  </r>
  <r>
    <n v="65061"/>
    <s v="Material for Rooms"/>
    <s v="09/22/2014"/>
    <s v="Expense"/>
    <m/>
    <x v="175"/>
    <x v="36"/>
    <x v="1"/>
    <x v="5"/>
    <m/>
    <s v="10496 BofA Tri Cities"/>
    <n v="179.03"/>
    <n v="261764.28"/>
    <n v="179.03"/>
  </r>
  <r>
    <n v="65061"/>
    <s v="Material for Rooms"/>
    <s v="09/22/2014"/>
    <s v="Expense"/>
    <m/>
    <x v="726"/>
    <x v="36"/>
    <x v="1"/>
    <x v="5"/>
    <m/>
    <s v="10496 BofA Tri Cities"/>
    <n v="76.66"/>
    <n v="261840.94"/>
    <n v="76.66"/>
  </r>
  <r>
    <n v="65061"/>
    <s v="Material for Rooms"/>
    <s v="09/22/2014"/>
    <s v="Expense"/>
    <m/>
    <x v="726"/>
    <x v="36"/>
    <x v="1"/>
    <x v="5"/>
    <m/>
    <s v="10496 BofA Tri Cities"/>
    <n v="86.51"/>
    <n v="261927.45"/>
    <n v="86.51"/>
  </r>
  <r>
    <n v="65061"/>
    <s v="Material for Rooms"/>
    <s v="09/25/2014"/>
    <s v="Expense"/>
    <m/>
    <x v="33"/>
    <x v="36"/>
    <x v="1"/>
    <x v="5"/>
    <m/>
    <s v="10496 BofA Tri Cities"/>
    <n v="79.989999999999995"/>
    <n v="268007.28999999998"/>
    <n v="79.989999999999995"/>
  </r>
  <r>
    <n v="65061"/>
    <s v="Material for Rooms"/>
    <s v="09/25/2014"/>
    <s v="Expense"/>
    <m/>
    <x v="727"/>
    <x v="36"/>
    <x v="1"/>
    <x v="5"/>
    <m/>
    <s v="10496 BofA Tri Cities"/>
    <n v="257.60000000000002"/>
    <n v="268264.89"/>
    <n v="257.60000000000002"/>
  </r>
  <r>
    <n v="65061"/>
    <s v="Material for Rooms"/>
    <s v="09/26/2014"/>
    <s v="Expense"/>
    <m/>
    <x v="728"/>
    <x v="36"/>
    <x v="1"/>
    <x v="5"/>
    <m/>
    <s v="10496 BofA Tri Cities"/>
    <n v="571.25"/>
    <n v="269102.55"/>
    <n v="571.25"/>
  </r>
  <r>
    <n v="65061"/>
    <s v="Material for Rooms"/>
    <s v="09/26/2014"/>
    <s v="Expense"/>
    <m/>
    <x v="175"/>
    <x v="36"/>
    <x v="1"/>
    <x v="5"/>
    <m/>
    <s v="10496 BofA Tri Cities"/>
    <n v="126.47"/>
    <n v="269229.02"/>
    <n v="126.47"/>
  </r>
  <r>
    <n v="65061"/>
    <s v="Material for Rooms"/>
    <s v="09/26/2014"/>
    <s v="Expense"/>
    <m/>
    <x v="29"/>
    <x v="36"/>
    <x v="1"/>
    <x v="5"/>
    <m/>
    <s v="10496 BofA Tri Cities"/>
    <n v="218.99"/>
    <n v="269448.01"/>
    <n v="218.99"/>
  </r>
  <r>
    <n v="65061"/>
    <s v="Material for Rooms"/>
    <s v="09/29/2014"/>
    <s v="Expense"/>
    <m/>
    <x v="53"/>
    <x v="36"/>
    <x v="1"/>
    <x v="5"/>
    <m/>
    <s v="10496 BofA Tri Cities"/>
    <n v="6.44"/>
    <n v="270282.31"/>
    <n v="6.44"/>
  </r>
  <r>
    <n v="65061"/>
    <s v="Material for Rooms"/>
    <s v="09/29/2014"/>
    <s v="Expense"/>
    <m/>
    <x v="19"/>
    <x v="36"/>
    <x v="1"/>
    <x v="5"/>
    <m/>
    <s v="10496 BofA Tri Cities"/>
    <n v="315.95999999999998"/>
    <n v="270598.27"/>
    <n v="315.95999999999998"/>
  </r>
  <r>
    <n v="65061"/>
    <s v="Material for Rooms"/>
    <s v="09/29/2014"/>
    <s v="Expense"/>
    <m/>
    <x v="19"/>
    <x v="36"/>
    <x v="1"/>
    <x v="5"/>
    <m/>
    <s v="10496 BofA Tri Cities"/>
    <n v="122.34"/>
    <n v="270720.61"/>
    <n v="122.34"/>
  </r>
  <r>
    <n v="65061"/>
    <s v="Material for Rooms"/>
    <s v="09/29/2014"/>
    <s v="Expense"/>
    <m/>
    <x v="19"/>
    <x v="36"/>
    <x v="1"/>
    <x v="5"/>
    <m/>
    <s v="10496 BofA Tri Cities"/>
    <n v="150.77000000000001"/>
    <n v="270871.38"/>
    <n v="150.77000000000001"/>
  </r>
  <r>
    <n v="65061"/>
    <s v="Material for Rooms"/>
    <s v="09/29/2014"/>
    <s v="Expense"/>
    <m/>
    <x v="19"/>
    <x v="36"/>
    <x v="1"/>
    <x v="5"/>
    <m/>
    <s v="10496 BofA Tri Cities"/>
    <n v="61.31"/>
    <n v="270932.69"/>
    <n v="61.31"/>
  </r>
  <r>
    <n v="65061"/>
    <s v="Material for Rooms"/>
    <s v="10/02/2014"/>
    <s v="Expense"/>
    <m/>
    <x v="33"/>
    <x v="36"/>
    <x v="1"/>
    <x v="5"/>
    <m/>
    <s v="10496 BofA Tri Cities"/>
    <n v="888.14"/>
    <n v="276105.03000000003"/>
    <n v="888.14"/>
  </r>
  <r>
    <n v="65061"/>
    <s v="Material for Rooms"/>
    <s v="10/06/2014"/>
    <s v="Check"/>
    <n v="1053"/>
    <x v="729"/>
    <x v="36"/>
    <x v="1"/>
    <x v="5"/>
    <m/>
    <s v="10496 BofA Tri Cities"/>
    <n v="50"/>
    <n v="278990.17"/>
    <n v="50"/>
  </r>
  <r>
    <n v="65061"/>
    <s v="Material for Rooms"/>
    <s v="10/14/2014"/>
    <s v="Expense"/>
    <m/>
    <x v="730"/>
    <x v="36"/>
    <x v="1"/>
    <x v="5"/>
    <m/>
    <s v="10496 BofA Tri Cities"/>
    <n v="95"/>
    <n v="289424.36"/>
    <n v="95"/>
  </r>
  <r>
    <n v="65061"/>
    <s v="Material for Rooms"/>
    <s v="10/14/2014"/>
    <s v="Expense"/>
    <m/>
    <x v="159"/>
    <x v="36"/>
    <x v="1"/>
    <x v="5"/>
    <m/>
    <s v="10496 BofA Tri Cities"/>
    <n v="229.99"/>
    <n v="291135.21000000002"/>
    <n v="229.99"/>
  </r>
  <r>
    <n v="65061"/>
    <s v="Material for Rooms"/>
    <s v="10/29/2014"/>
    <s v="Expense"/>
    <m/>
    <x v="731"/>
    <x v="36"/>
    <x v="1"/>
    <x v="5"/>
    <m/>
    <s v="10496 BofA Tri Cities"/>
    <n v="119.95"/>
    <n v="302911.58"/>
    <n v="119.95"/>
  </r>
  <r>
    <n v="65090"/>
    <s v="Advertising/Publicity Expense"/>
    <s v="09/12/2014"/>
    <s v="Check"/>
    <n v="1047"/>
    <x v="732"/>
    <x v="36"/>
    <x v="1"/>
    <x v="6"/>
    <m/>
    <s v="10496 BofA Tri Cities"/>
    <n v="500"/>
    <n v="1640.62"/>
    <n v="500"/>
  </r>
  <r>
    <n v="44000"/>
    <s v="Fund Raising Activities Income"/>
    <s v="10/14/2014"/>
    <s v="Journal Entry"/>
    <n v="724"/>
    <x v="0"/>
    <x v="37"/>
    <x v="0"/>
    <x v="38"/>
    <s v="Texas 10 paypal"/>
    <s v="-Split-"/>
    <n v="90"/>
    <n v="231690.2"/>
    <n v="-90"/>
  </r>
  <r>
    <n v="44000"/>
    <s v="Fund Raising Activities Income"/>
    <s v="10/20/2014"/>
    <s v="Journal Entry"/>
    <n v="733"/>
    <x v="0"/>
    <x v="37"/>
    <x v="0"/>
    <x v="38"/>
    <s v="Texas 10"/>
    <s v="-Split-"/>
    <n v="95"/>
    <n v="234735.2"/>
    <n v="-95"/>
  </r>
  <r>
    <n v="44000"/>
    <s v="Fund Raising Activities Income"/>
    <s v="09/08/2014"/>
    <s v="Deposit"/>
    <m/>
    <x v="3"/>
    <x v="11"/>
    <x v="0"/>
    <x v="38"/>
    <m/>
    <s v="10145 BofA Restricted Funds -055:Dallas, Texas 8389"/>
    <n v="650"/>
    <n v="200989.14"/>
    <n v="-650"/>
  </r>
  <r>
    <n v="44000"/>
    <s v="Fund Raising Activities Income"/>
    <s v="09/12/2014"/>
    <s v="Deposit"/>
    <m/>
    <x v="3"/>
    <x v="11"/>
    <x v="0"/>
    <x v="38"/>
    <s v="Full Circle Tavern"/>
    <s v="10145 BofA Restricted Funds -055:Dallas, Texas 8389"/>
    <n v="661.3"/>
    <n v="203720.44"/>
    <n v="-661.3"/>
  </r>
  <r>
    <n v="44000"/>
    <s v="Fund Raising Activities Income"/>
    <s v="10/13/2014"/>
    <s v="Deposit"/>
    <m/>
    <x v="3"/>
    <x v="11"/>
    <x v="0"/>
    <x v="38"/>
    <m/>
    <s v="10145 BofA Restricted Funds -055:Dallas, Texas 8389"/>
    <n v="787.5"/>
    <n v="230343.2"/>
    <n v="-787.5"/>
  </r>
  <r>
    <n v="44000"/>
    <s v="Fund Raising Activities Income"/>
    <s v="10/24/2014"/>
    <s v="Deposit"/>
    <m/>
    <x v="3"/>
    <x v="11"/>
    <x v="0"/>
    <x v="38"/>
    <s v="Kendra Scott"/>
    <s v="10145 BofA Restricted Funds -055:Dallas, Texas 8389"/>
    <n v="592.29999999999995"/>
    <n v="239152.98"/>
    <n v="-592.29999999999995"/>
  </r>
  <r>
    <n v="44000"/>
    <s v="Fund Raising Activities Income"/>
    <s v="04/07/2014"/>
    <s v="Journal Entry"/>
    <n v="483"/>
    <x v="0"/>
    <x v="36"/>
    <x v="0"/>
    <x v="38"/>
    <s v="red day"/>
    <s v="-Split-"/>
    <n v="250"/>
    <n v="154932.93"/>
    <n v="-250"/>
  </r>
  <r>
    <n v="44000"/>
    <s v="Fund Raising Activities Income"/>
    <s v="05/13/2014"/>
    <s v="Journal Entry"/>
    <n v="524"/>
    <x v="0"/>
    <x v="36"/>
    <x v="0"/>
    <x v="38"/>
    <s v="RED day"/>
    <s v="-Split-"/>
    <n v="350"/>
    <n v="163390.51999999999"/>
    <n v="-350"/>
  </r>
  <r>
    <n v="44530"/>
    <s v="Local Government Grants"/>
    <s v="04/29/2014"/>
    <s v="Deposit"/>
    <m/>
    <x v="733"/>
    <x v="36"/>
    <x v="0"/>
    <x v="38"/>
    <m/>
    <s v="10497 BoA Tri Cities Restricted 0921"/>
    <n v="1000"/>
    <n v="1000"/>
    <n v="-1000"/>
  </r>
  <r>
    <n v="46430"/>
    <s v="Miscellaneous Revenue"/>
    <s v="07/31/2014"/>
    <s v="Deposit"/>
    <m/>
    <x v="92"/>
    <x v="5"/>
    <x v="0"/>
    <x v="39"/>
    <m/>
    <s v="10542 BofA San Fran Restricted 0918"/>
    <n v="0.23"/>
    <n v="73.47"/>
    <n v="-0.23"/>
  </r>
  <r>
    <n v="46430"/>
    <s v="Miscellaneous Revenue"/>
    <s v="08/29/2014"/>
    <s v="Deposit"/>
    <m/>
    <x v="92"/>
    <x v="5"/>
    <x v="0"/>
    <x v="39"/>
    <m/>
    <s v="10542 BofA San Fran Restricted 0918"/>
    <n v="0.08"/>
    <n v="80.05"/>
    <n v="-0.08"/>
  </r>
  <r>
    <n v="65015"/>
    <s v="Travel Expense"/>
    <s v="09/23/2014"/>
    <s v="Check"/>
    <n v="533"/>
    <x v="532"/>
    <x v="37"/>
    <x v="1"/>
    <x v="15"/>
    <m/>
    <s v="10180 BofA Spec Spaces National 4695"/>
    <n v="120.5"/>
    <n v="7060.66"/>
    <n v="120.5"/>
  </r>
  <r>
    <n v="65015"/>
    <s v="Travel Expense"/>
    <s v="10/02/2014"/>
    <s v="Expense"/>
    <m/>
    <x v="458"/>
    <x v="37"/>
    <x v="1"/>
    <x v="15"/>
    <m/>
    <s v="10513 BoA Texas 6541"/>
    <n v="88.98"/>
    <n v="8614.83"/>
    <n v="88.98"/>
  </r>
  <r>
    <n v="65015"/>
    <s v="Travel Expense"/>
    <s v="10/27/2014"/>
    <s v="Expense"/>
    <m/>
    <x v="734"/>
    <x v="37"/>
    <x v="1"/>
    <x v="15"/>
    <m/>
    <s v="10513 BoA Texas 6541"/>
    <n v="9"/>
    <n v="12053.73"/>
    <n v="9"/>
  </r>
  <r>
    <n v="65025"/>
    <s v="Bank Service Charges"/>
    <s v="09/26/2014"/>
    <s v="Deposit"/>
    <m/>
    <x v="92"/>
    <x v="37"/>
    <x v="1"/>
    <x v="14"/>
    <m/>
    <s v="10513 BoA Texas 6541"/>
    <n v="-20"/>
    <n v="2290.1999999999998"/>
    <n v="-20"/>
  </r>
  <r>
    <n v="65025"/>
    <s v="Bank Service Charges"/>
    <s v="09/26/2014"/>
    <s v="Expense"/>
    <m/>
    <x v="92"/>
    <x v="37"/>
    <x v="1"/>
    <x v="14"/>
    <m/>
    <s v="10513 BoA Texas 6541"/>
    <n v="20"/>
    <n v="2310.1999999999998"/>
    <n v="20"/>
  </r>
  <r>
    <n v="65040"/>
    <s v="Supplies/Office Expense"/>
    <s v="09/23/2014"/>
    <s v="Check"/>
    <n v="533"/>
    <x v="532"/>
    <x v="37"/>
    <x v="5"/>
    <x v="4"/>
    <m/>
    <s v="10180 BofA Spec Spaces National 4695"/>
    <n v="40"/>
    <n v="2584.6999999999998"/>
    <n v="40"/>
  </r>
  <r>
    <n v="65040"/>
    <s v="Supplies/Office Expense"/>
    <s v="09/23/2014"/>
    <s v="Check"/>
    <n v="533"/>
    <x v="532"/>
    <x v="37"/>
    <x v="5"/>
    <x v="4"/>
    <s v="stamps"/>
    <s v="10180 BofA Spec Spaces National 4695"/>
    <n v="9.8000000000000007"/>
    <n v="2594.5"/>
    <n v="9.8000000000000007"/>
  </r>
  <r>
    <n v="65061"/>
    <s v="Material for Rooms"/>
    <s v="10/16/2014"/>
    <s v="Expense"/>
    <m/>
    <x v="735"/>
    <x v="37"/>
    <x v="1"/>
    <x v="5"/>
    <m/>
    <s v="10513 BoA Texas 6541"/>
    <n v="152.5"/>
    <n v="291638.43"/>
    <n v="152.5"/>
  </r>
  <r>
    <n v="65061"/>
    <s v="Material for Rooms"/>
    <s v="10/16/2014"/>
    <s v="Expense"/>
    <m/>
    <x v="735"/>
    <x v="37"/>
    <x v="1"/>
    <x v="5"/>
    <m/>
    <s v="10513 BoA Texas 6541"/>
    <n v="168"/>
    <n v="292006.43"/>
    <n v="168"/>
  </r>
  <r>
    <n v="65061"/>
    <s v="Material for Rooms"/>
    <s v="10/17/2014"/>
    <s v="Expense"/>
    <m/>
    <x v="736"/>
    <x v="37"/>
    <x v="1"/>
    <x v="5"/>
    <m/>
    <s v="10513 BoA Texas 6541"/>
    <n v="338"/>
    <n v="292344.43"/>
    <n v="338"/>
  </r>
  <r>
    <n v="65061"/>
    <s v="Material for Rooms"/>
    <s v="10/20/2014"/>
    <s v="Expense"/>
    <m/>
    <x v="737"/>
    <x v="37"/>
    <x v="1"/>
    <x v="5"/>
    <m/>
    <s v="10513 BoA Texas 6541"/>
    <n v="244.65"/>
    <n v="295548.01"/>
    <n v="244.65"/>
  </r>
  <r>
    <n v="65061"/>
    <s v="Material for Rooms"/>
    <s v="10/20/2014"/>
    <s v="Expense"/>
    <m/>
    <x v="19"/>
    <x v="37"/>
    <x v="1"/>
    <x v="5"/>
    <m/>
    <s v="10513 BoA Texas 6541"/>
    <n v="77.3"/>
    <n v="295563.18"/>
    <n v="77.3"/>
  </r>
  <r>
    <n v="65061"/>
    <s v="Material for Rooms"/>
    <s v="10/20/2014"/>
    <s v="Expense"/>
    <m/>
    <x v="19"/>
    <x v="37"/>
    <x v="1"/>
    <x v="5"/>
    <m/>
    <s v="10513 BoA Texas 6541"/>
    <n v="57.97"/>
    <n v="295621.15000000002"/>
    <n v="57.97"/>
  </r>
  <r>
    <n v="65061"/>
    <s v="Material for Rooms"/>
    <s v="10/20/2014"/>
    <s v="Expense"/>
    <m/>
    <x v="67"/>
    <x v="37"/>
    <x v="1"/>
    <x v="5"/>
    <m/>
    <s v="10513 BoA Texas 6541"/>
    <n v="153"/>
    <n v="296534.34000000003"/>
    <n v="153"/>
  </r>
  <r>
    <n v="65061"/>
    <s v="Material for Rooms"/>
    <s v="10/21/2014"/>
    <s v="Expense"/>
    <m/>
    <x v="67"/>
    <x v="37"/>
    <x v="1"/>
    <x v="5"/>
    <m/>
    <s v="10513 BoA Texas 6541"/>
    <n v="94.99"/>
    <n v="296629.33"/>
    <n v="94.99"/>
  </r>
  <r>
    <n v="65061"/>
    <s v="Material for Rooms"/>
    <s v="10/23/2014"/>
    <s v="Expense"/>
    <m/>
    <x v="53"/>
    <x v="37"/>
    <x v="1"/>
    <x v="5"/>
    <m/>
    <s v="10513 BoA Texas 6541"/>
    <n v="154.80000000000001"/>
    <n v="297774.31"/>
    <n v="154.80000000000001"/>
  </r>
  <r>
    <n v="65061"/>
    <s v="Material for Rooms"/>
    <s v="10/30/2014"/>
    <s v="Expense"/>
    <m/>
    <x v="23"/>
    <x v="37"/>
    <x v="1"/>
    <x v="5"/>
    <m/>
    <s v="10513 BoA Texas 6541"/>
    <n v="434.96"/>
    <n v="303415.76"/>
    <n v="434.96"/>
  </r>
  <r>
    <n v="65061"/>
    <s v="Material for Rooms"/>
    <s v="10/30/2014"/>
    <s v="Expense"/>
    <m/>
    <x v="16"/>
    <x v="37"/>
    <x v="1"/>
    <x v="5"/>
    <m/>
    <s v="10513 BoA Texas 6541"/>
    <n v="156.34"/>
    <n v="303572.09999999998"/>
    <n v="156.34"/>
  </r>
  <r>
    <n v="65061"/>
    <s v="Material for Rooms"/>
    <s v="10/31/2014"/>
    <s v="Expense"/>
    <m/>
    <x v="738"/>
    <x v="37"/>
    <x v="1"/>
    <x v="5"/>
    <m/>
    <s v="10513 BoA Texas 6541"/>
    <n v="626"/>
    <n v="305752.2"/>
    <n v="626"/>
  </r>
  <r>
    <n v="65090"/>
    <s v="Advertising/Publicity Expense"/>
    <s v="09/23/2014"/>
    <s v="Check"/>
    <n v="533"/>
    <x v="532"/>
    <x v="37"/>
    <x v="5"/>
    <x v="6"/>
    <s v="AMA Luncheon"/>
    <s v="10180 BofA Spec Spaces National 4695"/>
    <n v="49"/>
    <n v="1689.62"/>
    <n v="49"/>
  </r>
  <r>
    <n v="65095"/>
    <s v="Paypal Expense"/>
    <s v="10/14/2014"/>
    <s v="Journal Entry"/>
    <n v="724"/>
    <x v="0"/>
    <x v="37"/>
    <x v="4"/>
    <x v="19"/>
    <m/>
    <s v="-Split-"/>
    <n v="2.88"/>
    <n v="1075.4000000000001"/>
    <n v="2.88"/>
  </r>
  <r>
    <n v="65095"/>
    <s v="Paypal Expense"/>
    <s v="10/20/2014"/>
    <s v="Journal Entry"/>
    <n v="733"/>
    <x v="0"/>
    <x v="37"/>
    <x v="4"/>
    <x v="19"/>
    <s v="texas 10"/>
    <s v="-Split-"/>
    <n v="3.29"/>
    <n v="1091.21"/>
    <n v="3.29"/>
  </r>
  <r>
    <n v="65095"/>
    <s v="Paypal Expense"/>
    <s v="10/28/2014"/>
    <s v="Journal Entry"/>
    <n v="746"/>
    <x v="0"/>
    <x v="37"/>
    <x v="4"/>
    <x v="19"/>
    <s v="paypal"/>
    <s v="-Split-"/>
    <n v="3.76"/>
    <n v="1158.6400000000001"/>
    <n v="3.76"/>
  </r>
  <r>
    <n v="65110"/>
    <s v="Advertising Expenses"/>
    <s v="10/17/2014"/>
    <s v="Expense"/>
    <m/>
    <x v="739"/>
    <x v="37"/>
    <x v="5"/>
    <x v="6"/>
    <m/>
    <s v="10513 BoA Texas 6541"/>
    <n v="41.02"/>
    <n v="266.02"/>
    <n v="41.02"/>
  </r>
  <r>
    <n v="65110"/>
    <s v="Advertising Expenses"/>
    <s v="10/20/2014"/>
    <s v="Expense"/>
    <m/>
    <x v="739"/>
    <x v="37"/>
    <x v="5"/>
    <x v="6"/>
    <m/>
    <s v="10513 BoA Texas 6541"/>
    <n v="3.23"/>
    <n v="269.25"/>
    <n v="3.23"/>
  </r>
  <r>
    <n v="65110"/>
    <s v="Advertising Expenses"/>
    <s v="10/22/2014"/>
    <s v="Expense"/>
    <m/>
    <x v="739"/>
    <x v="37"/>
    <x v="5"/>
    <x v="6"/>
    <m/>
    <s v="10513 BoA Texas 6541"/>
    <n v="242.68"/>
    <n v="511.93"/>
    <n v="242.68"/>
  </r>
  <r>
    <n v="66800"/>
    <s v="Taxes"/>
    <s v="08/29/2014"/>
    <s v="Payroll Check"/>
    <s v="DD"/>
    <x v="740"/>
    <x v="37"/>
    <x v="1"/>
    <x v="36"/>
    <s v="Employer Taxes"/>
    <s v="26000 Direct Deposit Payable"/>
    <n v="76.5"/>
    <n v="5726.23"/>
    <n v="76.5"/>
  </r>
  <r>
    <n v="66800"/>
    <s v="Taxes"/>
    <s v="09/16/2014"/>
    <s v="Payroll Check"/>
    <s v="DD"/>
    <x v="740"/>
    <x v="37"/>
    <x v="1"/>
    <x v="36"/>
    <s v="Employer Taxes"/>
    <s v="26000 Direct Deposit Payable"/>
    <n v="76.5"/>
    <n v="6191.6"/>
    <n v="76.5"/>
  </r>
  <r>
    <n v="66800"/>
    <s v="Taxes"/>
    <s v="10/01/2014"/>
    <s v="Payroll Check"/>
    <s v="DD"/>
    <x v="740"/>
    <x v="37"/>
    <x v="5"/>
    <x v="36"/>
    <s v="Employer Taxes"/>
    <s v="26000 Direct Deposit Payable"/>
    <n v="76.5"/>
    <n v="6586.85"/>
    <n v="76.5"/>
  </r>
  <r>
    <n v="66800"/>
    <s v="Taxes"/>
    <s v="10/16/2014"/>
    <s v="Payroll Check"/>
    <s v="DD"/>
    <x v="740"/>
    <x v="37"/>
    <x v="5"/>
    <x v="36"/>
    <s v="Employer Taxes"/>
    <s v="26000 Direct Deposit Payable"/>
    <n v="76.5"/>
    <n v="6803.98"/>
    <n v="76.5"/>
  </r>
  <r>
    <n v="66800"/>
    <s v="Taxes"/>
    <s v="10/31/2014"/>
    <s v="Payroll Check"/>
    <s v="DD"/>
    <x v="740"/>
    <x v="37"/>
    <x v="5"/>
    <x v="36"/>
    <s v="Employer Taxes"/>
    <s v="26000 Direct Deposit Payable"/>
    <n v="76.5"/>
    <n v="7256.97"/>
    <n v="76.5"/>
  </r>
  <r>
    <n v="66855"/>
    <s v="Wages -  Fund Raising"/>
    <s v="08/29/2014"/>
    <s v="Payroll Check"/>
    <s v="DD"/>
    <x v="740"/>
    <x v="37"/>
    <x v="1"/>
    <x v="36"/>
    <s v="Gross Pay - This is not a legal pay stub"/>
    <s v="26000 Direct Deposit Payable"/>
    <n v="1000"/>
    <n v="20499.990000000002"/>
    <n v="1000"/>
  </r>
  <r>
    <n v="66855"/>
    <s v="Wages -  Fund Raising"/>
    <s v="09/16/2014"/>
    <s v="Payroll Check"/>
    <s v="DD"/>
    <x v="740"/>
    <x v="37"/>
    <x v="1"/>
    <x v="36"/>
    <s v="Gross Pay - This is not a legal pay stub"/>
    <s v="26000 Direct Deposit Payable"/>
    <n v="1000"/>
    <n v="21499.99"/>
    <n v="1000"/>
  </r>
  <r>
    <n v="66855"/>
    <s v="Wages -  Fund Raising"/>
    <s v="10/01/2014"/>
    <s v="Payroll Check"/>
    <s v="DD"/>
    <x v="740"/>
    <x v="37"/>
    <x v="5"/>
    <x v="36"/>
    <s v="Gross Pay - This is not a legal pay stub"/>
    <s v="26000 Direct Deposit Payable"/>
    <n v="1000"/>
    <n v="22499.99"/>
    <n v="1000"/>
  </r>
  <r>
    <n v="66855"/>
    <s v="Wages -  Fund Raising"/>
    <s v="10/16/2014"/>
    <s v="Payroll Check"/>
    <s v="DD"/>
    <x v="740"/>
    <x v="37"/>
    <x v="5"/>
    <x v="36"/>
    <s v="Gross Pay - This is not a legal pay stub"/>
    <s v="26000 Direct Deposit Payable"/>
    <n v="1000"/>
    <n v="24749.99"/>
    <n v="1000"/>
  </r>
  <r>
    <n v="66855"/>
    <s v="Wages -  Fund Raising"/>
    <s v="10/31/2014"/>
    <s v="Payroll Check"/>
    <s v="DD"/>
    <x v="740"/>
    <x v="37"/>
    <x v="5"/>
    <x v="36"/>
    <s v="Gross Pay - This is not a legal pay stub"/>
    <s v="26000 Direct Deposit Payable"/>
    <n v="1000"/>
    <n v="27576.87"/>
    <n v="1000"/>
  </r>
  <r>
    <n v="67001"/>
    <s v="Fundraising Expense -  Direct"/>
    <s v="10/08/2014"/>
    <s v="Check"/>
    <n v="1"/>
    <x v="274"/>
    <x v="37"/>
    <x v="2"/>
    <x v="7"/>
    <m/>
    <s v="10514 BofA Texas Resticted 0905:BoA Texas Restricted"/>
    <n v="0.49"/>
    <n v="76519.570000000007"/>
    <n v="0.49"/>
  </r>
  <r>
    <n v="46430"/>
    <s v="Miscellaneous Revenue"/>
    <s v="09/30/2014"/>
    <s v="Deposit"/>
    <m/>
    <x v="92"/>
    <x v="5"/>
    <x v="0"/>
    <x v="39"/>
    <m/>
    <s v="10542 BofA San Fran Restricted 0918"/>
    <n v="0.08"/>
    <n v="90.01"/>
    <n v="-0.08"/>
  </r>
  <r>
    <n v="46430"/>
    <s v="Miscellaneous Revenue"/>
    <s v="10/31/2014"/>
    <s v="Deposit"/>
    <m/>
    <x v="92"/>
    <x v="5"/>
    <x v="0"/>
    <x v="39"/>
    <m/>
    <s v="10542 BofA San Fran Restricted 0918"/>
    <n v="0.08"/>
    <n v="100.3"/>
    <n v="-0.08"/>
  </r>
  <r>
    <n v="43430"/>
    <s v="Miscellaneous Revenue"/>
    <s v="01/31/2014"/>
    <s v="Deposit"/>
    <m/>
    <x v="257"/>
    <x v="10"/>
    <x v="0"/>
    <x v="39"/>
    <m/>
    <s v="10417 *US Bank Columbus"/>
    <n v="7.0000000000000007E-2"/>
    <n v="5.77"/>
    <n v="-7.0000000000000007E-2"/>
  </r>
  <r>
    <n v="43430"/>
    <s v="Miscellaneous Revenue"/>
    <s v="02/28/2014"/>
    <s v="Deposit"/>
    <m/>
    <x v="257"/>
    <x v="10"/>
    <x v="0"/>
    <x v="39"/>
    <m/>
    <s v="10417 *US Bank Columbus"/>
    <n v="0.06"/>
    <n v="8.23"/>
    <n v="-0.06"/>
  </r>
  <r>
    <n v="43430"/>
    <s v="Miscellaneous Revenue"/>
    <s v="03/31/2014"/>
    <s v="Deposit"/>
    <m/>
    <x v="257"/>
    <x v="10"/>
    <x v="0"/>
    <x v="39"/>
    <m/>
    <s v="10417 *US Bank Columbus"/>
    <n v="0.1"/>
    <n v="16.57"/>
    <n v="-0.1"/>
  </r>
  <r>
    <n v="43430"/>
    <s v="Miscellaneous Revenue"/>
    <s v="04/30/2014"/>
    <s v="Deposit"/>
    <m/>
    <x v="257"/>
    <x v="10"/>
    <x v="0"/>
    <x v="39"/>
    <m/>
    <s v="10417 *US Bank Columbus"/>
    <n v="0.13"/>
    <n v="28.9"/>
    <n v="-0.13"/>
  </r>
  <r>
    <n v="43430"/>
    <s v="Miscellaneous Revenue"/>
    <s v="05/30/2014"/>
    <s v="Deposit"/>
    <m/>
    <x v="257"/>
    <x v="10"/>
    <x v="0"/>
    <x v="39"/>
    <m/>
    <s v="10417 *US Bank Columbus"/>
    <n v="0.12"/>
    <n v="52.83"/>
    <n v="-0.12"/>
  </r>
  <r>
    <n v="43430"/>
    <s v="Miscellaneous Revenue"/>
    <s v="06/30/2014"/>
    <s v="Deposit"/>
    <m/>
    <x v="257"/>
    <x v="10"/>
    <x v="0"/>
    <x v="39"/>
    <m/>
    <s v="10417 *US Bank Columbus"/>
    <n v="0.1"/>
    <n v="53.11"/>
    <n v="-0.1"/>
  </r>
  <r>
    <n v="43430"/>
    <s v="Miscellaneous Revenue"/>
    <s v="01/31/2014"/>
    <s v="Deposit"/>
    <m/>
    <x v="92"/>
    <x v="17"/>
    <x v="0"/>
    <x v="39"/>
    <m/>
    <s v="10512 BofA Houston Resticted 0905"/>
    <n v="2.72"/>
    <n v="3.88"/>
    <n v="-2.72"/>
  </r>
  <r>
    <n v="65025"/>
    <s v="Bank Service Charges"/>
    <s v="08/01/2014"/>
    <s v="Expense"/>
    <m/>
    <x v="92"/>
    <x v="11"/>
    <x v="1"/>
    <x v="14"/>
    <m/>
    <s v="10543 BoA Dallas, Texas 8389"/>
    <n v="15"/>
    <n v="1886.22"/>
    <n v="15"/>
  </r>
  <r>
    <n v="65025"/>
    <s v="Bank Service Charges"/>
    <s v="09/02/2014"/>
    <s v="Expense"/>
    <m/>
    <x v="92"/>
    <x v="11"/>
    <x v="1"/>
    <x v="14"/>
    <m/>
    <s v="10543 BoA Dallas, Texas 8389"/>
    <n v="15"/>
    <n v="2178.1999999999998"/>
    <n v="15"/>
  </r>
  <r>
    <n v="65061"/>
    <s v="Material for Rooms"/>
    <s v="07/11/2014"/>
    <s v="Deposit"/>
    <m/>
    <x v="58"/>
    <x v="11"/>
    <x v="1"/>
    <x v="5"/>
    <m/>
    <s v="10543 BoA Dallas, Texas 8389"/>
    <n v="-54.11"/>
    <n v="209498.16"/>
    <n v="-54.11"/>
  </r>
  <r>
    <n v="65061"/>
    <s v="Material for Rooms"/>
    <s v="08/12/2014"/>
    <s v="Check"/>
    <n v="1005"/>
    <x v="741"/>
    <x v="11"/>
    <x v="1"/>
    <x v="5"/>
    <m/>
    <s v="10543 BoA Dallas, Texas 8389"/>
    <n v="178.21"/>
    <n v="239665.12"/>
    <n v="178.21"/>
  </r>
  <r>
    <n v="65061"/>
    <s v="Material for Rooms"/>
    <s v="09/02/2014"/>
    <s v="Expense"/>
    <m/>
    <x v="73"/>
    <x v="11"/>
    <x v="1"/>
    <x v="5"/>
    <m/>
    <s v="10543 BoA Dallas, Texas 8389"/>
    <n v="145.84"/>
    <n v="248051.06"/>
    <n v="145.84"/>
  </r>
  <r>
    <n v="65061"/>
    <s v="Material for Rooms"/>
    <s v="09/02/2014"/>
    <s v="Expense"/>
    <m/>
    <x v="19"/>
    <x v="11"/>
    <x v="1"/>
    <x v="5"/>
    <m/>
    <s v="10543 BoA Dallas, Texas 8389"/>
    <n v="56.42"/>
    <n v="248107.48"/>
    <n v="56.42"/>
  </r>
  <r>
    <n v="65061"/>
    <s v="Material for Rooms"/>
    <s v="09/02/2014"/>
    <s v="Expense"/>
    <m/>
    <x v="742"/>
    <x v="11"/>
    <x v="1"/>
    <x v="5"/>
    <m/>
    <s v="10543 BoA Dallas, Texas 8389"/>
    <n v="16.190000000000001"/>
    <n v="248123.67"/>
    <n v="16.190000000000001"/>
  </r>
  <r>
    <n v="65061"/>
    <s v="Material for Rooms"/>
    <s v="09/02/2014"/>
    <s v="Expense"/>
    <m/>
    <x v="19"/>
    <x v="11"/>
    <x v="1"/>
    <x v="5"/>
    <m/>
    <s v="10543 BoA Dallas, Texas 8389"/>
    <n v="35.450000000000003"/>
    <n v="248159.12"/>
    <n v="35.450000000000003"/>
  </r>
  <r>
    <n v="65061"/>
    <s v="Material for Rooms"/>
    <s v="09/02/2014"/>
    <s v="Expense"/>
    <m/>
    <x v="29"/>
    <x v="11"/>
    <x v="1"/>
    <x v="5"/>
    <m/>
    <s v="10543 BoA Dallas, Texas 8389"/>
    <n v="73.97"/>
    <n v="248233.09"/>
    <n v="73.97"/>
  </r>
  <r>
    <n v="65061"/>
    <s v="Material for Rooms"/>
    <s v="09/05/2014"/>
    <s v="Expense"/>
    <m/>
    <x v="743"/>
    <x v="11"/>
    <x v="1"/>
    <x v="5"/>
    <m/>
    <s v="10543 BoA Dallas, Texas 8389"/>
    <n v="112"/>
    <n v="250776.18"/>
    <n v="112"/>
  </r>
  <r>
    <n v="65061"/>
    <s v="Material for Rooms"/>
    <s v="09/15/2014"/>
    <s v="Expense"/>
    <m/>
    <x v="29"/>
    <x v="11"/>
    <x v="1"/>
    <x v="5"/>
    <m/>
    <s v="10543 BoA Dallas, Texas 8389"/>
    <n v="18.23"/>
    <n v="255575.49"/>
    <n v="18.23"/>
  </r>
  <r>
    <n v="65061"/>
    <s v="Material for Rooms"/>
    <s v="09/15/2014"/>
    <s v="Expense"/>
    <m/>
    <x v="236"/>
    <x v="11"/>
    <x v="1"/>
    <x v="5"/>
    <m/>
    <s v="10543 BoA Dallas, Texas 8389"/>
    <n v="6.5"/>
    <n v="256253.57"/>
    <n v="6.5"/>
  </r>
  <r>
    <n v="65061"/>
    <s v="Material for Rooms"/>
    <s v="09/18/2014"/>
    <s v="Expense"/>
    <m/>
    <x v="58"/>
    <x v="11"/>
    <x v="1"/>
    <x v="5"/>
    <m/>
    <s v="10543 BoA Dallas, Texas 8389"/>
    <n v="12.41"/>
    <n v="257782.67"/>
    <n v="12.41"/>
  </r>
  <r>
    <n v="65061"/>
    <s v="Material for Rooms"/>
    <s v="09/22/2014"/>
    <s v="Expense"/>
    <m/>
    <x v="58"/>
    <x v="11"/>
    <x v="1"/>
    <x v="5"/>
    <m/>
    <s v="10543 BoA Dallas, Texas 8389"/>
    <n v="6.48"/>
    <n v="262063.99"/>
    <n v="6.48"/>
  </r>
  <r>
    <n v="65061"/>
    <s v="Material for Rooms"/>
    <s v="09/22/2014"/>
    <s v="Expense"/>
    <m/>
    <x v="744"/>
    <x v="11"/>
    <x v="1"/>
    <x v="5"/>
    <m/>
    <s v="10543 BoA Dallas, Texas 8389"/>
    <n v="9.74"/>
    <n v="262073.73"/>
    <n v="9.74"/>
  </r>
  <r>
    <n v="65061"/>
    <s v="Material for Rooms"/>
    <s v="09/22/2014"/>
    <s v="Expense"/>
    <m/>
    <x v="19"/>
    <x v="11"/>
    <x v="1"/>
    <x v="5"/>
    <m/>
    <s v="10543 BoA Dallas, Texas 8389"/>
    <n v="30.29"/>
    <n v="262104.02"/>
    <n v="30.29"/>
  </r>
  <r>
    <n v="65061"/>
    <s v="Material for Rooms"/>
    <s v="09/22/2014"/>
    <s v="Expense"/>
    <m/>
    <x v="29"/>
    <x v="11"/>
    <x v="1"/>
    <x v="5"/>
    <m/>
    <s v="10543 BoA Dallas, Texas 8389"/>
    <n v="62.27"/>
    <n v="262166.28999999998"/>
    <n v="62.27"/>
  </r>
  <r>
    <n v="65061"/>
    <s v="Material for Rooms"/>
    <s v="10/03/2014"/>
    <s v="Expense"/>
    <m/>
    <x v="58"/>
    <x v="11"/>
    <x v="1"/>
    <x v="5"/>
    <m/>
    <s v="10543 BoA Dallas, Texas 8389"/>
    <n v="9.7200000000000006"/>
    <n v="276941.01"/>
    <n v="9.7200000000000006"/>
  </r>
  <r>
    <n v="65061"/>
    <s v="Material for Rooms"/>
    <s v="10/03/2014"/>
    <s v="Expense"/>
    <m/>
    <x v="19"/>
    <x v="11"/>
    <x v="1"/>
    <x v="5"/>
    <m/>
    <s v="10543 BoA Dallas, Texas 8389"/>
    <n v="37.840000000000003"/>
    <n v="276978.84999999998"/>
    <n v="37.840000000000003"/>
  </r>
  <r>
    <n v="65061"/>
    <s v="Material for Rooms"/>
    <s v="10/06/2014"/>
    <s v="Expense"/>
    <m/>
    <x v="29"/>
    <x v="11"/>
    <x v="1"/>
    <x v="5"/>
    <m/>
    <s v="10543 BoA Dallas, Texas 8389"/>
    <n v="10.25"/>
    <n v="277451.21999999997"/>
    <n v="10.25"/>
  </r>
  <r>
    <n v="65061"/>
    <s v="Material for Rooms"/>
    <s v="10/06/2014"/>
    <s v="Expense"/>
    <m/>
    <x v="233"/>
    <x v="11"/>
    <x v="1"/>
    <x v="5"/>
    <m/>
    <s v="10543 BoA Dallas, Texas 8389"/>
    <n v="14.98"/>
    <n v="280247.46999999997"/>
    <n v="14.98"/>
  </r>
  <r>
    <n v="65061"/>
    <s v="Material for Rooms"/>
    <s v="10/06/2014"/>
    <s v="Expense"/>
    <m/>
    <x v="58"/>
    <x v="11"/>
    <x v="1"/>
    <x v="5"/>
    <m/>
    <s v="10543 BoA Dallas, Texas 8389"/>
    <n v="67.63"/>
    <n v="280315.09999999998"/>
    <n v="67.63"/>
  </r>
  <r>
    <n v="65061"/>
    <s v="Material for Rooms"/>
    <s v="10/06/2014"/>
    <s v="Expense"/>
    <m/>
    <x v="70"/>
    <x v="11"/>
    <x v="1"/>
    <x v="5"/>
    <m/>
    <s v="10543 BoA Dallas, Texas 8389"/>
    <n v="30.3"/>
    <n v="280345.40000000002"/>
    <n v="30.3"/>
  </r>
  <r>
    <n v="65061"/>
    <s v="Material for Rooms"/>
    <s v="10/06/2014"/>
    <s v="Expense"/>
    <m/>
    <x v="234"/>
    <x v="11"/>
    <x v="1"/>
    <x v="5"/>
    <m/>
    <s v="10543 BoA Dallas, Texas 8389"/>
    <n v="20"/>
    <n v="280365.40000000002"/>
    <n v="20"/>
  </r>
  <r>
    <n v="65061"/>
    <s v="Material for Rooms"/>
    <s v="10/06/2014"/>
    <s v="Expense"/>
    <m/>
    <x v="234"/>
    <x v="11"/>
    <x v="1"/>
    <x v="5"/>
    <m/>
    <s v="10543 BoA Dallas, Texas 8389"/>
    <n v="8.65"/>
    <n v="280374.05"/>
    <n v="8.65"/>
  </r>
  <r>
    <n v="65061"/>
    <s v="Material for Rooms"/>
    <s v="10/06/2014"/>
    <s v="Expense"/>
    <m/>
    <x v="19"/>
    <x v="11"/>
    <x v="1"/>
    <x v="5"/>
    <m/>
    <s v="10543 BoA Dallas, Texas 8389"/>
    <n v="59.52"/>
    <n v="280433.57"/>
    <n v="59.52"/>
  </r>
  <r>
    <n v="65061"/>
    <s v="Material for Rooms"/>
    <s v="10/06/2014"/>
    <s v="Expense"/>
    <m/>
    <x v="29"/>
    <x v="11"/>
    <x v="1"/>
    <x v="5"/>
    <m/>
    <s v="10543 BoA Dallas, Texas 8389"/>
    <n v="37.46"/>
    <n v="280471.03000000003"/>
    <n v="37.46"/>
  </r>
  <r>
    <n v="65061"/>
    <s v="Material for Rooms"/>
    <s v="10/07/2014"/>
    <s v="Expense"/>
    <m/>
    <x v="26"/>
    <x v="11"/>
    <x v="1"/>
    <x v="5"/>
    <m/>
    <s v="10543 BoA Dallas, Texas 8389"/>
    <n v="8.09"/>
    <n v="281219.48"/>
    <n v="8.09"/>
  </r>
  <r>
    <n v="65061"/>
    <s v="Material for Rooms"/>
    <s v="10/07/2014"/>
    <s v="Expense"/>
    <m/>
    <x v="58"/>
    <x v="11"/>
    <x v="1"/>
    <x v="5"/>
    <m/>
    <s v="10543 BoA Dallas, Texas 8389"/>
    <n v="15.88"/>
    <n v="283056.27"/>
    <n v="15.88"/>
  </r>
  <r>
    <n v="65061"/>
    <s v="Material for Rooms"/>
    <s v="10/10/2014"/>
    <s v="Expense"/>
    <m/>
    <x v="114"/>
    <x v="11"/>
    <x v="1"/>
    <x v="5"/>
    <m/>
    <s v="10543 BoA Dallas, Texas 8389"/>
    <n v="16.22"/>
    <n v="289074.36"/>
    <n v="16.22"/>
  </r>
  <r>
    <n v="65061"/>
    <s v="Material for Rooms"/>
    <s v="10/14/2014"/>
    <s v="Deposit"/>
    <m/>
    <x v="0"/>
    <x v="11"/>
    <x v="1"/>
    <x v="5"/>
    <m/>
    <s v="10543 BoA Dallas, Texas 8389"/>
    <n v="-54.08"/>
    <n v="290248.92"/>
    <n v="-54.08"/>
  </r>
  <r>
    <n v="65061"/>
    <s v="Material for Rooms"/>
    <s v="10/14/2014"/>
    <s v="Deposit"/>
    <m/>
    <x v="0"/>
    <x v="11"/>
    <x v="1"/>
    <x v="5"/>
    <m/>
    <s v="10543 BoA Dallas, Texas 8389"/>
    <n v="-22.73"/>
    <n v="290226.19"/>
    <n v="-22.73"/>
  </r>
  <r>
    <n v="65061"/>
    <s v="Material for Rooms"/>
    <s v="10/14/2014"/>
    <s v="Expense"/>
    <m/>
    <x v="29"/>
    <x v="11"/>
    <x v="1"/>
    <x v="5"/>
    <m/>
    <s v="10543 BoA Dallas, Texas 8389"/>
    <n v="33.22"/>
    <n v="290259.40999999997"/>
    <n v="33.22"/>
  </r>
  <r>
    <n v="65061"/>
    <s v="Material for Rooms"/>
    <s v="10/14/2014"/>
    <s v="Deposit"/>
    <m/>
    <x v="282"/>
    <x v="11"/>
    <x v="1"/>
    <x v="5"/>
    <m/>
    <s v="10543 BoA Dallas, Texas 8389"/>
    <n v="-18.27"/>
    <n v="290241.14"/>
    <n v="-18.27"/>
  </r>
  <r>
    <n v="65061"/>
    <s v="Material for Rooms"/>
    <s v="10/15/2014"/>
    <s v="Deposit"/>
    <m/>
    <x v="58"/>
    <x v="11"/>
    <x v="1"/>
    <x v="5"/>
    <m/>
    <s v="10543 BoA Dallas, Texas 8389"/>
    <n v="-9.74"/>
    <n v="291439.71000000002"/>
    <n v="-9.74"/>
  </r>
  <r>
    <n v="65061"/>
    <s v="Material for Rooms"/>
    <s v="10/15/2014"/>
    <s v="Deposit"/>
    <m/>
    <x v="234"/>
    <x v="11"/>
    <x v="1"/>
    <x v="5"/>
    <m/>
    <s v="10543 BoA Dallas, Texas 8389"/>
    <n v="-5.94"/>
    <n v="291433.77"/>
    <n v="-5.94"/>
  </r>
  <r>
    <n v="65061"/>
    <s v="Material for Rooms"/>
    <s v="10/17/2014"/>
    <s v="Deposit"/>
    <m/>
    <x v="114"/>
    <x v="11"/>
    <x v="1"/>
    <x v="5"/>
    <m/>
    <s v="10543 BoA Dallas, Texas 8389"/>
    <n v="-16.22"/>
    <n v="295220.90999999997"/>
    <n v="-16.22"/>
  </r>
  <r>
    <n v="65095"/>
    <s v="Paypal Expense"/>
    <s v="09/16/2014"/>
    <s v="Journal Entry"/>
    <n v="670"/>
    <x v="0"/>
    <x v="11"/>
    <x v="4"/>
    <x v="19"/>
    <s v="paypal expense"/>
    <s v="-Split-"/>
    <n v="2.5"/>
    <n v="969.34"/>
    <n v="2.5"/>
  </r>
  <r>
    <n v="65095"/>
    <s v="Paypal Expense"/>
    <s v="10/13/2014"/>
    <s v="Journal Entry"/>
    <n v="716"/>
    <x v="0"/>
    <x v="11"/>
    <x v="4"/>
    <x v="19"/>
    <s v="paypal deposit"/>
    <s v="-Split-"/>
    <n v="11.3"/>
    <n v="1028.72"/>
    <n v="11.3"/>
  </r>
  <r>
    <n v="43430"/>
    <s v="Miscellaneous Revenue"/>
    <s v="02/28/2014"/>
    <s v="Deposit"/>
    <m/>
    <x v="92"/>
    <x v="17"/>
    <x v="0"/>
    <x v="39"/>
    <m/>
    <s v="10512 BofA Houston Resticted 0905"/>
    <n v="2.4700000000000002"/>
    <n v="16.309999999999999"/>
    <n v="-2.4700000000000002"/>
  </r>
  <r>
    <n v="43430"/>
    <s v="Miscellaneous Revenue"/>
    <s v="03/31/2014"/>
    <s v="Deposit"/>
    <m/>
    <x v="92"/>
    <x v="17"/>
    <x v="0"/>
    <x v="39"/>
    <m/>
    <s v="10512 BofA Houston Resticted 0905"/>
    <n v="2.79"/>
    <n v="27.48"/>
    <n v="-2.79"/>
  </r>
  <r>
    <n v="43430"/>
    <s v="Miscellaneous Revenue"/>
    <s v="04/30/2014"/>
    <s v="Deposit"/>
    <m/>
    <x v="92"/>
    <x v="17"/>
    <x v="0"/>
    <x v="39"/>
    <m/>
    <s v="10512 BofA Houston Resticted 0905"/>
    <n v="2.79"/>
    <n v="40.96"/>
    <n v="-2.79"/>
  </r>
  <r>
    <n v="43430"/>
    <s v="Miscellaneous Revenue"/>
    <s v="05/30/2014"/>
    <s v="Deposit"/>
    <m/>
    <x v="92"/>
    <x v="17"/>
    <x v="0"/>
    <x v="39"/>
    <m/>
    <s v="10512 BofA Houston Resticted 0905"/>
    <n v="2.62"/>
    <n v="52.09"/>
    <n v="-2.62"/>
  </r>
  <r>
    <n v="65030"/>
    <s v="Printing and Copying"/>
    <s v="08/29/2014"/>
    <s v="Expense"/>
    <m/>
    <x v="745"/>
    <x v="17"/>
    <x v="1"/>
    <x v="20"/>
    <m/>
    <s v="10512 BofA Texas Resticted 0905"/>
    <n v="39.46"/>
    <n v="5647.46"/>
    <n v="39.46"/>
  </r>
  <r>
    <n v="65045"/>
    <s v="Rent/Storage"/>
    <s v="07/02/2014"/>
    <s v="Expense"/>
    <m/>
    <x v="323"/>
    <x v="17"/>
    <x v="1"/>
    <x v="16"/>
    <m/>
    <s v="10511 BofA Houston"/>
    <n v="85"/>
    <n v="4164.3500000000004"/>
    <n v="85"/>
  </r>
  <r>
    <n v="65045"/>
    <s v="Rent/Storage"/>
    <s v="08/04/2014"/>
    <s v="Expense"/>
    <m/>
    <x v="323"/>
    <x v="17"/>
    <x v="1"/>
    <x v="16"/>
    <m/>
    <s v="10511 BofA Houston"/>
    <n v="85"/>
    <n v="5403.35"/>
    <n v="85"/>
  </r>
  <r>
    <n v="65045"/>
    <s v="Rent/Storage"/>
    <s v="09/03/2014"/>
    <s v="Expense"/>
    <m/>
    <x v="323"/>
    <x v="17"/>
    <x v="1"/>
    <x v="16"/>
    <m/>
    <s v="10511 BofA Houston"/>
    <n v="85"/>
    <n v="5488.35"/>
    <n v="85"/>
  </r>
  <r>
    <n v="65045"/>
    <s v="Rent/Storage"/>
    <s v="10/02/2014"/>
    <s v="Expense"/>
    <m/>
    <x v="323"/>
    <x v="17"/>
    <x v="1"/>
    <x v="16"/>
    <m/>
    <s v="10511 BofA Houston"/>
    <n v="85"/>
    <n v="5763.35"/>
    <n v="85"/>
  </r>
  <r>
    <n v="65061"/>
    <s v="Material for Rooms"/>
    <s v="07/09/2014"/>
    <s v="Expense"/>
    <m/>
    <x v="53"/>
    <x v="17"/>
    <x v="1"/>
    <x v="5"/>
    <m/>
    <s v="10511 BofA Houston"/>
    <n v="45.37"/>
    <n v="207670.84"/>
    <n v="45.37"/>
  </r>
  <r>
    <n v="65061"/>
    <s v="Material for Rooms"/>
    <s v="07/21/2014"/>
    <s v="Deposit"/>
    <m/>
    <x v="53"/>
    <x v="17"/>
    <x v="1"/>
    <x v="5"/>
    <m/>
    <s v="10511 BofA Houston"/>
    <n v="-32.44"/>
    <n v="220872.81"/>
    <n v="-32.44"/>
  </r>
  <r>
    <n v="65061"/>
    <s v="Material for Rooms"/>
    <s v="08/25/2014"/>
    <s v="Deposit"/>
    <m/>
    <x v="53"/>
    <x v="17"/>
    <x v="1"/>
    <x v="5"/>
    <m/>
    <s v="10516 BofA Long Island"/>
    <n v="-18.149999999999999"/>
    <n v="243528.47"/>
    <n v="-18.149999999999999"/>
  </r>
  <r>
    <n v="65061"/>
    <s v="Material for Rooms"/>
    <s v="10/07/2014"/>
    <s v="Expense"/>
    <m/>
    <x v="73"/>
    <x v="17"/>
    <x v="1"/>
    <x v="5"/>
    <m/>
    <s v="10511 BofA Houston"/>
    <n v="391.55"/>
    <n v="281211.39"/>
    <n v="391.55"/>
  </r>
  <r>
    <n v="65061"/>
    <s v="Material for Rooms"/>
    <s v="10/07/2014"/>
    <s v="Expense"/>
    <m/>
    <x v="73"/>
    <x v="17"/>
    <x v="1"/>
    <x v="5"/>
    <m/>
    <s v="10511 BofA Houston"/>
    <n v="1820.91"/>
    <n v="283040.39"/>
    <n v="1820.91"/>
  </r>
  <r>
    <n v="65061"/>
    <s v="Material for Rooms"/>
    <s v="10/09/2014"/>
    <s v="Expense"/>
    <m/>
    <x v="29"/>
    <x v="17"/>
    <x v="1"/>
    <x v="5"/>
    <m/>
    <s v="10511 BofA Houston"/>
    <n v="365.02"/>
    <n v="287740.68"/>
    <n v="365.02"/>
  </r>
  <r>
    <n v="65061"/>
    <s v="Material for Rooms"/>
    <s v="10/09/2014"/>
    <s v="Expense"/>
    <m/>
    <x v="118"/>
    <x v="17"/>
    <x v="1"/>
    <x v="5"/>
    <m/>
    <s v="10511 BofA Houston"/>
    <n v="77.599999999999994"/>
    <n v="288046.5"/>
    <n v="77.599999999999994"/>
  </r>
  <r>
    <n v="65061"/>
    <s v="Material for Rooms"/>
    <s v="10/14/2014"/>
    <s v="Expense"/>
    <m/>
    <x v="53"/>
    <x v="17"/>
    <x v="1"/>
    <x v="5"/>
    <m/>
    <s v="10511 BofA Houston"/>
    <n v="46.33"/>
    <n v="290015.17"/>
    <n v="46.33"/>
  </r>
  <r>
    <n v="65061"/>
    <s v="Material for Rooms"/>
    <s v="10/14/2014"/>
    <s v="Expense"/>
    <m/>
    <x v="53"/>
    <x v="17"/>
    <x v="1"/>
    <x v="5"/>
    <m/>
    <s v="10511 BofA Houston"/>
    <n v="27.68"/>
    <n v="290042.84999999998"/>
    <n v="27.68"/>
  </r>
  <r>
    <n v="65061"/>
    <s v="Material for Rooms"/>
    <s v="10/14/2014"/>
    <s v="Expense"/>
    <m/>
    <x v="19"/>
    <x v="17"/>
    <x v="1"/>
    <x v="5"/>
    <m/>
    <s v="10511 BofA Houston"/>
    <n v="64.930000000000007"/>
    <n v="290107.78000000003"/>
    <n v="64.930000000000007"/>
  </r>
  <r>
    <n v="65061"/>
    <s v="Material for Rooms"/>
    <s v="10/14/2014"/>
    <s v="Expense"/>
    <m/>
    <x v="19"/>
    <x v="17"/>
    <x v="1"/>
    <x v="5"/>
    <m/>
    <s v="10511 BofA Houston"/>
    <n v="195.22"/>
    <n v="290303"/>
    <n v="195.22"/>
  </r>
  <r>
    <n v="65061"/>
    <s v="Material for Rooms"/>
    <s v="10/15/2014"/>
    <s v="Expense"/>
    <m/>
    <x v="26"/>
    <x v="17"/>
    <x v="1"/>
    <x v="5"/>
    <m/>
    <s v="10511 BofA Houston"/>
    <n v="5.4"/>
    <n v="291449.45"/>
    <n v="5.4"/>
  </r>
  <r>
    <n v="65061"/>
    <s v="Material for Rooms"/>
    <s v="10/27/2014"/>
    <s v="Deposit"/>
    <m/>
    <x v="19"/>
    <x v="17"/>
    <x v="1"/>
    <x v="5"/>
    <m/>
    <s v="10511 BofA Houston"/>
    <n v="-35.86"/>
    <n v="299566.40999999997"/>
    <n v="-35.86"/>
  </r>
  <r>
    <n v="65061"/>
    <s v="Material for Rooms"/>
    <s v="10/31/2014"/>
    <s v="Deposit"/>
    <m/>
    <x v="73"/>
    <x v="17"/>
    <x v="1"/>
    <x v="5"/>
    <m/>
    <s v="10511 BofA Houston"/>
    <n v="-111.9"/>
    <n v="306204.71999999997"/>
    <n v="-111.9"/>
  </r>
  <r>
    <n v="65095"/>
    <s v="Paypal Expense"/>
    <s v="08/11/2014"/>
    <s v="Journal Entry"/>
    <n v="652"/>
    <x v="0"/>
    <x v="17"/>
    <x v="4"/>
    <x v="19"/>
    <s v="paypal"/>
    <s v="-Split-"/>
    <n v="8.77"/>
    <n v="755.59"/>
    <n v="8.77"/>
  </r>
  <r>
    <n v="43430"/>
    <s v="Miscellaneous Revenue"/>
    <s v="06/30/2014"/>
    <s v="Deposit"/>
    <m/>
    <x v="92"/>
    <x v="17"/>
    <x v="0"/>
    <x v="39"/>
    <m/>
    <s v="10512 BofA Houston Resticted 0905"/>
    <n v="2.04"/>
    <n v="63.33"/>
    <n v="-2.04"/>
  </r>
  <r>
    <n v="65025"/>
    <s v="Bank Service Charges"/>
    <s v="07/01/2014"/>
    <s v="Expense"/>
    <m/>
    <x v="92"/>
    <x v="33"/>
    <x v="1"/>
    <x v="14"/>
    <m/>
    <s v="10536 BoA San Antonio 2317"/>
    <n v="16"/>
    <n v="1837.52"/>
    <n v="16"/>
  </r>
  <r>
    <n v="65025"/>
    <s v="Bank Service Charges"/>
    <s v="08/01/2014"/>
    <s v="Expense"/>
    <m/>
    <x v="92"/>
    <x v="33"/>
    <x v="1"/>
    <x v="14"/>
    <m/>
    <s v="10536 BoA San Antonio 2317"/>
    <n v="16"/>
    <n v="1963.17"/>
    <n v="16"/>
  </r>
  <r>
    <n v="65025"/>
    <s v="Bank Service Charges"/>
    <s v="09/02/2014"/>
    <s v="Expense"/>
    <m/>
    <x v="92"/>
    <x v="33"/>
    <x v="1"/>
    <x v="14"/>
    <m/>
    <s v="10536 BoA San Antonio 2317"/>
    <n v="16"/>
    <n v="2194.1999999999998"/>
    <n v="16"/>
  </r>
  <r>
    <n v="65025"/>
    <s v="Bank Service Charges"/>
    <s v="10/01/2014"/>
    <s v="Expense"/>
    <m/>
    <x v="92"/>
    <x v="33"/>
    <x v="1"/>
    <x v="14"/>
    <m/>
    <s v="10536 BoA San Antonio 2317"/>
    <n v="16"/>
    <n v="2422.1"/>
    <n v="16"/>
  </r>
  <r>
    <n v="43430"/>
    <s v="Miscellaneous Revenue"/>
    <s v="01/31/2014"/>
    <s v="Deposit"/>
    <m/>
    <x v="257"/>
    <x v="22"/>
    <x v="0"/>
    <x v="39"/>
    <m/>
    <s v="10522 *US Bank - Milwaukee"/>
    <n v="1.82"/>
    <n v="5.7"/>
    <n v="-1.82"/>
  </r>
  <r>
    <n v="43430"/>
    <s v="Miscellaneous Revenue"/>
    <s v="02/28/2014"/>
    <s v="Deposit"/>
    <m/>
    <x v="257"/>
    <x v="22"/>
    <x v="0"/>
    <x v="39"/>
    <m/>
    <s v="10522 *US Bank - Milwaukee"/>
    <n v="1.99"/>
    <n v="11.28"/>
    <n v="-1.99"/>
  </r>
  <r>
    <n v="43430"/>
    <s v="Miscellaneous Revenue"/>
    <s v="03/31/2014"/>
    <s v="Deposit"/>
    <m/>
    <x v="257"/>
    <x v="22"/>
    <x v="0"/>
    <x v="39"/>
    <m/>
    <s v="10522 *US Bank - Milwaukee"/>
    <n v="5.03"/>
    <n v="21.74"/>
    <n v="-5.03"/>
  </r>
  <r>
    <n v="43430"/>
    <s v="Miscellaneous Revenue"/>
    <s v="04/30/2014"/>
    <s v="Deposit"/>
    <m/>
    <x v="257"/>
    <x v="22"/>
    <x v="0"/>
    <x v="39"/>
    <m/>
    <s v="10522 *US Bank - Milwaukee"/>
    <n v="5.41"/>
    <n v="34.31"/>
    <n v="-5.41"/>
  </r>
  <r>
    <n v="43430"/>
    <s v="Miscellaneous Revenue"/>
    <s v="05/30/2014"/>
    <s v="Deposit"/>
    <m/>
    <x v="257"/>
    <x v="22"/>
    <x v="0"/>
    <x v="39"/>
    <m/>
    <s v="10522 *US Bank - Milwaukee"/>
    <n v="5.26"/>
    <n v="46.22"/>
    <n v="-5.26"/>
  </r>
  <r>
    <n v="43430"/>
    <s v="Miscellaneous Revenue"/>
    <s v="06/30/2014"/>
    <s v="Deposit"/>
    <m/>
    <x v="257"/>
    <x v="22"/>
    <x v="0"/>
    <x v="39"/>
    <m/>
    <s v="10522 *US Bank - Milwaukee"/>
    <n v="4.7300000000000004"/>
    <n v="58.21"/>
    <n v="-4.7300000000000004"/>
  </r>
  <r>
    <n v="43430"/>
    <s v="Miscellaneous Revenue"/>
    <s v="01/31/2014"/>
    <s v="Journal Entry"/>
    <n v="408"/>
    <x v="0"/>
    <x v="0"/>
    <x v="0"/>
    <x v="39"/>
    <m/>
    <s v="-Split-"/>
    <n v="0.17"/>
    <n v="8.06"/>
    <n v="-0.17"/>
  </r>
  <r>
    <n v="43430"/>
    <s v="Miscellaneous Revenue"/>
    <s v="04/30/2014"/>
    <s v="Deposit"/>
    <m/>
    <x v="257"/>
    <x v="0"/>
    <x v="0"/>
    <x v="39"/>
    <m/>
    <s v="10210 *US Bank-Ohio Restriced 4603:National Ohio Restricted"/>
    <n v="0.11"/>
    <n v="37.14"/>
    <n v="-0.11"/>
  </r>
  <r>
    <n v="43430"/>
    <s v="Miscellaneous Revenue"/>
    <s v="05/30/2014"/>
    <s v="Deposit"/>
    <m/>
    <x v="257"/>
    <x v="0"/>
    <x v="0"/>
    <x v="39"/>
    <m/>
    <s v="10210 *US Bank-Ohio Restriced 4603:National Ohio Restricted"/>
    <n v="0.06"/>
    <n v="46.28"/>
    <n v="-0.06"/>
  </r>
  <r>
    <n v="46430"/>
    <s v="Miscellaneous Revenue"/>
    <s v="07/31/2014"/>
    <s v="Deposit"/>
    <m/>
    <x v="257"/>
    <x v="0"/>
    <x v="0"/>
    <x v="39"/>
    <m/>
    <s v="10210 *US Bank-Ohio Restricted 4603:National Ohio Restricted"/>
    <n v="7.0000000000000007E-2"/>
    <n v="71.13"/>
    <n v="-7.0000000000000007E-2"/>
  </r>
  <r>
    <n v="46430"/>
    <s v="Miscellaneous Revenue"/>
    <s v="10/30/2014"/>
    <s v="Deposit"/>
    <m/>
    <x v="257"/>
    <x v="0"/>
    <x v="0"/>
    <x v="39"/>
    <m/>
    <s v="10210 *US Bank-Ohio Restricted 4603:National Ohio Restricted"/>
    <n v="0.08"/>
    <n v="93.95"/>
    <n v="-0.08"/>
  </r>
  <r>
    <n v="43430"/>
    <s v="Miscellaneous Revenue"/>
    <s v="02/28/2014"/>
    <s v="Deposit"/>
    <m/>
    <x v="257"/>
    <x v="29"/>
    <x v="0"/>
    <x v="39"/>
    <m/>
    <s v="10903 *US Bank Wisc-Northshore"/>
    <n v="0.11"/>
    <n v="8.17"/>
    <n v="-0.11"/>
  </r>
  <r>
    <n v="43430"/>
    <s v="Miscellaneous Revenue"/>
    <s v="03/31/2014"/>
    <s v="Deposit"/>
    <m/>
    <x v="257"/>
    <x v="29"/>
    <x v="0"/>
    <x v="39"/>
    <m/>
    <s v="10903 *US Bank Wisc-Northshore"/>
    <n v="0.1"/>
    <n v="24.69"/>
    <n v="-0.1"/>
  </r>
  <r>
    <n v="43430"/>
    <s v="Miscellaneous Revenue"/>
    <s v="04/30/2014"/>
    <s v="Deposit"/>
    <m/>
    <x v="257"/>
    <x v="29"/>
    <x v="0"/>
    <x v="39"/>
    <m/>
    <s v="10903 *US Bank Wisc-Northshore"/>
    <n v="0.1"/>
    <n v="28.77"/>
    <n v="-0.1"/>
  </r>
  <r>
    <n v="43430"/>
    <s v="Miscellaneous Revenue"/>
    <s v="05/30/2014"/>
    <s v="Deposit"/>
    <m/>
    <x v="257"/>
    <x v="29"/>
    <x v="0"/>
    <x v="39"/>
    <m/>
    <s v="10903 *US Bank Wisc-Northshore"/>
    <n v="0.17"/>
    <n v="46.45"/>
    <n v="-0.17"/>
  </r>
  <r>
    <n v="43430"/>
    <s v="Miscellaneous Revenue"/>
    <s v="06/30/2014"/>
    <s v="Deposit"/>
    <m/>
    <x v="257"/>
    <x v="29"/>
    <x v="0"/>
    <x v="39"/>
    <m/>
    <s v="10903 *US Bank Wisc-Northshore"/>
    <n v="0.18"/>
    <n v="53.01"/>
    <n v="-0.18"/>
  </r>
  <r>
    <n v="43430"/>
    <s v="Miscellaneous Revenue"/>
    <s v="02/28/2014"/>
    <s v="Deposit"/>
    <m/>
    <x v="257"/>
    <x v="10"/>
    <x v="0"/>
    <x v="39"/>
    <m/>
    <s v="10210 *US Bank-Ohio Restriced 4603:National Ohio Restricted"/>
    <n v="0.16"/>
    <n v="16.47"/>
    <n v="-0.16"/>
  </r>
  <r>
    <n v="43430"/>
    <s v="Miscellaneous Revenue"/>
    <s v="03/31/2014"/>
    <s v="Deposit"/>
    <m/>
    <x v="257"/>
    <x v="10"/>
    <x v="0"/>
    <x v="39"/>
    <m/>
    <s v="10210 *US Bank-Ohio Restriced 4603:National Ohio Restricted"/>
    <n v="0.14000000000000001"/>
    <n v="16.71"/>
    <n v="-0.14000000000000001"/>
  </r>
  <r>
    <n v="43440"/>
    <s v="Gifts in Kind - Goods"/>
    <s v="04/11/2014"/>
    <s v="Journal Entry"/>
    <n v="575"/>
    <x v="0"/>
    <x v="36"/>
    <x v="3"/>
    <x v="9"/>
    <s v="Riley's room"/>
    <s v="-Split-"/>
    <n v="750"/>
    <n v="22141.63"/>
    <n v="-750"/>
  </r>
  <r>
    <n v="43430"/>
    <s v="Miscellaneous Revenue"/>
    <s v="06/30/2014"/>
    <s v="Deposit"/>
    <m/>
    <x v="257"/>
    <x v="10"/>
    <x v="0"/>
    <x v="39"/>
    <m/>
    <s v="10210 *US Bank-Ohio Restriced 4603:National Ohio Restricted"/>
    <n v="0.06"/>
    <n v="53.17"/>
    <n v="-0.06"/>
  </r>
  <r>
    <n v="46430"/>
    <s v="Miscellaneous Revenue"/>
    <s v="08/27/2014"/>
    <s v="Deposit"/>
    <m/>
    <x v="257"/>
    <x v="10"/>
    <x v="0"/>
    <x v="39"/>
    <m/>
    <s v="10210 *US Bank-Ohio Restricted 4603:National Ohio Restricted"/>
    <n v="7.0000000000000007E-2"/>
    <n v="73.75"/>
    <n v="-7.0000000000000007E-2"/>
  </r>
  <r>
    <n v="46430"/>
    <s v="Miscellaneous Revenue"/>
    <s v="09/30/2014"/>
    <s v="Deposit"/>
    <m/>
    <x v="257"/>
    <x v="10"/>
    <x v="0"/>
    <x v="39"/>
    <m/>
    <s v="10210 *US Bank-Ohio Restricted 4603:National Ohio Restricted"/>
    <n v="7.0000000000000007E-2"/>
    <n v="87.51"/>
    <n v="-7.0000000000000007E-2"/>
  </r>
  <r>
    <n v="65020"/>
    <s v="Postage, Mailing Service"/>
    <s v="06/02/2014"/>
    <s v="Expense"/>
    <m/>
    <x v="6"/>
    <x v="36"/>
    <x v="1"/>
    <x v="3"/>
    <m/>
    <s v="10496 BofA Tri Cities"/>
    <n v="9.8000000000000007"/>
    <n v="1551.88"/>
    <n v="9.8000000000000007"/>
  </r>
  <r>
    <n v="65020"/>
    <s v="Postage, Mailing Service"/>
    <s v="06/10/2014"/>
    <s v="Expense"/>
    <m/>
    <x v="6"/>
    <x v="36"/>
    <x v="1"/>
    <x v="3"/>
    <m/>
    <s v="10496 BofA Tri Cities"/>
    <n v="14.7"/>
    <n v="1629.98"/>
    <n v="14.7"/>
  </r>
  <r>
    <n v="65020"/>
    <s v="Postage, Mailing Service"/>
    <s v="06/10/2014"/>
    <s v="Expense"/>
    <m/>
    <x v="6"/>
    <x v="36"/>
    <x v="1"/>
    <x v="3"/>
    <m/>
    <s v="10496 BofA Tri Cities"/>
    <n v="3.08"/>
    <n v="1633.06"/>
    <n v="3.08"/>
  </r>
  <r>
    <n v="65025"/>
    <s v="Bank Service Charges"/>
    <s v="01/02/2014"/>
    <s v="Check"/>
    <m/>
    <x v="92"/>
    <x v="36"/>
    <x v="1"/>
    <x v="14"/>
    <m/>
    <s v="10497 BoA Tri Cities Restricted 0921"/>
    <n v="15"/>
    <n v="153"/>
    <n v="15"/>
  </r>
  <r>
    <n v="65036"/>
    <s v="Volunteer Hospitality"/>
    <s v="02/18/2014"/>
    <s v="Check"/>
    <n v="1040"/>
    <x v="746"/>
    <x v="36"/>
    <x v="1"/>
    <x v="13"/>
    <m/>
    <s v="10496 BofA Tri Cities"/>
    <n v="50"/>
    <n v="751.54"/>
    <n v="50"/>
  </r>
  <r>
    <n v="65036"/>
    <s v="Volunteer Hospitality"/>
    <s v="02/24/2014"/>
    <s v="Check"/>
    <n v="1041"/>
    <x v="423"/>
    <x v="36"/>
    <x v="1"/>
    <x v="13"/>
    <m/>
    <s v="10496 BofA Tri Cities"/>
    <n v="42"/>
    <n v="918.54"/>
    <n v="42"/>
  </r>
  <r>
    <n v="65036"/>
    <s v="Volunteer Hospitality"/>
    <s v="04/07/2014"/>
    <s v="Check"/>
    <m/>
    <x v="747"/>
    <x v="36"/>
    <x v="1"/>
    <x v="13"/>
    <m/>
    <s v="10496 BofA Tri Cities"/>
    <n v="26.28"/>
    <n v="3821.18"/>
    <n v="26.28"/>
  </r>
  <r>
    <n v="65036"/>
    <s v="Volunteer Hospitality"/>
    <s v="05/09/2014"/>
    <s v="Expense"/>
    <m/>
    <x v="0"/>
    <x v="36"/>
    <x v="1"/>
    <x v="13"/>
    <m/>
    <s v="10496 BofA Tri Cities"/>
    <n v="299.95999999999998"/>
    <n v="4532.1499999999996"/>
    <n v="299.95999999999998"/>
  </r>
  <r>
    <n v="65036"/>
    <s v="Volunteer Hospitality"/>
    <s v="05/29/2014"/>
    <s v="Expense"/>
    <m/>
    <x v="748"/>
    <x v="36"/>
    <x v="1"/>
    <x v="13"/>
    <m/>
    <s v="10496 BofA Tri Cities"/>
    <n v="24.16"/>
    <n v="4876.54"/>
    <n v="24.16"/>
  </r>
  <r>
    <n v="65040"/>
    <s v="Supplies"/>
    <s v="03/20/2014"/>
    <s v="Check"/>
    <m/>
    <x v="641"/>
    <x v="36"/>
    <x v="1"/>
    <x v="4"/>
    <m/>
    <s v="10496 BofA Tri Cities"/>
    <n v="32.83"/>
    <n v="950.52"/>
    <n v="32.83"/>
  </r>
  <r>
    <n v="65061"/>
    <s v="Material for Rooms Expense"/>
    <s v="01/09/2014"/>
    <s v="Check"/>
    <m/>
    <x v="231"/>
    <x v="36"/>
    <x v="1"/>
    <x v="5"/>
    <m/>
    <s v="10496 BofA Tri Cities"/>
    <n v="265.04000000000002"/>
    <n v="-5434.74"/>
    <n v="265.04000000000002"/>
  </r>
  <r>
    <n v="65061"/>
    <s v="Material for Rooms Expense"/>
    <s v="01/10/2014"/>
    <s v="Check"/>
    <m/>
    <x v="161"/>
    <x v="36"/>
    <x v="1"/>
    <x v="5"/>
    <m/>
    <s v="10496 BofA Tri Cities"/>
    <n v="41.97"/>
    <n v="-4167.43"/>
    <n v="41.97"/>
  </r>
  <r>
    <n v="65061"/>
    <s v="Material for Rooms Expense"/>
    <s v="01/10/2014"/>
    <s v="Check"/>
    <m/>
    <x v="161"/>
    <x v="36"/>
    <x v="1"/>
    <x v="5"/>
    <m/>
    <s v="10496 BofA Tri Cities"/>
    <n v="29.98"/>
    <n v="-4137.45"/>
    <n v="29.98"/>
  </r>
  <r>
    <n v="65061"/>
    <s v="Material for Rooms Expense"/>
    <s v="01/15/2014"/>
    <s v="Check"/>
    <m/>
    <x v="231"/>
    <x v="36"/>
    <x v="1"/>
    <x v="5"/>
    <m/>
    <s v="10496 BofA Tri Cities"/>
    <n v="24.03"/>
    <n v="5767.95"/>
    <n v="24.03"/>
  </r>
  <r>
    <n v="65061"/>
    <s v="Material for Rooms Expense"/>
    <s v="01/17/2014"/>
    <s v="Check"/>
    <m/>
    <x v="722"/>
    <x v="36"/>
    <x v="1"/>
    <x v="5"/>
    <m/>
    <s v="10496 BofA Tri Cities"/>
    <n v="912"/>
    <n v="9745.49"/>
    <n v="912"/>
  </r>
  <r>
    <n v="65061"/>
    <s v="Material for Rooms Expense"/>
    <s v="01/21/2014"/>
    <s v="Check"/>
    <m/>
    <x v="749"/>
    <x v="36"/>
    <x v="1"/>
    <x v="5"/>
    <m/>
    <s v="10496 BofA Tri Cities"/>
    <n v="5.37"/>
    <n v="12244.1"/>
    <n v="5.37"/>
  </r>
  <r>
    <n v="65061"/>
    <s v="Material for Rooms Expense"/>
    <s v="01/21/2014"/>
    <s v="Check"/>
    <m/>
    <x v="750"/>
    <x v="36"/>
    <x v="1"/>
    <x v="5"/>
    <m/>
    <s v="10496 BofA Tri Cities"/>
    <n v="2.0699999999999998"/>
    <n v="12246.17"/>
    <n v="2.0699999999999998"/>
  </r>
  <r>
    <n v="65061"/>
    <s v="Material for Rooms Expense"/>
    <s v="02/06/2014"/>
    <s v="Check"/>
    <m/>
    <x v="643"/>
    <x v="36"/>
    <x v="1"/>
    <x v="5"/>
    <m/>
    <s v="10496 BofA Tri Cities"/>
    <n v="319.95999999999998"/>
    <n v="30858.74"/>
    <n v="319.95999999999998"/>
  </r>
  <r>
    <n v="65061"/>
    <s v="Material for Rooms Expense"/>
    <s v="02/06/2014"/>
    <s v="Check"/>
    <m/>
    <x v="19"/>
    <x v="36"/>
    <x v="1"/>
    <x v="5"/>
    <m/>
    <s v="10496 BofA Tri Cities"/>
    <n v="385.11"/>
    <n v="31718.89"/>
    <n v="385.11"/>
  </r>
  <r>
    <n v="65061"/>
    <s v="Material for Rooms Expense"/>
    <s v="02/24/2014"/>
    <s v="Check"/>
    <m/>
    <x v="16"/>
    <x v="36"/>
    <x v="1"/>
    <x v="5"/>
    <m/>
    <s v="10496 BofA Tri Cities"/>
    <n v="50"/>
    <n v="51296.83"/>
    <n v="50"/>
  </r>
  <r>
    <n v="65061"/>
    <s v="Material for Rooms Expense"/>
    <s v="02/24/2014"/>
    <s v="Deposit"/>
    <m/>
    <x v="19"/>
    <x v="36"/>
    <x v="1"/>
    <x v="5"/>
    <m/>
    <s v="10496 BofA Tri Cities"/>
    <n v="-61.57"/>
    <n v="52440.11"/>
    <n v="-61.57"/>
  </r>
  <r>
    <n v="65061"/>
    <s v="Material for Rooms Expense"/>
    <s v="02/24/2014"/>
    <s v="Check"/>
    <m/>
    <x v="19"/>
    <x v="36"/>
    <x v="1"/>
    <x v="5"/>
    <m/>
    <s v="10496 BofA Tri Cities"/>
    <n v="349.23"/>
    <n v="52789.34"/>
    <n v="349.23"/>
  </r>
  <r>
    <n v="65061"/>
    <s v="Material for Rooms Expense"/>
    <s v="02/24/2014"/>
    <s v="Check"/>
    <n v="1043"/>
    <x v="723"/>
    <x v="36"/>
    <x v="1"/>
    <x v="5"/>
    <m/>
    <s v="10496 BofA Tri Cities"/>
    <n v="66.989999999999995"/>
    <n v="53250.69"/>
    <n v="66.989999999999995"/>
  </r>
  <r>
    <n v="65061"/>
    <s v="Material for Rooms Expense"/>
    <s v="02/24/2014"/>
    <s v="Check"/>
    <n v="1042"/>
    <x v="723"/>
    <x v="36"/>
    <x v="1"/>
    <x v="5"/>
    <m/>
    <s v="10496 BofA Tri Cities"/>
    <n v="143.28"/>
    <n v="53393.97"/>
    <n v="143.28"/>
  </r>
  <r>
    <n v="65061"/>
    <s v="Material for Rooms Expense"/>
    <s v="02/24/2014"/>
    <s v="Check"/>
    <m/>
    <x v="111"/>
    <x v="36"/>
    <x v="1"/>
    <x v="5"/>
    <m/>
    <s v="10496 BofA Tri Cities"/>
    <n v="24.23"/>
    <n v="54167.01"/>
    <n v="24.23"/>
  </r>
  <r>
    <n v="65061"/>
    <s v="Material for Rooms Expense"/>
    <s v="02/26/2014"/>
    <s v="Check"/>
    <m/>
    <x v="722"/>
    <x v="36"/>
    <x v="1"/>
    <x v="5"/>
    <m/>
    <s v="10496 BofA Tri Cities"/>
    <n v="1377"/>
    <n v="56294.83"/>
    <n v="1377"/>
  </r>
  <r>
    <n v="65061"/>
    <s v="Material for Rooms Expense"/>
    <s v="03/05/2014"/>
    <s v="Check"/>
    <m/>
    <x v="722"/>
    <x v="36"/>
    <x v="1"/>
    <x v="5"/>
    <m/>
    <s v="10496 BofA Tri Cities"/>
    <n v="298"/>
    <n v="64754.26"/>
    <n v="298"/>
  </r>
  <r>
    <n v="65061"/>
    <s v="Material for Rooms Expense"/>
    <s v="03/24/2014"/>
    <s v="Check"/>
    <m/>
    <x v="33"/>
    <x v="36"/>
    <x v="1"/>
    <x v="5"/>
    <m/>
    <s v="10496 BofA Tri Cities"/>
    <n v="42.44"/>
    <n v="74951.64"/>
    <n v="42.44"/>
  </r>
  <r>
    <n v="65061"/>
    <s v="Material for Rooms Expense"/>
    <s v="03/26/2014"/>
    <s v="Deposit"/>
    <m/>
    <x v="19"/>
    <x v="36"/>
    <x v="1"/>
    <x v="5"/>
    <m/>
    <s v="10496 BofA Tri Cities"/>
    <n v="-34.96"/>
    <n v="77398.47"/>
    <n v="-34.96"/>
  </r>
  <r>
    <n v="65061"/>
    <s v="Material for Rooms Expense"/>
    <s v="03/26/2014"/>
    <s v="Check"/>
    <m/>
    <x v="19"/>
    <x v="36"/>
    <x v="1"/>
    <x v="5"/>
    <m/>
    <s v="10496 BofA Tri Cities"/>
    <n v="16.41"/>
    <n v="77414.880000000005"/>
    <n v="16.41"/>
  </r>
  <r>
    <n v="65061"/>
    <s v="Material for Rooms Expense"/>
    <s v="03/27/2014"/>
    <s v="Check"/>
    <m/>
    <x v="111"/>
    <x v="36"/>
    <x v="1"/>
    <x v="5"/>
    <m/>
    <s v="10496 BofA Tri Cities"/>
    <n v="504.95"/>
    <n v="77919.83"/>
    <n v="504.95"/>
  </r>
  <r>
    <n v="65061"/>
    <s v="Material for Rooms Expense"/>
    <s v="03/27/2014"/>
    <s v="Check"/>
    <m/>
    <x v="751"/>
    <x v="36"/>
    <x v="1"/>
    <x v="5"/>
    <m/>
    <s v="10496 BofA Tri Cities"/>
    <n v="230.92"/>
    <n v="78150.75"/>
    <n v="230.92"/>
  </r>
  <r>
    <n v="65061"/>
    <s v="Material for Rooms Expense"/>
    <s v="03/27/2014"/>
    <s v="Check"/>
    <m/>
    <x v="752"/>
    <x v="36"/>
    <x v="1"/>
    <x v="5"/>
    <m/>
    <s v="10496 BofA Tri Cities"/>
    <n v="50"/>
    <n v="79394.59"/>
    <n v="50"/>
  </r>
  <r>
    <n v="65061"/>
    <s v="Material for Rooms Expense"/>
    <s v="04/02/2014"/>
    <s v="Check"/>
    <m/>
    <x v="753"/>
    <x v="36"/>
    <x v="1"/>
    <x v="5"/>
    <m/>
    <s v="10496 BofA Tri Cities"/>
    <n v="144.99"/>
    <n v="84276.63"/>
    <n v="144.99"/>
  </r>
  <r>
    <n v="65061"/>
    <s v="Material for Rooms Expense"/>
    <s v="04/03/2014"/>
    <s v="Check"/>
    <n v="1044"/>
    <x v="754"/>
    <x v="36"/>
    <x v="1"/>
    <x v="5"/>
    <m/>
    <s v="10496 BofA Tri Cities"/>
    <n v="750"/>
    <n v="85717.53"/>
    <n v="750"/>
  </r>
  <r>
    <n v="65061"/>
    <s v="Material for Rooms Expense"/>
    <s v="04/07/2014"/>
    <s v="Check"/>
    <m/>
    <x v="111"/>
    <x v="36"/>
    <x v="1"/>
    <x v="5"/>
    <m/>
    <s v="10496 BofA Tri Cities"/>
    <n v="4.68"/>
    <n v="86755.73"/>
    <n v="4.68"/>
  </r>
  <r>
    <n v="65061"/>
    <s v="Material for Rooms Expense"/>
    <s v="04/07/2014"/>
    <s v="Check"/>
    <m/>
    <x v="58"/>
    <x v="36"/>
    <x v="1"/>
    <x v="5"/>
    <m/>
    <s v="10496 BofA Tri Cities"/>
    <n v="274.63"/>
    <n v="87853.61"/>
    <n v="274.63"/>
  </r>
  <r>
    <n v="65061"/>
    <s v="Material for Rooms Expense"/>
    <s v="04/07/2014"/>
    <s v="Check"/>
    <m/>
    <x v="16"/>
    <x v="36"/>
    <x v="1"/>
    <x v="5"/>
    <m/>
    <s v="10496 BofA Tri Cities"/>
    <n v="82.13"/>
    <n v="88061.51"/>
    <n v="82.13"/>
  </r>
  <r>
    <n v="65061"/>
    <s v="Material for Rooms Expense"/>
    <s v="04/07/2014"/>
    <s v="Check"/>
    <m/>
    <x v="16"/>
    <x v="36"/>
    <x v="1"/>
    <x v="5"/>
    <m/>
    <s v="10496 BofA Tri Cities"/>
    <n v="58.85"/>
    <n v="88120.36"/>
    <n v="58.85"/>
  </r>
  <r>
    <n v="65061"/>
    <s v="Material for Rooms Expense"/>
    <s v="04/07/2014"/>
    <s v="Check"/>
    <m/>
    <x v="16"/>
    <x v="36"/>
    <x v="1"/>
    <x v="5"/>
    <m/>
    <s v="10496 BofA Tri Cities"/>
    <n v="128.68"/>
    <n v="88249.04"/>
    <n v="128.68"/>
  </r>
  <r>
    <n v="65061"/>
    <s v="Material for Rooms Expense"/>
    <s v="04/07/2014"/>
    <s v="Check"/>
    <m/>
    <x v="16"/>
    <x v="36"/>
    <x v="1"/>
    <x v="5"/>
    <m/>
    <s v="10496 BofA Tri Cities"/>
    <n v="30.63"/>
    <n v="88279.67"/>
    <n v="30.63"/>
  </r>
  <r>
    <n v="65061"/>
    <s v="Material for Rooms Expense"/>
    <s v="04/07/2014"/>
    <s v="Check"/>
    <m/>
    <x v="29"/>
    <x v="36"/>
    <x v="1"/>
    <x v="5"/>
    <m/>
    <s v="10496 BofA Tri Cities"/>
    <n v="105.44"/>
    <n v="88746.54"/>
    <n v="105.44"/>
  </r>
  <r>
    <n v="65061"/>
    <s v="Material for Rooms Expense"/>
    <s v="04/07/2014"/>
    <s v="Check"/>
    <m/>
    <x v="29"/>
    <x v="36"/>
    <x v="1"/>
    <x v="5"/>
    <m/>
    <s v="10496 BofA Tri Cities"/>
    <n v="184.88"/>
    <n v="88931.42"/>
    <n v="184.88"/>
  </r>
  <r>
    <n v="65061"/>
    <s v="Material for Rooms Expense"/>
    <s v="04/15/2014"/>
    <s v="Check"/>
    <m/>
    <x v="722"/>
    <x v="36"/>
    <x v="1"/>
    <x v="5"/>
    <m/>
    <s v="10496 BofA Tri Cities"/>
    <n v="3100.88"/>
    <n v="96958.33"/>
    <n v="3100.88"/>
  </r>
  <r>
    <n v="65061"/>
    <s v="Material for Rooms Expense"/>
    <s v="04/18/2014"/>
    <s v="Check"/>
    <m/>
    <x v="26"/>
    <x v="36"/>
    <x v="1"/>
    <x v="5"/>
    <m/>
    <s v="10496 BofA Tri Cities"/>
    <n v="73.95"/>
    <n v="99085.28"/>
    <n v="73.95"/>
  </r>
  <r>
    <n v="65061"/>
    <s v="Material for Rooms Expense"/>
    <s v="04/21/2014"/>
    <s v="Check"/>
    <m/>
    <x v="29"/>
    <x v="36"/>
    <x v="1"/>
    <x v="5"/>
    <m/>
    <s v="10496 BofA Tri Cities"/>
    <n v="25.85"/>
    <n v="99833.31"/>
    <n v="25.85"/>
  </r>
  <r>
    <n v="65061"/>
    <s v="Material for Rooms Expense"/>
    <s v="04/22/2014"/>
    <s v="Check"/>
    <m/>
    <x v="755"/>
    <x v="36"/>
    <x v="1"/>
    <x v="5"/>
    <m/>
    <s v="10496 BofA Tri Cities"/>
    <n v="44.14"/>
    <n v="101625.48"/>
    <n v="44.14"/>
  </r>
  <r>
    <n v="65061"/>
    <s v="Material for Rooms Expense"/>
    <s v="04/23/2014"/>
    <s v="Check"/>
    <n v="1045"/>
    <x v="756"/>
    <x v="36"/>
    <x v="1"/>
    <x v="5"/>
    <m/>
    <s v="10496 BofA Tri Cities"/>
    <n v="262.32"/>
    <n v="102626"/>
    <n v="262.32"/>
  </r>
  <r>
    <n v="65061"/>
    <s v="Material for Rooms Expense"/>
    <s v="04/28/2014"/>
    <s v="Check"/>
    <m/>
    <x v="16"/>
    <x v="36"/>
    <x v="1"/>
    <x v="5"/>
    <m/>
    <s v="10496 BofA Tri Cities"/>
    <n v="219"/>
    <n v="105651.99"/>
    <n v="219"/>
  </r>
  <r>
    <n v="65061"/>
    <s v="Material for Rooms Expense"/>
    <s v="04/28/2014"/>
    <s v="Check"/>
    <m/>
    <x v="29"/>
    <x v="36"/>
    <x v="1"/>
    <x v="5"/>
    <m/>
    <s v="10496 BofA Tri Cities"/>
    <n v="583.03"/>
    <n v="106235.02"/>
    <n v="583.03"/>
  </r>
  <r>
    <n v="65061"/>
    <s v="Material for Rooms Expense"/>
    <s v="05/08/2014"/>
    <s v="Expense"/>
    <m/>
    <x v="56"/>
    <x v="36"/>
    <x v="1"/>
    <x v="5"/>
    <m/>
    <s v="10496 BofA Tri Cities"/>
    <n v="74.97"/>
    <n v="123682.82"/>
    <n v="74.97"/>
  </r>
  <r>
    <n v="65061"/>
    <s v="Material for Rooms Expense"/>
    <s v="05/08/2014"/>
    <s v="Check"/>
    <n v="1046"/>
    <x v="757"/>
    <x v="36"/>
    <x v="1"/>
    <x v="5"/>
    <m/>
    <s v="10496 BofA Tri Cities"/>
    <n v="368.65"/>
    <n v="124078.46"/>
    <n v="368.65"/>
  </r>
  <r>
    <n v="65061"/>
    <s v="Material for Rooms Expense"/>
    <s v="05/08/2014"/>
    <s v="Expense"/>
    <m/>
    <x v="19"/>
    <x v="36"/>
    <x v="1"/>
    <x v="5"/>
    <m/>
    <s v="10496 BofA Tri Cities"/>
    <n v="323.91000000000003"/>
    <n v="125479.95"/>
    <n v="323.91000000000003"/>
  </r>
  <r>
    <n v="65061"/>
    <s v="Material for Rooms Expense"/>
    <s v="05/09/2014"/>
    <s v="Expense"/>
    <m/>
    <x v="58"/>
    <x v="36"/>
    <x v="1"/>
    <x v="5"/>
    <m/>
    <s v="10496 BofA Tri Cities"/>
    <n v="383.02"/>
    <n v="126239.81"/>
    <n v="383.02"/>
  </r>
  <r>
    <n v="65061"/>
    <s v="Material for Rooms Expense"/>
    <s v="05/09/2014"/>
    <s v="Expense"/>
    <m/>
    <x v="16"/>
    <x v="36"/>
    <x v="1"/>
    <x v="5"/>
    <m/>
    <s v="10496 BofA Tri Cities"/>
    <n v="313.47000000000003"/>
    <n v="126553.28"/>
    <n v="313.47000000000003"/>
  </r>
  <r>
    <n v="65061"/>
    <s v="Material for Rooms Expense"/>
    <s v="05/09/2014"/>
    <s v="Expense"/>
    <m/>
    <x v="758"/>
    <x v="36"/>
    <x v="1"/>
    <x v="5"/>
    <m/>
    <s v="10496 BofA Tri Cities"/>
    <n v="16.75"/>
    <n v="126570.03"/>
    <n v="16.75"/>
  </r>
  <r>
    <n v="65061"/>
    <s v="Material for Rooms Expense"/>
    <s v="05/09/2014"/>
    <s v="Expense"/>
    <m/>
    <x v="759"/>
    <x v="36"/>
    <x v="1"/>
    <x v="5"/>
    <m/>
    <s v="10496 BofA Tri Cities"/>
    <n v="71.459999999999994"/>
    <n v="128660.94"/>
    <n v="71.459999999999994"/>
  </r>
  <r>
    <n v="65061"/>
    <s v="Material for Rooms Expense"/>
    <s v="06/02/2014"/>
    <s v="Expense"/>
    <m/>
    <x v="111"/>
    <x v="36"/>
    <x v="1"/>
    <x v="5"/>
    <m/>
    <s v="10496 BofA Tri Cities"/>
    <n v="59.98"/>
    <n v="148097.48000000001"/>
    <n v="59.98"/>
  </r>
  <r>
    <n v="65061"/>
    <s v="Material for Rooms Expense"/>
    <s v="06/10/2014"/>
    <s v="Expense"/>
    <m/>
    <x v="722"/>
    <x v="36"/>
    <x v="1"/>
    <x v="5"/>
    <m/>
    <s v="10496 BofA Tri Cities"/>
    <n v="1274"/>
    <n v="167568.13"/>
    <n v="1274"/>
  </r>
  <r>
    <n v="65061"/>
    <s v="Material for Rooms Expense"/>
    <s v="06/11/2014"/>
    <s v="Expense"/>
    <m/>
    <x v="19"/>
    <x v="36"/>
    <x v="1"/>
    <x v="5"/>
    <m/>
    <s v="10496 BofA Tri Cities"/>
    <n v="90.62"/>
    <n v="167704.24"/>
    <n v="90.62"/>
  </r>
  <r>
    <n v="65061"/>
    <s v="Material for Rooms Expense"/>
    <s v="06/11/2014"/>
    <s v="Expense"/>
    <m/>
    <x v="161"/>
    <x v="36"/>
    <x v="1"/>
    <x v="5"/>
    <m/>
    <s v="10496 BofA Tri Cities"/>
    <n v="87.58"/>
    <n v="169137.9"/>
    <n v="87.58"/>
  </r>
  <r>
    <n v="65061"/>
    <s v="Material for Rooms Expense"/>
    <s v="06/12/2014"/>
    <s v="Deposit"/>
    <m/>
    <x v="161"/>
    <x v="36"/>
    <x v="1"/>
    <x v="5"/>
    <m/>
    <s v="10496 BofA Tri Cities"/>
    <n v="-87.58"/>
    <n v="169405.86"/>
    <n v="-87.58"/>
  </r>
  <r>
    <n v="65061"/>
    <s v="Material for Rooms Expense"/>
    <s v="06/17/2014"/>
    <s v="Expense"/>
    <m/>
    <x v="760"/>
    <x v="36"/>
    <x v="1"/>
    <x v="5"/>
    <m/>
    <s v="10496 BofA Tri Cities"/>
    <n v="420.03"/>
    <n v="172929.91"/>
    <n v="420.03"/>
  </r>
  <r>
    <n v="65061"/>
    <s v="Material for Rooms Expense"/>
    <s v="06/18/2014"/>
    <s v="Expense"/>
    <m/>
    <x v="761"/>
    <x v="36"/>
    <x v="1"/>
    <x v="5"/>
    <m/>
    <s v="10496 BofA Tri Cities"/>
    <n v="113"/>
    <n v="178715.34"/>
    <n v="113"/>
  </r>
  <r>
    <n v="65061"/>
    <s v="Material for Rooms Expense"/>
    <s v="06/18/2014"/>
    <s v="Expense"/>
    <m/>
    <x v="762"/>
    <x v="36"/>
    <x v="1"/>
    <x v="5"/>
    <m/>
    <s v="10496 BofA Tri Cities"/>
    <n v="550"/>
    <n v="179265.34"/>
    <n v="550"/>
  </r>
  <r>
    <n v="65061"/>
    <s v="Material for Rooms Expense"/>
    <s v="06/23/2014"/>
    <s v="Expense"/>
    <m/>
    <x v="142"/>
    <x v="36"/>
    <x v="1"/>
    <x v="5"/>
    <m/>
    <s v="10496 BofA Tri Cities"/>
    <n v="52.84"/>
    <n v="181848.73"/>
    <n v="52.84"/>
  </r>
  <r>
    <n v="65061"/>
    <s v="Material for Rooms Expense"/>
    <s v="06/23/2014"/>
    <s v="Expense"/>
    <m/>
    <x v="722"/>
    <x v="36"/>
    <x v="1"/>
    <x v="5"/>
    <m/>
    <s v="10496 BofA Tri Cities"/>
    <n v="217"/>
    <n v="182065.73"/>
    <n v="217"/>
  </r>
  <r>
    <n v="65061"/>
    <s v="Material for Rooms Expense"/>
    <s v="06/24/2014"/>
    <s v="Expense"/>
    <m/>
    <x v="19"/>
    <x v="36"/>
    <x v="1"/>
    <x v="5"/>
    <m/>
    <s v="10496 BofA Tri Cities"/>
    <n v="168.05"/>
    <n v="184930.5"/>
    <n v="168.05"/>
  </r>
  <r>
    <n v="65061"/>
    <s v="Material for Rooms Expense"/>
    <s v="06/24/2014"/>
    <s v="Expense"/>
    <m/>
    <x v="763"/>
    <x v="36"/>
    <x v="1"/>
    <x v="5"/>
    <m/>
    <s v="10496 BofA Tri Cities"/>
    <n v="17.48"/>
    <n v="184947.98"/>
    <n v="17.48"/>
  </r>
  <r>
    <n v="65061"/>
    <s v="Material for Rooms Expense"/>
    <s v="06/24/2014"/>
    <s v="Expense"/>
    <m/>
    <x v="33"/>
    <x v="36"/>
    <x v="1"/>
    <x v="5"/>
    <m/>
    <s v="10496 BofA Tri Cities"/>
    <n v="28.9"/>
    <n v="184976.88"/>
    <n v="28.9"/>
  </r>
  <r>
    <n v="65061"/>
    <s v="Material for Rooms Expense"/>
    <s v="06/25/2014"/>
    <s v="Expense"/>
    <m/>
    <x v="67"/>
    <x v="36"/>
    <x v="1"/>
    <x v="5"/>
    <m/>
    <s v="10496 BofA Tri Cities"/>
    <n v="227.01"/>
    <n v="187066.82"/>
    <n v="227.01"/>
  </r>
  <r>
    <n v="65061"/>
    <s v="Material for Rooms Expense"/>
    <s v="06/25/2014"/>
    <s v="Expense"/>
    <m/>
    <x v="679"/>
    <x v="36"/>
    <x v="1"/>
    <x v="5"/>
    <m/>
    <s v="10496 BofA Tri Cities"/>
    <n v="26.17"/>
    <n v="187092.99"/>
    <n v="26.17"/>
  </r>
  <r>
    <n v="65061"/>
    <s v="Material for Rooms Expense"/>
    <s v="06/25/2014"/>
    <s v="Expense"/>
    <m/>
    <x v="174"/>
    <x v="36"/>
    <x v="1"/>
    <x v="5"/>
    <m/>
    <s v="10496 BofA Tri Cities"/>
    <n v="13.11"/>
    <n v="187106.1"/>
    <n v="13.11"/>
  </r>
  <r>
    <n v="65061"/>
    <s v="Material for Rooms Expense"/>
    <s v="06/26/2014"/>
    <s v="Expense"/>
    <m/>
    <x v="56"/>
    <x v="36"/>
    <x v="1"/>
    <x v="5"/>
    <m/>
    <s v="10496 BofA Tri Cities"/>
    <n v="28.45"/>
    <n v="190164.53"/>
    <n v="28.45"/>
  </r>
  <r>
    <n v="65061"/>
    <s v="Material for Rooms Expense"/>
    <s v="06/27/2014"/>
    <s v="Expense"/>
    <m/>
    <x v="67"/>
    <x v="36"/>
    <x v="1"/>
    <x v="5"/>
    <m/>
    <s v="10496 BofA Tri Cities"/>
    <n v="43.44"/>
    <n v="192526.93"/>
    <n v="43.44"/>
  </r>
  <r>
    <n v="65061"/>
    <s v="Material for Rooms Expense"/>
    <s v="06/30/2014"/>
    <s v="Expense"/>
    <m/>
    <x v="159"/>
    <x v="36"/>
    <x v="1"/>
    <x v="5"/>
    <m/>
    <s v="10496 BofA Tri Cities"/>
    <n v="269.95"/>
    <n v="192796.88"/>
    <n v="269.95"/>
  </r>
  <r>
    <n v="65062"/>
    <s v="In-Kind Goods"/>
    <s v="04/11/2014"/>
    <s v="Journal Entry"/>
    <n v="575"/>
    <x v="0"/>
    <x v="36"/>
    <x v="1"/>
    <x v="10"/>
    <s v="Riley's room"/>
    <s v="-Split-"/>
    <n v="750"/>
    <n v="22141.63"/>
    <n v="750"/>
  </r>
  <r>
    <n v="46430"/>
    <s v="Miscellaneous Revenue"/>
    <s v="07/31/2014"/>
    <s v="Deposit"/>
    <m/>
    <x v="257"/>
    <x v="10"/>
    <x v="0"/>
    <x v="39"/>
    <m/>
    <s v="10417 *US Bank Columbus"/>
    <n v="7.0000000000000007E-2"/>
    <n v="63.4"/>
    <n v="-7.0000000000000007E-2"/>
  </r>
  <r>
    <n v="46430"/>
    <s v="Miscellaneous Revenue"/>
    <s v="08/29/2014"/>
    <s v="Deposit"/>
    <m/>
    <x v="257"/>
    <x v="10"/>
    <x v="0"/>
    <x v="39"/>
    <m/>
    <s v="10417 *US Bank Columbus"/>
    <n v="0.06"/>
    <n v="77.67"/>
    <n v="-0.06"/>
  </r>
  <r>
    <n v="43430"/>
    <s v="Gifts in kind - Services"/>
    <s v="02/26/2014"/>
    <s v="Journal Entry"/>
    <n v="458"/>
    <x v="0"/>
    <x v="21"/>
    <x v="3"/>
    <x v="8"/>
    <s v="painting Joey Bartrum's room"/>
    <s v="-Split-"/>
    <n v="160"/>
    <n v="8157"/>
    <n v="-160"/>
  </r>
  <r>
    <n v="43430"/>
    <s v="Gifts in kind - Services"/>
    <s v="02/26/2014"/>
    <s v="Journal Entry"/>
    <n v="457"/>
    <x v="0"/>
    <x v="21"/>
    <x v="3"/>
    <x v="8"/>
    <s v="Joey's Bartrum's Room"/>
    <s v="-Split-"/>
    <n v="720"/>
    <n v="8877"/>
    <n v="-720"/>
  </r>
  <r>
    <n v="43440"/>
    <s v="Gifts in Kind - Goods"/>
    <s v="02/26/2014"/>
    <s v="Journal Entry"/>
    <n v="459"/>
    <x v="0"/>
    <x v="21"/>
    <x v="3"/>
    <x v="9"/>
    <s v="Joey Bartrum's room fat heads"/>
    <s v="-Split-"/>
    <n v="99.99"/>
    <n v="12419.8"/>
    <n v="-99.99"/>
  </r>
  <r>
    <n v="65061"/>
    <s v="Material for Rooms Expense"/>
    <s v="02/14/2014"/>
    <s v="Check"/>
    <m/>
    <x v="764"/>
    <x v="21"/>
    <x v="1"/>
    <x v="5"/>
    <m/>
    <s v="10445 BoA Tri-Counties Michigan 3090"/>
    <n v="1655.75"/>
    <n v="42757.45"/>
    <n v="1655.75"/>
  </r>
  <r>
    <n v="65061"/>
    <s v="Material for Rooms Expense"/>
    <s v="02/19/2014"/>
    <s v="Check"/>
    <m/>
    <x v="29"/>
    <x v="21"/>
    <x v="1"/>
    <x v="5"/>
    <m/>
    <s v="10445 BoA Tri-Counties Michigan 3090"/>
    <n v="161.04"/>
    <n v="45678.55"/>
    <n v="161.04"/>
  </r>
  <r>
    <n v="65061"/>
    <s v="Material for Rooms Expense"/>
    <s v="02/21/2014"/>
    <s v="Check"/>
    <m/>
    <x v="16"/>
    <x v="21"/>
    <x v="1"/>
    <x v="5"/>
    <m/>
    <s v="10445 BoA Tri-Counties Michigan 3090"/>
    <n v="161.88"/>
    <n v="47880.3"/>
    <n v="161.88"/>
  </r>
  <r>
    <n v="65061"/>
    <s v="Material for Rooms Expense"/>
    <s v="02/24/2014"/>
    <s v="Check"/>
    <m/>
    <x v="41"/>
    <x v="21"/>
    <x v="1"/>
    <x v="5"/>
    <m/>
    <s v="10445 BoA Tri-Counties Michigan 3090"/>
    <n v="137.94"/>
    <n v="51010.83"/>
    <n v="137.94"/>
  </r>
  <r>
    <n v="65061"/>
    <s v="Material for Rooms Expense"/>
    <s v="02/24/2014"/>
    <s v="Check"/>
    <m/>
    <x v="765"/>
    <x v="21"/>
    <x v="1"/>
    <x v="5"/>
    <m/>
    <s v="10445 BoA Tri-Counties Michigan 3090"/>
    <n v="212"/>
    <n v="51246.83"/>
    <n v="212"/>
  </r>
  <r>
    <n v="65061"/>
    <s v="Material for Rooms Expense"/>
    <s v="02/24/2014"/>
    <s v="Check"/>
    <m/>
    <x v="19"/>
    <x v="21"/>
    <x v="1"/>
    <x v="5"/>
    <m/>
    <s v="10445 BoA Tri-Counties Michigan 3090"/>
    <n v="98.48"/>
    <n v="52887.82"/>
    <n v="98.48"/>
  </r>
  <r>
    <n v="65061"/>
    <s v="Material for Rooms Expense"/>
    <s v="02/24/2014"/>
    <s v="Check"/>
    <m/>
    <x v="19"/>
    <x v="21"/>
    <x v="1"/>
    <x v="5"/>
    <m/>
    <s v="10445 BoA Tri-Counties Michigan 3090"/>
    <n v="149.99"/>
    <n v="53037.81"/>
    <n v="149.99"/>
  </r>
  <r>
    <n v="65061"/>
    <s v="Material for Rooms Expense"/>
    <s v="02/24/2014"/>
    <s v="Deposit"/>
    <m/>
    <x v="764"/>
    <x v="21"/>
    <x v="1"/>
    <x v="5"/>
    <m/>
    <s v="10445 BoA Tri-Counties Michigan 3090"/>
    <n v="-240"/>
    <n v="53358.46"/>
    <n v="-240"/>
  </r>
  <r>
    <n v="65061"/>
    <s v="Material for Rooms Expense"/>
    <s v="02/24/2014"/>
    <s v="Check"/>
    <m/>
    <x v="53"/>
    <x v="21"/>
    <x v="1"/>
    <x v="5"/>
    <m/>
    <s v="10445 BoA Tri-Counties Michigan 3090"/>
    <n v="205.91"/>
    <n v="53576.13"/>
    <n v="205.91"/>
  </r>
  <r>
    <n v="65061"/>
    <s v="Material for Rooms Expense"/>
    <s v="02/25/2014"/>
    <s v="Check"/>
    <m/>
    <x v="16"/>
    <x v="21"/>
    <x v="1"/>
    <x v="5"/>
    <m/>
    <s v="10445 BoA Tri-Counties Michigan 3090"/>
    <n v="241.37"/>
    <n v="54446.02"/>
    <n v="241.37"/>
  </r>
  <r>
    <n v="65061"/>
    <s v="Material for Rooms Expense"/>
    <s v="02/25/2014"/>
    <s v="Check"/>
    <m/>
    <x v="766"/>
    <x v="21"/>
    <x v="1"/>
    <x v="5"/>
    <m/>
    <s v="10445 BoA Tri-Counties Michigan 3090"/>
    <n v="26.57"/>
    <n v="54303.16"/>
    <n v="26.57"/>
  </r>
  <r>
    <n v="65061"/>
    <s v="Material for Rooms Expense"/>
    <s v="02/26/2014"/>
    <s v="Check"/>
    <m/>
    <x v="458"/>
    <x v="21"/>
    <x v="1"/>
    <x v="5"/>
    <m/>
    <s v="10445 BoA Tri-Counties Michigan 3090"/>
    <n v="132.4"/>
    <n v="54675.59"/>
    <n v="132.4"/>
  </r>
  <r>
    <n v="65061"/>
    <s v="Material for Rooms Expense"/>
    <s v="03/05/2014"/>
    <s v="Check"/>
    <m/>
    <x v="458"/>
    <x v="21"/>
    <x v="1"/>
    <x v="5"/>
    <m/>
    <s v="10445 BoA Tri-Counties Michigan 3090"/>
    <n v="50"/>
    <n v="64804.26"/>
    <n v="50"/>
  </r>
  <r>
    <n v="65061"/>
    <s v="Material for Rooms Expense"/>
    <s v="04/08/2014"/>
    <s v="Check"/>
    <n v="442"/>
    <x v="255"/>
    <x v="21"/>
    <x v="1"/>
    <x v="5"/>
    <s v="reimbursement for Joey's room Tri-Co michigan"/>
    <s v="10180 BofA Spec Spaces National 4695"/>
    <n v="545.02"/>
    <n v="90053.35"/>
    <n v="545.02"/>
  </r>
  <r>
    <n v="65061"/>
    <s v="Material for Rooms Expense"/>
    <s v="05/28/2014"/>
    <s v="Expense"/>
    <m/>
    <x v="27"/>
    <x v="21"/>
    <x v="1"/>
    <x v="5"/>
    <m/>
    <s v="10445 BoA Tri-Counties Michigan 3090"/>
    <n v="100"/>
    <n v="146669.10999999999"/>
    <n v="100"/>
  </r>
  <r>
    <n v="65062"/>
    <s v="In-Kind Goods"/>
    <s v="02/26/2014"/>
    <s v="Journal Entry"/>
    <n v="459"/>
    <x v="0"/>
    <x v="21"/>
    <x v="1"/>
    <x v="10"/>
    <s v="Joey Bartrum's room fat heads"/>
    <s v="-Split-"/>
    <n v="99.99"/>
    <n v="12419.8"/>
    <n v="99.99"/>
  </r>
  <r>
    <n v="65063"/>
    <s v="In-Kind Services"/>
    <s v="02/26/2014"/>
    <s v="Journal Entry"/>
    <n v="457"/>
    <x v="0"/>
    <x v="21"/>
    <x v="1"/>
    <x v="11"/>
    <s v="Joey's Bartrum's Room"/>
    <s v="-Split-"/>
    <n v="720"/>
    <n v="8717"/>
    <n v="720"/>
  </r>
  <r>
    <n v="65063"/>
    <s v="In-Kind Services"/>
    <s v="02/26/2014"/>
    <s v="Journal Entry"/>
    <n v="458"/>
    <x v="0"/>
    <x v="21"/>
    <x v="1"/>
    <x v="11"/>
    <s v="painting Joey Bartrum's room"/>
    <s v="-Split-"/>
    <n v="160"/>
    <n v="8877"/>
    <n v="160"/>
  </r>
  <r>
    <n v="46430"/>
    <s v="Miscellaneous Revenue"/>
    <s v="09/30/2014"/>
    <s v="Deposit"/>
    <m/>
    <x v="257"/>
    <x v="10"/>
    <x v="0"/>
    <x v="39"/>
    <m/>
    <s v="10417 *US Bank Columbus"/>
    <n v="0.06"/>
    <n v="91.74"/>
    <n v="-0.06"/>
  </r>
  <r>
    <n v="46430"/>
    <s v="Miscellaneous Revenue"/>
    <s v="10/31/2014"/>
    <s v="Deposit"/>
    <m/>
    <x v="257"/>
    <x v="10"/>
    <x v="0"/>
    <x v="39"/>
    <m/>
    <s v="10417 *US Bank Columbus"/>
    <n v="0.02"/>
    <n v="100.32"/>
    <n v="-0.02"/>
  </r>
  <r>
    <n v="43430"/>
    <s v="Miscellaneous Revenue"/>
    <s v="01/31/2014"/>
    <s v="Deposit"/>
    <m/>
    <x v="92"/>
    <x v="5"/>
    <x v="0"/>
    <x v="39"/>
    <m/>
    <s v="10542 BofA San Fran Restricted 0918"/>
    <n v="0.91"/>
    <n v="0.91"/>
    <n v="-0.91"/>
  </r>
  <r>
    <n v="43430"/>
    <s v="Miscellaneous Revenue"/>
    <s v="02/28/2014"/>
    <s v="Deposit"/>
    <m/>
    <x v="92"/>
    <x v="5"/>
    <x v="0"/>
    <x v="39"/>
    <m/>
    <s v="10542 BofA San Fran Restricted 0918"/>
    <n v="0.85"/>
    <n v="9.2899999999999991"/>
    <n v="-0.85"/>
  </r>
  <r>
    <n v="43430"/>
    <s v="Miscellaneous Revenue"/>
    <s v="03/31/2014"/>
    <s v="Deposit"/>
    <m/>
    <x v="92"/>
    <x v="5"/>
    <x v="0"/>
    <x v="39"/>
    <m/>
    <s v="10542 BofA San Fran Restricted 0918"/>
    <n v="0.95"/>
    <n v="28.67"/>
    <n v="-0.95"/>
  </r>
  <r>
    <n v="43430"/>
    <s v="Miscellaneous Revenue"/>
    <s v="04/30/2014"/>
    <s v="Deposit"/>
    <m/>
    <x v="92"/>
    <x v="5"/>
    <x v="0"/>
    <x v="39"/>
    <m/>
    <s v="10542 BofA San Fran Restricted 0918"/>
    <n v="0.85"/>
    <n v="37.99"/>
    <n v="-0.85"/>
  </r>
  <r>
    <n v="43430"/>
    <s v="Miscellaneous Revenue"/>
    <s v="05/30/2014"/>
    <s v="Deposit"/>
    <m/>
    <x v="92"/>
    <x v="5"/>
    <x v="0"/>
    <x v="39"/>
    <m/>
    <s v="10542 BofA San Fran Restricted 0918"/>
    <n v="0.62"/>
    <n v="52.71"/>
    <n v="-0.62"/>
  </r>
  <r>
    <n v="43430"/>
    <s v="Miscellaneous Revenue"/>
    <s v="06/30/2014"/>
    <s v="Deposit"/>
    <m/>
    <x v="92"/>
    <x v="5"/>
    <x v="0"/>
    <x v="39"/>
    <m/>
    <s v="10542 BofA San Fran Restricted 0918"/>
    <n v="0.38"/>
    <n v="58.59"/>
    <n v="-0.38"/>
  </r>
  <r>
    <n v="46430"/>
    <s v="Miscellaneous Revenue"/>
    <s v="07/31/2014"/>
    <s v="Deposit"/>
    <m/>
    <x v="92"/>
    <x v="36"/>
    <x v="0"/>
    <x v="39"/>
    <m/>
    <s v="10497 BoA Tri Cities Restricted 0921"/>
    <n v="0.21"/>
    <n v="73.680000000000007"/>
    <n v="-0.21"/>
  </r>
  <r>
    <n v="46430"/>
    <s v="Miscellaneous Revenue"/>
    <s v="08/29/2014"/>
    <s v="Deposit"/>
    <m/>
    <x v="92"/>
    <x v="36"/>
    <x v="0"/>
    <x v="39"/>
    <m/>
    <s v="10497 BoA Tri Cities Restricted 0921"/>
    <n v="0.18"/>
    <n v="77.849999999999994"/>
    <n v="-0.18"/>
  </r>
  <r>
    <n v="46430"/>
    <s v="Miscellaneous Revenue"/>
    <s v="09/30/2014"/>
    <s v="Deposit"/>
    <m/>
    <x v="92"/>
    <x v="36"/>
    <x v="0"/>
    <x v="39"/>
    <m/>
    <s v="10497 BoA Tri Cities Restricted 0921"/>
    <n v="0.13"/>
    <n v="89.93"/>
    <n v="-0.13"/>
  </r>
  <r>
    <n v="46430"/>
    <s v="Miscellaneous Revenue"/>
    <s v="10/31/2014"/>
    <s v="Deposit"/>
    <m/>
    <x v="92"/>
    <x v="36"/>
    <x v="0"/>
    <x v="39"/>
    <m/>
    <s v="10497 BoA Tri Cities Restricted 0921"/>
    <n v="0.14000000000000001"/>
    <n v="100.22"/>
    <n v="-0.14000000000000001"/>
  </r>
  <r>
    <n v="46430"/>
    <s v="Miscellaneous Revenue"/>
    <s v="09/30/2014"/>
    <s v="Deposit"/>
    <m/>
    <x v="92"/>
    <x v="37"/>
    <x v="0"/>
    <x v="39"/>
    <m/>
    <s v="10509 BofA Texas Resticted 0905:BoA Houston Restricted 0905"/>
    <n v="2.0499999999999998"/>
    <n v="89.56"/>
    <n v="-2.0499999999999998"/>
  </r>
  <r>
    <n v="46430"/>
    <s v="Miscellaneous Revenue"/>
    <s v="10/08/2014"/>
    <s v="Deposit"/>
    <m/>
    <x v="92"/>
    <x v="37"/>
    <x v="0"/>
    <x v="39"/>
    <m/>
    <s v="10514 BofA Texas Resticted 0905:BoA Texas Restricted"/>
    <n v="2.13"/>
    <n v="93.87"/>
    <n v="-2.13"/>
  </r>
  <r>
    <n v="46430"/>
    <s v="Miscellaneous Revenue"/>
    <s v="07/31/2014"/>
    <s v="Deposit"/>
    <m/>
    <x v="92"/>
    <x v="17"/>
    <x v="0"/>
    <x v="39"/>
    <m/>
    <s v="10512 BofA Texas Resticted 0905"/>
    <n v="2.11"/>
    <n v="73.239999999999995"/>
    <n v="-2.11"/>
  </r>
  <r>
    <n v="46430"/>
    <s v="Miscellaneous Revenue"/>
    <s v="08/29/2014"/>
    <s v="Deposit"/>
    <m/>
    <x v="92"/>
    <x v="17"/>
    <x v="0"/>
    <x v="39"/>
    <m/>
    <s v="10512 BofA Texas Resticted 0905"/>
    <n v="2.12"/>
    <n v="79.97"/>
    <n v="-2.12"/>
  </r>
  <r>
    <n v="65020"/>
    <s v="Postage, Mailing Service"/>
    <s v="03/04/2014"/>
    <s v="Check"/>
    <m/>
    <x v="6"/>
    <x v="28"/>
    <x v="1"/>
    <x v="3"/>
    <m/>
    <s v="10550 BofA Triangle Account"/>
    <n v="67"/>
    <n v="719.4"/>
    <n v="67"/>
  </r>
  <r>
    <n v="65020"/>
    <s v="Postage, Mailing Service"/>
    <s v="04/24/2014"/>
    <s v="Check"/>
    <m/>
    <x v="7"/>
    <x v="28"/>
    <x v="1"/>
    <x v="3"/>
    <m/>
    <s v="10550 BofA Triangle Account"/>
    <n v="24.86"/>
    <n v="1100.0999999999999"/>
    <n v="24.86"/>
  </r>
  <r>
    <n v="65020"/>
    <s v="Postage, Mailing Service"/>
    <s v="04/24/2014"/>
    <s v="Check"/>
    <m/>
    <x v="7"/>
    <x v="28"/>
    <x v="1"/>
    <x v="3"/>
    <m/>
    <s v="10550 BofA Triangle Account"/>
    <n v="3.95"/>
    <n v="1104.05"/>
    <n v="3.95"/>
  </r>
  <r>
    <n v="65020"/>
    <s v="Postage, Mailing Service"/>
    <s v="06/16/2014"/>
    <s v="Expense"/>
    <m/>
    <x v="6"/>
    <x v="28"/>
    <x v="1"/>
    <x v="3"/>
    <m/>
    <s v="10550 BofA Triangle Account"/>
    <n v="67"/>
    <n v="1700.06"/>
    <n v="67"/>
  </r>
  <r>
    <n v="65025"/>
    <s v="Bank Service Charges"/>
    <s v="02/03/2014"/>
    <s v="Check"/>
    <m/>
    <x v="92"/>
    <x v="28"/>
    <x v="1"/>
    <x v="14"/>
    <m/>
    <s v="10550 BofA Triangle Account"/>
    <n v="15"/>
    <n v="293.2"/>
    <n v="15"/>
  </r>
  <r>
    <n v="65025"/>
    <s v="Bank Service Charges"/>
    <s v="06/02/2014"/>
    <s v="Expense"/>
    <m/>
    <x v="92"/>
    <x v="28"/>
    <x v="1"/>
    <x v="14"/>
    <m/>
    <s v="10550 BofA Triangle Account"/>
    <n v="15"/>
    <n v="1461.96"/>
    <n v="15"/>
  </r>
  <r>
    <n v="65036"/>
    <s v="Volunteer Hospitality"/>
    <s v="02/24/2014"/>
    <s v="Check"/>
    <m/>
    <x v="747"/>
    <x v="28"/>
    <x v="1"/>
    <x v="13"/>
    <m/>
    <s v="10550 BofA Triangle Account"/>
    <n v="32.33"/>
    <n v="950.87"/>
    <n v="32.33"/>
  </r>
  <r>
    <n v="65036"/>
    <s v="Volunteer Hospitality"/>
    <s v="04/29/2014"/>
    <s v="Check"/>
    <n v="1022"/>
    <x v="767"/>
    <x v="28"/>
    <x v="1"/>
    <x v="13"/>
    <m/>
    <s v="10550 BofA Triangle Account"/>
    <n v="368.75"/>
    <n v="4232.1899999999996"/>
    <n v="368.75"/>
  </r>
  <r>
    <n v="65040"/>
    <s v="Supplies"/>
    <s v="03/19/2014"/>
    <s v="Check"/>
    <m/>
    <x v="9"/>
    <x v="28"/>
    <x v="1"/>
    <x v="4"/>
    <m/>
    <s v="10550 BofA Triangle Account"/>
    <n v="5.32"/>
    <n v="917.69"/>
    <n v="5.32"/>
  </r>
  <r>
    <n v="65040"/>
    <s v="Supplies"/>
    <s v="04/04/2014"/>
    <s v="Check"/>
    <m/>
    <x v="9"/>
    <x v="28"/>
    <x v="1"/>
    <x v="4"/>
    <m/>
    <s v="10550 BofA Triangle Account"/>
    <n v="40.020000000000003"/>
    <n v="1150.6400000000001"/>
    <n v="40.020000000000003"/>
  </r>
  <r>
    <n v="65061"/>
    <s v="Material for Rooms Expense"/>
    <s v="01/17/2014"/>
    <s v="Deposit"/>
    <m/>
    <x v="768"/>
    <x v="28"/>
    <x v="1"/>
    <x v="5"/>
    <m/>
    <s v="10550 BofA Triangle Account"/>
    <n v="-263.08"/>
    <n v="8566.33"/>
    <n v="-263.08"/>
  </r>
  <r>
    <n v="65061"/>
    <s v="Material for Rooms Expense"/>
    <s v="01/28/2014"/>
    <s v="Check"/>
    <n v="1017"/>
    <x v="769"/>
    <x v="28"/>
    <x v="1"/>
    <x v="5"/>
    <m/>
    <s v="10550 BofA Triangle Account"/>
    <n v="154.44999999999999"/>
    <n v="20613.66"/>
    <n v="154.44999999999999"/>
  </r>
  <r>
    <n v="65061"/>
    <s v="Material for Rooms Expense"/>
    <s v="02/10/2014"/>
    <s v="Deposit"/>
    <m/>
    <x v="3"/>
    <x v="28"/>
    <x v="1"/>
    <x v="5"/>
    <m/>
    <s v="10550 BofA Triangle Account"/>
    <n v="-59.04"/>
    <n v="38173.26"/>
    <n v="-59.04"/>
  </r>
  <r>
    <n v="65061"/>
    <s v="Material for Rooms Expense"/>
    <s v="02/24/2014"/>
    <s v="Check"/>
    <m/>
    <x v="33"/>
    <x v="28"/>
    <x v="1"/>
    <x v="5"/>
    <m/>
    <s v="10550 BofA Triangle Account"/>
    <n v="23.38"/>
    <n v="50872.89"/>
    <n v="23.38"/>
  </r>
  <r>
    <n v="65061"/>
    <s v="Material for Rooms Expense"/>
    <s v="02/24/2014"/>
    <s v="Check"/>
    <m/>
    <x v="148"/>
    <x v="28"/>
    <x v="1"/>
    <x v="5"/>
    <m/>
    <s v="10550 BofA Triangle Account"/>
    <n v="42.37"/>
    <n v="51339.199999999997"/>
    <n v="42.37"/>
  </r>
  <r>
    <n v="65061"/>
    <s v="Material for Rooms Expense"/>
    <s v="02/24/2014"/>
    <s v="Check"/>
    <m/>
    <x v="770"/>
    <x v="28"/>
    <x v="1"/>
    <x v="5"/>
    <m/>
    <s v="10550 BofA Triangle Account"/>
    <n v="824.05"/>
    <n v="52271.5"/>
    <n v="824.05"/>
  </r>
  <r>
    <n v="65061"/>
    <s v="Material for Rooms Expense"/>
    <s v="02/24/2014"/>
    <s v="Check"/>
    <m/>
    <x v="66"/>
    <x v="28"/>
    <x v="1"/>
    <x v="5"/>
    <m/>
    <s v="10550 BofA Triangle Account"/>
    <n v="55.51"/>
    <n v="52489.9"/>
    <n v="55.51"/>
  </r>
  <r>
    <n v="65061"/>
    <s v="Material for Rooms Expense"/>
    <s v="02/24/2014"/>
    <s v="Check"/>
    <m/>
    <x v="633"/>
    <x v="28"/>
    <x v="1"/>
    <x v="5"/>
    <m/>
    <s v="10550 BofA Triangle Account"/>
    <n v="50.35"/>
    <n v="53055.73"/>
    <n v="50.35"/>
  </r>
  <r>
    <n v="65061"/>
    <s v="Material for Rooms Expense"/>
    <s v="02/24/2014"/>
    <s v="Check"/>
    <m/>
    <x v="33"/>
    <x v="28"/>
    <x v="1"/>
    <x v="5"/>
    <m/>
    <s v="10550 BofA Triangle Account"/>
    <n v="32.99"/>
    <n v="53426.96"/>
    <n v="32.99"/>
  </r>
  <r>
    <n v="65061"/>
    <s v="Material for Rooms Expense"/>
    <s v="02/24/2014"/>
    <s v="Check"/>
    <m/>
    <x v="137"/>
    <x v="28"/>
    <x v="1"/>
    <x v="5"/>
    <m/>
    <s v="10550 BofA Triangle Account"/>
    <n v="46.5"/>
    <n v="53598.46"/>
    <n v="46.5"/>
  </r>
  <r>
    <n v="65061"/>
    <s v="Material for Rooms Expense"/>
    <s v="02/25/2014"/>
    <s v="Check"/>
    <m/>
    <x v="33"/>
    <x v="28"/>
    <x v="1"/>
    <x v="5"/>
    <m/>
    <s v="10550 BofA Triangle Account"/>
    <n v="37.64"/>
    <n v="54204.65"/>
    <n v="37.64"/>
  </r>
  <r>
    <n v="65061"/>
    <s v="Material for Rooms Expense"/>
    <s v="02/26/2014"/>
    <s v="Check"/>
    <m/>
    <x v="33"/>
    <x v="28"/>
    <x v="1"/>
    <x v="5"/>
    <m/>
    <s v="10550 BofA Triangle Account"/>
    <n v="39.74"/>
    <n v="56334.57"/>
    <n v="39.74"/>
  </r>
  <r>
    <n v="65061"/>
    <s v="Material for Rooms Expense"/>
    <s v="02/27/2014"/>
    <s v="Check"/>
    <n v="1018"/>
    <x v="596"/>
    <x v="28"/>
    <x v="1"/>
    <x v="5"/>
    <m/>
    <s v="10550 BofA Triangle Account"/>
    <n v="653.95000000000005"/>
    <n v="57174.59"/>
    <n v="653.95000000000005"/>
  </r>
  <r>
    <n v="65061"/>
    <s v="Material for Rooms Expense"/>
    <s v="02/28/2014"/>
    <s v="Check"/>
    <m/>
    <x v="132"/>
    <x v="28"/>
    <x v="1"/>
    <x v="5"/>
    <m/>
    <s v="10550 BofA Triangle Account"/>
    <n v="250.96"/>
    <n v="57623.16"/>
    <n v="250.96"/>
  </r>
  <r>
    <n v="65061"/>
    <s v="Material for Rooms Expense"/>
    <s v="03/03/2014"/>
    <s v="Check"/>
    <m/>
    <x v="33"/>
    <x v="28"/>
    <x v="1"/>
    <x v="5"/>
    <m/>
    <s v="10550 BofA Triangle Account"/>
    <n v="28.69"/>
    <n v="57809.79"/>
    <n v="28.69"/>
  </r>
  <r>
    <n v="65061"/>
    <s v="Material for Rooms Expense"/>
    <s v="03/05/2014"/>
    <s v="Check"/>
    <m/>
    <x v="31"/>
    <x v="28"/>
    <x v="1"/>
    <x v="5"/>
    <m/>
    <s v="10550 BofA Triangle Account"/>
    <n v="354.45"/>
    <n v="62904.28"/>
    <n v="354.45"/>
  </r>
  <r>
    <n v="65061"/>
    <s v="Material for Rooms Expense"/>
    <s v="03/05/2014"/>
    <s v="Check"/>
    <m/>
    <x v="16"/>
    <x v="28"/>
    <x v="1"/>
    <x v="5"/>
    <m/>
    <s v="10550 BofA Triangle Account"/>
    <n v="127.16"/>
    <n v="63515.99"/>
    <n v="127.16"/>
  </r>
  <r>
    <n v="65061"/>
    <s v="Material for Rooms Expense"/>
    <s v="03/05/2014"/>
    <s v="Check"/>
    <m/>
    <x v="33"/>
    <x v="28"/>
    <x v="1"/>
    <x v="5"/>
    <m/>
    <s v="10550 BofA Triangle Account"/>
    <n v="43.85"/>
    <n v="64456.26"/>
    <n v="43.85"/>
  </r>
  <r>
    <n v="65061"/>
    <s v="Material for Rooms Expense"/>
    <s v="03/06/2014"/>
    <s v="Check"/>
    <m/>
    <x v="88"/>
    <x v="28"/>
    <x v="1"/>
    <x v="5"/>
    <m/>
    <s v="10550 BofA Triangle Account"/>
    <n v="13.88"/>
    <n v="64818.14"/>
    <n v="13.88"/>
  </r>
  <r>
    <n v="65061"/>
    <s v="Material for Rooms Expense"/>
    <s v="03/06/2014"/>
    <s v="Deposit"/>
    <m/>
    <x v="770"/>
    <x v="28"/>
    <x v="1"/>
    <x v="5"/>
    <m/>
    <s v="10550 BofA Triangle Account"/>
    <n v="-52.56"/>
    <n v="64775.57"/>
    <n v="-52.56"/>
  </r>
  <r>
    <n v="65061"/>
    <s v="Material for Rooms Expense"/>
    <s v="03/06/2014"/>
    <s v="Check"/>
    <m/>
    <x v="771"/>
    <x v="28"/>
    <x v="1"/>
    <x v="5"/>
    <m/>
    <s v="10550 BofA Triangle Account"/>
    <n v="117.43"/>
    <n v="64893"/>
    <n v="117.43"/>
  </r>
  <r>
    <n v="65061"/>
    <s v="Material for Rooms Expense"/>
    <s v="03/07/2014"/>
    <s v="Check"/>
    <m/>
    <x v="772"/>
    <x v="28"/>
    <x v="1"/>
    <x v="5"/>
    <m/>
    <s v="10550 BofA Triangle Account"/>
    <n v="53.38"/>
    <n v="65166.99"/>
    <n v="53.38"/>
  </r>
  <r>
    <n v="65061"/>
    <s v="Material for Rooms Expense"/>
    <s v="03/07/2014"/>
    <s v="Check"/>
    <m/>
    <x v="773"/>
    <x v="28"/>
    <x v="1"/>
    <x v="5"/>
    <m/>
    <s v="10550 BofA Triangle Account"/>
    <n v="125"/>
    <n v="65924.41"/>
    <n v="125"/>
  </r>
  <r>
    <n v="65061"/>
    <s v="Material for Rooms Expense"/>
    <s v="03/10/2014"/>
    <s v="Deposit"/>
    <m/>
    <x v="132"/>
    <x v="28"/>
    <x v="1"/>
    <x v="5"/>
    <m/>
    <s v="10550 BofA Triangle Account"/>
    <n v="-250.96"/>
    <n v="66968.06"/>
    <n v="-250.96"/>
  </r>
  <r>
    <n v="65061"/>
    <s v="Material for Rooms Expense"/>
    <s v="03/10/2014"/>
    <s v="Check"/>
    <m/>
    <x v="16"/>
    <x v="28"/>
    <x v="1"/>
    <x v="5"/>
    <m/>
    <s v="10550 BofA Triangle Account"/>
    <n v="148.47"/>
    <n v="67161.94"/>
    <n v="148.47"/>
  </r>
  <r>
    <n v="65061"/>
    <s v="Material for Rooms Expense"/>
    <s v="03/12/2014"/>
    <s v="Check"/>
    <n v="1019"/>
    <x v="774"/>
    <x v="28"/>
    <x v="1"/>
    <x v="5"/>
    <m/>
    <s v="10550 BofA Triangle Account"/>
    <n v="349.93"/>
    <n v="68951.41"/>
    <n v="349.93"/>
  </r>
  <r>
    <n v="65061"/>
    <s v="Material for Rooms Expense"/>
    <s v="03/14/2014"/>
    <s v="Check"/>
    <n v="1023"/>
    <x v="775"/>
    <x v="28"/>
    <x v="1"/>
    <x v="5"/>
    <m/>
    <s v="10550 BofA Triangle Account"/>
    <n v="125"/>
    <n v="69762.27"/>
    <n v="125"/>
  </r>
  <r>
    <n v="65061"/>
    <s v="Material for Rooms Expense"/>
    <s v="03/18/2014"/>
    <s v="Check"/>
    <m/>
    <x v="14"/>
    <x v="28"/>
    <x v="1"/>
    <x v="5"/>
    <m/>
    <s v="10550 BofA Triangle Account"/>
    <n v="97.36"/>
    <n v="73094.600000000006"/>
    <n v="97.36"/>
  </r>
  <r>
    <n v="65061"/>
    <s v="Material for Rooms Expense"/>
    <s v="03/24/2014"/>
    <s v="Check"/>
    <n v="1020"/>
    <x v="596"/>
    <x v="28"/>
    <x v="1"/>
    <x v="5"/>
    <m/>
    <s v="10550 BofA Triangle Account"/>
    <n v="230.28"/>
    <n v="75308.399999999994"/>
    <n v="230.28"/>
  </r>
  <r>
    <n v="65061"/>
    <s v="Material for Rooms Expense"/>
    <s v="03/25/2014"/>
    <s v="Check"/>
    <n v="1021"/>
    <x v="693"/>
    <x v="28"/>
    <x v="1"/>
    <x v="5"/>
    <m/>
    <s v="10550 BofA Triangle Account"/>
    <n v="276.5"/>
    <n v="77207.149999999994"/>
    <n v="276.5"/>
  </r>
  <r>
    <n v="65061"/>
    <s v="Material for Rooms Expense"/>
    <s v="04/02/2014"/>
    <s v="Check"/>
    <m/>
    <x v="33"/>
    <x v="28"/>
    <x v="1"/>
    <x v="5"/>
    <m/>
    <s v="10550 BofA Triangle Account"/>
    <n v="35.979999999999997"/>
    <n v="84131.64"/>
    <n v="35.979999999999997"/>
  </r>
  <r>
    <n v="65061"/>
    <s v="Material for Rooms Expense"/>
    <s v="04/02/2014"/>
    <s v="Check"/>
    <m/>
    <x v="33"/>
    <x v="28"/>
    <x v="1"/>
    <x v="5"/>
    <m/>
    <s v="10550 BofA Triangle Account"/>
    <n v="58.05"/>
    <n v="84967.53"/>
    <n v="58.05"/>
  </r>
  <r>
    <n v="65061"/>
    <s v="Material for Rooms Expense"/>
    <s v="04/07/2014"/>
    <s v="Check"/>
    <m/>
    <x v="14"/>
    <x v="28"/>
    <x v="1"/>
    <x v="5"/>
    <m/>
    <s v="10550 BofA Triangle Account"/>
    <n v="136.82"/>
    <n v="89378.76"/>
    <n v="136.82"/>
  </r>
  <r>
    <n v="65061"/>
    <s v="Material for Rooms Expense"/>
    <s v="04/08/2014"/>
    <s v="Check"/>
    <m/>
    <x v="26"/>
    <x v="28"/>
    <x v="1"/>
    <x v="5"/>
    <m/>
    <s v="10550 BofA Triangle Account"/>
    <n v="23.46"/>
    <n v="90323.61"/>
    <n v="23.46"/>
  </r>
  <r>
    <n v="65061"/>
    <s v="Material for Rooms Expense"/>
    <s v="04/08/2014"/>
    <s v="Check"/>
    <m/>
    <x v="26"/>
    <x v="28"/>
    <x v="1"/>
    <x v="5"/>
    <m/>
    <s v="10550 BofA Triangle Account"/>
    <n v="115.18"/>
    <n v="90438.79"/>
    <n v="115.18"/>
  </r>
  <r>
    <n v="65061"/>
    <s v="Material for Rooms Expense"/>
    <s v="04/09/2014"/>
    <s v="Check"/>
    <m/>
    <x v="19"/>
    <x v="28"/>
    <x v="1"/>
    <x v="5"/>
    <m/>
    <s v="10550 BofA Triangle Account"/>
    <n v="16"/>
    <n v="90647.25"/>
    <n v="16"/>
  </r>
  <r>
    <n v="65061"/>
    <s v="Material for Rooms Expense"/>
    <s v="04/10/2014"/>
    <s v="Check"/>
    <m/>
    <x v="33"/>
    <x v="28"/>
    <x v="1"/>
    <x v="5"/>
    <m/>
    <s v="10550 BofA Triangle Account"/>
    <n v="17.2"/>
    <n v="90790.74"/>
    <n v="17.2"/>
  </r>
  <r>
    <n v="65061"/>
    <s v="Material for Rooms Expense"/>
    <s v="04/30/2014"/>
    <s v="Check"/>
    <n v="1037"/>
    <x v="595"/>
    <x v="28"/>
    <x v="1"/>
    <x v="5"/>
    <m/>
    <s v="10550 BofA Triangle Account"/>
    <n v="2600"/>
    <n v="113247.85"/>
    <n v="2600"/>
  </r>
  <r>
    <n v="65061"/>
    <s v="Material for Rooms Expense"/>
    <s v="06/02/2014"/>
    <s v="Expense"/>
    <m/>
    <x v="776"/>
    <x v="28"/>
    <x v="1"/>
    <x v="5"/>
    <m/>
    <s v="10550 BofA Triangle Account"/>
    <n v="21.34"/>
    <n v="150569.68"/>
    <n v="21.34"/>
  </r>
  <r>
    <n v="65061"/>
    <s v="Material for Rooms Expense"/>
    <s v="06/16/2014"/>
    <s v="Expense"/>
    <m/>
    <x v="67"/>
    <x v="28"/>
    <x v="1"/>
    <x v="5"/>
    <m/>
    <s v="10550 BofA Triangle Account"/>
    <n v="14.95"/>
    <n v="170627.25"/>
    <n v="14.95"/>
  </r>
  <r>
    <n v="43430"/>
    <s v="Miscellaneous Revenue"/>
    <s v="01/31/2014"/>
    <s v="Deposit"/>
    <m/>
    <x v="92"/>
    <x v="36"/>
    <x v="0"/>
    <x v="39"/>
    <m/>
    <s v="10497 BoA Tri Cities Restricted 0921"/>
    <n v="0.25"/>
    <n v="1.1599999999999999"/>
    <n v="-0.25"/>
  </r>
  <r>
    <n v="43430"/>
    <s v="Miscellaneous Revenue"/>
    <s v="02/28/2014"/>
    <s v="Deposit"/>
    <m/>
    <x v="92"/>
    <x v="36"/>
    <x v="0"/>
    <x v="39"/>
    <m/>
    <s v="10497 BoA Tri Cities Restricted 0921"/>
    <n v="0.21"/>
    <n v="8.44"/>
    <n v="-0.21"/>
  </r>
  <r>
    <n v="43430"/>
    <s v="Miscellaneous Revenue"/>
    <s v="03/31/2014"/>
    <s v="Deposit"/>
    <m/>
    <x v="92"/>
    <x v="36"/>
    <x v="0"/>
    <x v="39"/>
    <m/>
    <s v="10497 BoA Tri Cities Restricted 0921"/>
    <n v="0.24"/>
    <n v="27.72"/>
    <n v="-0.24"/>
  </r>
  <r>
    <n v="43430"/>
    <s v="Miscellaneous Revenue"/>
    <s v="04/30/2014"/>
    <s v="Deposit"/>
    <m/>
    <x v="92"/>
    <x v="36"/>
    <x v="0"/>
    <x v="39"/>
    <m/>
    <s v="10497 BoA Tri Cities Restricted 0921"/>
    <n v="0.18"/>
    <n v="38.17"/>
    <n v="-0.18"/>
  </r>
  <r>
    <n v="43430"/>
    <s v="Miscellaneous Revenue"/>
    <s v="05/30/2014"/>
    <s v="Deposit"/>
    <m/>
    <x v="92"/>
    <x v="36"/>
    <x v="0"/>
    <x v="39"/>
    <m/>
    <s v="10497 BoA Tri Cities Restricted 0921"/>
    <n v="0.24"/>
    <n v="49.47"/>
    <n v="-0.24"/>
  </r>
  <r>
    <n v="43430"/>
    <s v="Miscellaneous Revenue"/>
    <s v="06/30/2014"/>
    <s v="Deposit"/>
    <m/>
    <x v="92"/>
    <x v="36"/>
    <x v="0"/>
    <x v="39"/>
    <m/>
    <s v="10497 BoA Tri Cities Restricted 0921"/>
    <n v="0.31"/>
    <n v="53.48"/>
    <n v="-0.31"/>
  </r>
  <r>
    <n v="43430"/>
    <s v="Miscellaneous Revenue"/>
    <s v="01/31/2014"/>
    <s v="Journal Entry"/>
    <n v="409"/>
    <x v="0"/>
    <x v="38"/>
    <x v="0"/>
    <x v="39"/>
    <m/>
    <s v="-Split-"/>
    <n v="2.12"/>
    <n v="7.89"/>
    <n v="-2.12"/>
  </r>
  <r>
    <n v="43430"/>
    <s v="Miscellaneous Revenue"/>
    <s v="02/28/2014"/>
    <s v="Deposit"/>
    <m/>
    <x v="257"/>
    <x v="38"/>
    <x v="0"/>
    <x v="39"/>
    <m/>
    <s v="10201 *US Bank Wisc Restr 4595:Wisconsin Restricted"/>
    <n v="2.56"/>
    <n v="13.84"/>
    <n v="-2.56"/>
  </r>
  <r>
    <n v="43430"/>
    <s v="Miscellaneous Revenue"/>
    <s v="03/31/2014"/>
    <s v="Deposit"/>
    <m/>
    <x v="257"/>
    <x v="38"/>
    <x v="0"/>
    <x v="39"/>
    <m/>
    <s v="10201 *US Bank Wisc Restr 4595:Wisconsin Restricted"/>
    <n v="2.85"/>
    <n v="24.59"/>
    <n v="-2.85"/>
  </r>
  <r>
    <n v="43430"/>
    <s v="Miscellaneous Revenue"/>
    <s v="04/30/2014"/>
    <s v="Deposit"/>
    <m/>
    <x v="257"/>
    <x v="38"/>
    <x v="0"/>
    <x v="39"/>
    <m/>
    <s v="10201 *US Bank Wisc Restr 4595:Wisconsin Restricted"/>
    <n v="2.72"/>
    <n v="37.03"/>
    <n v="-2.72"/>
  </r>
  <r>
    <n v="43430"/>
    <s v="Miscellaneous Revenue"/>
    <s v="05/30/2014"/>
    <s v="Deposit"/>
    <m/>
    <x v="257"/>
    <x v="38"/>
    <x v="0"/>
    <x v="39"/>
    <m/>
    <s v="10201 *US Bank Wisc Restr 4595:Wisconsin Restricted"/>
    <n v="2.78"/>
    <n v="49.23"/>
    <n v="-2.78"/>
  </r>
  <r>
    <n v="43430"/>
    <s v="Miscellaneous Revenue"/>
    <s v="06/30/2014"/>
    <s v="Deposit"/>
    <m/>
    <x v="257"/>
    <x v="38"/>
    <x v="0"/>
    <x v="39"/>
    <m/>
    <s v="10201 *US Bank Wisc Restr 4595:Wisconsin Restricted"/>
    <n v="2.7"/>
    <n v="61.29"/>
    <n v="-2.7"/>
  </r>
  <r>
    <n v="46430"/>
    <s v="Miscellaneous Revenue"/>
    <s v="07/31/2014"/>
    <s v="Deposit"/>
    <m/>
    <x v="257"/>
    <x v="38"/>
    <x v="0"/>
    <x v="39"/>
    <m/>
    <s v="10201 *US Bank Wisc Restr 4595:Wisconsin Restricted"/>
    <n v="2.67"/>
    <n v="66.069999999999993"/>
    <n v="-2.67"/>
  </r>
  <r>
    <n v="46430"/>
    <s v="Miscellaneous Revenue"/>
    <s v="08/27/2014"/>
    <s v="Deposit"/>
    <m/>
    <x v="257"/>
    <x v="38"/>
    <x v="0"/>
    <x v="39"/>
    <m/>
    <s v="10201 *US Bank Wisc Restr 4595:Wisconsin Restricted"/>
    <n v="3.86"/>
    <n v="77.61"/>
    <n v="-3.86"/>
  </r>
  <r>
    <n v="65025"/>
    <s v="Bank Service Charges"/>
    <s v="02/28/2014"/>
    <s v="Check"/>
    <s v="dbt"/>
    <x v="257"/>
    <x v="38"/>
    <x v="1"/>
    <x v="14"/>
    <m/>
    <s v="10201 *US Bank Wisc Restr 4595:Wisconsin Restricted"/>
    <n v="0.72"/>
    <n v="415.92"/>
    <n v="0.72"/>
  </r>
  <r>
    <n v="65025"/>
    <s v="Bank Service Charges"/>
    <s v="02/28/2014"/>
    <s v="Check"/>
    <s v="dbt"/>
    <x v="777"/>
    <x v="38"/>
    <x v="1"/>
    <x v="14"/>
    <m/>
    <s v="10201 *US Bank Wisc Restr 4595:Wisconsin Restricted"/>
    <n v="0.8"/>
    <n v="416.72"/>
    <n v="0.8"/>
  </r>
  <r>
    <n v="65025"/>
    <s v="Bank Service Charges"/>
    <s v="04/30/2014"/>
    <s v="Check"/>
    <n v="1"/>
    <x v="777"/>
    <x v="38"/>
    <x v="1"/>
    <x v="14"/>
    <m/>
    <s v="10201 *US Bank Wisc Restr 4595:Wisconsin Restricted"/>
    <n v="0.76"/>
    <n v="860.33"/>
    <n v="0.76"/>
  </r>
  <r>
    <n v="65025"/>
    <s v="Bank Service Charges"/>
    <s v="05/30/2014"/>
    <s v="Check"/>
    <n v="2"/>
    <x v="257"/>
    <x v="38"/>
    <x v="1"/>
    <x v="14"/>
    <m/>
    <s v="10201 *US Bank Wisc Restr 4595:Wisconsin Restricted"/>
    <n v="0.78"/>
    <n v="1322.01"/>
    <n v="0.78"/>
  </r>
  <r>
    <n v="65025"/>
    <s v="Bank Service Charges"/>
    <s v="06/30/2014"/>
    <s v="Check"/>
    <n v="3"/>
    <x v="257"/>
    <x v="38"/>
    <x v="1"/>
    <x v="14"/>
    <m/>
    <s v="10201 *US Bank Wisc Restr 4595:Wisconsin Restricted"/>
    <n v="0.76"/>
    <n v="1604.67"/>
    <n v="0.76"/>
  </r>
  <r>
    <n v="65025"/>
    <s v="Bank Service Charges"/>
    <s v="07/31/2014"/>
    <s v="Check"/>
    <n v="4"/>
    <x v="257"/>
    <x v="38"/>
    <x v="1"/>
    <x v="14"/>
    <m/>
    <s v="10201 *US Bank Wisc Restr 4595:Wisconsin Restricted"/>
    <n v="0.75"/>
    <n v="1859.22"/>
    <n v="0.75"/>
  </r>
  <r>
    <n v="65025"/>
    <s v="Bank Service Charges"/>
    <s v="08/27/2014"/>
    <s v="Check"/>
    <s v="dbt"/>
    <x v="257"/>
    <x v="38"/>
    <x v="1"/>
    <x v="14"/>
    <m/>
    <s v="10201 *US Bank Wisc Restr 4595:Wisconsin Restricted"/>
    <n v="1.08"/>
    <n v="2136.1999999999998"/>
    <n v="1.08"/>
  </r>
  <r>
    <n v="46430"/>
    <s v="Miscellaneous Revenue"/>
    <s v="09/30/2014"/>
    <s v="Deposit"/>
    <m/>
    <x v="257"/>
    <x v="38"/>
    <x v="0"/>
    <x v="39"/>
    <m/>
    <s v="10201 *US Bank Wisc Restr 4595:Wisconsin Restricted"/>
    <n v="4.45"/>
    <n v="87.44"/>
    <n v="-4.45"/>
  </r>
  <r>
    <n v="65015"/>
    <s v="Travel Expense"/>
    <s v="09/19/2014"/>
    <s v="Expense"/>
    <m/>
    <x v="778"/>
    <x v="15"/>
    <x v="1"/>
    <x v="15"/>
    <m/>
    <s v="10352 * US Bank Green Bay 5006"/>
    <n v="445.2"/>
    <n v="6839.16"/>
    <n v="445.2"/>
  </r>
  <r>
    <n v="65015"/>
    <s v="Travel Expense"/>
    <s v="09/19/2014"/>
    <s v="Expense"/>
    <m/>
    <x v="778"/>
    <x v="15"/>
    <x v="1"/>
    <x v="15"/>
    <m/>
    <s v="10352 * US Bank Green Bay 5006"/>
    <n v="49"/>
    <n v="6888.16"/>
    <n v="49"/>
  </r>
  <r>
    <n v="65015"/>
    <s v="Travel Expense"/>
    <s v="09/19/2014"/>
    <s v="Expense"/>
    <m/>
    <x v="778"/>
    <x v="15"/>
    <x v="1"/>
    <x v="15"/>
    <m/>
    <s v="10352 * US Bank Green Bay 5006"/>
    <n v="52"/>
    <n v="6940.16"/>
    <n v="52"/>
  </r>
  <r>
    <n v="65036"/>
    <s v="Volunteer Hospitality"/>
    <s v="10/06/2014"/>
    <s v="Expense"/>
    <m/>
    <x v="779"/>
    <x v="15"/>
    <x v="1"/>
    <x v="13"/>
    <m/>
    <s v="10352 * US Bank Green Bay 5006"/>
    <n v="47.32"/>
    <n v="6940.86"/>
    <n v="47.32"/>
  </r>
  <r>
    <n v="65061"/>
    <s v="Material for Rooms"/>
    <s v="07/01/2014"/>
    <s v="Expense"/>
    <m/>
    <x v="780"/>
    <x v="15"/>
    <x v="1"/>
    <x v="5"/>
    <m/>
    <s v="10352 * US Bank Green Bay 5006"/>
    <n v="41.98"/>
    <n v="198807.58"/>
    <n v="41.98"/>
  </r>
  <r>
    <n v="65061"/>
    <s v="Material for Rooms"/>
    <s v="08/06/2014"/>
    <s v="Expense"/>
    <m/>
    <x v="781"/>
    <x v="15"/>
    <x v="1"/>
    <x v="5"/>
    <m/>
    <s v="10352 * US Bank Green Bay 5006"/>
    <n v="29"/>
    <n v="236790.96"/>
    <n v="29"/>
  </r>
  <r>
    <n v="65061"/>
    <s v="Material for Rooms"/>
    <s v="08/19/2014"/>
    <s v="Expense"/>
    <m/>
    <x v="782"/>
    <x v="15"/>
    <x v="1"/>
    <x v="5"/>
    <m/>
    <s v="10352 * US Bank Green Bay 5006"/>
    <n v="176.2"/>
    <n v="242213.96"/>
    <n v="176.2"/>
  </r>
  <r>
    <n v="65061"/>
    <s v="Material for Rooms"/>
    <s v="09/02/2014"/>
    <s v="Check"/>
    <n v="513"/>
    <x v="313"/>
    <x v="15"/>
    <x v="1"/>
    <x v="5"/>
    <m/>
    <s v="10352 * US Bank Green Bay 5006"/>
    <n v="175"/>
    <n v="246068.84"/>
    <n v="175"/>
  </r>
  <r>
    <n v="65061"/>
    <s v="Material for Rooms"/>
    <s v="09/02/2014"/>
    <s v="Check"/>
    <n v="514"/>
    <x v="313"/>
    <x v="15"/>
    <x v="1"/>
    <x v="5"/>
    <m/>
    <s v="10352 * US Bank Green Bay 5006"/>
    <n v="350"/>
    <n v="247215.2"/>
    <n v="350"/>
  </r>
  <r>
    <n v="65061"/>
    <s v="Material for Rooms"/>
    <s v="09/02/2014"/>
    <s v="Expense"/>
    <m/>
    <x v="783"/>
    <x v="15"/>
    <x v="1"/>
    <x v="5"/>
    <m/>
    <s v="10352 * US Bank Green Bay 5006"/>
    <n v="59.9"/>
    <n v="248880.4"/>
    <n v="59.9"/>
  </r>
  <r>
    <n v="65061"/>
    <s v="Material for Rooms"/>
    <s v="09/04/2014"/>
    <s v="Expense"/>
    <m/>
    <x v="67"/>
    <x v="15"/>
    <x v="1"/>
    <x v="5"/>
    <m/>
    <s v="10352 * US Bank Green Bay 5006"/>
    <n v="334.98"/>
    <n v="250145.52"/>
    <n v="334.98"/>
  </r>
  <r>
    <n v="65061"/>
    <s v="Material for Rooms"/>
    <s v="09/08/2014"/>
    <s v="Expense"/>
    <m/>
    <x v="161"/>
    <x v="15"/>
    <x v="1"/>
    <x v="5"/>
    <m/>
    <s v="10352 * US Bank Green Bay 5006"/>
    <n v="163.44"/>
    <n v="251577.79"/>
    <n v="163.44"/>
  </r>
  <r>
    <n v="65061"/>
    <s v="Material for Rooms"/>
    <s v="09/08/2014"/>
    <s v="Expense"/>
    <m/>
    <x v="58"/>
    <x v="15"/>
    <x v="1"/>
    <x v="5"/>
    <m/>
    <s v="10352 * US Bank Green Bay 5006"/>
    <n v="124.98"/>
    <n v="251702.77"/>
    <n v="124.98"/>
  </r>
  <r>
    <n v="65061"/>
    <s v="Material for Rooms"/>
    <s v="09/08/2014"/>
    <s v="Expense"/>
    <m/>
    <x v="30"/>
    <x v="15"/>
    <x v="1"/>
    <x v="5"/>
    <m/>
    <s v="10352 * US Bank Green Bay 5006"/>
    <n v="13.19"/>
    <n v="251715.96"/>
    <n v="13.19"/>
  </r>
  <r>
    <n v="65061"/>
    <s v="Material for Rooms"/>
    <s v="09/11/2014"/>
    <s v="Expense"/>
    <m/>
    <x v="33"/>
    <x v="15"/>
    <x v="1"/>
    <x v="5"/>
    <m/>
    <s v="10352 * US Bank Green Bay 5006"/>
    <n v="325.99"/>
    <n v="253667.39"/>
    <n v="325.99"/>
  </r>
  <r>
    <n v="65061"/>
    <s v="Material for Rooms"/>
    <s v="09/12/2014"/>
    <s v="Expense"/>
    <m/>
    <x v="784"/>
    <x v="15"/>
    <x v="1"/>
    <x v="5"/>
    <m/>
    <s v="10352 * US Bank Green Bay 5006"/>
    <n v="84.39"/>
    <n v="254530.61"/>
    <n v="84.39"/>
  </r>
  <r>
    <n v="65061"/>
    <s v="Material for Rooms"/>
    <s v="09/12/2014"/>
    <s v="Expense"/>
    <m/>
    <x v="33"/>
    <x v="15"/>
    <x v="1"/>
    <x v="5"/>
    <m/>
    <s v="10352 * US Bank Green Bay 5006"/>
    <n v="82.07"/>
    <n v="254612.68"/>
    <n v="82.07"/>
  </r>
  <r>
    <n v="65061"/>
    <s v="Material for Rooms"/>
    <s v="09/15/2014"/>
    <s v="Expense"/>
    <m/>
    <x v="58"/>
    <x v="15"/>
    <x v="1"/>
    <x v="5"/>
    <m/>
    <s v="10352 * US Bank Green Bay 5006"/>
    <n v="326.31"/>
    <n v="256100.59"/>
    <n v="326.31"/>
  </r>
  <r>
    <n v="65061"/>
    <s v="Material for Rooms"/>
    <s v="09/15/2014"/>
    <s v="Expense"/>
    <m/>
    <x v="785"/>
    <x v="15"/>
    <x v="1"/>
    <x v="5"/>
    <m/>
    <s v="10352 * US Bank Green Bay 5006"/>
    <n v="47.48"/>
    <n v="256148.07"/>
    <n v="47.48"/>
  </r>
  <r>
    <n v="65061"/>
    <s v="Material for Rooms"/>
    <s v="09/16/2014"/>
    <s v="Expense"/>
    <m/>
    <x v="67"/>
    <x v="15"/>
    <x v="1"/>
    <x v="5"/>
    <m/>
    <s v="10352 * US Bank Green Bay 5006"/>
    <n v="156.68"/>
    <n v="256731.39"/>
    <n v="156.68"/>
  </r>
  <r>
    <n v="65061"/>
    <s v="Material for Rooms"/>
    <s v="09/17/2014"/>
    <s v="Expense"/>
    <m/>
    <x v="53"/>
    <x v="15"/>
    <x v="1"/>
    <x v="5"/>
    <m/>
    <s v="10352 * US Bank Green Bay 5006"/>
    <n v="204.65"/>
    <n v="257653.71"/>
    <n v="204.65"/>
  </r>
  <r>
    <n v="65061"/>
    <s v="Material for Rooms"/>
    <s v="09/19/2014"/>
    <s v="Expense"/>
    <m/>
    <x v="33"/>
    <x v="15"/>
    <x v="1"/>
    <x v="5"/>
    <m/>
    <s v="10352 * US Bank Green Bay 5006"/>
    <n v="127.97"/>
    <n v="258686.93"/>
    <n v="127.97"/>
  </r>
  <r>
    <n v="65061"/>
    <s v="Material for Rooms"/>
    <s v="09/22/2014"/>
    <s v="Expense"/>
    <m/>
    <x v="193"/>
    <x v="15"/>
    <x v="1"/>
    <x v="5"/>
    <m/>
    <s v="10352 * US Bank Green Bay 5006"/>
    <n v="191.95"/>
    <n v="262358.24"/>
    <n v="191.95"/>
  </r>
  <r>
    <n v="65061"/>
    <s v="Material for Rooms"/>
    <s v="09/22/2014"/>
    <s v="Expense"/>
    <m/>
    <x v="193"/>
    <x v="15"/>
    <x v="1"/>
    <x v="5"/>
    <m/>
    <s v="10352 * US Bank Green Bay 5006"/>
    <n v="23.92"/>
    <n v="262382.15999999997"/>
    <n v="23.92"/>
  </r>
  <r>
    <n v="65061"/>
    <s v="Material for Rooms"/>
    <s v="09/22/2014"/>
    <s v="Expense"/>
    <m/>
    <x v="19"/>
    <x v="15"/>
    <x v="1"/>
    <x v="5"/>
    <m/>
    <s v="10352 * US Bank Green Bay 5006"/>
    <n v="94.9"/>
    <n v="262477.06"/>
    <n v="94.9"/>
  </r>
  <r>
    <n v="65061"/>
    <s v="Material for Rooms"/>
    <s v="09/22/2014"/>
    <s v="Expense"/>
    <m/>
    <x v="282"/>
    <x v="15"/>
    <x v="1"/>
    <x v="5"/>
    <m/>
    <s v="10352 * US Bank Green Bay 5006"/>
    <n v="52.41"/>
    <n v="262529.46999999997"/>
    <n v="52.41"/>
  </r>
  <r>
    <n v="65061"/>
    <s v="Material for Rooms"/>
    <s v="09/23/2014"/>
    <s v="Expense"/>
    <m/>
    <x v="311"/>
    <x v="15"/>
    <x v="1"/>
    <x v="5"/>
    <m/>
    <s v="10352 * US Bank Green Bay 5006"/>
    <n v="69.55"/>
    <n v="265396.78000000003"/>
    <n v="69.55"/>
  </r>
  <r>
    <n v="65061"/>
    <s v="Material for Rooms"/>
    <s v="10/01/2014"/>
    <s v="Expense"/>
    <m/>
    <x v="58"/>
    <x v="15"/>
    <x v="1"/>
    <x v="5"/>
    <m/>
    <s v="10352 * US Bank Green Bay 5006"/>
    <n v="144.78"/>
    <n v="275193.28000000003"/>
    <n v="144.78"/>
  </r>
  <r>
    <n v="65061"/>
    <s v="Material for Rooms"/>
    <s v="10/03/2014"/>
    <s v="Expense"/>
    <m/>
    <x v="193"/>
    <x v="15"/>
    <x v="1"/>
    <x v="5"/>
    <m/>
    <s v="10352 * US Bank Green Bay 5006"/>
    <n v="59.77"/>
    <n v="276931.28999999998"/>
    <n v="59.77"/>
  </r>
  <r>
    <n v="65061"/>
    <s v="Material for Rooms"/>
    <s v="10/06/2014"/>
    <s v="Expense"/>
    <m/>
    <x v="53"/>
    <x v="15"/>
    <x v="1"/>
    <x v="5"/>
    <m/>
    <s v="10352 * US Bank Green Bay 5006"/>
    <n v="118.61"/>
    <n v="277440.96999999997"/>
    <n v="118.61"/>
  </r>
  <r>
    <n v="65061"/>
    <s v="Material for Rooms"/>
    <s v="10/06/2014"/>
    <s v="Expense"/>
    <m/>
    <x v="53"/>
    <x v="15"/>
    <x v="1"/>
    <x v="5"/>
    <m/>
    <s v="10352 * US Bank Green Bay 5006"/>
    <n v="12.2"/>
    <n v="277695.87"/>
    <n v="12.2"/>
  </r>
  <r>
    <n v="65061"/>
    <s v="Material for Rooms"/>
    <s v="10/06/2014"/>
    <s v="Expense"/>
    <m/>
    <x v="786"/>
    <x v="15"/>
    <x v="1"/>
    <x v="5"/>
    <m/>
    <s v="10352 * US Bank Green Bay 5006"/>
    <n v="1.49"/>
    <n v="277697.36"/>
    <n v="1.49"/>
  </r>
  <r>
    <n v="65061"/>
    <s v="Material for Rooms"/>
    <s v="10/06/2014"/>
    <s v="Expense"/>
    <m/>
    <x v="193"/>
    <x v="15"/>
    <x v="1"/>
    <x v="5"/>
    <m/>
    <s v="10352 * US Bank Green Bay 5006"/>
    <n v="129.38999999999999"/>
    <n v="277826.75"/>
    <n v="129.38999999999999"/>
  </r>
  <r>
    <n v="65061"/>
    <s v="Material for Rooms"/>
    <s v="10/06/2014"/>
    <s v="Expense"/>
    <m/>
    <x v="787"/>
    <x v="15"/>
    <x v="1"/>
    <x v="5"/>
    <m/>
    <s v="10352 * US Bank Green Bay 5006"/>
    <n v="4.99"/>
    <n v="277831.74"/>
    <n v="4.99"/>
  </r>
  <r>
    <n v="65061"/>
    <s v="Material for Rooms"/>
    <s v="10/06/2014"/>
    <s v="Expense"/>
    <m/>
    <x v="14"/>
    <x v="15"/>
    <x v="1"/>
    <x v="5"/>
    <m/>
    <s v="10352 * US Bank Green Bay 5006"/>
    <n v="3.14"/>
    <n v="277834.88"/>
    <n v="3.14"/>
  </r>
  <r>
    <n v="65061"/>
    <s v="Material for Rooms"/>
    <s v="10/06/2014"/>
    <s v="Expense"/>
    <m/>
    <x v="788"/>
    <x v="15"/>
    <x v="1"/>
    <x v="5"/>
    <m/>
    <s v="10352 * US Bank Green Bay 5006"/>
    <n v="61.05"/>
    <n v="279836.23"/>
    <n v="61.05"/>
  </r>
  <r>
    <n v="65061"/>
    <s v="Material for Rooms"/>
    <s v="10/06/2014"/>
    <s v="Expense"/>
    <m/>
    <x v="58"/>
    <x v="15"/>
    <x v="1"/>
    <x v="5"/>
    <m/>
    <s v="10352 * US Bank Green Bay 5006"/>
    <n v="105.48"/>
    <n v="279941.71000000002"/>
    <n v="105.48"/>
  </r>
  <r>
    <n v="65061"/>
    <s v="Material for Rooms"/>
    <s v="10/06/2014"/>
    <s v="Expense"/>
    <m/>
    <x v="58"/>
    <x v="15"/>
    <x v="1"/>
    <x v="5"/>
    <m/>
    <s v="10352 * US Bank Green Bay 5006"/>
    <n v="14.76"/>
    <n v="279956.46999999997"/>
    <n v="14.76"/>
  </r>
  <r>
    <n v="65061"/>
    <s v="Material for Rooms"/>
    <s v="10/06/2014"/>
    <s v="Expense"/>
    <m/>
    <x v="53"/>
    <x v="15"/>
    <x v="1"/>
    <x v="5"/>
    <m/>
    <s v="10352 * US Bank Green Bay 5006"/>
    <n v="210.08"/>
    <n v="280166.55"/>
    <n v="210.08"/>
  </r>
  <r>
    <n v="65061"/>
    <s v="Material for Rooms"/>
    <s v="10/17/2014"/>
    <s v="Deposit"/>
    <m/>
    <x v="58"/>
    <x v="15"/>
    <x v="1"/>
    <x v="5"/>
    <m/>
    <s v="10352 * US Bank Green Bay 5006"/>
    <n v="-7.34"/>
    <n v="295213.57"/>
    <n v="-7.34"/>
  </r>
  <r>
    <n v="65061"/>
    <s v="Material for Rooms"/>
    <s v="10/17/2014"/>
    <s v="Deposit"/>
    <m/>
    <x v="58"/>
    <x v="15"/>
    <x v="1"/>
    <x v="5"/>
    <m/>
    <s v="10352 * US Bank Green Bay 5006"/>
    <n v="-13.18"/>
    <n v="295303.36"/>
    <n v="-13.18"/>
  </r>
  <r>
    <n v="65061"/>
    <s v="Material for Rooms"/>
    <s v="10/20/2014"/>
    <s v="Deposit"/>
    <m/>
    <x v="58"/>
    <x v="15"/>
    <x v="1"/>
    <x v="5"/>
    <m/>
    <s v="10352 * US Bank Green Bay 5006"/>
    <n v="-5.26"/>
    <n v="295666.56"/>
    <n v="-5.26"/>
  </r>
  <r>
    <n v="65061"/>
    <s v="Material for Rooms"/>
    <s v="10/21/2014"/>
    <s v="Deposit"/>
    <m/>
    <x v="317"/>
    <x v="15"/>
    <x v="1"/>
    <x v="5"/>
    <m/>
    <s v="10352 * US Bank Green Bay 5006"/>
    <n v="-9.9700000000000006"/>
    <n v="296619.36"/>
    <n v="-9.9700000000000006"/>
  </r>
  <r>
    <n v="65095"/>
    <s v="Paypal Expense"/>
    <s v="10/13/2014"/>
    <s v="Journal Entry"/>
    <n v="716"/>
    <x v="0"/>
    <x v="15"/>
    <x v="4"/>
    <x v="19"/>
    <m/>
    <s v="-Split-"/>
    <n v="0.41"/>
    <n v="1017.42"/>
    <n v="0.41"/>
  </r>
  <r>
    <n v="46430"/>
    <s v="Miscellaneous Revenue"/>
    <s v="10/30/2014"/>
    <s v="Deposit"/>
    <m/>
    <x v="257"/>
    <x v="38"/>
    <x v="0"/>
    <x v="39"/>
    <m/>
    <s v="10201 *US Bank Wisc Restr 4595:Wisconsin Restricted"/>
    <n v="5.48"/>
    <n v="99.43"/>
    <n v="-5.48"/>
  </r>
  <r>
    <n v="46430"/>
    <s v="Miscellaneous Revenue"/>
    <s v="07/31/2014"/>
    <s v="Deposit"/>
    <m/>
    <x v="257"/>
    <x v="22"/>
    <x v="0"/>
    <x v="39"/>
    <m/>
    <s v="10522 *US Bank - Milwaukee"/>
    <n v="4.8"/>
    <n v="71.06"/>
    <n v="-4.8"/>
  </r>
  <r>
    <n v="46430"/>
    <s v="Miscellaneous Revenue"/>
    <s v="08/29/2014"/>
    <s v="Deposit"/>
    <m/>
    <x v="257"/>
    <x v="22"/>
    <x v="0"/>
    <x v="39"/>
    <m/>
    <s v="10522 *US Bank - Milwaukee"/>
    <n v="2.68"/>
    <n v="82.73"/>
    <n v="-2.68"/>
  </r>
  <r>
    <n v="46430"/>
    <s v="Miscellaneous Revenue"/>
    <s v="09/30/2014"/>
    <s v="Deposit"/>
    <m/>
    <x v="257"/>
    <x v="22"/>
    <x v="0"/>
    <x v="39"/>
    <m/>
    <s v="10522 *US Bank - Milwaukee"/>
    <n v="1.67"/>
    <n v="91.68"/>
    <n v="-1.67"/>
  </r>
  <r>
    <n v="46430"/>
    <s v="Miscellaneous Revenue"/>
    <s v="10/31/2014"/>
    <s v="Deposit"/>
    <m/>
    <x v="257"/>
    <x v="22"/>
    <x v="0"/>
    <x v="39"/>
    <m/>
    <s v="10522 *US Bank - Milwaukee"/>
    <n v="0.31"/>
    <n v="99.74"/>
    <n v="-0.31"/>
  </r>
  <r>
    <n v="62145"/>
    <s v="Website Design"/>
    <s v="09/08/2014"/>
    <s v="Check"/>
    <m/>
    <x v="388"/>
    <x v="22"/>
    <x v="1"/>
    <x v="12"/>
    <m/>
    <s v="10522 *US Bank - Milwaukee"/>
    <n v="1275"/>
    <n v="2614.06"/>
    <n v="1275"/>
  </r>
  <r>
    <n v="65015"/>
    <s v="Travel Expense"/>
    <s v="08/27/2014"/>
    <s v="Check"/>
    <n v="522"/>
    <x v="532"/>
    <x v="22"/>
    <x v="1"/>
    <x v="15"/>
    <s v="Travel to WI for room makeover"/>
    <s v="10180 BofA Spec Spaces National 4695"/>
    <n v="719.2"/>
    <n v="5758.18"/>
    <n v="719.2"/>
  </r>
  <r>
    <n v="65015"/>
    <s v="Travel Expense"/>
    <s v="10/02/2014"/>
    <s v="Expense"/>
    <m/>
    <x v="789"/>
    <x v="22"/>
    <x v="1"/>
    <x v="15"/>
    <m/>
    <s v="10522 *US Bank - Milwaukee"/>
    <n v="458"/>
    <n v="7518.66"/>
    <n v="458"/>
  </r>
  <r>
    <n v="65015"/>
    <s v="Travel Expense"/>
    <s v="10/02/2014"/>
    <s v="Expense"/>
    <m/>
    <x v="789"/>
    <x v="22"/>
    <x v="1"/>
    <x v="15"/>
    <m/>
    <s v="10522 *US Bank - Milwaukee"/>
    <n v="549.19000000000005"/>
    <n v="8067.85"/>
    <n v="549.19000000000005"/>
  </r>
  <r>
    <n v="65015"/>
    <s v="Travel Expense"/>
    <s v="10/02/2014"/>
    <s v="Expense"/>
    <m/>
    <x v="789"/>
    <x v="22"/>
    <x v="1"/>
    <x v="15"/>
    <m/>
    <s v="10522 *US Bank - Milwaukee"/>
    <n v="458"/>
    <n v="8525.85"/>
    <n v="458"/>
  </r>
  <r>
    <n v="65015"/>
    <s v="Travel Expense"/>
    <s v="10/15/2014"/>
    <s v="Expense"/>
    <m/>
    <x v="513"/>
    <x v="22"/>
    <x v="1"/>
    <x v="15"/>
    <m/>
    <s v="10522 *US Bank - Milwaukee"/>
    <n v="447.2"/>
    <n v="9376.73"/>
    <n v="447.2"/>
  </r>
  <r>
    <n v="65015"/>
    <s v="Travel Expense"/>
    <s v="10/15/2014"/>
    <s v="Expense"/>
    <m/>
    <x v="513"/>
    <x v="22"/>
    <x v="1"/>
    <x v="15"/>
    <m/>
    <s v="10522 *US Bank - Milwaukee"/>
    <n v="447.2"/>
    <n v="9823.93"/>
    <n v="447.2"/>
  </r>
  <r>
    <n v="65015"/>
    <s v="Travel Expense"/>
    <s v="10/24/2014"/>
    <s v="Expense"/>
    <m/>
    <x v="513"/>
    <x v="22"/>
    <x v="1"/>
    <x v="15"/>
    <m/>
    <s v="10522 *US Bank - Milwaukee"/>
    <n v="508.2"/>
    <n v="12044.73"/>
    <n v="508.2"/>
  </r>
  <r>
    <n v="65020"/>
    <s v="Postage, Mailing Service"/>
    <s v="07/09/2014"/>
    <s v="Expense"/>
    <m/>
    <x v="389"/>
    <x v="22"/>
    <x v="1"/>
    <x v="3"/>
    <m/>
    <s v="10522 *US Bank - Milwaukee"/>
    <n v="19.5"/>
    <n v="1717.24"/>
    <n v="19.5"/>
  </r>
  <r>
    <n v="65020"/>
    <s v="Postage, Mailing Service"/>
    <s v="08/04/2014"/>
    <s v="Expense"/>
    <m/>
    <x v="389"/>
    <x v="22"/>
    <x v="1"/>
    <x v="3"/>
    <m/>
    <s v="10522 *US Bank - Milwaukee"/>
    <n v="11.25"/>
    <n v="2058.85"/>
    <n v="11.25"/>
  </r>
  <r>
    <n v="65020"/>
    <s v="Postage, Mailing Service"/>
    <s v="08/11/2014"/>
    <s v="Expense"/>
    <m/>
    <x v="389"/>
    <x v="22"/>
    <x v="1"/>
    <x v="3"/>
    <m/>
    <s v="10522 *US Bank - Milwaukee"/>
    <n v="165"/>
    <n v="2252.1799999999998"/>
    <n v="165"/>
  </r>
  <r>
    <n v="65025"/>
    <s v="Bank Service Charges"/>
    <s v="10/15/2014"/>
    <s v="Expense"/>
    <m/>
    <x v="257"/>
    <x v="22"/>
    <x v="1"/>
    <x v="14"/>
    <m/>
    <s v="10522 *US Bank - Milwaukee"/>
    <n v="2"/>
    <n v="2737.05"/>
    <n v="2"/>
  </r>
  <r>
    <n v="65030"/>
    <s v="Printing and Copying"/>
    <s v="07/09/2014"/>
    <s v="Expense"/>
    <m/>
    <x v="390"/>
    <x v="22"/>
    <x v="1"/>
    <x v="20"/>
    <m/>
    <s v="10522 *US Bank - Milwaukee"/>
    <n v="4.6399999999999997"/>
    <n v="2361.41"/>
    <n v="4.6399999999999997"/>
  </r>
  <r>
    <n v="65030"/>
    <s v="Printing and Copying"/>
    <s v="07/09/2014"/>
    <s v="Expense"/>
    <m/>
    <x v="390"/>
    <x v="22"/>
    <x v="1"/>
    <x v="20"/>
    <m/>
    <s v="10522 *US Bank - Milwaukee"/>
    <n v="9.49"/>
    <n v="2370.9"/>
    <n v="9.49"/>
  </r>
  <r>
    <n v="65030"/>
    <s v="Printing and Copying"/>
    <s v="07/14/2014"/>
    <s v="Expense"/>
    <m/>
    <x v="525"/>
    <x v="22"/>
    <x v="1"/>
    <x v="20"/>
    <m/>
    <s v="10522 *US Bank - Milwaukee"/>
    <n v="50"/>
    <n v="2420.9"/>
    <n v="50"/>
  </r>
  <r>
    <n v="65030"/>
    <s v="Printing and Copying"/>
    <s v="08/04/2014"/>
    <s v="Expense"/>
    <m/>
    <x v="390"/>
    <x v="22"/>
    <x v="1"/>
    <x v="20"/>
    <m/>
    <s v="10522 *US Bank - Milwaukee"/>
    <n v="15.42"/>
    <n v="2785.33"/>
    <n v="15.42"/>
  </r>
  <r>
    <n v="65030"/>
    <s v="Printing and Copying"/>
    <s v="08/05/2014"/>
    <s v="Expense"/>
    <m/>
    <x v="257"/>
    <x v="22"/>
    <x v="1"/>
    <x v="20"/>
    <m/>
    <s v="10522 *US Bank - Milwaukee"/>
    <n v="146.30000000000001"/>
    <n v="2993.23"/>
    <n v="146.30000000000001"/>
  </r>
  <r>
    <n v="65030"/>
    <s v="Printing and Copying"/>
    <s v="08/06/2014"/>
    <s v="Expense"/>
    <m/>
    <x v="257"/>
    <x v="22"/>
    <x v="1"/>
    <x v="20"/>
    <m/>
    <s v="10522 *US Bank - Milwaukee"/>
    <n v="136.71"/>
    <n v="3129.94"/>
    <n v="136.71"/>
  </r>
  <r>
    <n v="65030"/>
    <s v="Printing and Copying"/>
    <s v="08/11/2014"/>
    <s v="Expense"/>
    <m/>
    <x v="390"/>
    <x v="22"/>
    <x v="1"/>
    <x v="20"/>
    <m/>
    <s v="10522 *US Bank - Milwaukee"/>
    <n v="71.599999999999994"/>
    <n v="5142.3900000000003"/>
    <n v="71.599999999999994"/>
  </r>
  <r>
    <n v="65030"/>
    <s v="Printing and Copying"/>
    <s v="09/22/2014"/>
    <s v="Expense"/>
    <m/>
    <x v="329"/>
    <x v="22"/>
    <x v="1"/>
    <x v="20"/>
    <m/>
    <s v="10522 *US Bank - Milwaukee"/>
    <n v="2700"/>
    <n v="10998.43"/>
    <n v="2700"/>
  </r>
  <r>
    <n v="65030"/>
    <s v="Printing and Copying"/>
    <s v="10/02/2014"/>
    <s v="Expense"/>
    <m/>
    <x v="391"/>
    <x v="22"/>
    <x v="1"/>
    <x v="20"/>
    <m/>
    <s v="10522 *US Bank - Milwaukee"/>
    <n v="973.56"/>
    <n v="11971.99"/>
    <n v="973.56"/>
  </r>
  <r>
    <n v="65030"/>
    <s v="Printing and Copying"/>
    <s v="10/02/2014"/>
    <s v="Expense"/>
    <m/>
    <x v="391"/>
    <x v="22"/>
    <x v="1"/>
    <x v="20"/>
    <m/>
    <s v="10522 *US Bank - Milwaukee"/>
    <n v="102.66"/>
    <n v="12074.65"/>
    <n v="102.66"/>
  </r>
  <r>
    <n v="65030"/>
    <s v="Printing and Copying"/>
    <s v="10/02/2014"/>
    <s v="Expense"/>
    <m/>
    <x v="391"/>
    <x v="22"/>
    <x v="1"/>
    <x v="20"/>
    <m/>
    <s v="10522 *US Bank - Milwaukee"/>
    <n v="69.040000000000006"/>
    <n v="12143.69"/>
    <n v="69.040000000000006"/>
  </r>
  <r>
    <n v="65036"/>
    <s v="Volunteer Hospitality"/>
    <s v="10/14/2014"/>
    <s v="Expense"/>
    <m/>
    <x v="365"/>
    <x v="22"/>
    <x v="1"/>
    <x v="13"/>
    <m/>
    <s v="10522 *US Bank - Milwaukee"/>
    <n v="22.22"/>
    <n v="7009.41"/>
    <n v="22.22"/>
  </r>
  <r>
    <n v="65061"/>
    <s v="Material for Rooms"/>
    <s v="07/18/2014"/>
    <s v="Expense"/>
    <m/>
    <x v="161"/>
    <x v="22"/>
    <x v="1"/>
    <x v="5"/>
    <m/>
    <s v="10522 *US Bank - Milwaukee"/>
    <n v="36.950000000000003"/>
    <n v="219314.58"/>
    <n v="36.950000000000003"/>
  </r>
  <r>
    <n v="65061"/>
    <s v="Material for Rooms"/>
    <s v="07/22/2014"/>
    <s v="Expense"/>
    <m/>
    <x v="39"/>
    <x v="22"/>
    <x v="1"/>
    <x v="5"/>
    <m/>
    <s v="10522 *US Bank - Milwaukee"/>
    <n v="43.69"/>
    <n v="222281.93"/>
    <n v="43.69"/>
  </r>
  <r>
    <n v="65061"/>
    <s v="Material for Rooms"/>
    <s v="07/23/2014"/>
    <s v="Expense"/>
    <m/>
    <x v="193"/>
    <x v="22"/>
    <x v="1"/>
    <x v="5"/>
    <m/>
    <s v="10522 *US Bank - Milwaukee"/>
    <n v="45.94"/>
    <n v="222698.64"/>
    <n v="45.94"/>
  </r>
  <r>
    <n v="65061"/>
    <s v="Material for Rooms"/>
    <s v="07/30/2014"/>
    <s v="Expense"/>
    <m/>
    <x v="308"/>
    <x v="22"/>
    <x v="1"/>
    <x v="5"/>
    <m/>
    <s v="10522 *US Bank - Milwaukee"/>
    <n v="3409.93"/>
    <n v="231864.71"/>
    <n v="3409.93"/>
  </r>
  <r>
    <n v="65061"/>
    <s v="Material for Rooms"/>
    <s v="07/30/2014"/>
    <s v="Expense"/>
    <m/>
    <x v="229"/>
    <x v="22"/>
    <x v="1"/>
    <x v="5"/>
    <m/>
    <s v="10522 *US Bank - Milwaukee"/>
    <n v="100.27"/>
    <n v="231964.98"/>
    <n v="100.27"/>
  </r>
  <r>
    <n v="65061"/>
    <s v="Material for Rooms"/>
    <s v="08/05/2014"/>
    <s v="Expense"/>
    <m/>
    <x v="193"/>
    <x v="22"/>
    <x v="1"/>
    <x v="5"/>
    <m/>
    <s v="10522 *US Bank - Milwaukee"/>
    <n v="135.16999999999999"/>
    <n v="236385.01"/>
    <n v="135.16999999999999"/>
  </r>
  <r>
    <n v="65061"/>
    <s v="Material for Rooms"/>
    <s v="08/06/2014"/>
    <s v="Expense"/>
    <m/>
    <x v="193"/>
    <x v="22"/>
    <x v="1"/>
    <x v="5"/>
    <m/>
    <s v="10522 *US Bank - Milwaukee"/>
    <n v="93.96"/>
    <n v="236866.97"/>
    <n v="93.96"/>
  </r>
  <r>
    <n v="65061"/>
    <s v="Material for Rooms"/>
    <s v="08/07/2014"/>
    <s v="Expense"/>
    <m/>
    <x v="161"/>
    <x v="22"/>
    <x v="1"/>
    <x v="5"/>
    <m/>
    <s v="10522 *US Bank - Milwaukee"/>
    <n v="35.869999999999997"/>
    <n v="237190.14"/>
    <n v="35.869999999999997"/>
  </r>
  <r>
    <n v="65061"/>
    <s v="Material for Rooms"/>
    <s v="08/08/2014"/>
    <s v="Expense"/>
    <m/>
    <x v="790"/>
    <x v="22"/>
    <x v="1"/>
    <x v="5"/>
    <m/>
    <s v="10522 *US Bank - Milwaukee"/>
    <n v="158.4"/>
    <n v="237704.97"/>
    <n v="158.4"/>
  </r>
  <r>
    <n v="65061"/>
    <s v="Material for Rooms"/>
    <s v="08/11/2014"/>
    <s v="Expense"/>
    <m/>
    <x v="790"/>
    <x v="22"/>
    <x v="1"/>
    <x v="5"/>
    <m/>
    <s v="10522 *US Bank - Milwaukee"/>
    <n v="150"/>
    <n v="239352.68"/>
    <n v="150"/>
  </r>
  <r>
    <n v="65061"/>
    <s v="Material for Rooms"/>
    <s v="08/11/2014"/>
    <s v="Deposit"/>
    <m/>
    <x v="790"/>
    <x v="22"/>
    <x v="1"/>
    <x v="5"/>
    <m/>
    <s v="10522 *US Bank - Milwaukee"/>
    <n v="-158.4"/>
    <n v="239194.28"/>
    <n v="-158.4"/>
  </r>
  <r>
    <n v="65061"/>
    <s v="Material for Rooms"/>
    <s v="08/12/2014"/>
    <s v="Expense"/>
    <m/>
    <x v="193"/>
    <x v="22"/>
    <x v="1"/>
    <x v="5"/>
    <m/>
    <s v="10522 *US Bank - Milwaukee"/>
    <n v="85.12"/>
    <n v="239776.48"/>
    <n v="85.12"/>
  </r>
  <r>
    <n v="65061"/>
    <s v="Material for Rooms"/>
    <s v="08/20/2014"/>
    <s v="Deposit"/>
    <m/>
    <x v="317"/>
    <x v="22"/>
    <x v="1"/>
    <x v="5"/>
    <m/>
    <s v="10522 *US Bank - Milwaukee"/>
    <n v="-28.1"/>
    <n v="242252.72"/>
    <n v="-28.1"/>
  </r>
  <r>
    <n v="65061"/>
    <s v="Material for Rooms"/>
    <s v="08/20/2014"/>
    <s v="Expense"/>
    <m/>
    <x v="282"/>
    <x v="22"/>
    <x v="1"/>
    <x v="5"/>
    <m/>
    <s v="10522 *US Bank - Milwaukee"/>
    <n v="71.88"/>
    <n v="242324.6"/>
    <n v="71.88"/>
  </r>
  <r>
    <n v="65061"/>
    <s v="Material for Rooms"/>
    <s v="08/20/2014"/>
    <s v="Expense"/>
    <m/>
    <x v="193"/>
    <x v="22"/>
    <x v="1"/>
    <x v="5"/>
    <m/>
    <s v="10522 *US Bank - Milwaukee"/>
    <n v="83.99"/>
    <n v="242408.59"/>
    <n v="83.99"/>
  </r>
  <r>
    <n v="65061"/>
    <s v="Material for Rooms"/>
    <s v="08/20/2014"/>
    <s v="Expense"/>
    <m/>
    <x v="791"/>
    <x v="22"/>
    <x v="1"/>
    <x v="5"/>
    <m/>
    <s v="10522 *US Bank - Milwaukee"/>
    <n v="200"/>
    <n v="242608.59"/>
    <n v="200"/>
  </r>
  <r>
    <n v="65061"/>
    <s v="Material for Rooms"/>
    <s v="08/21/2014"/>
    <s v="Deposit"/>
    <m/>
    <x v="229"/>
    <x v="22"/>
    <x v="1"/>
    <x v="5"/>
    <m/>
    <s v="10522 *US Bank - Milwaukee"/>
    <n v="-26.39"/>
    <n v="242633.23"/>
    <n v="-26.39"/>
  </r>
  <r>
    <n v="65061"/>
    <s v="Material for Rooms"/>
    <s v="08/22/2014"/>
    <s v="Expense"/>
    <m/>
    <x v="397"/>
    <x v="22"/>
    <x v="1"/>
    <x v="5"/>
    <m/>
    <s v="10522 *US Bank - Milwaukee"/>
    <n v="105.95"/>
    <n v="242862.35"/>
    <n v="105.95"/>
  </r>
  <r>
    <n v="65061"/>
    <s v="Material for Rooms"/>
    <s v="08/25/2014"/>
    <s v="Expense"/>
    <m/>
    <x v="792"/>
    <x v="22"/>
    <x v="1"/>
    <x v="5"/>
    <m/>
    <s v="10522 *US Bank - Milwaukee"/>
    <n v="39.54"/>
    <n v="243475.71"/>
    <n v="39.54"/>
  </r>
  <r>
    <n v="65061"/>
    <s v="Material for Rooms"/>
    <s v="08/25/2014"/>
    <s v="Expense"/>
    <m/>
    <x v="193"/>
    <x v="22"/>
    <x v="1"/>
    <x v="5"/>
    <m/>
    <s v="10522 *US Bank - Milwaukee"/>
    <n v="64.45"/>
    <n v="243822.41"/>
    <n v="64.45"/>
  </r>
  <r>
    <n v="65061"/>
    <s v="Material for Rooms"/>
    <s v="08/25/2014"/>
    <s v="Deposit"/>
    <m/>
    <x v="317"/>
    <x v="22"/>
    <x v="1"/>
    <x v="5"/>
    <m/>
    <s v="10522 *US Bank - Milwaukee"/>
    <n v="-39.99"/>
    <n v="243782.42"/>
    <n v="-39.99"/>
  </r>
  <r>
    <n v="65061"/>
    <s v="Material for Rooms"/>
    <s v="08/25/2014"/>
    <s v="Expense"/>
    <m/>
    <x v="193"/>
    <x v="22"/>
    <x v="1"/>
    <x v="5"/>
    <m/>
    <s v="10522 *US Bank - Milwaukee"/>
    <n v="16.98"/>
    <n v="243799.4"/>
    <n v="16.98"/>
  </r>
  <r>
    <n v="65061"/>
    <s v="Material for Rooms"/>
    <s v="08/25/2014"/>
    <s v="Expense"/>
    <m/>
    <x v="791"/>
    <x v="22"/>
    <x v="1"/>
    <x v="5"/>
    <m/>
    <s v="10522 *US Bank - Milwaukee"/>
    <n v="28.6"/>
    <n v="243828"/>
    <n v="28.6"/>
  </r>
  <r>
    <n v="65061"/>
    <s v="Material for Rooms"/>
    <s v="08/25/2014"/>
    <s v="Expense"/>
    <m/>
    <x v="193"/>
    <x v="22"/>
    <x v="1"/>
    <x v="5"/>
    <m/>
    <s v="10522 *US Bank - Milwaukee"/>
    <n v="39.99"/>
    <n v="243925.99"/>
    <n v="39.99"/>
  </r>
  <r>
    <n v="65061"/>
    <s v="Material for Rooms"/>
    <s v="08/29/2014"/>
    <s v="Deposit"/>
    <m/>
    <x v="229"/>
    <x v="22"/>
    <x v="1"/>
    <x v="5"/>
    <m/>
    <s v="10522 *US Bank - Milwaukee"/>
    <n v="-45.39"/>
    <n v="245562.27"/>
    <n v="-45.39"/>
  </r>
  <r>
    <n v="65061"/>
    <s v="Material for Rooms"/>
    <s v="09/05/2014"/>
    <s v="Deposit"/>
    <m/>
    <x v="67"/>
    <x v="22"/>
    <x v="1"/>
    <x v="5"/>
    <m/>
    <s v="10522 *US Bank - Milwaukee"/>
    <n v="-42.99"/>
    <n v="250667.7"/>
    <n v="-42.99"/>
  </r>
  <r>
    <n v="65061"/>
    <s v="Material for Rooms"/>
    <s v="09/18/2014"/>
    <s v="Expense"/>
    <m/>
    <x v="793"/>
    <x v="22"/>
    <x v="1"/>
    <x v="5"/>
    <m/>
    <s v="10522 *US Bank - Milwaukee"/>
    <n v="59.98"/>
    <n v="257770.26"/>
    <n v="59.98"/>
  </r>
  <r>
    <n v="65061"/>
    <s v="Material for Rooms"/>
    <s v="09/19/2014"/>
    <s v="Expense"/>
    <m/>
    <x v="66"/>
    <x v="22"/>
    <x v="1"/>
    <x v="5"/>
    <m/>
    <s v="10522 *US Bank - Milwaukee"/>
    <n v="31.41"/>
    <n v="257945.01"/>
    <n v="31.41"/>
  </r>
  <r>
    <n v="65061"/>
    <s v="Material for Rooms"/>
    <s v="09/19/2014"/>
    <s v="Expense"/>
    <m/>
    <x v="793"/>
    <x v="22"/>
    <x v="1"/>
    <x v="5"/>
    <m/>
    <s v="10522 *US Bank - Milwaukee"/>
    <n v="74.22"/>
    <n v="258019.23"/>
    <n v="74.22"/>
  </r>
  <r>
    <n v="65061"/>
    <s v="Material for Rooms"/>
    <s v="09/24/2014"/>
    <s v="Expense"/>
    <m/>
    <x v="308"/>
    <x v="22"/>
    <x v="1"/>
    <x v="5"/>
    <m/>
    <s v="10522 *US Bank - Milwaukee"/>
    <n v="1128.6400000000001"/>
    <n v="266993.74"/>
    <n v="1128.6400000000001"/>
  </r>
  <r>
    <n v="65061"/>
    <s v="Material for Rooms"/>
    <s v="09/25/2014"/>
    <s v="Expense"/>
    <m/>
    <x v="58"/>
    <x v="22"/>
    <x v="1"/>
    <x v="5"/>
    <m/>
    <s v="10522 *US Bank - Milwaukee"/>
    <n v="8.86"/>
    <n v="267622.08"/>
    <n v="8.86"/>
  </r>
  <r>
    <n v="65061"/>
    <s v="Material for Rooms"/>
    <s v="09/25/2014"/>
    <s v="Expense"/>
    <m/>
    <x v="58"/>
    <x v="22"/>
    <x v="1"/>
    <x v="5"/>
    <m/>
    <s v="10522 *US Bank - Milwaukee"/>
    <n v="92.76"/>
    <n v="267714.84000000003"/>
    <n v="92.76"/>
  </r>
  <r>
    <n v="65061"/>
    <s v="Material for Rooms"/>
    <s v="09/25/2014"/>
    <s v="Expense"/>
    <m/>
    <x v="118"/>
    <x v="22"/>
    <x v="1"/>
    <x v="5"/>
    <m/>
    <s v="10522 *US Bank - Milwaukee"/>
    <n v="15.82"/>
    <n v="267730.65999999997"/>
    <n v="15.82"/>
  </r>
  <r>
    <n v="65061"/>
    <s v="Material for Rooms"/>
    <s v="09/25/2014"/>
    <s v="Expense"/>
    <m/>
    <x v="118"/>
    <x v="22"/>
    <x v="1"/>
    <x v="5"/>
    <m/>
    <s v="10522 *US Bank - Milwaukee"/>
    <n v="8.44"/>
    <n v="268384.90999999997"/>
    <n v="8.44"/>
  </r>
  <r>
    <n v="65061"/>
    <s v="Material for Rooms"/>
    <s v="09/29/2014"/>
    <s v="Expense"/>
    <m/>
    <x v="794"/>
    <x v="22"/>
    <x v="1"/>
    <x v="5"/>
    <m/>
    <s v="10522 *US Bank - Milwaukee"/>
    <n v="10.7"/>
    <n v="271319.26"/>
    <n v="10.7"/>
  </r>
  <r>
    <n v="65061"/>
    <s v="Material for Rooms"/>
    <s v="09/29/2014"/>
    <s v="Expense"/>
    <m/>
    <x v="56"/>
    <x v="22"/>
    <x v="1"/>
    <x v="5"/>
    <m/>
    <s v="10522 *US Bank - Milwaukee"/>
    <n v="110.85"/>
    <n v="271430.11"/>
    <n v="110.85"/>
  </r>
  <r>
    <n v="65061"/>
    <s v="Material for Rooms"/>
    <s v="09/30/2014"/>
    <s v="Expense"/>
    <m/>
    <x v="41"/>
    <x v="22"/>
    <x v="1"/>
    <x v="5"/>
    <m/>
    <s v="10522 *US Bank - Milwaukee"/>
    <n v="22.65"/>
    <n v="274515.68"/>
    <n v="22.65"/>
  </r>
  <r>
    <n v="65061"/>
    <s v="Material for Rooms"/>
    <s v="10/02/2014"/>
    <s v="Expense"/>
    <m/>
    <x v="19"/>
    <x v="22"/>
    <x v="1"/>
    <x v="5"/>
    <m/>
    <s v="10522 *US Bank - Milwaukee"/>
    <n v="163.94"/>
    <n v="276856.52"/>
    <n v="163.94"/>
  </r>
  <r>
    <n v="65061"/>
    <s v="Material for Rooms"/>
    <s v="10/03/2014"/>
    <s v="Expense"/>
    <m/>
    <x v="19"/>
    <x v="22"/>
    <x v="1"/>
    <x v="5"/>
    <m/>
    <s v="10522 *US Bank - Milwaukee"/>
    <n v="63.53"/>
    <n v="277322.36"/>
    <n v="63.53"/>
  </r>
  <r>
    <n v="65061"/>
    <s v="Material for Rooms"/>
    <s v="10/06/2014"/>
    <s v="Expense"/>
    <m/>
    <x v="795"/>
    <x v="22"/>
    <x v="1"/>
    <x v="5"/>
    <m/>
    <s v="10522 *US Bank - Milwaukee"/>
    <n v="47.52"/>
    <n v="278985.71999999997"/>
    <n v="47.52"/>
  </r>
  <r>
    <n v="65061"/>
    <s v="Material for Rooms"/>
    <s v="10/06/2014"/>
    <s v="Expense"/>
    <m/>
    <x v="58"/>
    <x v="22"/>
    <x v="1"/>
    <x v="5"/>
    <m/>
    <s v="10522 *US Bank - Milwaukee"/>
    <n v="73.34"/>
    <n v="279059.06"/>
    <n v="73.34"/>
  </r>
  <r>
    <n v="65061"/>
    <s v="Material for Rooms"/>
    <s v="10/06/2014"/>
    <s v="Expense"/>
    <m/>
    <x v="66"/>
    <x v="22"/>
    <x v="1"/>
    <x v="5"/>
    <m/>
    <s v="10522 *US Bank - Milwaukee"/>
    <n v="16.149999999999999"/>
    <n v="279075.21000000002"/>
    <n v="16.149999999999999"/>
  </r>
  <r>
    <n v="65061"/>
    <s v="Material for Rooms"/>
    <s v="10/06/2014"/>
    <s v="Expense"/>
    <m/>
    <x v="308"/>
    <x v="22"/>
    <x v="1"/>
    <x v="5"/>
    <m/>
    <s v="10522 *US Bank - Milwaukee"/>
    <n v="47.5"/>
    <n v="279122.71000000002"/>
    <n v="47.5"/>
  </r>
  <r>
    <n v="65061"/>
    <s v="Material for Rooms"/>
    <s v="10/06/2014"/>
    <s v="Expense"/>
    <m/>
    <x v="19"/>
    <x v="22"/>
    <x v="1"/>
    <x v="5"/>
    <m/>
    <s v="10522 *US Bank - Milwaukee"/>
    <n v="45.97"/>
    <n v="279168.68"/>
    <n v="45.97"/>
  </r>
  <r>
    <n v="65061"/>
    <s v="Material for Rooms"/>
    <s v="10/06/2014"/>
    <s v="Expense"/>
    <m/>
    <x v="404"/>
    <x v="22"/>
    <x v="1"/>
    <x v="5"/>
    <m/>
    <s v="10522 *US Bank - Milwaukee"/>
    <n v="606.5"/>
    <n v="279775.18"/>
    <n v="606.5"/>
  </r>
  <r>
    <n v="65061"/>
    <s v="Material for Rooms"/>
    <s v="10/07/2014"/>
    <s v="Expense"/>
    <m/>
    <x v="19"/>
    <x v="22"/>
    <x v="1"/>
    <x v="5"/>
    <m/>
    <s v="10522 *US Bank - Milwaukee"/>
    <n v="104.08"/>
    <n v="280819.84000000003"/>
    <n v="104.08"/>
  </r>
  <r>
    <n v="65061"/>
    <s v="Material for Rooms"/>
    <s v="10/08/2014"/>
    <s v="Expense"/>
    <m/>
    <x v="58"/>
    <x v="22"/>
    <x v="1"/>
    <x v="5"/>
    <m/>
    <s v="10522 *US Bank - Milwaukee"/>
    <n v="67.459999999999994"/>
    <n v="285650.19"/>
    <n v="67.459999999999994"/>
  </r>
  <r>
    <n v="65061"/>
    <s v="Material for Rooms"/>
    <s v="10/08/2014"/>
    <s v="Expense"/>
    <m/>
    <x v="160"/>
    <x v="22"/>
    <x v="1"/>
    <x v="5"/>
    <m/>
    <s v="10522 *US Bank - Milwaukee"/>
    <n v="49"/>
    <n v="285699.19"/>
    <n v="49"/>
  </r>
  <r>
    <n v="65061"/>
    <s v="Material for Rooms"/>
    <s v="10/08/2014"/>
    <s v="Expense"/>
    <m/>
    <x v="193"/>
    <x v="22"/>
    <x v="1"/>
    <x v="5"/>
    <m/>
    <s v="10522 *US Bank - Milwaukee"/>
    <n v="163.97"/>
    <n v="285863.15999999997"/>
    <n v="163.97"/>
  </r>
  <r>
    <n v="65061"/>
    <s v="Material for Rooms"/>
    <s v="10/09/2014"/>
    <s v="Check"/>
    <n v="1072"/>
    <x v="796"/>
    <x v="22"/>
    <x v="1"/>
    <x v="5"/>
    <m/>
    <s v="10522 *US Bank - Milwaukee"/>
    <n v="171.85"/>
    <n v="287912.53000000003"/>
    <n v="171.85"/>
  </r>
  <r>
    <n v="65061"/>
    <s v="Material for Rooms"/>
    <s v="10/09/2014"/>
    <s v="Expense"/>
    <m/>
    <x v="193"/>
    <x v="22"/>
    <x v="1"/>
    <x v="5"/>
    <m/>
    <s v="10522 *US Bank - Milwaukee"/>
    <n v="99.97"/>
    <n v="288146.46999999997"/>
    <n v="99.97"/>
  </r>
  <r>
    <n v="65061"/>
    <s v="Material for Rooms"/>
    <s v="10/10/2014"/>
    <s v="Expense"/>
    <m/>
    <x v="311"/>
    <x v="22"/>
    <x v="1"/>
    <x v="5"/>
    <m/>
    <s v="10522 *US Bank - Milwaukee"/>
    <n v="106.66"/>
    <n v="288781.82"/>
    <n v="106.66"/>
  </r>
  <r>
    <n v="65061"/>
    <s v="Material for Rooms"/>
    <s v="10/10/2014"/>
    <s v="Expense"/>
    <m/>
    <x v="311"/>
    <x v="22"/>
    <x v="1"/>
    <x v="5"/>
    <m/>
    <s v="10522 *US Bank - Milwaukee"/>
    <n v="20.69"/>
    <n v="288802.51"/>
    <n v="20.69"/>
  </r>
  <r>
    <n v="65061"/>
    <s v="Material for Rooms"/>
    <s v="10/10/2014"/>
    <s v="Expense"/>
    <m/>
    <x v="311"/>
    <x v="22"/>
    <x v="1"/>
    <x v="5"/>
    <m/>
    <s v="10522 *US Bank - Milwaukee"/>
    <n v="5.44"/>
    <n v="288807.95"/>
    <n v="5.44"/>
  </r>
  <r>
    <n v="65061"/>
    <s v="Material for Rooms"/>
    <s v="10/15/2014"/>
    <s v="Deposit"/>
    <m/>
    <x v="19"/>
    <x v="22"/>
    <x v="1"/>
    <x v="5"/>
    <m/>
    <s v="10522 *US Bank - Milwaukee"/>
    <n v="-53.77"/>
    <n v="291402.90000000002"/>
    <n v="-53.77"/>
  </r>
  <r>
    <n v="65061"/>
    <s v="Material for Rooms"/>
    <s v="10/20/2014"/>
    <s v="Deposit"/>
    <m/>
    <x v="317"/>
    <x v="22"/>
    <x v="1"/>
    <x v="5"/>
    <m/>
    <s v="10522 *US Bank - Milwaukee"/>
    <n v="-163.97"/>
    <n v="296714.03999999998"/>
    <n v="-163.97"/>
  </r>
  <r>
    <n v="65061"/>
    <s v="Material for Rooms"/>
    <s v="10/20/2014"/>
    <s v="Deposit"/>
    <m/>
    <x v="308"/>
    <x v="22"/>
    <x v="1"/>
    <x v="5"/>
    <m/>
    <s v="10522 *US Bank - Milwaukee"/>
    <n v="-332.7"/>
    <n v="296381.34000000003"/>
    <n v="-332.7"/>
  </r>
  <r>
    <n v="65090"/>
    <s v="Advertising/Publicity Expense"/>
    <s v="10/21/2014"/>
    <s v="Check"/>
    <n v="1073"/>
    <x v="797"/>
    <x v="22"/>
    <x v="1"/>
    <x v="6"/>
    <m/>
    <s v="10522 *US Bank - Milwaukee"/>
    <n v="200"/>
    <n v="1889.62"/>
    <n v="200"/>
  </r>
  <r>
    <n v="65095"/>
    <s v="Paypal Expense"/>
    <s v="09/16/2014"/>
    <s v="Journal Entry"/>
    <n v="672"/>
    <x v="0"/>
    <x v="22"/>
    <x v="4"/>
    <x v="19"/>
    <s v="paypal"/>
    <s v="-Split-"/>
    <n v="2.5"/>
    <n v="989.01"/>
    <n v="2.5"/>
  </r>
  <r>
    <n v="65110"/>
    <s v="Advertising Expenses"/>
    <s v="10/27/2014"/>
    <s v="Expense"/>
    <m/>
    <x v="798"/>
    <x v="22"/>
    <x v="1"/>
    <x v="6"/>
    <m/>
    <s v="10522 *US Bank - Milwaukee"/>
    <n v="45"/>
    <n v="556.92999999999995"/>
    <n v="45"/>
  </r>
  <r>
    <n v="66800"/>
    <s v="Taxes"/>
    <s v="10/16/2014"/>
    <s v="Payroll Check"/>
    <s v="DD"/>
    <x v="799"/>
    <x v="39"/>
    <x v="1"/>
    <x v="36"/>
    <s v="Employer Taxes"/>
    <s v="26000 Direct Deposit Payable"/>
    <n v="140.63"/>
    <n v="6727.48"/>
    <n v="140.63"/>
  </r>
  <r>
    <n v="66800"/>
    <s v="Taxes"/>
    <s v="10/31/2014"/>
    <s v="Payroll Check"/>
    <s v="DD"/>
    <x v="799"/>
    <x v="39"/>
    <x v="5"/>
    <x v="36"/>
    <s v="Employer Taxes"/>
    <s v="26000 Direct Deposit Payable"/>
    <n v="140.62"/>
    <n v="7180.47"/>
    <n v="140.62"/>
  </r>
  <r>
    <n v="66855"/>
    <s v="Wages -  Fund Raising"/>
    <s v="10/16/2014"/>
    <s v="Payroll Check"/>
    <s v="DD"/>
    <x v="799"/>
    <x v="39"/>
    <x v="1"/>
    <x v="36"/>
    <s v="Gross Pay - This is not a legal pay stub"/>
    <s v="26000 Direct Deposit Payable"/>
    <n v="1250"/>
    <n v="23749.99"/>
    <n v="1250"/>
  </r>
  <r>
    <n v="66855"/>
    <s v="Wages -  Fund Raising"/>
    <s v="10/31/2014"/>
    <s v="Payroll Check"/>
    <s v="DD"/>
    <x v="799"/>
    <x v="39"/>
    <x v="5"/>
    <x v="36"/>
    <s v="Gross Pay - This is not a legal pay stub"/>
    <s v="26000 Direct Deposit Payable"/>
    <n v="1250"/>
    <n v="26576.87"/>
    <n v="1250"/>
  </r>
  <r>
    <n v="46430"/>
    <s v="Miscellaneous Revenue"/>
    <s v="07/31/2014"/>
    <s v="Deposit"/>
    <m/>
    <x v="257"/>
    <x v="29"/>
    <x v="0"/>
    <x v="39"/>
    <m/>
    <s v="10903 *US Bank Wisc-Northshore"/>
    <n v="0.19"/>
    <n v="66.260000000000005"/>
    <n v="-0.19"/>
  </r>
  <r>
    <n v="46430"/>
    <s v="Miscellaneous Revenue"/>
    <s v="08/29/2014"/>
    <s v="Deposit"/>
    <m/>
    <x v="257"/>
    <x v="29"/>
    <x v="0"/>
    <x v="39"/>
    <m/>
    <s v="10903 *US Bank Wisc-Northshore"/>
    <n v="0.26"/>
    <n v="82.99"/>
    <n v="-0.26"/>
  </r>
  <r>
    <n v="46430"/>
    <s v="Miscellaneous Revenue"/>
    <s v="09/30/2014"/>
    <s v="Deposit"/>
    <m/>
    <x v="257"/>
    <x v="29"/>
    <x v="0"/>
    <x v="39"/>
    <m/>
    <s v="10903 *US Bank Wisc-Northshore"/>
    <n v="0.24"/>
    <n v="89.8"/>
    <n v="-0.24"/>
  </r>
  <r>
    <n v="46430"/>
    <s v="Miscellaneous Revenue"/>
    <s v="10/31/2014"/>
    <s v="Deposit"/>
    <m/>
    <x v="257"/>
    <x v="29"/>
    <x v="0"/>
    <x v="39"/>
    <m/>
    <s v="10903 *US Bank Wisc-Northshore"/>
    <n v="0.34"/>
    <n v="100.08"/>
    <n v="-0.34"/>
  </r>
  <r>
    <n v="65061"/>
    <s v="Material for Rooms"/>
    <s v="09/11/2014"/>
    <s v="Expense"/>
    <m/>
    <x v="310"/>
    <x v="29"/>
    <x v="1"/>
    <x v="5"/>
    <m/>
    <s v="10903 *US Bank Wisc-Northshore"/>
    <n v="142.05000000000001"/>
    <n v="253260.3"/>
    <n v="142.05000000000001"/>
  </r>
  <r>
    <n v="65061"/>
    <s v="Material for Rooms"/>
    <s v="09/11/2014"/>
    <s v="Expense"/>
    <m/>
    <x v="310"/>
    <x v="29"/>
    <x v="1"/>
    <x v="5"/>
    <m/>
    <s v="10903 *US Bank Wisc-Northshore"/>
    <n v="37.979999999999997"/>
    <n v="253887.22"/>
    <n v="37.979999999999997"/>
  </r>
  <r>
    <n v="65061"/>
    <s v="Material for Rooms"/>
    <s v="09/12/2014"/>
    <s v="Expense"/>
    <m/>
    <x v="58"/>
    <x v="29"/>
    <x v="1"/>
    <x v="5"/>
    <m/>
    <s v="10903 *US Bank Wisc-Northshore"/>
    <n v="90.21"/>
    <n v="254446.22"/>
    <n v="90.21"/>
  </r>
  <r>
    <n v="65061"/>
    <s v="Material for Rooms"/>
    <s v="09/15/2014"/>
    <s v="Expense"/>
    <m/>
    <x v="193"/>
    <x v="29"/>
    <x v="1"/>
    <x v="5"/>
    <m/>
    <s v="10903 *US Bank Wisc-Northshore"/>
    <n v="39.36"/>
    <n v="255614.85"/>
    <n v="39.36"/>
  </r>
  <r>
    <n v="65061"/>
    <s v="Material for Rooms"/>
    <s v="09/15/2014"/>
    <s v="Expense"/>
    <m/>
    <x v="29"/>
    <x v="29"/>
    <x v="1"/>
    <x v="5"/>
    <m/>
    <s v="10903 *US Bank Wisc-Northshore"/>
    <n v="159.43"/>
    <n v="255774.28"/>
    <n v="159.43"/>
  </r>
  <r>
    <n v="65061"/>
    <s v="Material for Rooms"/>
    <s v="09/16/2014"/>
    <s v="Expense"/>
    <m/>
    <x v="26"/>
    <x v="29"/>
    <x v="1"/>
    <x v="5"/>
    <m/>
    <s v="10903 *US Bank Wisc-Northshore"/>
    <n v="16"/>
    <n v="256642.5"/>
    <n v="16"/>
  </r>
  <r>
    <n v="65061"/>
    <s v="Material for Rooms"/>
    <s v="09/17/2014"/>
    <s v="Expense"/>
    <m/>
    <x v="53"/>
    <x v="29"/>
    <x v="1"/>
    <x v="5"/>
    <m/>
    <s v="10903 *US Bank Wisc-Northshore"/>
    <n v="36.94"/>
    <n v="256887.18"/>
    <n v="36.94"/>
  </r>
  <r>
    <n v="65061"/>
    <s v="Material for Rooms"/>
    <s v="09/17/2014"/>
    <s v="Expense"/>
    <m/>
    <x v="29"/>
    <x v="29"/>
    <x v="1"/>
    <x v="5"/>
    <m/>
    <s v="10903 *US Bank Wisc-Northshore"/>
    <n v="84.29"/>
    <n v="256971.47"/>
    <n v="84.29"/>
  </r>
  <r>
    <n v="65061"/>
    <s v="Material for Rooms"/>
    <s v="09/18/2014"/>
    <s v="Expense"/>
    <m/>
    <x v="19"/>
    <x v="29"/>
    <x v="1"/>
    <x v="5"/>
    <m/>
    <s v="10903 *US Bank Wisc-Northshore"/>
    <n v="63.35"/>
    <n v="257846.02"/>
    <n v="63.35"/>
  </r>
  <r>
    <n v="65061"/>
    <s v="Material for Rooms"/>
    <s v="09/19/2014"/>
    <s v="Expense"/>
    <m/>
    <x v="53"/>
    <x v="29"/>
    <x v="1"/>
    <x v="5"/>
    <m/>
    <s v="10903 *US Bank Wisc-Northshore"/>
    <n v="45.99"/>
    <n v="257913.60000000001"/>
    <n v="45.99"/>
  </r>
  <r>
    <n v="65061"/>
    <s v="Material for Rooms"/>
    <s v="09/22/2014"/>
    <s v="Expense"/>
    <m/>
    <x v="800"/>
    <x v="29"/>
    <x v="1"/>
    <x v="5"/>
    <m/>
    <s v="10903 *US Bank Wisc-Northshore"/>
    <n v="30.27"/>
    <n v="262669.39"/>
    <n v="30.27"/>
  </r>
  <r>
    <n v="65061"/>
    <s v="Material for Rooms"/>
    <s v="09/25/2014"/>
    <s v="Deposit"/>
    <m/>
    <x v="317"/>
    <x v="29"/>
    <x v="1"/>
    <x v="5"/>
    <m/>
    <s v="10903 *US Bank Wisc-Northshore"/>
    <n v="-17.940000000000001"/>
    <n v="267689.2"/>
    <n v="-17.940000000000001"/>
  </r>
  <r>
    <n v="65061"/>
    <s v="Material for Rooms"/>
    <s v="09/25/2014"/>
    <s v="Deposit"/>
    <m/>
    <x v="310"/>
    <x v="29"/>
    <x v="1"/>
    <x v="5"/>
    <m/>
    <s v="10903 *US Bank Wisc-Northshore"/>
    <n v="-75.98"/>
    <n v="267613.21999999997"/>
    <n v="-75.98"/>
  </r>
  <r>
    <n v="65061"/>
    <s v="Material for Rooms"/>
    <s v="09/26/2014"/>
    <s v="Deposit"/>
    <m/>
    <x v="282"/>
    <x v="29"/>
    <x v="1"/>
    <x v="5"/>
    <m/>
    <s v="10903 *US Bank Wisc-Northshore"/>
    <n v="-8.42"/>
    <n v="269966.94"/>
    <n v="-8.42"/>
  </r>
  <r>
    <n v="65061"/>
    <s v="Material for Rooms"/>
    <s v="10/14/2014"/>
    <s v="Expense"/>
    <m/>
    <x v="311"/>
    <x v="29"/>
    <x v="1"/>
    <x v="5"/>
    <m/>
    <s v="10903 *US Bank Wisc-Northshore"/>
    <n v="133.26"/>
    <n v="290260.63"/>
    <n v="133.26"/>
  </r>
  <r>
    <n v="65061"/>
    <s v="Material for Rooms"/>
    <s v="10/17/2014"/>
    <s v="Check"/>
    <n v="1023"/>
    <x v="801"/>
    <x v="29"/>
    <x v="1"/>
    <x v="5"/>
    <m/>
    <s v="10903 *US Bank Wisc-Northshore"/>
    <n v="51.7"/>
    <n v="292396.13"/>
    <n v="51.7"/>
  </r>
  <r>
    <n v="65061"/>
    <s v="Material for Rooms"/>
    <s v="10/17/2014"/>
    <s v="Check"/>
    <n v="1024"/>
    <x v="802"/>
    <x v="29"/>
    <x v="1"/>
    <x v="5"/>
    <m/>
    <s v="10903 *US Bank Wisc-Northshore"/>
    <n v="2091"/>
    <n v="294487.13"/>
    <n v="2091"/>
  </r>
  <r>
    <n v="65061"/>
    <s v="Material for Rooms"/>
    <s v="10/17/2014"/>
    <s v="Check"/>
    <n v="1021"/>
    <x v="803"/>
    <x v="29"/>
    <x v="1"/>
    <x v="5"/>
    <m/>
    <s v="10903 *US Bank Wisc-Northshore"/>
    <n v="750"/>
    <n v="295237.13"/>
    <n v="750"/>
  </r>
  <r>
    <n v="65061"/>
    <s v="Material for Rooms"/>
    <s v="10/20/2014"/>
    <s v="Check"/>
    <n v="1025"/>
    <x v="804"/>
    <x v="29"/>
    <x v="1"/>
    <x v="5"/>
    <m/>
    <s v="10903 *US Bank Wisc-Northshore"/>
    <n v="15.81"/>
    <n v="296478.01"/>
    <n v="15.81"/>
  </r>
  <r>
    <n v="65061"/>
    <s v="Material for Rooms"/>
    <s v="10/20/2014"/>
    <s v="Check"/>
    <n v="1029"/>
    <x v="805"/>
    <x v="29"/>
    <x v="1"/>
    <x v="5"/>
    <m/>
    <s v="10903 *US Bank Wisc-Northshore"/>
    <n v="400"/>
    <n v="296878.01"/>
    <n v="400"/>
  </r>
  <r>
    <n v="65061"/>
    <s v="Material for Rooms"/>
    <s v="10/23/2014"/>
    <s v="Expense"/>
    <m/>
    <x v="73"/>
    <x v="29"/>
    <x v="1"/>
    <x v="5"/>
    <m/>
    <s v="10903 *US Bank Wisc-Northshore"/>
    <n v="731.58"/>
    <n v="298716.27"/>
    <n v="731.58"/>
  </r>
  <r>
    <n v="65061"/>
    <s v="Material for Rooms"/>
    <s v="10/28/2014"/>
    <s v="Expense"/>
    <m/>
    <x v="308"/>
    <x v="29"/>
    <x v="1"/>
    <x v="5"/>
    <m/>
    <s v="10903 *US Bank Wisc-Northshore"/>
    <n v="1654.82"/>
    <n v="301564.87"/>
    <n v="1654.82"/>
  </r>
  <r>
    <n v="65061"/>
    <s v="Material for Rooms"/>
    <s v="10/29/2014"/>
    <s v="Expense"/>
    <m/>
    <x v="19"/>
    <x v="29"/>
    <x v="1"/>
    <x v="5"/>
    <m/>
    <s v="10903 *US Bank Wisc-Northshore"/>
    <n v="24.28"/>
    <n v="302791.63"/>
    <n v="24.28"/>
  </r>
  <r>
    <n v="65061"/>
    <s v="Material for Rooms"/>
    <s v="10/30/2014"/>
    <s v="Check"/>
    <n v="1019"/>
    <x v="401"/>
    <x v="29"/>
    <x v="1"/>
    <x v="5"/>
    <m/>
    <s v="10903 *US Bank Wisc-Northshore"/>
    <n v="39.71"/>
    <n v="304131.99"/>
    <n v="39.71"/>
  </r>
  <r>
    <n v="65061"/>
    <s v="Material for Rooms"/>
    <s v="10/31/2014"/>
    <s v="Expense"/>
    <m/>
    <x v="29"/>
    <x v="29"/>
    <x v="1"/>
    <x v="5"/>
    <m/>
    <s v="10903 *US Bank Wisc-Northshore"/>
    <n v="50.18"/>
    <n v="306254.90000000002"/>
    <n v="50.18"/>
  </r>
  <r>
    <n v="65025"/>
    <s v="Bank Service Charges"/>
    <s v="01/02/2014"/>
    <s v="Check"/>
    <m/>
    <x v="92"/>
    <x v="40"/>
    <x v="1"/>
    <x v="14"/>
    <m/>
    <s v="10910 BoA NEPA 8719"/>
    <n v="16"/>
    <n v="109"/>
    <n v="16"/>
  </r>
  <r>
    <n v="65025"/>
    <s v="Bank Service Charges"/>
    <s v="02/03/2014"/>
    <s v="Check"/>
    <m/>
    <x v="92"/>
    <x v="40"/>
    <x v="1"/>
    <x v="14"/>
    <m/>
    <s v="10910 BoA NEPA 8719"/>
    <n v="16"/>
    <n v="390.2"/>
    <n v="16"/>
  </r>
  <r>
    <n v="65025"/>
    <s v="Bank Service Charges"/>
    <s v="03/03/2014"/>
    <s v="Check"/>
    <m/>
    <x v="92"/>
    <x v="40"/>
    <x v="1"/>
    <x v="14"/>
    <m/>
    <s v="10910 BoA NEPA 8719"/>
    <n v="16"/>
    <n v="505.72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2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3:F42" firstHeaderRow="1" firstDataRow="2" firstDataCol="1"/>
  <pivotFields count="14">
    <pivotField compact="0" outline="0" subtotalTop="0" showAll="0" includeNewItemsInFilter="1"/>
    <pivotField compact="0" outline="0" subtotalTop="0" showAll="0" includeNewItemsIn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multipleItemSelectionAllowed="1" showAll="0" includeNewItemsInFilter="1" sortType="ascending">
      <items count="79">
        <item m="1" x="50"/>
        <item m="1" x="49"/>
        <item m="1" x="76"/>
        <item x="8"/>
        <item x="4"/>
        <item x="5"/>
        <item m="1" x="75"/>
        <item m="1" x="68"/>
        <item m="1" x="52"/>
        <item m="1" x="63"/>
        <item m="1" x="69"/>
        <item m="1" x="71"/>
        <item x="12"/>
        <item m="1" x="55"/>
        <item x="25"/>
        <item x="13"/>
        <item x="14"/>
        <item m="1" x="48"/>
        <item x="16"/>
        <item m="1" x="62"/>
        <item x="7"/>
        <item x="18"/>
        <item m="1" x="65"/>
        <item m="1" x="53"/>
        <item x="2"/>
        <item m="1" x="57"/>
        <item x="21"/>
        <item m="1" x="42"/>
        <item m="1" x="46"/>
        <item x="23"/>
        <item x="24"/>
        <item m="1" x="74"/>
        <item x="0"/>
        <item m="1" x="70"/>
        <item x="20"/>
        <item m="1" x="77"/>
        <item x="1"/>
        <item m="1" x="73"/>
        <item x="27"/>
        <item x="3"/>
        <item x="28"/>
        <item m="1" x="56"/>
        <item m="1" x="41"/>
        <item x="10"/>
        <item m="1" x="51"/>
        <item m="1" x="67"/>
        <item x="26"/>
        <item x="30"/>
        <item x="31"/>
        <item m="1" x="45"/>
        <item m="1" x="47"/>
        <item m="1" x="59"/>
        <item m="1" x="61"/>
        <item x="9"/>
        <item m="1" x="60"/>
        <item m="1" x="54"/>
        <item m="1" x="64"/>
        <item x="35"/>
        <item x="6"/>
        <item x="34"/>
        <item x="19"/>
        <item x="32"/>
        <item x="36"/>
        <item m="1" x="66"/>
        <item x="37"/>
        <item x="40"/>
        <item x="11"/>
        <item x="17"/>
        <item x="33"/>
        <item m="1" x="44"/>
        <item m="1" x="43"/>
        <item m="1" x="58"/>
        <item x="39"/>
        <item x="38"/>
        <item x="15"/>
        <item x="22"/>
        <item x="29"/>
        <item m="1" x="72"/>
        <item t="default"/>
      </items>
    </pivotField>
    <pivotField compact="0" outline="0" showAll="0" defaultSubtotal="0"/>
    <pivotField axis="axisCol" compact="0" outline="0" showAll="0" sortType="ascending" defaultSubtotal="0">
      <items count="56">
        <item h="1" m="1" x="40"/>
        <item x="22"/>
        <item x="1"/>
        <item x="8"/>
        <item h="1" x="21"/>
        <item h="1" x="9"/>
        <item m="1" x="47"/>
        <item m="1" x="49"/>
        <item m="1" x="43"/>
        <item x="39"/>
        <item h="1" m="1" x="48"/>
        <item h="1" x="24"/>
        <item h="1" m="1" x="42"/>
        <item h="1" x="26"/>
        <item h="1" x="12"/>
        <item h="1" x="28"/>
        <item h="1" m="1" x="46"/>
        <item h="1" x="29"/>
        <item h="1" x="30"/>
        <item h="1" x="31"/>
        <item h="1" x="2"/>
        <item h="1" x="15"/>
        <item h="1" x="3"/>
        <item h="1" x="14"/>
        <item h="1" x="20"/>
        <item h="1" x="32"/>
        <item h="1" x="13"/>
        <item h="1" x="4"/>
        <item h="1" x="16"/>
        <item h="1" x="17"/>
        <item h="1" x="5"/>
        <item h="1" x="10"/>
        <item h="1" x="11"/>
        <item h="1" m="1" x="50"/>
        <item h="1" x="18"/>
        <item h="1" m="1" x="55"/>
        <item h="1" x="6"/>
        <item h="1" x="19"/>
        <item h="1" x="33"/>
        <item h="1" m="1" x="45"/>
        <item h="1" x="34"/>
        <item h="1" x="35"/>
        <item h="1" x="36"/>
        <item h="1" m="1" x="41"/>
        <item h="1" x="7"/>
        <item h="1" x="37"/>
        <item h="1" x="23"/>
        <item h="1" x="25"/>
        <item h="1" x="27"/>
        <item h="1" m="1" x="51"/>
        <item h="1" m="1" x="54"/>
        <item h="1" m="1" x="52"/>
        <item h="1" m="1" x="53"/>
        <item h="1" m="1" x="44"/>
        <item h="1" x="0"/>
        <item h="1" x="3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dataField="1" compact="0" numFmtId="44" outline="0" subtotalTop="0" showAll="0" includeNewItemsInFilter="1" defaultSubtotal="0"/>
  </pivotFields>
  <rowFields count="1">
    <field x="6"/>
  </rowFields>
  <rowItems count="38">
    <i>
      <x v="3"/>
    </i>
    <i>
      <x v="4"/>
    </i>
    <i>
      <x v="5"/>
    </i>
    <i>
      <x v="12"/>
    </i>
    <i>
      <x v="15"/>
    </i>
    <i>
      <x v="16"/>
    </i>
    <i>
      <x v="18"/>
    </i>
    <i>
      <x v="20"/>
    </i>
    <i>
      <x v="21"/>
    </i>
    <i>
      <x v="24"/>
    </i>
    <i>
      <x v="26"/>
    </i>
    <i>
      <x v="29"/>
    </i>
    <i>
      <x v="30"/>
    </i>
    <i>
      <x v="32"/>
    </i>
    <i>
      <x v="34"/>
    </i>
    <i>
      <x v="36"/>
    </i>
    <i>
      <x v="38"/>
    </i>
    <i>
      <x v="39"/>
    </i>
    <i>
      <x v="40"/>
    </i>
    <i>
      <x v="43"/>
    </i>
    <i>
      <x v="46"/>
    </i>
    <i>
      <x v="47"/>
    </i>
    <i>
      <x v="48"/>
    </i>
    <i>
      <x v="53"/>
    </i>
    <i>
      <x v="57"/>
    </i>
    <i>
      <x v="58"/>
    </i>
    <i>
      <x v="59"/>
    </i>
    <i>
      <x v="60"/>
    </i>
    <i>
      <x v="62"/>
    </i>
    <i>
      <x v="64"/>
    </i>
    <i>
      <x v="66"/>
    </i>
    <i>
      <x v="67"/>
    </i>
    <i>
      <x v="68"/>
    </i>
    <i>
      <x v="73"/>
    </i>
    <i>
      <x v="74"/>
    </i>
    <i>
      <x v="75"/>
    </i>
    <i>
      <x v="76"/>
    </i>
    <i t="grand">
      <x/>
    </i>
  </rowItems>
  <colFields count="1">
    <field x="8"/>
  </colFields>
  <colItems count="5">
    <i>
      <x v="2"/>
    </i>
    <i>
      <x v="3"/>
    </i>
    <i>
      <x v="1"/>
    </i>
    <i>
      <x v="9"/>
    </i>
    <i t="grand">
      <x/>
    </i>
  </colItems>
  <dataFields count="1">
    <dataField name="Sum of DrCr" fld="13" baseField="0" baseItem="0" numFmtId="44"/>
  </dataFields>
  <formats count="1">
    <format dxfId="39">
      <pivotArea outline="0" collapsedLevelsAreSubtotals="1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46" firstHeaderRow="1" firstDataRow="2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79">
        <item x="0"/>
        <item m="1" x="50"/>
        <item m="1" x="49"/>
        <item m="1" x="76"/>
        <item x="8"/>
        <item x="4"/>
        <item x="5"/>
        <item m="1" x="75"/>
        <item m="1" x="68"/>
        <item m="1" x="52"/>
        <item m="1" x="63"/>
        <item m="1" x="69"/>
        <item m="1" x="71"/>
        <item x="12"/>
        <item m="1" x="55"/>
        <item x="25"/>
        <item x="13"/>
        <item x="14"/>
        <item m="1" x="48"/>
        <item x="16"/>
        <item m="1" x="62"/>
        <item x="7"/>
        <item x="18"/>
        <item m="1" x="65"/>
        <item m="1" x="53"/>
        <item x="2"/>
        <item m="1" x="57"/>
        <item x="21"/>
        <item m="1" x="42"/>
        <item m="1" x="46"/>
        <item x="23"/>
        <item x="24"/>
        <item m="1" x="74"/>
        <item m="1" x="70"/>
        <item x="20"/>
        <item m="1" x="77"/>
        <item x="1"/>
        <item m="1" x="73"/>
        <item x="27"/>
        <item x="3"/>
        <item x="28"/>
        <item m="1" x="56"/>
        <item m="1" x="41"/>
        <item x="10"/>
        <item m="1" x="51"/>
        <item m="1" x="67"/>
        <item x="26"/>
        <item x="30"/>
        <item x="31"/>
        <item m="1" x="45"/>
        <item m="1" x="47"/>
        <item m="1" x="59"/>
        <item m="1" x="61"/>
        <item x="9"/>
        <item m="1" x="60"/>
        <item m="1" x="54"/>
        <item m="1" x="64"/>
        <item x="35"/>
        <item x="6"/>
        <item x="34"/>
        <item x="19"/>
        <item x="32"/>
        <item x="36"/>
        <item m="1" x="66"/>
        <item x="37"/>
        <item x="40"/>
        <item x="11"/>
        <item x="17"/>
        <item x="33"/>
        <item m="1" x="44"/>
        <item m="1" x="43"/>
        <item m="1" x="58"/>
        <item x="39"/>
        <item x="38"/>
        <item x="15"/>
        <item x="22"/>
        <item x="29"/>
        <item m="1" x="72"/>
        <item t="default"/>
      </items>
    </pivotField>
    <pivotField axis="axisCol" showAll="0">
      <items count="8">
        <item x="0"/>
        <item x="3"/>
        <item x="2"/>
        <item x="5"/>
        <item x="4"/>
        <item x="1"/>
        <item m="1" x="6"/>
        <item t="default"/>
      </items>
    </pivotField>
    <pivotField showAll="0"/>
    <pivotField showAll="0"/>
    <pivotField showAll="0"/>
    <pivotField numFmtId="44" showAll="0"/>
    <pivotField numFmtId="44" showAll="0"/>
    <pivotField dataField="1" numFmtId="44" showAll="0"/>
  </pivotFields>
  <rowFields count="1">
    <field x="6"/>
  </rowFields>
  <rowItems count="42">
    <i>
      <x/>
    </i>
    <i>
      <x v="4"/>
    </i>
    <i>
      <x v="5"/>
    </i>
    <i>
      <x v="6"/>
    </i>
    <i>
      <x v="13"/>
    </i>
    <i>
      <x v="15"/>
    </i>
    <i>
      <x v="16"/>
    </i>
    <i>
      <x v="17"/>
    </i>
    <i>
      <x v="19"/>
    </i>
    <i>
      <x v="21"/>
    </i>
    <i>
      <x v="22"/>
    </i>
    <i>
      <x v="25"/>
    </i>
    <i>
      <x v="27"/>
    </i>
    <i>
      <x v="30"/>
    </i>
    <i>
      <x v="31"/>
    </i>
    <i>
      <x v="34"/>
    </i>
    <i>
      <x v="36"/>
    </i>
    <i>
      <x v="38"/>
    </i>
    <i>
      <x v="39"/>
    </i>
    <i>
      <x v="40"/>
    </i>
    <i>
      <x v="43"/>
    </i>
    <i>
      <x v="46"/>
    </i>
    <i>
      <x v="47"/>
    </i>
    <i>
      <x v="48"/>
    </i>
    <i>
      <x v="53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7"/>
    </i>
    <i>
      <x v="68"/>
    </i>
    <i>
      <x v="72"/>
    </i>
    <i>
      <x v="73"/>
    </i>
    <i>
      <x v="74"/>
    </i>
    <i>
      <x v="75"/>
    </i>
    <i>
      <x v="76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DrCr" fld="13" baseField="0" baseItem="0" numFmtId="44"/>
  </dataFields>
  <formats count="2">
    <format dxfId="38">
      <pivotArea outline="0" collapsedLevelsAreSubtotals="1" fieldPosition="0"/>
    </format>
    <format dxfId="37">
      <pivotArea dataOnly="0" labelOnly="1" fieldPosition="0">
        <references count="1">
          <reference field="7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Q50" firstHeaderRow="1" firstDataRow="1" firstDataCol="1"/>
  <pivotFields count="4">
    <pivotField showAll="0"/>
    <pivotField showAll="0"/>
    <pivotField axis="axisRow" showAll="0">
      <items count="44">
        <item x="23"/>
        <item x="8"/>
        <item x="9"/>
        <item x="24"/>
        <item x="25"/>
        <item x="10"/>
        <item x="2"/>
        <item x="11"/>
        <item x="3"/>
        <item x="12"/>
        <item x="13"/>
        <item x="4"/>
        <item x="0"/>
        <item x="26"/>
        <item x="27"/>
        <item x="36"/>
        <item x="28"/>
        <item x="37"/>
        <item x="38"/>
        <item x="1"/>
        <item x="29"/>
        <item x="30"/>
        <item x="5"/>
        <item x="31"/>
        <item x="6"/>
        <item x="7"/>
        <item x="32"/>
        <item x="16"/>
        <item x="17"/>
        <item x="39"/>
        <item x="18"/>
        <item x="19"/>
        <item x="41"/>
        <item x="33"/>
        <item x="40"/>
        <item x="15"/>
        <item x="34"/>
        <item x="20"/>
        <item x="42"/>
        <item x="21"/>
        <item x="22"/>
        <item x="35"/>
        <item x="14"/>
        <item t="default"/>
      </items>
    </pivotField>
    <pivotField dataField="1" numFmtId="4" showAll="0"/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 of Column3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133:Q174" firstHeaderRow="1" firstDataRow="1" firstDataCol="1"/>
  <pivotFields count="4">
    <pivotField showAll="0"/>
    <pivotField showAll="0"/>
    <pivotField axis="axisRow" showAll="0">
      <items count="41">
        <item x="23"/>
        <item x="8"/>
        <item x="35"/>
        <item x="3"/>
        <item x="24"/>
        <item x="25"/>
        <item x="9"/>
        <item x="2"/>
        <item x="10"/>
        <item x="4"/>
        <item x="11"/>
        <item x="12"/>
        <item x="5"/>
        <item x="0"/>
        <item x="36"/>
        <item x="13"/>
        <item x="26"/>
        <item x="37"/>
        <item x="27"/>
        <item x="28"/>
        <item x="1"/>
        <item x="29"/>
        <item x="30"/>
        <item x="6"/>
        <item x="7"/>
        <item x="31"/>
        <item x="15"/>
        <item x="16"/>
        <item x="17"/>
        <item x="18"/>
        <item x="38"/>
        <item x="32"/>
        <item x="14"/>
        <item x="33"/>
        <item x="19"/>
        <item x="20"/>
        <item x="21"/>
        <item x="22"/>
        <item x="34"/>
        <item x="39"/>
        <item t="default"/>
      </items>
    </pivotField>
    <pivotField dataField="1" numFmtId="4" showAll="0"/>
  </pivotFields>
  <rowFields count="1">
    <field x="2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Balanc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E10" firstHeaderRow="1" firstDataRow="2" firstDataCol="1"/>
  <pivotFields count="14">
    <pivotField showAll="0"/>
    <pivotField showAll="0"/>
    <pivotField showAll="0"/>
    <pivotField showAll="0"/>
    <pivotField showAll="0"/>
    <pivotField axis="axisRow" showAll="0">
      <items count="807">
        <item x="383"/>
        <item x="566"/>
        <item x="649"/>
        <item x="236"/>
        <item x="636"/>
        <item x="728"/>
        <item x="323"/>
        <item x="792"/>
        <item x="95"/>
        <item x="356"/>
        <item x="338"/>
        <item x="739"/>
        <item x="326"/>
        <item x="689"/>
        <item x="196"/>
        <item x="676"/>
        <item x="610"/>
        <item x="639"/>
        <item x="303"/>
        <item x="300"/>
        <item x="762"/>
        <item x="446"/>
        <item x="388"/>
        <item x="33"/>
        <item x="276"/>
        <item x="328"/>
        <item x="455"/>
        <item x="288"/>
        <item x="712"/>
        <item x="325"/>
        <item x="201"/>
        <item x="648"/>
        <item x="285"/>
        <item x="287"/>
        <item x="91"/>
        <item x="603"/>
        <item x="238"/>
        <item x="466"/>
        <item x="686"/>
        <item x="641"/>
        <item x="367"/>
        <item x="655"/>
        <item x="346"/>
        <item x="232"/>
        <item x="329"/>
        <item x="131"/>
        <item x="722"/>
        <item x="478"/>
        <item x="531"/>
        <item x="616"/>
        <item x="335"/>
        <item x="189"/>
        <item x="92"/>
        <item x="187"/>
        <item x="202"/>
        <item x="422"/>
        <item x="82"/>
        <item x="687"/>
        <item x="707"/>
        <item x="459"/>
        <item x="130"/>
        <item x="115"/>
        <item x="554"/>
        <item x="181"/>
        <item x="134"/>
        <item x="56"/>
        <item x="315"/>
        <item x="43"/>
        <item x="23"/>
        <item x="684"/>
        <item x="78"/>
        <item x="609"/>
        <item x="650"/>
        <item x="30"/>
        <item x="24"/>
        <item x="725"/>
        <item x="146"/>
        <item x="352"/>
        <item x="555"/>
        <item x="577"/>
        <item x="294"/>
        <item x="351"/>
        <item x="34"/>
        <item x="207"/>
        <item x="767"/>
        <item x="693"/>
        <item x="239"/>
        <item x="717"/>
        <item x="371"/>
        <item x="522"/>
        <item x="353"/>
        <item x="754"/>
        <item x="727"/>
        <item x="55"/>
        <item x="525"/>
        <item x="784"/>
        <item x="606"/>
        <item x="182"/>
        <item x="237"/>
        <item x="534"/>
        <item x="415"/>
        <item x="128"/>
        <item x="573"/>
        <item x="261"/>
        <item x="421"/>
        <item x="699"/>
        <item x="290"/>
        <item x="179"/>
        <item x="171"/>
        <item x="431"/>
        <item x="27"/>
        <item x="640"/>
        <item x="631"/>
        <item x="250"/>
        <item x="799"/>
        <item x="411"/>
        <item x="475"/>
        <item x="625"/>
        <item x="582"/>
        <item x="429"/>
        <item x="592"/>
        <item x="426"/>
        <item x="774"/>
        <item x="448"/>
        <item x="721"/>
        <item x="135"/>
        <item x="93"/>
        <item x="564"/>
        <item x="368"/>
        <item x="399"/>
        <item x="581"/>
        <item x="542"/>
        <item x="312"/>
        <item x="76"/>
        <item x="526"/>
        <item x="553"/>
        <item x="583"/>
        <item x="565"/>
        <item x="536"/>
        <item x="471"/>
        <item x="758"/>
        <item x="511"/>
        <item x="495"/>
        <item x="25"/>
        <item x="227"/>
        <item x="360"/>
        <item x="391"/>
        <item x="403"/>
        <item x="420"/>
        <item x="645"/>
        <item x="378"/>
        <item x="528"/>
        <item x="122"/>
        <item x="473"/>
        <item x="393"/>
        <item x="142"/>
        <item x="233"/>
        <item x="678"/>
        <item x="530"/>
        <item x="357"/>
        <item x="514"/>
        <item x="490"/>
        <item x="677"/>
        <item x="551"/>
        <item x="195"/>
        <item x="398"/>
        <item x="107"/>
        <item x="372"/>
        <item x="652"/>
        <item x="501"/>
        <item x="441"/>
        <item x="284"/>
        <item x="765"/>
        <item x="74"/>
        <item x="111"/>
        <item x="468"/>
        <item x="503"/>
        <item x="651"/>
        <item x="547"/>
        <item x="769"/>
        <item x="75"/>
        <item x="681"/>
        <item x="805"/>
        <item x="84"/>
        <item x="226"/>
        <item x="539"/>
        <item x="279"/>
        <item x="570"/>
        <item x="623"/>
        <item x="158"/>
        <item x="615"/>
        <item x="741"/>
        <item x="307"/>
        <item x="708"/>
        <item x="492"/>
        <item x="513"/>
        <item x="653"/>
        <item x="745"/>
        <item x="444"/>
        <item x="494"/>
        <item x="476"/>
        <item x="735"/>
        <item x="20"/>
        <item x="140"/>
        <item x="523"/>
        <item x="59"/>
        <item x="177"/>
        <item x="191"/>
        <item x="215"/>
        <item x="527"/>
        <item x="349"/>
        <item x="376"/>
        <item x="88"/>
        <item x="47"/>
        <item x="423"/>
        <item x="500"/>
        <item x="188"/>
        <item x="430"/>
        <item x="630"/>
        <item x="524"/>
        <item x="354"/>
        <item x="49"/>
        <item x="612"/>
        <item x="520"/>
        <item x="751"/>
        <item x="730"/>
        <item x="46"/>
        <item x="17"/>
        <item x="38"/>
        <item x="344"/>
        <item x="396"/>
        <item x="669"/>
        <item x="670"/>
        <item x="124"/>
        <item x="738"/>
        <item x="469"/>
        <item x="384"/>
        <item x="637"/>
        <item x="508"/>
        <item x="461"/>
        <item x="137"/>
        <item x="44"/>
        <item x="205"/>
        <item x="258"/>
        <item x="102"/>
        <item x="363"/>
        <item x="164"/>
        <item x="460"/>
        <item x="780"/>
        <item x="133"/>
        <item x="529"/>
        <item x="450"/>
        <item x="208"/>
        <item x="406"/>
        <item x="342"/>
        <item x="643"/>
        <item x="493"/>
        <item x="45"/>
        <item x="7"/>
        <item x="145"/>
        <item x="760"/>
        <item x="588"/>
        <item x="22"/>
        <item x="348"/>
        <item x="683"/>
        <item x="470"/>
        <item x="502"/>
        <item x="277"/>
        <item x="377"/>
        <item x="424"/>
        <item x="244"/>
        <item x="319"/>
        <item x="139"/>
        <item x="764"/>
        <item x="743"/>
        <item x="632"/>
        <item x="223"/>
        <item x="180"/>
        <item x="37"/>
        <item x="204"/>
        <item x="166"/>
        <item x="358"/>
        <item x="168"/>
        <item x="755"/>
        <item x="757"/>
        <item x="742"/>
        <item x="453"/>
        <item x="417"/>
        <item x="626"/>
        <item x="61"/>
        <item x="50"/>
        <item x="183"/>
        <item x="197"/>
        <item x="679"/>
        <item x="385"/>
        <item x="405"/>
        <item x="773"/>
        <item x="190"/>
        <item x="704"/>
        <item x="334"/>
        <item x="4"/>
        <item x="271"/>
        <item x="763"/>
        <item x="690"/>
        <item x="456"/>
        <item x="700"/>
        <item x="28"/>
        <item x="230"/>
        <item x="602"/>
        <item x="58"/>
        <item x="439"/>
        <item x="299"/>
        <item x="593"/>
        <item x="53"/>
        <item x="39"/>
        <item x="697"/>
        <item x="627"/>
        <item x="746"/>
        <item x="438"/>
        <item x="772"/>
        <item x="394"/>
        <item x="548"/>
        <item x="719"/>
        <item x="73"/>
        <item x="483"/>
        <item x="298"/>
        <item x="275"/>
        <item x="3"/>
        <item x="362"/>
        <item x="428"/>
        <item x="498"/>
        <item x="165"/>
        <item x="766"/>
        <item x="674"/>
        <item x="666"/>
        <item x="12"/>
        <item x="194"/>
        <item x="537"/>
        <item x="634"/>
        <item x="601"/>
        <item x="776"/>
        <item x="489"/>
        <item x="380"/>
        <item x="176"/>
        <item x="392"/>
        <item x="332"/>
        <item x="802"/>
        <item x="251"/>
        <item x="41"/>
        <item x="549"/>
        <item x="379"/>
        <item x="578"/>
        <item x="40"/>
        <item x="216"/>
        <item x="343"/>
        <item x="408"/>
        <item x="662"/>
        <item x="83"/>
        <item x="291"/>
        <item x="203"/>
        <item x="519"/>
        <item x="724"/>
        <item x="314"/>
        <item x="401"/>
        <item x="584"/>
        <item x="15"/>
        <item x="768"/>
        <item x="702"/>
        <item x="167"/>
        <item x="173"/>
        <item x="222"/>
        <item x="255"/>
        <item x="646"/>
        <item x="121"/>
        <item x="400"/>
        <item x="247"/>
        <item x="256"/>
        <item x="692"/>
        <item x="322"/>
        <item x="155"/>
        <item x="132"/>
        <item x="506"/>
        <item x="440"/>
        <item x="70"/>
        <item x="665"/>
        <item x="324"/>
        <item x="458"/>
        <item x="715"/>
        <item x="486"/>
        <item x="281"/>
        <item x="667"/>
        <item x="567"/>
        <item x="159"/>
        <item x="160"/>
        <item x="659"/>
        <item x="412"/>
        <item x="442"/>
        <item x="654"/>
        <item x="510"/>
        <item x="172"/>
        <item x="340"/>
        <item x="614"/>
        <item x="337"/>
        <item x="647"/>
        <item x="418"/>
        <item x="416"/>
        <item x="52"/>
        <item x="657"/>
        <item x="673"/>
        <item x="696"/>
        <item x="543"/>
        <item x="747"/>
        <item x="199"/>
        <item x="414"/>
        <item x="698"/>
        <item x="740"/>
        <item x="532"/>
        <item x="150"/>
        <item x="153"/>
        <item x="786"/>
        <item x="297"/>
        <item x="100"/>
        <item x="16"/>
        <item x="245"/>
        <item x="347"/>
        <item x="148"/>
        <item x="254"/>
        <item x="235"/>
        <item x="154"/>
        <item x="109"/>
        <item x="373"/>
        <item x="718"/>
        <item x="585"/>
        <item x="1"/>
        <item x="413"/>
        <item x="118"/>
        <item x="320"/>
        <item x="369"/>
        <item x="85"/>
        <item x="775"/>
        <item x="541"/>
        <item x="462"/>
        <item x="143"/>
        <item x="771"/>
        <item x="720"/>
        <item x="149"/>
        <item x="186"/>
        <item x="2"/>
        <item x="77"/>
        <item x="370"/>
        <item x="42"/>
        <item x="268"/>
        <item x="457"/>
        <item x="193"/>
        <item x="317"/>
        <item x="608"/>
        <item x="21"/>
        <item x="516"/>
        <item x="661"/>
        <item x="544"/>
        <item x="26"/>
        <item x="313"/>
        <item x="81"/>
        <item x="787"/>
        <item x="404"/>
        <item x="289"/>
        <item x="89"/>
        <item x="241"/>
        <item x="488"/>
        <item x="273"/>
        <item x="658"/>
        <item x="733"/>
        <item x="427"/>
        <item x="452"/>
        <item x="589"/>
        <item x="105"/>
        <item x="759"/>
        <item x="434"/>
        <item x="580"/>
        <item x="123"/>
        <item x="104"/>
        <item x="125"/>
        <item x="477"/>
        <item x="737"/>
        <item x="770"/>
        <item x="794"/>
        <item x="619"/>
        <item x="499"/>
        <item x="126"/>
        <item x="213"/>
        <item x="318"/>
        <item x="110"/>
        <item x="355"/>
        <item x="484"/>
        <item x="198"/>
        <item x="333"/>
        <item x="732"/>
        <item x="97"/>
        <item x="480"/>
        <item x="485"/>
        <item x="435"/>
        <item x="156"/>
        <item x="482"/>
        <item x="479"/>
        <item x="8"/>
        <item x="304"/>
        <item x="672"/>
        <item x="749"/>
        <item x="178"/>
        <item x="302"/>
        <item x="69"/>
        <item x="710"/>
        <item x="518"/>
        <item x="106"/>
        <item x="761"/>
        <item x="402"/>
        <item x="629"/>
        <item x="67"/>
        <item x="793"/>
        <item x="350"/>
        <item x="568"/>
        <item x="94"/>
        <item x="796"/>
        <item x="278"/>
        <item x="152"/>
        <item x="365"/>
        <item x="437"/>
        <item x="296"/>
        <item x="114"/>
        <item x="594"/>
        <item x="419"/>
        <item x="586"/>
        <item x="617"/>
        <item x="744"/>
        <item x="11"/>
        <item x="611"/>
        <item x="782"/>
        <item x="175"/>
        <item x="316"/>
        <item x="262"/>
        <item x="117"/>
        <item x="574"/>
        <item x="540"/>
        <item x="552"/>
        <item x="295"/>
        <item x="283"/>
        <item x="336"/>
        <item x="800"/>
        <item x="231"/>
        <item x="607"/>
        <item x="364"/>
        <item x="18"/>
        <item x="119"/>
        <item x="127"/>
        <item x="753"/>
        <item x="71"/>
        <item x="533"/>
        <item x="789"/>
        <item x="66"/>
        <item x="339"/>
        <item x="224"/>
        <item x="682"/>
        <item x="86"/>
        <item x="144"/>
        <item x="305"/>
        <item x="209"/>
        <item x="252"/>
        <item x="680"/>
        <item x="108"/>
        <item x="563"/>
        <item x="590"/>
        <item x="664"/>
        <item x="79"/>
        <item x="545"/>
        <item x="517"/>
        <item x="327"/>
        <item x="624"/>
        <item x="714"/>
        <item x="113"/>
        <item x="116"/>
        <item x="642"/>
        <item x="660"/>
        <item x="407"/>
        <item x="628"/>
        <item x="546"/>
        <item x="234"/>
        <item x="366"/>
        <item x="98"/>
        <item x="225"/>
        <item x="80"/>
        <item x="729"/>
        <item x="72"/>
        <item x="57"/>
        <item x="10"/>
        <item x="496"/>
        <item x="512"/>
        <item x="260"/>
        <item x="90"/>
        <item x="306"/>
        <item x="613"/>
        <item x="151"/>
        <item x="200"/>
        <item x="162"/>
        <item x="185"/>
        <item x="170"/>
        <item x="87"/>
        <item x="464"/>
        <item x="685"/>
        <item x="359"/>
        <item x="668"/>
        <item x="504"/>
        <item x="120"/>
        <item x="62"/>
        <item x="472"/>
        <item x="397"/>
        <item x="804"/>
        <item x="535"/>
        <item x="723"/>
        <item x="562"/>
        <item x="101"/>
        <item x="618"/>
        <item x="311"/>
        <item x="269"/>
        <item x="310"/>
        <item x="703"/>
        <item x="695"/>
        <item x="736"/>
        <item x="443"/>
        <item x="266"/>
        <item x="65"/>
        <item x="374"/>
        <item x="210"/>
        <item x="571"/>
        <item x="709"/>
        <item x="713"/>
        <item x="32"/>
        <item x="292"/>
        <item x="212"/>
        <item x="425"/>
        <item x="575"/>
        <item x="579"/>
        <item x="663"/>
        <item x="274"/>
        <item x="467"/>
        <item x="264"/>
        <item x="691"/>
        <item x="595"/>
        <item x="129"/>
        <item x="9"/>
        <item x="779"/>
        <item x="558"/>
        <item x="474"/>
        <item x="487"/>
        <item x="797"/>
        <item x="169"/>
        <item x="788"/>
        <item x="174"/>
        <item x="308"/>
        <item x="272"/>
        <item x="447"/>
        <item x="433"/>
        <item x="321"/>
        <item x="783"/>
        <item x="48"/>
        <item x="597"/>
        <item x="538"/>
        <item x="217"/>
        <item x="54"/>
        <item x="246"/>
        <item x="756"/>
        <item x="463"/>
        <item x="596"/>
        <item x="13"/>
        <item x="35"/>
        <item x="112"/>
        <item x="644"/>
        <item x="19"/>
        <item x="214"/>
        <item x="731"/>
        <item x="557"/>
        <item x="5"/>
        <item x="491"/>
        <item x="375"/>
        <item x="688"/>
        <item x="559"/>
        <item x="382"/>
        <item x="622"/>
        <item x="141"/>
        <item x="694"/>
        <item x="748"/>
        <item x="550"/>
        <item x="51"/>
        <item x="138"/>
        <item x="410"/>
        <item x="228"/>
        <item x="68"/>
        <item x="750"/>
        <item x="381"/>
        <item x="569"/>
        <item x="192"/>
        <item x="389"/>
        <item x="621"/>
        <item x="341"/>
        <item x="263"/>
        <item x="60"/>
        <item x="705"/>
        <item x="99"/>
        <item x="63"/>
        <item x="803"/>
        <item x="161"/>
        <item x="671"/>
        <item x="795"/>
        <item x="157"/>
        <item x="253"/>
        <item x="706"/>
        <item x="465"/>
        <item x="96"/>
        <item x="184"/>
        <item x="240"/>
        <item x="716"/>
        <item x="331"/>
        <item x="505"/>
        <item x="280"/>
        <item x="451"/>
        <item x="449"/>
        <item x="454"/>
        <item x="635"/>
        <item x="781"/>
        <item x="229"/>
        <item x="777"/>
        <item x="734"/>
        <item x="249"/>
        <item x="556"/>
        <item x="270"/>
        <item x="515"/>
        <item x="778"/>
        <item x="432"/>
        <item x="243"/>
        <item x="293"/>
        <item x="259"/>
        <item x="257"/>
        <item x="361"/>
        <item x="386"/>
        <item x="6"/>
        <item x="591"/>
        <item x="587"/>
        <item x="675"/>
        <item x="572"/>
        <item x="330"/>
        <item x="103"/>
        <item x="248"/>
        <item x="286"/>
        <item x="309"/>
        <item x="605"/>
        <item x="599"/>
        <item x="219"/>
        <item x="409"/>
        <item x="221"/>
        <item x="220"/>
        <item x="390"/>
        <item x="218"/>
        <item x="395"/>
        <item x="604"/>
        <item x="600"/>
        <item x="598"/>
        <item x="147"/>
        <item x="576"/>
        <item x="14"/>
        <item x="282"/>
        <item x="29"/>
        <item x="345"/>
        <item x="790"/>
        <item x="436"/>
        <item x="301"/>
        <item x="242"/>
        <item x="711"/>
        <item x="701"/>
        <item x="31"/>
        <item x="507"/>
        <item x="638"/>
        <item x="64"/>
        <item x="726"/>
        <item x="136"/>
        <item x="206"/>
        <item x="633"/>
        <item x="267"/>
        <item x="481"/>
        <item x="497"/>
        <item x="791"/>
        <item x="620"/>
        <item x="561"/>
        <item x="801"/>
        <item x="560"/>
        <item x="798"/>
        <item x="509"/>
        <item x="387"/>
        <item x="785"/>
        <item x="752"/>
        <item x="445"/>
        <item x="265"/>
        <item x="211"/>
        <item x="521"/>
        <item x="656"/>
        <item x="163"/>
        <item x="0"/>
        <item x="36"/>
        <item t="default"/>
      </items>
    </pivotField>
    <pivotField showAll="0"/>
    <pivotField axis="axisCol" showAll="0">
      <items count="8">
        <item x="4"/>
        <item x="0"/>
        <item x="5"/>
        <item x="3"/>
        <item m="1" x="6"/>
        <item x="1"/>
        <item x="2"/>
        <item t="default"/>
      </items>
    </pivotField>
    <pivotField axis="axisRow" showAll="0">
      <items count="57">
        <item h="1" m="1" x="42"/>
        <item h="1" m="1" x="48"/>
        <item h="1" x="32"/>
        <item h="1" x="24"/>
        <item h="1" x="6"/>
        <item h="1" m="1" x="45"/>
        <item h="1" m="1" x="53"/>
        <item h="1" x="25"/>
        <item h="1" m="1" x="43"/>
        <item h="1" m="1" x="55"/>
        <item h="1" x="14"/>
        <item h="1" x="2"/>
        <item h="1" x="23"/>
        <item h="1" x="37"/>
        <item h="1" m="1" x="50"/>
        <item h="1" x="1"/>
        <item h="1" m="1" x="46"/>
        <item h="1" x="21"/>
        <item h="1" x="34"/>
        <item h="1" x="22"/>
        <item h="1" m="1" x="47"/>
        <item h="1" m="1" x="41"/>
        <item h="1" x="7"/>
        <item h="1" x="26"/>
        <item h="1" x="9"/>
        <item h="1" x="8"/>
        <item h="1" x="10"/>
        <item h="1" x="11"/>
        <item h="1" x="33"/>
        <item h="1" m="1" x="49"/>
        <item h="1" m="1" x="52"/>
        <item h="1" x="5"/>
        <item h="1" x="39"/>
        <item h="1" x="29"/>
        <item h="1" x="28"/>
        <item h="1" x="19"/>
        <item h="1" x="3"/>
        <item h="1" x="20"/>
        <item h="1" x="27"/>
        <item h="1" x="31"/>
        <item h="1" x="16"/>
        <item h="1" m="1" x="54"/>
        <item h="1" x="18"/>
        <item h="1" x="4"/>
        <item h="1" m="1" x="51"/>
        <item h="1" x="17"/>
        <item h="1" m="1" x="44"/>
        <item h="1" x="15"/>
        <item h="1" x="30"/>
        <item h="1" x="13"/>
        <item x="36"/>
        <item h="1" x="12"/>
        <item h="1" x="35"/>
        <item h="1" m="1" x="40"/>
        <item h="1" x="0"/>
        <item h="1" x="38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8"/>
    <field x="5"/>
  </rowFields>
  <rowItems count="8">
    <i>
      <x v="50"/>
    </i>
    <i r="1">
      <x v="114"/>
    </i>
    <i r="1">
      <x v="127"/>
    </i>
    <i r="1">
      <x v="337"/>
    </i>
    <i r="1">
      <x v="415"/>
    </i>
    <i r="1">
      <x v="569"/>
    </i>
    <i r="1">
      <x v="618"/>
    </i>
    <i t="grand">
      <x/>
    </i>
  </rowItems>
  <colFields count="1">
    <field x="7"/>
  </colFields>
  <colItems count="4">
    <i>
      <x/>
    </i>
    <i>
      <x v="2"/>
    </i>
    <i>
      <x v="5"/>
    </i>
    <i t="grand">
      <x/>
    </i>
  </colItems>
  <dataFields count="1">
    <dataField name="Sum of DrCr" fld="13" baseField="0" baseItem="0" numFmtId="44"/>
  </dataFields>
  <formats count="2">
    <format dxfId="1">
      <pivotArea collapsedLevelsAreSubtotals="1" fieldPosition="0">
        <references count="2">
          <reference field="5" count="7">
            <x v="114"/>
            <x v="127"/>
            <x v="337"/>
            <x v="415"/>
            <x v="569"/>
            <x v="618"/>
            <x v="804"/>
          </reference>
          <reference field="8" count="0" selected="0"/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D126" totalsRowShown="0">
  <autoFilter ref="A1:D126" xr:uid="{00000000-0009-0000-0100-000002000000}">
    <filterColumn colId="3">
      <filters>
        <filter val="1,018.19"/>
        <filter val="1,077.08"/>
        <filter val="1,304.87"/>
        <filter val="-1,308.44"/>
        <filter val="1,479.01"/>
        <filter val="1,930.83"/>
        <filter val="1,955.89"/>
        <filter val="1,981.52"/>
        <filter val="113,887.89"/>
        <filter val="116.25"/>
        <filter val="117.28"/>
        <filter val="124.04"/>
        <filter val="124.05"/>
        <filter val="125.88"/>
        <filter val="127.50"/>
        <filter val="13,251.88"/>
        <filter val="130.84"/>
        <filter val="-14.14"/>
        <filter val="148.39"/>
        <filter val="-15.00"/>
        <filter val="163.18"/>
        <filter val="17,327.90"/>
        <filter val="174.00"/>
        <filter val="19.00"/>
        <filter val="2,031.82"/>
        <filter val="2,058.58"/>
        <filter val="2,143.00"/>
        <filter val="2,353.83"/>
        <filter val="2,381.72"/>
        <filter val="2,457.57"/>
        <filter val="2,457.89"/>
        <filter val="2,588.08"/>
        <filter val="2,816.69"/>
        <filter val="21,261.27"/>
        <filter val="-224.23"/>
        <filter val="281.57"/>
        <filter val="286.47"/>
        <filter val="297.99"/>
        <filter val="3,223.56"/>
        <filter val="3,282.29"/>
        <filter val="3,497.45"/>
        <filter val="3,627.10"/>
        <filter val="3,864.51"/>
        <filter val="3,869.32"/>
        <filter val="3,881.85"/>
        <filter val="30,393.28"/>
        <filter val="319.93"/>
        <filter val="32.19"/>
        <filter val="32.64"/>
        <filter val="332.33"/>
        <filter val="335.32"/>
        <filter val="350.05"/>
        <filter val="351.49"/>
        <filter val="353.80"/>
        <filter val="4,415.02"/>
        <filter val="416.62"/>
        <filter val="43.95"/>
        <filter val="467.01"/>
        <filter val="467.50"/>
        <filter val="49.60"/>
        <filter val="49.71"/>
        <filter val="528.63"/>
        <filter val="53.23"/>
        <filter val="531.17"/>
        <filter val="55.71"/>
        <filter val="6,200.00"/>
        <filter val="6,574.62"/>
        <filter val="-603.97"/>
        <filter val="623.85"/>
        <filter val="626.20"/>
        <filter val="63,364.42"/>
        <filter val="7,220.76"/>
        <filter val="717.84"/>
        <filter val="773.37"/>
        <filter val="-798.27"/>
        <filter val="8,879.75"/>
        <filter val="82,801.55"/>
        <filter val="823.28"/>
        <filter val="83.64"/>
        <filter val="852.12"/>
        <filter val="855.99"/>
        <filter val="9,580.88"/>
        <filter val="934.93"/>
        <filter val="978.54"/>
      </filters>
    </filterColumn>
  </autoFilter>
  <sortState xmlns:xlrd2="http://schemas.microsoft.com/office/spreadsheetml/2017/richdata2" ref="A2:C126">
    <sortCondition ref="B1:B126"/>
  </sortState>
  <tableColumns count="4">
    <tableColumn id="1" xr3:uid="{00000000-0010-0000-0000-000001000000}" name="Column1" dataDxfId="36"/>
    <tableColumn id="2" xr3:uid="{00000000-0010-0000-0000-000002000000}" name="Column2" dataDxfId="35"/>
    <tableColumn id="4" xr3:uid="{00000000-0010-0000-0000-000004000000}" name="Column22" dataDxfId="34"/>
    <tableColumn id="3" xr3:uid="{00000000-0010-0000-0000-000003000000}" name="Column3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33:D216" totalsRowShown="0">
  <autoFilter ref="A133:D216" xr:uid="{00000000-0009-0000-0100-000003000000}"/>
  <sortState xmlns:xlrd2="http://schemas.microsoft.com/office/spreadsheetml/2017/richdata2" ref="A134:D216">
    <sortCondition ref="B133:B216"/>
  </sortState>
  <tableColumns count="4">
    <tableColumn id="1" xr3:uid="{00000000-0010-0000-0100-000001000000}" name="Column1" dataDxfId="32" dataCellStyle="Normal 2"/>
    <tableColumn id="2" xr3:uid="{00000000-0010-0000-0100-000002000000}" name="Column2"/>
    <tableColumn id="3" xr3:uid="{00000000-0010-0000-0100-000003000000}" name="Affiliate"/>
    <tableColumn id="4" xr3:uid="{00000000-0010-0000-0100-000004000000}" name="Balance" dataDxfId="31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N4583" totalsRowCount="1" headerRowDxfId="30" dataDxfId="28" headerRowBorderDxfId="29">
  <autoFilter ref="A1:N4582" xr:uid="{00000000-0009-0000-0100-000001000000}">
    <filterColumn colId="7">
      <filters>
        <filter val="Fundraising"/>
      </filters>
    </filterColumn>
  </autoFilter>
  <sortState xmlns:xlrd2="http://schemas.microsoft.com/office/spreadsheetml/2017/richdata2" ref="A2:N4554">
    <sortCondition ref="I1:I4582"/>
  </sortState>
  <tableColumns count="14">
    <tableColumn id="1" xr3:uid="{00000000-0010-0000-0200-000001000000}" name="acct#"/>
    <tableColumn id="2" xr3:uid="{00000000-0010-0000-0200-000002000000}" name="Account Description" dataDxfId="27" totalsRowDxfId="26"/>
    <tableColumn id="3" xr3:uid="{00000000-0010-0000-0200-000003000000}" name="Date" dataDxfId="25" totalsRowDxfId="24"/>
    <tableColumn id="4" xr3:uid="{00000000-0010-0000-0200-000004000000}" name="Transaction Type" dataDxfId="23" totalsRowDxfId="22"/>
    <tableColumn id="5" xr3:uid="{00000000-0010-0000-0200-000005000000}" name="Num" dataDxfId="21" totalsRowDxfId="20"/>
    <tableColumn id="6" xr3:uid="{00000000-0010-0000-0200-000006000000}" name="Name" dataDxfId="19" totalsRowDxfId="18"/>
    <tableColumn id="7" xr3:uid="{00000000-0010-0000-0200-000007000000}" name="Class" dataDxfId="17" totalsRowDxfId="16"/>
    <tableColumn id="13" xr3:uid="{00000000-0010-0000-0200-00000D000000}" name="Admin Prog Fund" dataDxfId="15" totalsRowDxfId="14"/>
    <tableColumn id="14" xr3:uid="{00000000-0010-0000-0200-00000E000000}" name="Column2" dataDxfId="13" totalsRowDxfId="12"/>
    <tableColumn id="8" xr3:uid="{00000000-0010-0000-0200-000008000000}" name="Memo/Description" dataDxfId="11" totalsRowDxfId="10"/>
    <tableColumn id="9" xr3:uid="{00000000-0010-0000-0200-000009000000}" name="Split" dataDxfId="9" totalsRowDxfId="8"/>
    <tableColumn id="10" xr3:uid="{00000000-0010-0000-0200-00000A000000}" name="Amount" totalsRowFunction="sum" dataDxfId="7" totalsRowDxfId="6" dataCellStyle="Comma"/>
    <tableColumn id="11" xr3:uid="{00000000-0010-0000-0200-00000B000000}" name="Balance" dataDxfId="5" totalsRowDxfId="4" dataCellStyle="Comma"/>
    <tableColumn id="12" xr3:uid="{00000000-0010-0000-0200-00000C000000}" name="DrCr" totalsRowFunction="sum" dataDxfId="3" totalsRowDxfId="2" dataCellStyle="Comma">
      <calculatedColumnFormula>IF(A2&lt;60000,-L2,+L2)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D28" sqref="D28"/>
    </sheetView>
  </sheetViews>
  <sheetFormatPr defaultRowHeight="12.75" x14ac:dyDescent="0.2"/>
  <cols>
    <col min="1" max="1" width="4.85546875" customWidth="1"/>
    <col min="6" max="6" width="14.7109375" customWidth="1"/>
    <col min="7" max="7" width="7.7109375" customWidth="1"/>
    <col min="8" max="8" width="12.5703125" bestFit="1" customWidth="1"/>
  </cols>
  <sheetData>
    <row r="1" spans="1:8" x14ac:dyDescent="0.2">
      <c r="A1" s="27" t="s">
        <v>1513</v>
      </c>
    </row>
    <row r="2" spans="1:8" x14ac:dyDescent="0.2">
      <c r="A2" s="27" t="s">
        <v>1515</v>
      </c>
    </row>
    <row r="3" spans="1:8" x14ac:dyDescent="0.2">
      <c r="A3" s="27" t="s">
        <v>2125</v>
      </c>
    </row>
    <row r="5" spans="1:8" x14ac:dyDescent="0.2">
      <c r="F5" s="16" t="s">
        <v>2124</v>
      </c>
      <c r="G5" s="16"/>
      <c r="H5" s="16" t="s">
        <v>1520</v>
      </c>
    </row>
    <row r="6" spans="1:8" x14ac:dyDescent="0.2">
      <c r="A6" s="26"/>
      <c r="F6" s="36">
        <v>2014</v>
      </c>
      <c r="G6" s="16"/>
      <c r="H6" s="36">
        <v>2013</v>
      </c>
    </row>
    <row r="7" spans="1:8" x14ac:dyDescent="0.2">
      <c r="A7" s="26"/>
    </row>
    <row r="8" spans="1:8" x14ac:dyDescent="0.2">
      <c r="A8" s="26" t="s">
        <v>1516</v>
      </c>
      <c r="E8" s="24"/>
      <c r="F8" s="24"/>
      <c r="G8" s="24"/>
      <c r="H8" s="24"/>
    </row>
    <row r="9" spans="1:8" x14ac:dyDescent="0.2">
      <c r="B9" s="26" t="s">
        <v>366</v>
      </c>
      <c r="E9" s="24"/>
      <c r="F9" s="24">
        <f>ROUND(+'Oct Balance Sheet'!B98,0)</f>
        <v>407793</v>
      </c>
      <c r="G9" s="24"/>
      <c r="H9" s="35">
        <v>381236</v>
      </c>
    </row>
    <row r="10" spans="1:8" x14ac:dyDescent="0.2">
      <c r="B10" s="26" t="s">
        <v>1517</v>
      </c>
      <c r="E10" s="24"/>
      <c r="F10" s="24">
        <f>+'Oct Balance Sheet'!B100</f>
        <v>16000</v>
      </c>
      <c r="G10" s="24"/>
      <c r="H10" s="24">
        <v>44781</v>
      </c>
    </row>
    <row r="11" spans="1:8" x14ac:dyDescent="0.2">
      <c r="B11" s="26" t="s">
        <v>1518</v>
      </c>
      <c r="E11" s="24"/>
      <c r="F11" s="28">
        <f>ROUND(+'Oct Balance Sheet'!B108,0)</f>
        <v>7043</v>
      </c>
      <c r="G11" s="24"/>
      <c r="H11" s="28">
        <v>7042</v>
      </c>
    </row>
    <row r="12" spans="1:8" x14ac:dyDescent="0.2">
      <c r="E12" s="24"/>
      <c r="F12" s="24"/>
      <c r="G12" s="24"/>
      <c r="H12" s="24"/>
    </row>
    <row r="13" spans="1:8" ht="13.5" thickBot="1" x14ac:dyDescent="0.25">
      <c r="A13" s="26" t="s">
        <v>1519</v>
      </c>
      <c r="E13" s="24"/>
      <c r="F13" s="34">
        <f>SUM(F9:F12)</f>
        <v>430836</v>
      </c>
      <c r="G13" s="24"/>
      <c r="H13" s="34">
        <f>SUM(H9:H12)</f>
        <v>433059</v>
      </c>
    </row>
    <row r="14" spans="1:8" ht="13.5" thickTop="1" x14ac:dyDescent="0.2">
      <c r="E14" s="24"/>
      <c r="F14" s="24"/>
      <c r="G14" s="24"/>
      <c r="H14" s="24"/>
    </row>
    <row r="15" spans="1:8" x14ac:dyDescent="0.2">
      <c r="E15" s="24"/>
      <c r="F15" s="24"/>
      <c r="G15" s="24"/>
      <c r="H15" s="24"/>
    </row>
    <row r="16" spans="1:8" x14ac:dyDescent="0.2">
      <c r="A16" s="26" t="s">
        <v>1521</v>
      </c>
      <c r="E16" s="24"/>
      <c r="F16" s="24"/>
      <c r="G16" s="24"/>
      <c r="H16" s="24"/>
    </row>
    <row r="17" spans="1:8" x14ac:dyDescent="0.2">
      <c r="B17" s="26" t="s">
        <v>1522</v>
      </c>
      <c r="E17" s="24"/>
      <c r="F17" s="24">
        <f>ROUND(+'Oct Balance Sheet'!B121+'Oct Balance Sheet'!B114,0)</f>
        <v>5450</v>
      </c>
      <c r="G17" s="24"/>
      <c r="H17" s="35">
        <v>21902</v>
      </c>
    </row>
    <row r="18" spans="1:8" x14ac:dyDescent="0.2">
      <c r="E18" s="24"/>
      <c r="F18" s="24"/>
      <c r="G18" s="24"/>
      <c r="H18" s="24"/>
    </row>
    <row r="19" spans="1:8" x14ac:dyDescent="0.2">
      <c r="A19" s="26" t="s">
        <v>1523</v>
      </c>
      <c r="E19" s="24"/>
      <c r="F19" s="28">
        <f>ROUND(+'Oct Balance Sheet'!B128,0)</f>
        <v>425386</v>
      </c>
      <c r="G19" s="24"/>
      <c r="H19" s="28">
        <v>411157</v>
      </c>
    </row>
    <row r="20" spans="1:8" x14ac:dyDescent="0.2">
      <c r="E20" s="24"/>
      <c r="F20" s="24"/>
      <c r="G20" s="24"/>
      <c r="H20" s="24"/>
    </row>
    <row r="21" spans="1:8" ht="13.5" thickBot="1" x14ac:dyDescent="0.25">
      <c r="A21" s="26" t="s">
        <v>1524</v>
      </c>
      <c r="E21" s="24"/>
      <c r="F21" s="34">
        <f>+F17+F19</f>
        <v>430836</v>
      </c>
      <c r="G21" s="24"/>
      <c r="H21" s="34">
        <f>+H17+H19</f>
        <v>433059</v>
      </c>
    </row>
    <row r="22" spans="1:8" ht="13.5" thickTop="1" x14ac:dyDescent="0.2">
      <c r="E22" s="24"/>
      <c r="F22" s="24"/>
      <c r="G22" s="24"/>
      <c r="H22" s="24"/>
    </row>
    <row r="23" spans="1:8" x14ac:dyDescent="0.2">
      <c r="E23" s="24"/>
      <c r="F23" s="24"/>
      <c r="G23" s="24"/>
      <c r="H23" s="24"/>
    </row>
    <row r="24" spans="1:8" x14ac:dyDescent="0.2">
      <c r="E24" s="24"/>
      <c r="F24" s="24"/>
      <c r="G24" s="24"/>
      <c r="H24" s="24"/>
    </row>
    <row r="25" spans="1:8" x14ac:dyDescent="0.2">
      <c r="E25" s="24"/>
      <c r="F25" s="24"/>
      <c r="G25" s="24"/>
      <c r="H25" s="24"/>
    </row>
    <row r="26" spans="1:8" x14ac:dyDescent="0.2">
      <c r="E26" s="24"/>
      <c r="F26" s="24"/>
      <c r="G26" s="24"/>
      <c r="H26" s="24"/>
    </row>
    <row r="27" spans="1:8" x14ac:dyDescent="0.2">
      <c r="E27" s="24"/>
      <c r="F27" s="24"/>
      <c r="G27" s="24"/>
      <c r="H27" s="24"/>
    </row>
    <row r="28" spans="1:8" x14ac:dyDescent="0.2">
      <c r="E28" s="24"/>
      <c r="F28" s="24"/>
      <c r="G28" s="24"/>
      <c r="H28" s="24"/>
    </row>
    <row r="29" spans="1:8" x14ac:dyDescent="0.2">
      <c r="E29" s="24"/>
      <c r="F29" s="24"/>
      <c r="G29" s="24"/>
      <c r="H29" s="24"/>
    </row>
    <row r="30" spans="1:8" x14ac:dyDescent="0.2">
      <c r="E30" s="24"/>
      <c r="F30" s="24"/>
      <c r="G30" s="24"/>
      <c r="H30" s="24"/>
    </row>
    <row r="31" spans="1:8" x14ac:dyDescent="0.2">
      <c r="E31" s="24"/>
      <c r="F31" s="24"/>
      <c r="G31" s="24"/>
      <c r="H31" s="24"/>
    </row>
    <row r="32" spans="1:8" x14ac:dyDescent="0.2">
      <c r="E32" s="24"/>
      <c r="F32" s="24"/>
      <c r="G32" s="24"/>
      <c r="H32" s="24"/>
    </row>
    <row r="33" spans="5:8" x14ac:dyDescent="0.2">
      <c r="E33" s="24"/>
      <c r="F33" s="24"/>
      <c r="G33" s="24"/>
      <c r="H33" s="24"/>
    </row>
    <row r="34" spans="5:8" x14ac:dyDescent="0.2">
      <c r="E34" s="24"/>
      <c r="F34" s="24"/>
      <c r="G34" s="24"/>
      <c r="H34" s="24"/>
    </row>
    <row r="35" spans="5:8" x14ac:dyDescent="0.2">
      <c r="E35" s="24"/>
      <c r="F35" s="24"/>
      <c r="G35" s="24"/>
      <c r="H35" s="24"/>
    </row>
    <row r="36" spans="5:8" x14ac:dyDescent="0.2">
      <c r="E36" s="24"/>
      <c r="F36" s="24"/>
      <c r="G36" s="24"/>
      <c r="H36" s="24"/>
    </row>
    <row r="37" spans="5:8" x14ac:dyDescent="0.2">
      <c r="E37" s="24"/>
      <c r="F37" s="24"/>
      <c r="G37" s="24"/>
      <c r="H37" s="24"/>
    </row>
    <row r="38" spans="5:8" x14ac:dyDescent="0.2">
      <c r="E38" s="24"/>
      <c r="F38" s="24"/>
      <c r="G38" s="24"/>
      <c r="H38" s="24"/>
    </row>
    <row r="39" spans="5:8" x14ac:dyDescent="0.2">
      <c r="E39" s="24"/>
      <c r="F39" s="24"/>
      <c r="G39" s="24"/>
      <c r="H39" s="2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818"/>
  <sheetViews>
    <sheetView workbookViewId="0">
      <selection activeCell="A40" sqref="A40"/>
    </sheetView>
  </sheetViews>
  <sheetFormatPr defaultRowHeight="12.75" x14ac:dyDescent="0.2"/>
  <cols>
    <col min="2" max="2" width="28.7109375" style="43" bestFit="1" customWidth="1"/>
    <col min="3" max="3" width="11" style="43" customWidth="1"/>
    <col min="4" max="4" width="17.140625" style="43" customWidth="1"/>
    <col min="5" max="5" width="11" style="43" customWidth="1"/>
    <col min="6" max="6" width="38.7109375" style="43" bestFit="1" customWidth="1"/>
    <col min="7" max="7" width="21" style="43" customWidth="1"/>
    <col min="8" max="8" width="26.140625" style="43" customWidth="1"/>
    <col min="9" max="9" width="21" style="43" customWidth="1"/>
    <col min="10" max="10" width="51.7109375" bestFit="1" customWidth="1"/>
    <col min="11" max="11" width="45.28515625" bestFit="1" customWidth="1"/>
    <col min="12" max="12" width="11.85546875" bestFit="1" customWidth="1"/>
    <col min="13" max="13" width="12.5703125" style="10" bestFit="1" customWidth="1"/>
    <col min="14" max="14" width="11.140625" style="10" bestFit="1" customWidth="1"/>
  </cols>
  <sheetData>
    <row r="1" spans="1:14" ht="12.75" customHeight="1" x14ac:dyDescent="0.2">
      <c r="A1" s="2" t="s">
        <v>1270</v>
      </c>
      <c r="B1" s="42" t="s">
        <v>1271</v>
      </c>
      <c r="C1" s="42" t="s">
        <v>1222</v>
      </c>
      <c r="D1" s="42" t="s">
        <v>1221</v>
      </c>
      <c r="E1" s="42" t="s">
        <v>1220</v>
      </c>
      <c r="F1" s="42" t="s">
        <v>1219</v>
      </c>
      <c r="G1" s="42" t="s">
        <v>1218</v>
      </c>
      <c r="H1" s="42" t="s">
        <v>1363</v>
      </c>
      <c r="I1" s="42" t="s">
        <v>1358</v>
      </c>
      <c r="J1" s="2" t="s">
        <v>1217</v>
      </c>
      <c r="K1" s="2" t="s">
        <v>1216</v>
      </c>
      <c r="L1" s="2" t="s">
        <v>1215</v>
      </c>
      <c r="M1" s="8" t="s">
        <v>1214</v>
      </c>
      <c r="N1" s="8" t="s">
        <v>1273</v>
      </c>
    </row>
    <row r="2" spans="1:14" ht="12.75" customHeight="1" x14ac:dyDescent="0.2">
      <c r="A2">
        <v>44810</v>
      </c>
      <c r="B2" s="3" t="s">
        <v>1232</v>
      </c>
      <c r="C2" s="7" t="s">
        <v>415</v>
      </c>
      <c r="D2" s="7" t="s">
        <v>242</v>
      </c>
      <c r="G2" s="7" t="s">
        <v>182</v>
      </c>
      <c r="H2" s="7" t="s">
        <v>1359</v>
      </c>
      <c r="I2" s="7" t="s">
        <v>2147</v>
      </c>
      <c r="J2" s="7" t="s">
        <v>1127</v>
      </c>
      <c r="K2" s="7" t="s">
        <v>198</v>
      </c>
      <c r="L2" s="11">
        <v>500</v>
      </c>
      <c r="M2" s="11">
        <v>500</v>
      </c>
      <c r="N2" s="9">
        <f>IF(A2&lt;60000,-L2,+L2)</f>
        <v>-500</v>
      </c>
    </row>
    <row r="3" spans="1:14" ht="12.75" customHeight="1" x14ac:dyDescent="0.2">
      <c r="A3">
        <v>44810</v>
      </c>
      <c r="B3" s="3" t="s">
        <v>1232</v>
      </c>
      <c r="C3" s="7" t="s">
        <v>710</v>
      </c>
      <c r="D3" s="7" t="s">
        <v>242</v>
      </c>
      <c r="F3" s="7" t="s">
        <v>1096</v>
      </c>
      <c r="G3" s="7" t="s">
        <v>182</v>
      </c>
      <c r="H3" s="7" t="s">
        <v>1359</v>
      </c>
      <c r="I3" s="7" t="s">
        <v>2147</v>
      </c>
      <c r="J3" s="7" t="s">
        <v>1126</v>
      </c>
      <c r="K3" s="7" t="s">
        <v>198</v>
      </c>
      <c r="L3" s="11">
        <v>250</v>
      </c>
      <c r="M3" s="11">
        <v>750</v>
      </c>
      <c r="N3" s="9">
        <f>IF(A3&lt;60000,-L3,+L3)</f>
        <v>-250</v>
      </c>
    </row>
    <row r="4" spans="1:14" ht="12.75" customHeight="1" x14ac:dyDescent="0.2">
      <c r="A4">
        <v>44810</v>
      </c>
      <c r="B4" s="3" t="s">
        <v>1232</v>
      </c>
      <c r="C4" s="7" t="s">
        <v>1575</v>
      </c>
      <c r="D4" s="7" t="s">
        <v>242</v>
      </c>
      <c r="F4" s="7" t="s">
        <v>1731</v>
      </c>
      <c r="G4" s="7" t="s">
        <v>182</v>
      </c>
      <c r="H4" s="7" t="s">
        <v>1359</v>
      </c>
      <c r="I4" s="7" t="s">
        <v>2147</v>
      </c>
      <c r="J4" s="39" t="s">
        <v>1732</v>
      </c>
      <c r="K4" s="39" t="s">
        <v>198</v>
      </c>
      <c r="L4" s="40">
        <v>1500</v>
      </c>
      <c r="M4" s="40">
        <v>2250</v>
      </c>
      <c r="N4" s="41">
        <f>-L4</f>
        <v>-1500</v>
      </c>
    </row>
    <row r="5" spans="1:14" ht="12.75" customHeight="1" x14ac:dyDescent="0.2">
      <c r="A5">
        <v>44810</v>
      </c>
      <c r="B5" s="3" t="s">
        <v>1232</v>
      </c>
      <c r="C5" s="7" t="s">
        <v>1553</v>
      </c>
      <c r="D5" s="7" t="s">
        <v>242</v>
      </c>
      <c r="G5" s="7" t="s">
        <v>182</v>
      </c>
      <c r="H5" s="7" t="s">
        <v>1359</v>
      </c>
      <c r="I5" s="7" t="s">
        <v>2147</v>
      </c>
      <c r="J5" s="39" t="s">
        <v>1733</v>
      </c>
      <c r="K5" s="39" t="s">
        <v>198</v>
      </c>
      <c r="L5" s="40">
        <v>2000</v>
      </c>
      <c r="M5" s="40">
        <v>4250</v>
      </c>
      <c r="N5" s="41">
        <f>-L5</f>
        <v>-2000</v>
      </c>
    </row>
    <row r="6" spans="1:14" ht="12.75" customHeight="1" x14ac:dyDescent="0.2">
      <c r="A6">
        <v>43400</v>
      </c>
      <c r="B6" s="3" t="s">
        <v>1224</v>
      </c>
      <c r="C6" s="7" t="s">
        <v>980</v>
      </c>
      <c r="D6" s="7" t="s">
        <v>242</v>
      </c>
      <c r="F6" s="7" t="s">
        <v>665</v>
      </c>
      <c r="G6" s="7" t="s">
        <v>1572</v>
      </c>
      <c r="H6" s="7" t="s">
        <v>1359</v>
      </c>
      <c r="I6" s="7" t="s">
        <v>1224</v>
      </c>
      <c r="K6" s="7" t="s">
        <v>1129</v>
      </c>
      <c r="L6" s="11">
        <v>2000</v>
      </c>
      <c r="M6" s="11">
        <v>-29554.89</v>
      </c>
      <c r="N6" s="9">
        <f t="shared" ref="N6:N37" si="0">IF(A6&lt;60000,-L6,+L6)</f>
        <v>-2000</v>
      </c>
    </row>
    <row r="7" spans="1:14" ht="12.75" customHeight="1" x14ac:dyDescent="0.2">
      <c r="A7">
        <v>43400</v>
      </c>
      <c r="B7" s="3" t="s">
        <v>1224</v>
      </c>
      <c r="C7" s="7" t="s">
        <v>980</v>
      </c>
      <c r="D7" s="7" t="s">
        <v>242</v>
      </c>
      <c r="F7" s="7" t="s">
        <v>1209</v>
      </c>
      <c r="G7" s="7" t="s">
        <v>1572</v>
      </c>
      <c r="H7" s="7" t="s">
        <v>1359</v>
      </c>
      <c r="I7" s="7" t="s">
        <v>1224</v>
      </c>
      <c r="K7" s="7" t="s">
        <v>1129</v>
      </c>
      <c r="L7" s="11">
        <v>1000</v>
      </c>
      <c r="M7" s="11">
        <v>-28554.89</v>
      </c>
      <c r="N7" s="9">
        <f t="shared" si="0"/>
        <v>-1000</v>
      </c>
    </row>
    <row r="8" spans="1:14" ht="12.75" customHeight="1" x14ac:dyDescent="0.2">
      <c r="A8">
        <v>43400</v>
      </c>
      <c r="B8" s="3" t="s">
        <v>1224</v>
      </c>
      <c r="C8" s="7" t="s">
        <v>897</v>
      </c>
      <c r="D8" s="7" t="s">
        <v>242</v>
      </c>
      <c r="F8" s="7" t="s">
        <v>665</v>
      </c>
      <c r="G8" s="7" t="s">
        <v>1572</v>
      </c>
      <c r="H8" s="7" t="s">
        <v>1359</v>
      </c>
      <c r="I8" s="7" t="s">
        <v>1224</v>
      </c>
      <c r="K8" s="7" t="s">
        <v>202</v>
      </c>
      <c r="L8" s="11">
        <v>4.79</v>
      </c>
      <c r="M8" s="11">
        <v>54730.16</v>
      </c>
      <c r="N8" s="9">
        <f t="shared" si="0"/>
        <v>-4.79</v>
      </c>
    </row>
    <row r="9" spans="1:14" ht="12.75" customHeight="1" x14ac:dyDescent="0.2">
      <c r="A9">
        <v>43400</v>
      </c>
      <c r="B9" s="3" t="s">
        <v>1224</v>
      </c>
      <c r="C9" s="7" t="s">
        <v>897</v>
      </c>
      <c r="D9" s="7" t="s">
        <v>242</v>
      </c>
      <c r="F9" s="7" t="s">
        <v>665</v>
      </c>
      <c r="G9" s="7" t="s">
        <v>1572</v>
      </c>
      <c r="H9" s="7" t="s">
        <v>1359</v>
      </c>
      <c r="I9" s="7" t="s">
        <v>1224</v>
      </c>
      <c r="K9" s="7" t="s">
        <v>1129</v>
      </c>
      <c r="L9" s="11">
        <v>1257.26</v>
      </c>
      <c r="M9" s="11">
        <v>60037.42</v>
      </c>
      <c r="N9" s="9">
        <f t="shared" si="0"/>
        <v>-1257.26</v>
      </c>
    </row>
    <row r="10" spans="1:14" ht="12.75" customHeight="1" x14ac:dyDescent="0.2">
      <c r="A10">
        <v>43400</v>
      </c>
      <c r="B10" s="3" t="s">
        <v>1224</v>
      </c>
      <c r="C10" s="7" t="s">
        <v>417</v>
      </c>
      <c r="D10" s="7" t="s">
        <v>242</v>
      </c>
      <c r="F10" s="7" t="s">
        <v>665</v>
      </c>
      <c r="G10" s="7" t="s">
        <v>1572</v>
      </c>
      <c r="H10" s="7" t="s">
        <v>1359</v>
      </c>
      <c r="I10" s="7" t="s">
        <v>1224</v>
      </c>
      <c r="K10" s="7" t="s">
        <v>1129</v>
      </c>
      <c r="L10" s="11">
        <v>3060</v>
      </c>
      <c r="M10" s="11">
        <v>128349.41</v>
      </c>
      <c r="N10" s="9">
        <f t="shared" si="0"/>
        <v>-3060</v>
      </c>
    </row>
    <row r="11" spans="1:14" ht="12.75" customHeight="1" x14ac:dyDescent="0.2">
      <c r="A11">
        <v>43400</v>
      </c>
      <c r="B11" s="3" t="s">
        <v>1224</v>
      </c>
      <c r="C11" s="7" t="s">
        <v>249</v>
      </c>
      <c r="D11" s="7" t="s">
        <v>242</v>
      </c>
      <c r="F11" s="7" t="s">
        <v>665</v>
      </c>
      <c r="G11" s="7" t="s">
        <v>1572</v>
      </c>
      <c r="H11" s="7" t="s">
        <v>1359</v>
      </c>
      <c r="I11" s="7" t="s">
        <v>1224</v>
      </c>
      <c r="K11" s="7" t="s">
        <v>1129</v>
      </c>
      <c r="L11" s="11">
        <v>450</v>
      </c>
      <c r="M11" s="11">
        <v>128924.41</v>
      </c>
      <c r="N11" s="9">
        <f t="shared" si="0"/>
        <v>-450</v>
      </c>
    </row>
    <row r="12" spans="1:14" ht="12.75" customHeight="1" x14ac:dyDescent="0.2">
      <c r="A12">
        <v>43400</v>
      </c>
      <c r="B12" s="3" t="s">
        <v>1224</v>
      </c>
      <c r="C12" s="7" t="s">
        <v>429</v>
      </c>
      <c r="D12" s="7" t="s">
        <v>242</v>
      </c>
      <c r="F12" s="7" t="s">
        <v>665</v>
      </c>
      <c r="G12" s="7" t="s">
        <v>1572</v>
      </c>
      <c r="H12" s="7" t="s">
        <v>1359</v>
      </c>
      <c r="I12" s="7" t="s">
        <v>1224</v>
      </c>
      <c r="K12" s="7" t="s">
        <v>1129</v>
      </c>
      <c r="L12" s="11">
        <v>40.299999999999997</v>
      </c>
      <c r="M12" s="11">
        <v>188763.61</v>
      </c>
      <c r="N12" s="9">
        <f t="shared" si="0"/>
        <v>-40.299999999999997</v>
      </c>
    </row>
    <row r="13" spans="1:14" ht="12.75" customHeight="1" x14ac:dyDescent="0.2">
      <c r="A13">
        <v>43400</v>
      </c>
      <c r="B13" s="3" t="s">
        <v>1224</v>
      </c>
      <c r="C13" s="7" t="s">
        <v>429</v>
      </c>
      <c r="D13" s="7" t="s">
        <v>242</v>
      </c>
      <c r="F13" s="7" t="s">
        <v>665</v>
      </c>
      <c r="G13" s="7" t="s">
        <v>1572</v>
      </c>
      <c r="H13" s="7" t="s">
        <v>1359</v>
      </c>
      <c r="I13" s="7" t="s">
        <v>1224</v>
      </c>
      <c r="K13" s="7" t="s">
        <v>1129</v>
      </c>
      <c r="L13" s="11">
        <v>88</v>
      </c>
      <c r="M13" s="11">
        <v>189636.61</v>
      </c>
      <c r="N13" s="9">
        <f t="shared" si="0"/>
        <v>-88</v>
      </c>
    </row>
    <row r="14" spans="1:14" ht="12.75" customHeight="1" x14ac:dyDescent="0.2">
      <c r="A14">
        <v>43400</v>
      </c>
      <c r="B14" s="3" t="s">
        <v>1224</v>
      </c>
      <c r="C14" s="7" t="s">
        <v>429</v>
      </c>
      <c r="D14" s="7" t="s">
        <v>242</v>
      </c>
      <c r="F14" s="7" t="s">
        <v>665</v>
      </c>
      <c r="G14" s="7" t="s">
        <v>1572</v>
      </c>
      <c r="H14" s="7" t="s">
        <v>1359</v>
      </c>
      <c r="I14" s="7" t="s">
        <v>1224</v>
      </c>
      <c r="K14" s="7" t="s">
        <v>1129</v>
      </c>
      <c r="L14" s="11">
        <v>250</v>
      </c>
      <c r="M14" s="11">
        <v>189886.61</v>
      </c>
      <c r="N14" s="9">
        <f t="shared" si="0"/>
        <v>-250</v>
      </c>
    </row>
    <row r="15" spans="1:14" ht="12.75" customHeight="1" x14ac:dyDescent="0.2">
      <c r="A15">
        <v>43400</v>
      </c>
      <c r="B15" s="3" t="s">
        <v>1224</v>
      </c>
      <c r="C15" s="7" t="s">
        <v>639</v>
      </c>
      <c r="D15" s="7" t="s">
        <v>242</v>
      </c>
      <c r="F15" s="7" t="s">
        <v>665</v>
      </c>
      <c r="G15" s="7" t="s">
        <v>1572</v>
      </c>
      <c r="H15" s="7" t="s">
        <v>1359</v>
      </c>
      <c r="I15" s="7" t="s">
        <v>1224</v>
      </c>
      <c r="K15" s="7" t="s">
        <v>1129</v>
      </c>
      <c r="L15" s="11">
        <v>1387.5</v>
      </c>
      <c r="M15" s="11">
        <v>193284.11</v>
      </c>
      <c r="N15" s="9">
        <f t="shared" si="0"/>
        <v>-1387.5</v>
      </c>
    </row>
    <row r="16" spans="1:14" ht="12.75" customHeight="1" x14ac:dyDescent="0.2">
      <c r="A16">
        <v>43400</v>
      </c>
      <c r="B16" s="3" t="s">
        <v>1224</v>
      </c>
      <c r="C16" s="7" t="s">
        <v>952</v>
      </c>
      <c r="D16" s="7" t="s">
        <v>242</v>
      </c>
      <c r="F16" s="7" t="s">
        <v>665</v>
      </c>
      <c r="G16" s="7" t="s">
        <v>1563</v>
      </c>
      <c r="H16" s="7" t="s">
        <v>1359</v>
      </c>
      <c r="I16" s="7" t="s">
        <v>1224</v>
      </c>
      <c r="J16" s="7" t="s">
        <v>1199</v>
      </c>
      <c r="K16" s="7" t="s">
        <v>1198</v>
      </c>
      <c r="L16" s="11">
        <v>820</v>
      </c>
      <c r="M16" s="11">
        <v>4003.43</v>
      </c>
      <c r="N16" s="9">
        <f t="shared" si="0"/>
        <v>-820</v>
      </c>
    </row>
    <row r="17" spans="1:14" ht="12.75" customHeight="1" x14ac:dyDescent="0.2">
      <c r="A17">
        <v>43400</v>
      </c>
      <c r="B17" s="3" t="s">
        <v>1224</v>
      </c>
      <c r="C17" s="7" t="s">
        <v>431</v>
      </c>
      <c r="D17" s="7" t="s">
        <v>183</v>
      </c>
      <c r="E17" s="7">
        <v>524</v>
      </c>
      <c r="G17" s="7" t="s">
        <v>1563</v>
      </c>
      <c r="H17" s="7" t="s">
        <v>1359</v>
      </c>
      <c r="I17" s="7" t="s">
        <v>1224</v>
      </c>
      <c r="J17" s="7" t="s">
        <v>425</v>
      </c>
      <c r="K17" s="7" t="s">
        <v>180</v>
      </c>
      <c r="L17" s="11">
        <v>50</v>
      </c>
      <c r="M17" s="11">
        <v>157658.07999999999</v>
      </c>
      <c r="N17" s="9">
        <f t="shared" si="0"/>
        <v>-50</v>
      </c>
    </row>
    <row r="18" spans="1:14" ht="12.75" customHeight="1" x14ac:dyDescent="0.2">
      <c r="A18">
        <v>43400</v>
      </c>
      <c r="B18" s="3" t="s">
        <v>1224</v>
      </c>
      <c r="C18" s="7" t="s">
        <v>978</v>
      </c>
      <c r="D18" s="7" t="s">
        <v>242</v>
      </c>
      <c r="F18" s="7" t="s">
        <v>665</v>
      </c>
      <c r="G18" s="7" t="s">
        <v>1577</v>
      </c>
      <c r="H18" s="7" t="s">
        <v>1359</v>
      </c>
      <c r="I18" s="7" t="s">
        <v>1224</v>
      </c>
      <c r="K18" s="7" t="s">
        <v>1141</v>
      </c>
      <c r="L18" s="11">
        <v>1300</v>
      </c>
      <c r="M18" s="11">
        <v>-26754.89</v>
      </c>
      <c r="N18" s="9">
        <f t="shared" si="0"/>
        <v>-1300</v>
      </c>
    </row>
    <row r="19" spans="1:14" ht="12.75" customHeight="1" x14ac:dyDescent="0.2">
      <c r="A19">
        <v>43400</v>
      </c>
      <c r="B19" s="3" t="s">
        <v>1224</v>
      </c>
      <c r="C19" s="7" t="s">
        <v>978</v>
      </c>
      <c r="D19" s="7" t="s">
        <v>183</v>
      </c>
      <c r="E19" s="7">
        <v>406</v>
      </c>
      <c r="G19" s="7" t="s">
        <v>1577</v>
      </c>
      <c r="H19" s="7" t="s">
        <v>1359</v>
      </c>
      <c r="I19" s="7" t="s">
        <v>1224</v>
      </c>
      <c r="J19" s="7" t="s">
        <v>1208</v>
      </c>
      <c r="K19" s="7" t="s">
        <v>180</v>
      </c>
      <c r="L19" s="11">
        <v>10</v>
      </c>
      <c r="M19" s="11">
        <v>-26744.89</v>
      </c>
      <c r="N19" s="9">
        <f t="shared" si="0"/>
        <v>-10</v>
      </c>
    </row>
    <row r="20" spans="1:14" ht="12.75" hidden="1" customHeight="1" x14ac:dyDescent="0.2">
      <c r="A20">
        <v>65010</v>
      </c>
      <c r="B20" s="3" t="s">
        <v>1243</v>
      </c>
      <c r="C20" s="7" t="s">
        <v>305</v>
      </c>
      <c r="D20" s="7" t="s">
        <v>200</v>
      </c>
      <c r="F20" s="7" t="s">
        <v>1006</v>
      </c>
      <c r="G20" s="7" t="s">
        <v>1572</v>
      </c>
      <c r="H20" s="7" t="s">
        <v>1362</v>
      </c>
      <c r="I20" s="7" t="s">
        <v>1243</v>
      </c>
      <c r="K20" s="7" t="s">
        <v>202</v>
      </c>
      <c r="L20" s="11">
        <v>32</v>
      </c>
      <c r="M20" s="11">
        <v>32</v>
      </c>
      <c r="N20" s="9">
        <f t="shared" si="0"/>
        <v>32</v>
      </c>
    </row>
    <row r="21" spans="1:14" ht="12.75" hidden="1" customHeight="1" x14ac:dyDescent="0.2">
      <c r="A21">
        <v>65020</v>
      </c>
      <c r="B21" s="3" t="s">
        <v>1245</v>
      </c>
      <c r="C21" s="7" t="s">
        <v>361</v>
      </c>
      <c r="D21" s="7" t="s">
        <v>200</v>
      </c>
      <c r="F21" s="7" t="s">
        <v>338</v>
      </c>
      <c r="G21" s="7" t="s">
        <v>1572</v>
      </c>
      <c r="H21" s="7" t="s">
        <v>1362</v>
      </c>
      <c r="I21" s="7" t="s">
        <v>1245</v>
      </c>
      <c r="K21" s="7" t="s">
        <v>202</v>
      </c>
      <c r="L21" s="11">
        <v>49</v>
      </c>
      <c r="M21" s="11">
        <v>634.46</v>
      </c>
      <c r="N21" s="9">
        <f t="shared" si="0"/>
        <v>49</v>
      </c>
    </row>
    <row r="22" spans="1:14" ht="12.75" hidden="1" customHeight="1" x14ac:dyDescent="0.2">
      <c r="A22">
        <v>65020</v>
      </c>
      <c r="B22" s="3" t="s">
        <v>1245</v>
      </c>
      <c r="C22" s="7" t="s">
        <v>794</v>
      </c>
      <c r="D22" s="7" t="s">
        <v>200</v>
      </c>
      <c r="F22" s="7" t="s">
        <v>300</v>
      </c>
      <c r="G22" s="7" t="s">
        <v>1572</v>
      </c>
      <c r="H22" s="7" t="s">
        <v>1362</v>
      </c>
      <c r="I22" s="7" t="s">
        <v>1245</v>
      </c>
      <c r="K22" s="7" t="s">
        <v>202</v>
      </c>
      <c r="L22" s="11">
        <v>22.69</v>
      </c>
      <c r="M22" s="11">
        <v>1021.31</v>
      </c>
      <c r="N22" s="9">
        <f t="shared" si="0"/>
        <v>22.69</v>
      </c>
    </row>
    <row r="23" spans="1:14" ht="12.75" hidden="1" customHeight="1" x14ac:dyDescent="0.2">
      <c r="A23">
        <v>65020</v>
      </c>
      <c r="B23" s="3" t="s">
        <v>1245</v>
      </c>
      <c r="C23" s="7" t="s">
        <v>417</v>
      </c>
      <c r="D23" s="7" t="s">
        <v>200</v>
      </c>
      <c r="F23" s="7" t="s">
        <v>300</v>
      </c>
      <c r="G23" s="7" t="s">
        <v>1572</v>
      </c>
      <c r="H23" s="7" t="s">
        <v>1362</v>
      </c>
      <c r="I23" s="7" t="s">
        <v>1245</v>
      </c>
      <c r="K23" s="7" t="s">
        <v>202</v>
      </c>
      <c r="L23" s="11">
        <v>85.07</v>
      </c>
      <c r="M23" s="11">
        <v>1293.5899999999999</v>
      </c>
      <c r="N23" s="9">
        <f t="shared" si="0"/>
        <v>85.07</v>
      </c>
    </row>
    <row r="24" spans="1:14" ht="12.75" hidden="1" customHeight="1" x14ac:dyDescent="0.2">
      <c r="A24">
        <v>65040</v>
      </c>
      <c r="B24" s="3" t="s">
        <v>1250</v>
      </c>
      <c r="C24" s="7" t="s">
        <v>367</v>
      </c>
      <c r="D24" s="7" t="s">
        <v>200</v>
      </c>
      <c r="F24" s="7" t="s">
        <v>243</v>
      </c>
      <c r="G24" s="7" t="s">
        <v>1572</v>
      </c>
      <c r="H24" s="7" t="s">
        <v>1362</v>
      </c>
      <c r="I24" s="7" t="s">
        <v>1250</v>
      </c>
      <c r="K24" s="7" t="s">
        <v>202</v>
      </c>
      <c r="L24" s="11">
        <v>7.99</v>
      </c>
      <c r="M24" s="11">
        <v>695.34</v>
      </c>
      <c r="N24" s="9">
        <f t="shared" si="0"/>
        <v>7.99</v>
      </c>
    </row>
    <row r="25" spans="1:14" ht="12.75" hidden="1" customHeight="1" x14ac:dyDescent="0.2">
      <c r="A25">
        <v>65040</v>
      </c>
      <c r="B25" s="3" t="s">
        <v>1250</v>
      </c>
      <c r="C25" s="7" t="s">
        <v>637</v>
      </c>
      <c r="D25" s="7" t="s">
        <v>221</v>
      </c>
      <c r="F25" s="7" t="s">
        <v>234</v>
      </c>
      <c r="G25" s="7" t="s">
        <v>1572</v>
      </c>
      <c r="H25" s="7" t="s">
        <v>1362</v>
      </c>
      <c r="I25" s="7" t="s">
        <v>1250</v>
      </c>
      <c r="K25" s="7" t="s">
        <v>202</v>
      </c>
      <c r="L25" s="11">
        <v>12.6</v>
      </c>
      <c r="M25" s="11">
        <v>1653.45</v>
      </c>
      <c r="N25" s="9">
        <f t="shared" si="0"/>
        <v>12.6</v>
      </c>
    </row>
    <row r="26" spans="1:14" ht="12.75" hidden="1" customHeight="1" x14ac:dyDescent="0.2">
      <c r="A26">
        <v>65040</v>
      </c>
      <c r="B26" s="3" t="s">
        <v>1250</v>
      </c>
      <c r="C26" s="7" t="s">
        <v>637</v>
      </c>
      <c r="D26" s="7" t="s">
        <v>221</v>
      </c>
      <c r="F26" s="7" t="s">
        <v>1007</v>
      </c>
      <c r="G26" s="7" t="s">
        <v>1572</v>
      </c>
      <c r="H26" s="7" t="s">
        <v>1362</v>
      </c>
      <c r="I26" s="7" t="s">
        <v>1250</v>
      </c>
      <c r="K26" s="7" t="s">
        <v>202</v>
      </c>
      <c r="L26" s="11">
        <v>5.89</v>
      </c>
      <c r="M26" s="11">
        <v>1659.34</v>
      </c>
      <c r="N26" s="9">
        <f t="shared" si="0"/>
        <v>5.89</v>
      </c>
    </row>
    <row r="27" spans="1:14" ht="12.75" hidden="1" customHeight="1" x14ac:dyDescent="0.2">
      <c r="A27">
        <v>65061</v>
      </c>
      <c r="B27" s="3" t="s">
        <v>1253</v>
      </c>
      <c r="C27" s="7" t="s">
        <v>449</v>
      </c>
      <c r="D27" s="7" t="s">
        <v>200</v>
      </c>
      <c r="F27" s="7" t="s">
        <v>425</v>
      </c>
      <c r="G27" s="7" t="s">
        <v>1572</v>
      </c>
      <c r="H27" s="7" t="s">
        <v>1362</v>
      </c>
      <c r="I27" s="7" t="s">
        <v>1253</v>
      </c>
      <c r="K27" s="7" t="s">
        <v>202</v>
      </c>
      <c r="L27" s="11">
        <v>37</v>
      </c>
      <c r="M27" s="11">
        <v>-9124.64</v>
      </c>
      <c r="N27" s="9">
        <f t="shared" si="0"/>
        <v>37</v>
      </c>
    </row>
    <row r="28" spans="1:14" ht="12.75" hidden="1" customHeight="1" x14ac:dyDescent="0.2">
      <c r="A28">
        <v>65061</v>
      </c>
      <c r="B28" s="3" t="s">
        <v>1253</v>
      </c>
      <c r="C28" s="7" t="s">
        <v>980</v>
      </c>
      <c r="D28" s="7" t="s">
        <v>200</v>
      </c>
      <c r="F28" s="7" t="s">
        <v>425</v>
      </c>
      <c r="G28" s="7" t="s">
        <v>1572</v>
      </c>
      <c r="H28" s="7" t="s">
        <v>1362</v>
      </c>
      <c r="I28" s="7" t="s">
        <v>1253</v>
      </c>
      <c r="K28" s="7" t="s">
        <v>202</v>
      </c>
      <c r="L28" s="11">
        <v>113.97</v>
      </c>
      <c r="M28" s="11">
        <v>-6252.13</v>
      </c>
      <c r="N28" s="9">
        <f t="shared" si="0"/>
        <v>113.97</v>
      </c>
    </row>
    <row r="29" spans="1:14" ht="12.75" hidden="1" customHeight="1" x14ac:dyDescent="0.2">
      <c r="A29">
        <v>65061</v>
      </c>
      <c r="B29" s="3" t="s">
        <v>1253</v>
      </c>
      <c r="C29" s="7" t="s">
        <v>976</v>
      </c>
      <c r="D29" s="7" t="s">
        <v>200</v>
      </c>
      <c r="E29" s="7">
        <v>1052</v>
      </c>
      <c r="F29" s="7" t="s">
        <v>638</v>
      </c>
      <c r="G29" s="7" t="s">
        <v>1572</v>
      </c>
      <c r="H29" s="7" t="s">
        <v>1362</v>
      </c>
      <c r="I29" s="7" t="s">
        <v>1253</v>
      </c>
      <c r="K29" s="7" t="s">
        <v>202</v>
      </c>
      <c r="L29" s="11">
        <v>455.88</v>
      </c>
      <c r="M29" s="11">
        <v>-3681.57</v>
      </c>
      <c r="N29" s="9">
        <f t="shared" si="0"/>
        <v>455.88</v>
      </c>
    </row>
    <row r="30" spans="1:14" ht="12.75" hidden="1" customHeight="1" x14ac:dyDescent="0.2">
      <c r="A30">
        <v>65061</v>
      </c>
      <c r="B30" s="3" t="s">
        <v>1253</v>
      </c>
      <c r="C30" s="7" t="s">
        <v>976</v>
      </c>
      <c r="D30" s="7" t="s">
        <v>200</v>
      </c>
      <c r="E30" s="7">
        <v>1056</v>
      </c>
      <c r="F30" s="7" t="s">
        <v>205</v>
      </c>
      <c r="G30" s="7" t="s">
        <v>1572</v>
      </c>
      <c r="H30" s="7" t="s">
        <v>1362</v>
      </c>
      <c r="I30" s="7" t="s">
        <v>1253</v>
      </c>
      <c r="K30" s="7" t="s">
        <v>202</v>
      </c>
      <c r="L30" s="11">
        <v>1000</v>
      </c>
      <c r="M30" s="11">
        <v>-646.75</v>
      </c>
      <c r="N30" s="9">
        <f t="shared" si="0"/>
        <v>1000</v>
      </c>
    </row>
    <row r="31" spans="1:14" ht="12.75" hidden="1" customHeight="1" x14ac:dyDescent="0.2">
      <c r="A31">
        <v>65061</v>
      </c>
      <c r="B31" s="3" t="s">
        <v>1253</v>
      </c>
      <c r="C31" s="7" t="s">
        <v>388</v>
      </c>
      <c r="D31" s="7" t="s">
        <v>200</v>
      </c>
      <c r="F31" s="7" t="s">
        <v>597</v>
      </c>
      <c r="G31" s="7" t="s">
        <v>1572</v>
      </c>
      <c r="H31" s="7" t="s">
        <v>1362</v>
      </c>
      <c r="I31" s="7" t="s">
        <v>1253</v>
      </c>
      <c r="K31" s="7" t="s">
        <v>202</v>
      </c>
      <c r="L31" s="11">
        <v>47.04</v>
      </c>
      <c r="M31" s="11">
        <v>2449.16</v>
      </c>
      <c r="N31" s="9">
        <f t="shared" si="0"/>
        <v>47.04</v>
      </c>
    </row>
    <row r="32" spans="1:14" ht="12.75" hidden="1" customHeight="1" x14ac:dyDescent="0.2">
      <c r="A32">
        <v>65061</v>
      </c>
      <c r="B32" s="3" t="s">
        <v>1253</v>
      </c>
      <c r="C32" s="7" t="s">
        <v>388</v>
      </c>
      <c r="D32" s="7" t="s">
        <v>200</v>
      </c>
      <c r="F32" s="7" t="s">
        <v>425</v>
      </c>
      <c r="G32" s="7" t="s">
        <v>1572</v>
      </c>
      <c r="H32" s="7" t="s">
        <v>1362</v>
      </c>
      <c r="I32" s="7" t="s">
        <v>1253</v>
      </c>
      <c r="K32" s="7" t="s">
        <v>202</v>
      </c>
      <c r="L32" s="11">
        <v>23.24</v>
      </c>
      <c r="M32" s="11">
        <v>2472.4</v>
      </c>
      <c r="N32" s="9">
        <f t="shared" si="0"/>
        <v>23.24</v>
      </c>
    </row>
    <row r="33" spans="1:14" ht="12.75" hidden="1" customHeight="1" x14ac:dyDescent="0.2">
      <c r="A33">
        <v>65061</v>
      </c>
      <c r="B33" s="3" t="s">
        <v>1253</v>
      </c>
      <c r="C33" s="7" t="s">
        <v>965</v>
      </c>
      <c r="D33" s="7" t="s">
        <v>200</v>
      </c>
      <c r="F33" s="7" t="s">
        <v>425</v>
      </c>
      <c r="G33" s="7" t="s">
        <v>1572</v>
      </c>
      <c r="H33" s="7" t="s">
        <v>1362</v>
      </c>
      <c r="I33" s="7" t="s">
        <v>1253</v>
      </c>
      <c r="K33" s="7" t="s">
        <v>202</v>
      </c>
      <c r="L33" s="11">
        <v>5.05</v>
      </c>
      <c r="M33" s="11">
        <v>4341.5200000000004</v>
      </c>
      <c r="N33" s="9">
        <f t="shared" si="0"/>
        <v>5.05</v>
      </c>
    </row>
    <row r="34" spans="1:14" ht="12.75" hidden="1" customHeight="1" x14ac:dyDescent="0.2">
      <c r="A34">
        <v>65061</v>
      </c>
      <c r="B34" s="3" t="s">
        <v>1253</v>
      </c>
      <c r="C34" s="7" t="s">
        <v>962</v>
      </c>
      <c r="D34" s="7" t="s">
        <v>200</v>
      </c>
      <c r="F34" s="7" t="s">
        <v>425</v>
      </c>
      <c r="G34" s="7" t="s">
        <v>1572</v>
      </c>
      <c r="H34" s="7" t="s">
        <v>1362</v>
      </c>
      <c r="I34" s="7" t="s">
        <v>1253</v>
      </c>
      <c r="K34" s="7" t="s">
        <v>202</v>
      </c>
      <c r="L34" s="11">
        <v>10.16</v>
      </c>
      <c r="M34" s="11">
        <v>4671.62</v>
      </c>
      <c r="N34" s="9">
        <f t="shared" si="0"/>
        <v>10.16</v>
      </c>
    </row>
    <row r="35" spans="1:14" ht="12.75" hidden="1" customHeight="1" x14ac:dyDescent="0.2">
      <c r="A35">
        <v>65061</v>
      </c>
      <c r="B35" s="3" t="s">
        <v>1253</v>
      </c>
      <c r="C35" s="7" t="s">
        <v>962</v>
      </c>
      <c r="D35" s="7" t="s">
        <v>200</v>
      </c>
      <c r="F35" s="7" t="s">
        <v>425</v>
      </c>
      <c r="G35" s="7" t="s">
        <v>1572</v>
      </c>
      <c r="H35" s="7" t="s">
        <v>1362</v>
      </c>
      <c r="I35" s="7" t="s">
        <v>1253</v>
      </c>
      <c r="K35" s="7" t="s">
        <v>202</v>
      </c>
      <c r="L35" s="11">
        <v>10.16</v>
      </c>
      <c r="M35" s="11">
        <v>4681.78</v>
      </c>
      <c r="N35" s="9">
        <f t="shared" si="0"/>
        <v>10.16</v>
      </c>
    </row>
    <row r="36" spans="1:14" ht="12.75" hidden="1" customHeight="1" x14ac:dyDescent="0.2">
      <c r="A36">
        <v>65061</v>
      </c>
      <c r="B36" s="3" t="s">
        <v>1253</v>
      </c>
      <c r="C36" s="7" t="s">
        <v>962</v>
      </c>
      <c r="D36" s="7" t="s">
        <v>200</v>
      </c>
      <c r="F36" s="7" t="s">
        <v>425</v>
      </c>
      <c r="G36" s="7" t="s">
        <v>1572</v>
      </c>
      <c r="H36" s="7" t="s">
        <v>1362</v>
      </c>
      <c r="I36" s="7" t="s">
        <v>1253</v>
      </c>
      <c r="K36" s="7" t="s">
        <v>202</v>
      </c>
      <c r="L36" s="11">
        <v>10.16</v>
      </c>
      <c r="M36" s="11">
        <v>4691.9399999999996</v>
      </c>
      <c r="N36" s="9">
        <f t="shared" si="0"/>
        <v>10.16</v>
      </c>
    </row>
    <row r="37" spans="1:14" ht="12.75" hidden="1" customHeight="1" x14ac:dyDescent="0.2">
      <c r="A37">
        <v>65061</v>
      </c>
      <c r="B37" s="3" t="s">
        <v>1253</v>
      </c>
      <c r="C37" s="7" t="s">
        <v>384</v>
      </c>
      <c r="D37" s="7" t="s">
        <v>200</v>
      </c>
      <c r="F37" s="7" t="s">
        <v>425</v>
      </c>
      <c r="G37" s="7" t="s">
        <v>1572</v>
      </c>
      <c r="H37" s="7" t="s">
        <v>1362</v>
      </c>
      <c r="I37" s="7" t="s">
        <v>1253</v>
      </c>
      <c r="K37" s="7" t="s">
        <v>202</v>
      </c>
      <c r="L37" s="11">
        <v>67</v>
      </c>
      <c r="M37" s="11">
        <v>10070.43</v>
      </c>
      <c r="N37" s="9">
        <f t="shared" si="0"/>
        <v>67</v>
      </c>
    </row>
    <row r="38" spans="1:14" ht="12.75" hidden="1" customHeight="1" x14ac:dyDescent="0.2">
      <c r="A38">
        <v>65061</v>
      </c>
      <c r="B38" s="3" t="s">
        <v>1253</v>
      </c>
      <c r="C38" s="7" t="s">
        <v>381</v>
      </c>
      <c r="D38" s="7" t="s">
        <v>200</v>
      </c>
      <c r="F38" s="7" t="s">
        <v>425</v>
      </c>
      <c r="G38" s="7" t="s">
        <v>1572</v>
      </c>
      <c r="H38" s="7" t="s">
        <v>1362</v>
      </c>
      <c r="I38" s="7" t="s">
        <v>1253</v>
      </c>
      <c r="K38" s="7" t="s">
        <v>202</v>
      </c>
      <c r="L38" s="11">
        <v>12.97</v>
      </c>
      <c r="M38" s="11">
        <v>20358.080000000002</v>
      </c>
      <c r="N38" s="9">
        <f t="shared" ref="N38:N69" si="1">IF(A38&lt;60000,-L38,+L38)</f>
        <v>12.97</v>
      </c>
    </row>
    <row r="39" spans="1:14" ht="12.75" hidden="1" customHeight="1" x14ac:dyDescent="0.2">
      <c r="A39">
        <v>65061</v>
      </c>
      <c r="B39" s="3" t="s">
        <v>1253</v>
      </c>
      <c r="C39" s="7" t="s">
        <v>379</v>
      </c>
      <c r="D39" s="7" t="s">
        <v>200</v>
      </c>
      <c r="E39" s="7">
        <v>1057</v>
      </c>
      <c r="F39" s="7" t="s">
        <v>930</v>
      </c>
      <c r="G39" s="7" t="s">
        <v>1572</v>
      </c>
      <c r="H39" s="7" t="s">
        <v>1362</v>
      </c>
      <c r="I39" s="7" t="s">
        <v>1253</v>
      </c>
      <c r="K39" s="7" t="s">
        <v>202</v>
      </c>
      <c r="L39" s="11">
        <v>500</v>
      </c>
      <c r="M39" s="11">
        <v>27363.38</v>
      </c>
      <c r="N39" s="9">
        <f t="shared" si="1"/>
        <v>500</v>
      </c>
    </row>
    <row r="40" spans="1:14" ht="12.75" hidden="1" customHeight="1" x14ac:dyDescent="0.2">
      <c r="A40">
        <v>65061</v>
      </c>
      <c r="B40" s="3" t="s">
        <v>1253</v>
      </c>
      <c r="C40" s="7" t="s">
        <v>377</v>
      </c>
      <c r="D40" s="7" t="s">
        <v>200</v>
      </c>
      <c r="F40" s="7" t="s">
        <v>546</v>
      </c>
      <c r="G40" s="7" t="s">
        <v>1572</v>
      </c>
      <c r="H40" s="7" t="s">
        <v>1362</v>
      </c>
      <c r="I40" s="7" t="s">
        <v>1253</v>
      </c>
      <c r="K40" s="7" t="s">
        <v>202</v>
      </c>
      <c r="L40" s="11">
        <v>131.1</v>
      </c>
      <c r="M40" s="11">
        <v>29324.5</v>
      </c>
      <c r="N40" s="9">
        <f t="shared" si="1"/>
        <v>131.1</v>
      </c>
    </row>
    <row r="41" spans="1:14" ht="12.75" hidden="1" customHeight="1" x14ac:dyDescent="0.2">
      <c r="A41">
        <v>65061</v>
      </c>
      <c r="B41" s="3" t="s">
        <v>1253</v>
      </c>
      <c r="C41" s="7" t="s">
        <v>376</v>
      </c>
      <c r="D41" s="7" t="s">
        <v>200</v>
      </c>
      <c r="F41" s="7" t="s">
        <v>546</v>
      </c>
      <c r="G41" s="7" t="s">
        <v>1572</v>
      </c>
      <c r="H41" s="7" t="s">
        <v>1362</v>
      </c>
      <c r="I41" s="7" t="s">
        <v>1253</v>
      </c>
      <c r="K41" s="7" t="s">
        <v>202</v>
      </c>
      <c r="L41" s="11">
        <v>37.630000000000003</v>
      </c>
      <c r="M41" s="11">
        <v>31756.52</v>
      </c>
      <c r="N41" s="9">
        <f t="shared" si="1"/>
        <v>37.630000000000003</v>
      </c>
    </row>
    <row r="42" spans="1:14" ht="12.75" hidden="1" customHeight="1" x14ac:dyDescent="0.2">
      <c r="A42">
        <v>65061</v>
      </c>
      <c r="B42" s="3" t="s">
        <v>1253</v>
      </c>
      <c r="C42" s="7" t="s">
        <v>374</v>
      </c>
      <c r="D42" s="7" t="s">
        <v>200</v>
      </c>
      <c r="F42" s="7" t="s">
        <v>597</v>
      </c>
      <c r="G42" s="7" t="s">
        <v>1572</v>
      </c>
      <c r="H42" s="7" t="s">
        <v>1362</v>
      </c>
      <c r="I42" s="7" t="s">
        <v>1253</v>
      </c>
      <c r="K42" s="7" t="s">
        <v>202</v>
      </c>
      <c r="L42" s="11">
        <v>2.39</v>
      </c>
      <c r="M42" s="11">
        <v>32328.54</v>
      </c>
      <c r="N42" s="9">
        <f t="shared" si="1"/>
        <v>2.39</v>
      </c>
    </row>
    <row r="43" spans="1:14" ht="12.75" hidden="1" customHeight="1" x14ac:dyDescent="0.2">
      <c r="A43">
        <v>65061</v>
      </c>
      <c r="B43" s="3" t="s">
        <v>1253</v>
      </c>
      <c r="C43" s="7" t="s">
        <v>372</v>
      </c>
      <c r="D43" s="7" t="s">
        <v>200</v>
      </c>
      <c r="F43" s="7" t="s">
        <v>924</v>
      </c>
      <c r="G43" s="7" t="s">
        <v>1572</v>
      </c>
      <c r="H43" s="7" t="s">
        <v>1362</v>
      </c>
      <c r="I43" s="7" t="s">
        <v>1253</v>
      </c>
      <c r="K43" s="7" t="s">
        <v>202</v>
      </c>
      <c r="L43" s="11">
        <v>32.08</v>
      </c>
      <c r="M43" s="11">
        <v>33392.76</v>
      </c>
      <c r="N43" s="9">
        <f t="shared" si="1"/>
        <v>32.08</v>
      </c>
    </row>
    <row r="44" spans="1:14" ht="12.75" hidden="1" customHeight="1" x14ac:dyDescent="0.2">
      <c r="A44">
        <v>65061</v>
      </c>
      <c r="B44" s="3" t="s">
        <v>1253</v>
      </c>
      <c r="C44" s="7" t="s">
        <v>372</v>
      </c>
      <c r="D44" s="7" t="s">
        <v>200</v>
      </c>
      <c r="F44" s="7" t="s">
        <v>546</v>
      </c>
      <c r="G44" s="7" t="s">
        <v>1572</v>
      </c>
      <c r="H44" s="7" t="s">
        <v>1362</v>
      </c>
      <c r="I44" s="7" t="s">
        <v>1253</v>
      </c>
      <c r="K44" s="7" t="s">
        <v>202</v>
      </c>
      <c r="L44" s="11">
        <v>64.33</v>
      </c>
      <c r="M44" s="11">
        <v>36342.06</v>
      </c>
      <c r="N44" s="9">
        <f t="shared" si="1"/>
        <v>64.33</v>
      </c>
    </row>
    <row r="45" spans="1:14" ht="12.75" hidden="1" customHeight="1" x14ac:dyDescent="0.2">
      <c r="A45">
        <v>65061</v>
      </c>
      <c r="B45" s="3" t="s">
        <v>1253</v>
      </c>
      <c r="C45" s="7" t="s">
        <v>372</v>
      </c>
      <c r="D45" s="7" t="s">
        <v>200</v>
      </c>
      <c r="F45" s="7" t="s">
        <v>546</v>
      </c>
      <c r="G45" s="7" t="s">
        <v>1572</v>
      </c>
      <c r="H45" s="7" t="s">
        <v>1362</v>
      </c>
      <c r="I45" s="7" t="s">
        <v>1253</v>
      </c>
      <c r="K45" s="7" t="s">
        <v>202</v>
      </c>
      <c r="L45" s="11">
        <v>5.01</v>
      </c>
      <c r="M45" s="11">
        <v>36347.07</v>
      </c>
      <c r="N45" s="9">
        <f t="shared" si="1"/>
        <v>5.01</v>
      </c>
    </row>
    <row r="46" spans="1:14" ht="12.75" hidden="1" customHeight="1" x14ac:dyDescent="0.2">
      <c r="A46">
        <v>65061</v>
      </c>
      <c r="B46" s="3" t="s">
        <v>1253</v>
      </c>
      <c r="C46" s="7" t="s">
        <v>372</v>
      </c>
      <c r="D46" s="7" t="s">
        <v>200</v>
      </c>
      <c r="F46" s="7" t="s">
        <v>921</v>
      </c>
      <c r="G46" s="7" t="s">
        <v>1572</v>
      </c>
      <c r="H46" s="7" t="s">
        <v>1362</v>
      </c>
      <c r="I46" s="7" t="s">
        <v>1253</v>
      </c>
      <c r="K46" s="7" t="s">
        <v>202</v>
      </c>
      <c r="L46" s="11">
        <v>86.99</v>
      </c>
      <c r="M46" s="11">
        <v>36693</v>
      </c>
      <c r="N46" s="9">
        <f t="shared" si="1"/>
        <v>86.99</v>
      </c>
    </row>
    <row r="47" spans="1:14" ht="12.75" hidden="1" customHeight="1" x14ac:dyDescent="0.2">
      <c r="A47">
        <v>65061</v>
      </c>
      <c r="B47" s="3" t="s">
        <v>1253</v>
      </c>
      <c r="C47" s="7" t="s">
        <v>372</v>
      </c>
      <c r="D47" s="7" t="s">
        <v>200</v>
      </c>
      <c r="F47" s="7" t="s">
        <v>241</v>
      </c>
      <c r="G47" s="7" t="s">
        <v>1572</v>
      </c>
      <c r="H47" s="7" t="s">
        <v>1362</v>
      </c>
      <c r="I47" s="7" t="s">
        <v>1253</v>
      </c>
      <c r="K47" s="7" t="s">
        <v>202</v>
      </c>
      <c r="L47" s="11">
        <v>42.93</v>
      </c>
      <c r="M47" s="11">
        <v>37225.269999999997</v>
      </c>
      <c r="N47" s="9">
        <f t="shared" si="1"/>
        <v>42.93</v>
      </c>
    </row>
    <row r="48" spans="1:14" ht="12.75" hidden="1" customHeight="1" x14ac:dyDescent="0.2">
      <c r="A48">
        <v>65061</v>
      </c>
      <c r="B48" s="3" t="s">
        <v>1253</v>
      </c>
      <c r="C48" s="7" t="s">
        <v>372</v>
      </c>
      <c r="D48" s="7" t="s">
        <v>200</v>
      </c>
      <c r="F48" s="7" t="s">
        <v>241</v>
      </c>
      <c r="G48" s="7" t="s">
        <v>1572</v>
      </c>
      <c r="H48" s="7" t="s">
        <v>1362</v>
      </c>
      <c r="I48" s="7" t="s">
        <v>1253</v>
      </c>
      <c r="K48" s="7" t="s">
        <v>202</v>
      </c>
      <c r="L48" s="11">
        <v>29</v>
      </c>
      <c r="M48" s="11">
        <v>37544.239999999998</v>
      </c>
      <c r="N48" s="9">
        <f t="shared" si="1"/>
        <v>29</v>
      </c>
    </row>
    <row r="49" spans="1:14" ht="12.75" hidden="1" customHeight="1" x14ac:dyDescent="0.2">
      <c r="A49">
        <v>65061</v>
      </c>
      <c r="B49" s="3" t="s">
        <v>1253</v>
      </c>
      <c r="C49" s="7" t="s">
        <v>361</v>
      </c>
      <c r="D49" s="7" t="s">
        <v>200</v>
      </c>
      <c r="F49" s="7" t="s">
        <v>425</v>
      </c>
      <c r="G49" s="7" t="s">
        <v>1572</v>
      </c>
      <c r="H49" s="7" t="s">
        <v>1362</v>
      </c>
      <c r="I49" s="7" t="s">
        <v>1253</v>
      </c>
      <c r="K49" s="7" t="s">
        <v>202</v>
      </c>
      <c r="L49" s="11">
        <v>35.590000000000003</v>
      </c>
      <c r="M49" s="11">
        <v>43493.75</v>
      </c>
      <c r="N49" s="9">
        <f t="shared" si="1"/>
        <v>35.590000000000003</v>
      </c>
    </row>
    <row r="50" spans="1:14" ht="12.75" hidden="1" customHeight="1" x14ac:dyDescent="0.2">
      <c r="A50">
        <v>65061</v>
      </c>
      <c r="B50" s="3" t="s">
        <v>1253</v>
      </c>
      <c r="C50" s="7" t="s">
        <v>361</v>
      </c>
      <c r="D50" s="7" t="s">
        <v>200</v>
      </c>
      <c r="E50" s="7">
        <v>1058</v>
      </c>
      <c r="F50" s="7" t="s">
        <v>903</v>
      </c>
      <c r="G50" s="7" t="s">
        <v>1572</v>
      </c>
      <c r="H50" s="7" t="s">
        <v>1362</v>
      </c>
      <c r="I50" s="7" t="s">
        <v>1253</v>
      </c>
      <c r="K50" s="7" t="s">
        <v>202</v>
      </c>
      <c r="L50" s="11">
        <v>220.98</v>
      </c>
      <c r="M50" s="11">
        <v>44596.47</v>
      </c>
      <c r="N50" s="9">
        <f t="shared" si="1"/>
        <v>220.98</v>
      </c>
    </row>
    <row r="51" spans="1:14" ht="12.75" hidden="1" customHeight="1" x14ac:dyDescent="0.2">
      <c r="A51">
        <v>65061</v>
      </c>
      <c r="B51" s="3" t="s">
        <v>1253</v>
      </c>
      <c r="C51" s="7" t="s">
        <v>897</v>
      </c>
      <c r="D51" s="7" t="s">
        <v>200</v>
      </c>
      <c r="F51" s="7" t="s">
        <v>899</v>
      </c>
      <c r="G51" s="7" t="s">
        <v>1572</v>
      </c>
      <c r="H51" s="7" t="s">
        <v>1362</v>
      </c>
      <c r="I51" s="7" t="s">
        <v>1253</v>
      </c>
      <c r="K51" s="7" t="s">
        <v>202</v>
      </c>
      <c r="L51" s="11">
        <v>75</v>
      </c>
      <c r="M51" s="11">
        <v>44962.62</v>
      </c>
      <c r="N51" s="9">
        <f t="shared" si="1"/>
        <v>75</v>
      </c>
    </row>
    <row r="52" spans="1:14" ht="12.75" hidden="1" customHeight="1" x14ac:dyDescent="0.2">
      <c r="A52">
        <v>65061</v>
      </c>
      <c r="B52" s="3" t="s">
        <v>1253</v>
      </c>
      <c r="C52" s="7" t="s">
        <v>897</v>
      </c>
      <c r="D52" s="7" t="s">
        <v>200</v>
      </c>
      <c r="F52" s="7" t="s">
        <v>425</v>
      </c>
      <c r="G52" s="7" t="s">
        <v>1572</v>
      </c>
      <c r="H52" s="7" t="s">
        <v>1362</v>
      </c>
      <c r="I52" s="7" t="s">
        <v>1253</v>
      </c>
      <c r="K52" s="7" t="s">
        <v>202</v>
      </c>
      <c r="L52" s="11">
        <v>20</v>
      </c>
      <c r="M52" s="11">
        <v>45281.72</v>
      </c>
      <c r="N52" s="9">
        <f t="shared" si="1"/>
        <v>20</v>
      </c>
    </row>
    <row r="53" spans="1:14" ht="12.75" hidden="1" customHeight="1" x14ac:dyDescent="0.2">
      <c r="A53">
        <v>65061</v>
      </c>
      <c r="B53" s="3" t="s">
        <v>1253</v>
      </c>
      <c r="C53" s="7" t="s">
        <v>351</v>
      </c>
      <c r="D53" s="7" t="s">
        <v>200</v>
      </c>
      <c r="F53" s="7" t="s">
        <v>425</v>
      </c>
      <c r="G53" s="7" t="s">
        <v>1572</v>
      </c>
      <c r="H53" s="7" t="s">
        <v>1362</v>
      </c>
      <c r="I53" s="7" t="s">
        <v>1253</v>
      </c>
      <c r="K53" s="7" t="s">
        <v>202</v>
      </c>
      <c r="L53" s="11">
        <v>48.56</v>
      </c>
      <c r="M53" s="11">
        <v>54543.19</v>
      </c>
      <c r="N53" s="9">
        <f t="shared" si="1"/>
        <v>48.56</v>
      </c>
    </row>
    <row r="54" spans="1:14" ht="12.75" hidden="1" customHeight="1" x14ac:dyDescent="0.2">
      <c r="A54">
        <v>65061</v>
      </c>
      <c r="B54" s="3" t="s">
        <v>1253</v>
      </c>
      <c r="C54" s="7" t="s">
        <v>319</v>
      </c>
      <c r="D54" s="7" t="s">
        <v>200</v>
      </c>
      <c r="E54" s="7">
        <v>1059</v>
      </c>
      <c r="F54" s="7" t="s">
        <v>205</v>
      </c>
      <c r="G54" s="7" t="s">
        <v>1572</v>
      </c>
      <c r="H54" s="7" t="s">
        <v>1362</v>
      </c>
      <c r="I54" s="7" t="s">
        <v>1253</v>
      </c>
      <c r="K54" s="7" t="s">
        <v>202</v>
      </c>
      <c r="L54" s="11">
        <v>56.36</v>
      </c>
      <c r="M54" s="11">
        <v>67528.039999999994</v>
      </c>
      <c r="N54" s="9">
        <f t="shared" si="1"/>
        <v>56.36</v>
      </c>
    </row>
    <row r="55" spans="1:14" ht="12.75" hidden="1" customHeight="1" x14ac:dyDescent="0.2">
      <c r="A55">
        <v>65061</v>
      </c>
      <c r="B55" s="3" t="s">
        <v>1253</v>
      </c>
      <c r="C55" s="7" t="s">
        <v>850</v>
      </c>
      <c r="D55" s="7" t="s">
        <v>200</v>
      </c>
      <c r="F55" s="7" t="s">
        <v>425</v>
      </c>
      <c r="G55" s="7" t="s">
        <v>1572</v>
      </c>
      <c r="H55" s="7" t="s">
        <v>1362</v>
      </c>
      <c r="I55" s="7" t="s">
        <v>1253</v>
      </c>
      <c r="K55" s="7" t="s">
        <v>202</v>
      </c>
      <c r="L55" s="11">
        <v>12.06</v>
      </c>
      <c r="M55" s="11">
        <v>73019.27</v>
      </c>
      <c r="N55" s="9">
        <f t="shared" si="1"/>
        <v>12.06</v>
      </c>
    </row>
    <row r="56" spans="1:14" ht="12.75" hidden="1" customHeight="1" x14ac:dyDescent="0.2">
      <c r="A56">
        <v>65061</v>
      </c>
      <c r="B56" s="3" t="s">
        <v>1253</v>
      </c>
      <c r="C56" s="7" t="s">
        <v>298</v>
      </c>
      <c r="D56" s="7" t="s">
        <v>200</v>
      </c>
      <c r="F56" s="7" t="s">
        <v>823</v>
      </c>
      <c r="G56" s="7" t="s">
        <v>1572</v>
      </c>
      <c r="H56" s="7" t="s">
        <v>1362</v>
      </c>
      <c r="I56" s="7" t="s">
        <v>1253</v>
      </c>
      <c r="K56" s="7" t="s">
        <v>202</v>
      </c>
      <c r="L56" s="11">
        <v>42.8</v>
      </c>
      <c r="M56" s="11">
        <v>80997.14</v>
      </c>
      <c r="N56" s="9">
        <f t="shared" si="1"/>
        <v>42.8</v>
      </c>
    </row>
    <row r="57" spans="1:14" ht="12.75" hidden="1" customHeight="1" x14ac:dyDescent="0.2">
      <c r="A57">
        <v>65061</v>
      </c>
      <c r="B57" s="3" t="s">
        <v>1253</v>
      </c>
      <c r="C57" s="7" t="s">
        <v>298</v>
      </c>
      <c r="D57" s="7" t="s">
        <v>200</v>
      </c>
      <c r="F57" s="7" t="s">
        <v>571</v>
      </c>
      <c r="G57" s="7" t="s">
        <v>1572</v>
      </c>
      <c r="H57" s="7" t="s">
        <v>1362</v>
      </c>
      <c r="I57" s="7" t="s">
        <v>1253</v>
      </c>
      <c r="K57" s="7" t="s">
        <v>202</v>
      </c>
      <c r="L57" s="11">
        <v>233.24</v>
      </c>
      <c r="M57" s="11">
        <v>81640.03</v>
      </c>
      <c r="N57" s="9">
        <f t="shared" si="1"/>
        <v>233.24</v>
      </c>
    </row>
    <row r="58" spans="1:14" ht="12.75" hidden="1" customHeight="1" x14ac:dyDescent="0.2">
      <c r="A58">
        <v>65061</v>
      </c>
      <c r="B58" s="3" t="s">
        <v>1253</v>
      </c>
      <c r="C58" s="7" t="s">
        <v>282</v>
      </c>
      <c r="D58" s="7" t="s">
        <v>200</v>
      </c>
      <c r="F58" s="7" t="s">
        <v>800</v>
      </c>
      <c r="G58" s="7" t="s">
        <v>1572</v>
      </c>
      <c r="H58" s="7" t="s">
        <v>1362</v>
      </c>
      <c r="I58" s="7" t="s">
        <v>1253</v>
      </c>
      <c r="K58" s="7" t="s">
        <v>202</v>
      </c>
      <c r="L58" s="11">
        <v>299</v>
      </c>
      <c r="M58" s="11">
        <v>93459.13</v>
      </c>
      <c r="N58" s="9">
        <f t="shared" si="1"/>
        <v>299</v>
      </c>
    </row>
    <row r="59" spans="1:14" ht="12.75" hidden="1" customHeight="1" x14ac:dyDescent="0.2">
      <c r="A59">
        <v>65061</v>
      </c>
      <c r="B59" s="3" t="s">
        <v>1253</v>
      </c>
      <c r="C59" s="7" t="s">
        <v>282</v>
      </c>
      <c r="D59" s="7" t="s">
        <v>200</v>
      </c>
      <c r="F59" s="7" t="s">
        <v>799</v>
      </c>
      <c r="G59" s="7" t="s">
        <v>1572</v>
      </c>
      <c r="H59" s="7" t="s">
        <v>1362</v>
      </c>
      <c r="I59" s="7" t="s">
        <v>1253</v>
      </c>
      <c r="K59" s="7" t="s">
        <v>202</v>
      </c>
      <c r="L59" s="11">
        <v>50</v>
      </c>
      <c r="M59" s="11">
        <v>93509.13</v>
      </c>
      <c r="N59" s="9">
        <f t="shared" si="1"/>
        <v>50</v>
      </c>
    </row>
    <row r="60" spans="1:14" ht="12.75" hidden="1" customHeight="1" x14ac:dyDescent="0.2">
      <c r="A60">
        <v>65061</v>
      </c>
      <c r="B60" s="3" t="s">
        <v>1253</v>
      </c>
      <c r="C60" s="7" t="s">
        <v>794</v>
      </c>
      <c r="D60" s="7" t="s">
        <v>200</v>
      </c>
      <c r="F60" s="7" t="s">
        <v>425</v>
      </c>
      <c r="G60" s="7" t="s">
        <v>1572</v>
      </c>
      <c r="H60" s="7" t="s">
        <v>1362</v>
      </c>
      <c r="I60" s="7" t="s">
        <v>1253</v>
      </c>
      <c r="K60" s="7" t="s">
        <v>202</v>
      </c>
      <c r="L60" s="11">
        <v>10</v>
      </c>
      <c r="M60" s="11">
        <v>98290.48</v>
      </c>
      <c r="N60" s="9">
        <f t="shared" si="1"/>
        <v>10</v>
      </c>
    </row>
    <row r="61" spans="1:14" ht="12.75" hidden="1" customHeight="1" x14ac:dyDescent="0.2">
      <c r="A61">
        <v>65061</v>
      </c>
      <c r="B61" s="3" t="s">
        <v>1253</v>
      </c>
      <c r="C61" s="7" t="s">
        <v>794</v>
      </c>
      <c r="D61" s="7" t="s">
        <v>200</v>
      </c>
      <c r="F61" s="7" t="s">
        <v>425</v>
      </c>
      <c r="G61" s="7" t="s">
        <v>1572</v>
      </c>
      <c r="H61" s="7" t="s">
        <v>1362</v>
      </c>
      <c r="I61" s="7" t="s">
        <v>1253</v>
      </c>
      <c r="K61" s="7" t="s">
        <v>202</v>
      </c>
      <c r="L61" s="11">
        <v>10</v>
      </c>
      <c r="M61" s="11">
        <v>98300.479999999996</v>
      </c>
      <c r="N61" s="9">
        <f t="shared" si="1"/>
        <v>10</v>
      </c>
    </row>
    <row r="62" spans="1:14" ht="12.75" hidden="1" customHeight="1" x14ac:dyDescent="0.2">
      <c r="A62">
        <v>65061</v>
      </c>
      <c r="B62" s="3" t="s">
        <v>1253</v>
      </c>
      <c r="C62" s="7" t="s">
        <v>788</v>
      </c>
      <c r="D62" s="7" t="s">
        <v>200</v>
      </c>
      <c r="F62" s="7" t="s">
        <v>425</v>
      </c>
      <c r="G62" s="7" t="s">
        <v>1572</v>
      </c>
      <c r="H62" s="7" t="s">
        <v>1362</v>
      </c>
      <c r="I62" s="7" t="s">
        <v>1253</v>
      </c>
      <c r="K62" s="7" t="s">
        <v>202</v>
      </c>
      <c r="L62" s="11">
        <v>25</v>
      </c>
      <c r="M62" s="11">
        <v>98658.87</v>
      </c>
      <c r="N62" s="9">
        <f t="shared" si="1"/>
        <v>25</v>
      </c>
    </row>
    <row r="63" spans="1:14" ht="12.75" hidden="1" customHeight="1" x14ac:dyDescent="0.2">
      <c r="A63">
        <v>65061</v>
      </c>
      <c r="B63" s="3" t="s">
        <v>1253</v>
      </c>
      <c r="C63" s="7" t="s">
        <v>266</v>
      </c>
      <c r="D63" s="7" t="s">
        <v>242</v>
      </c>
      <c r="F63" s="7" t="s">
        <v>638</v>
      </c>
      <c r="G63" s="7" t="s">
        <v>1572</v>
      </c>
      <c r="H63" s="7" t="s">
        <v>1362</v>
      </c>
      <c r="I63" s="7" t="s">
        <v>1253</v>
      </c>
      <c r="K63" s="7" t="s">
        <v>202</v>
      </c>
      <c r="L63" s="11">
        <v>-113.97</v>
      </c>
      <c r="M63" s="11">
        <v>103630.14</v>
      </c>
      <c r="N63" s="9">
        <f t="shared" si="1"/>
        <v>-113.97</v>
      </c>
    </row>
    <row r="64" spans="1:14" ht="12.75" hidden="1" customHeight="1" x14ac:dyDescent="0.2">
      <c r="A64">
        <v>65061</v>
      </c>
      <c r="B64" s="3" t="s">
        <v>1253</v>
      </c>
      <c r="C64" s="7" t="s">
        <v>253</v>
      </c>
      <c r="D64" s="7" t="s">
        <v>200</v>
      </c>
      <c r="F64" s="7" t="s">
        <v>355</v>
      </c>
      <c r="G64" s="7" t="s">
        <v>1572</v>
      </c>
      <c r="H64" s="7" t="s">
        <v>1362</v>
      </c>
      <c r="I64" s="7" t="s">
        <v>1253</v>
      </c>
      <c r="K64" s="7" t="s">
        <v>202</v>
      </c>
      <c r="L64" s="11">
        <v>42.66</v>
      </c>
      <c r="M64" s="11">
        <v>109345.59</v>
      </c>
      <c r="N64" s="9">
        <f t="shared" si="1"/>
        <v>42.66</v>
      </c>
    </row>
    <row r="65" spans="1:14" ht="12.75" hidden="1" customHeight="1" x14ac:dyDescent="0.2">
      <c r="A65">
        <v>65061</v>
      </c>
      <c r="B65" s="3" t="s">
        <v>1253</v>
      </c>
      <c r="C65" s="7" t="s">
        <v>417</v>
      </c>
      <c r="D65" s="7" t="s">
        <v>200</v>
      </c>
      <c r="F65" s="7" t="s">
        <v>425</v>
      </c>
      <c r="G65" s="7" t="s">
        <v>1572</v>
      </c>
      <c r="H65" s="7" t="s">
        <v>1362</v>
      </c>
      <c r="I65" s="7" t="s">
        <v>1253</v>
      </c>
      <c r="K65" s="7" t="s">
        <v>202</v>
      </c>
      <c r="L65" s="11">
        <v>10</v>
      </c>
      <c r="M65" s="11">
        <v>109787.61</v>
      </c>
      <c r="N65" s="9">
        <f t="shared" si="1"/>
        <v>10</v>
      </c>
    </row>
    <row r="66" spans="1:14" ht="12.75" hidden="1" customHeight="1" x14ac:dyDescent="0.2">
      <c r="A66">
        <v>65061</v>
      </c>
      <c r="B66" s="3" t="s">
        <v>1253</v>
      </c>
      <c r="C66" s="7" t="s">
        <v>249</v>
      </c>
      <c r="D66" s="7" t="s">
        <v>221</v>
      </c>
      <c r="F66" s="7" t="s">
        <v>366</v>
      </c>
      <c r="G66" s="7" t="s">
        <v>1572</v>
      </c>
      <c r="H66" s="7" t="s">
        <v>1362</v>
      </c>
      <c r="I66" s="7" t="s">
        <v>1253</v>
      </c>
      <c r="K66" s="7" t="s">
        <v>202</v>
      </c>
      <c r="L66" s="11">
        <v>100</v>
      </c>
      <c r="M66" s="11">
        <v>115969.71</v>
      </c>
      <c r="N66" s="9">
        <f t="shared" si="1"/>
        <v>100</v>
      </c>
    </row>
    <row r="67" spans="1:14" ht="12.75" hidden="1" customHeight="1" x14ac:dyDescent="0.2">
      <c r="A67">
        <v>65061</v>
      </c>
      <c r="B67" s="3" t="s">
        <v>1253</v>
      </c>
      <c r="C67" s="7" t="s">
        <v>233</v>
      </c>
      <c r="D67" s="7" t="s">
        <v>221</v>
      </c>
      <c r="F67" s="7" t="s">
        <v>241</v>
      </c>
      <c r="G67" s="7" t="s">
        <v>1572</v>
      </c>
      <c r="H67" s="7" t="s">
        <v>1362</v>
      </c>
      <c r="I67" s="7" t="s">
        <v>1253</v>
      </c>
      <c r="K67" s="7" t="s">
        <v>202</v>
      </c>
      <c r="L67" s="11">
        <v>569.39</v>
      </c>
      <c r="M67" s="11">
        <v>135810.94</v>
      </c>
      <c r="N67" s="9">
        <f t="shared" si="1"/>
        <v>569.39</v>
      </c>
    </row>
    <row r="68" spans="1:14" ht="12.75" hidden="1" customHeight="1" x14ac:dyDescent="0.2">
      <c r="A68">
        <v>65061</v>
      </c>
      <c r="B68" s="3" t="s">
        <v>1253</v>
      </c>
      <c r="C68" s="7" t="s">
        <v>233</v>
      </c>
      <c r="D68" s="7" t="s">
        <v>221</v>
      </c>
      <c r="F68" s="7" t="s">
        <v>600</v>
      </c>
      <c r="G68" s="7" t="s">
        <v>1572</v>
      </c>
      <c r="H68" s="7" t="s">
        <v>1362</v>
      </c>
      <c r="I68" s="7" t="s">
        <v>1253</v>
      </c>
      <c r="K68" s="7" t="s">
        <v>202</v>
      </c>
      <c r="L68" s="11">
        <v>4.78</v>
      </c>
      <c r="M68" s="11">
        <v>135815.72</v>
      </c>
      <c r="N68" s="9">
        <f t="shared" si="1"/>
        <v>4.78</v>
      </c>
    </row>
    <row r="69" spans="1:14" ht="12.75" hidden="1" customHeight="1" x14ac:dyDescent="0.2">
      <c r="A69">
        <v>65061</v>
      </c>
      <c r="B69" s="3" t="s">
        <v>1253</v>
      </c>
      <c r="C69" s="7" t="s">
        <v>233</v>
      </c>
      <c r="D69" s="7" t="s">
        <v>221</v>
      </c>
      <c r="F69" s="7" t="s">
        <v>548</v>
      </c>
      <c r="G69" s="7" t="s">
        <v>1572</v>
      </c>
      <c r="H69" s="7" t="s">
        <v>1362</v>
      </c>
      <c r="I69" s="7" t="s">
        <v>1253</v>
      </c>
      <c r="K69" s="7" t="s">
        <v>202</v>
      </c>
      <c r="L69" s="11">
        <v>34.92</v>
      </c>
      <c r="M69" s="11">
        <v>135850.64000000001</v>
      </c>
      <c r="N69" s="9">
        <f t="shared" si="1"/>
        <v>34.92</v>
      </c>
    </row>
    <row r="70" spans="1:14" ht="12.75" hidden="1" customHeight="1" x14ac:dyDescent="0.2">
      <c r="A70">
        <v>65061</v>
      </c>
      <c r="B70" s="3" t="s">
        <v>1253</v>
      </c>
      <c r="C70" s="7" t="s">
        <v>233</v>
      </c>
      <c r="D70" s="7" t="s">
        <v>221</v>
      </c>
      <c r="F70" s="7" t="s">
        <v>625</v>
      </c>
      <c r="G70" s="7" t="s">
        <v>1572</v>
      </c>
      <c r="H70" s="7" t="s">
        <v>1362</v>
      </c>
      <c r="I70" s="7" t="s">
        <v>1253</v>
      </c>
      <c r="K70" s="7" t="s">
        <v>202</v>
      </c>
      <c r="L70" s="11">
        <v>91.95</v>
      </c>
      <c r="M70" s="11">
        <v>135942.59</v>
      </c>
      <c r="N70" s="9">
        <f t="shared" ref="N70:N101" si="2">IF(A70&lt;60000,-L70,+L70)</f>
        <v>91.95</v>
      </c>
    </row>
    <row r="71" spans="1:14" ht="12.75" hidden="1" customHeight="1" x14ac:dyDescent="0.2">
      <c r="A71">
        <v>65061</v>
      </c>
      <c r="B71" s="3" t="s">
        <v>1253</v>
      </c>
      <c r="C71" s="7" t="s">
        <v>193</v>
      </c>
      <c r="D71" s="7" t="s">
        <v>221</v>
      </c>
      <c r="F71" s="7" t="s">
        <v>722</v>
      </c>
      <c r="G71" s="7" t="s">
        <v>1572</v>
      </c>
      <c r="H71" s="7" t="s">
        <v>1362</v>
      </c>
      <c r="I71" s="7" t="s">
        <v>1253</v>
      </c>
      <c r="K71" s="7" t="s">
        <v>202</v>
      </c>
      <c r="L71" s="11">
        <v>49.99</v>
      </c>
      <c r="M71" s="11">
        <v>136112.79999999999</v>
      </c>
      <c r="N71" s="9">
        <f t="shared" si="2"/>
        <v>49.99</v>
      </c>
    </row>
    <row r="72" spans="1:14" ht="12.75" hidden="1" customHeight="1" x14ac:dyDescent="0.2">
      <c r="A72">
        <v>65061</v>
      </c>
      <c r="B72" s="3" t="s">
        <v>1253</v>
      </c>
      <c r="C72" s="7" t="s">
        <v>698</v>
      </c>
      <c r="D72" s="7" t="s">
        <v>221</v>
      </c>
      <c r="F72" s="7" t="s">
        <v>546</v>
      </c>
      <c r="G72" s="7" t="s">
        <v>1572</v>
      </c>
      <c r="H72" s="7" t="s">
        <v>1362</v>
      </c>
      <c r="I72" s="7" t="s">
        <v>1253</v>
      </c>
      <c r="K72" s="7" t="s">
        <v>202</v>
      </c>
      <c r="L72" s="11">
        <v>12.56</v>
      </c>
      <c r="M72" s="11">
        <v>144612.76</v>
      </c>
      <c r="N72" s="9">
        <f t="shared" si="2"/>
        <v>12.56</v>
      </c>
    </row>
    <row r="73" spans="1:14" ht="12.75" hidden="1" customHeight="1" x14ac:dyDescent="0.2">
      <c r="A73">
        <v>65061</v>
      </c>
      <c r="B73" s="3" t="s">
        <v>1253</v>
      </c>
      <c r="C73" s="7" t="s">
        <v>698</v>
      </c>
      <c r="D73" s="7" t="s">
        <v>221</v>
      </c>
      <c r="F73" s="7" t="s">
        <v>571</v>
      </c>
      <c r="G73" s="7" t="s">
        <v>1572</v>
      </c>
      <c r="H73" s="7" t="s">
        <v>1362</v>
      </c>
      <c r="I73" s="7" t="s">
        <v>1253</v>
      </c>
      <c r="K73" s="7" t="s">
        <v>202</v>
      </c>
      <c r="L73" s="11">
        <v>139.09</v>
      </c>
      <c r="M73" s="11">
        <v>144751.85</v>
      </c>
      <c r="N73" s="9">
        <f t="shared" si="2"/>
        <v>139.09</v>
      </c>
    </row>
    <row r="74" spans="1:14" ht="12.75" hidden="1" customHeight="1" x14ac:dyDescent="0.2">
      <c r="A74">
        <v>65061</v>
      </c>
      <c r="B74" s="3" t="s">
        <v>1253</v>
      </c>
      <c r="C74" s="7" t="s">
        <v>430</v>
      </c>
      <c r="D74" s="7" t="s">
        <v>221</v>
      </c>
      <c r="F74" s="7" t="s">
        <v>694</v>
      </c>
      <c r="G74" s="7" t="s">
        <v>1572</v>
      </c>
      <c r="H74" s="7" t="s">
        <v>1362</v>
      </c>
      <c r="I74" s="7" t="s">
        <v>1253</v>
      </c>
      <c r="K74" s="7" t="s">
        <v>202</v>
      </c>
      <c r="L74" s="11">
        <v>42.75</v>
      </c>
      <c r="M74" s="11">
        <v>146569.10999999999</v>
      </c>
      <c r="N74" s="9">
        <f t="shared" si="2"/>
        <v>42.75</v>
      </c>
    </row>
    <row r="75" spans="1:14" ht="12.75" hidden="1" customHeight="1" x14ac:dyDescent="0.2">
      <c r="A75">
        <v>65061</v>
      </c>
      <c r="B75" s="3" t="s">
        <v>1253</v>
      </c>
      <c r="C75" s="7" t="s">
        <v>442</v>
      </c>
      <c r="D75" s="7" t="s">
        <v>221</v>
      </c>
      <c r="F75" s="7" t="s">
        <v>265</v>
      </c>
      <c r="G75" s="7" t="s">
        <v>1572</v>
      </c>
      <c r="H75" s="7" t="s">
        <v>1362</v>
      </c>
      <c r="I75" s="7" t="s">
        <v>1253</v>
      </c>
      <c r="K75" s="7" t="s">
        <v>202</v>
      </c>
      <c r="L75" s="11">
        <v>54.49</v>
      </c>
      <c r="M75" s="11">
        <v>147175.24</v>
      </c>
      <c r="N75" s="9">
        <f t="shared" si="2"/>
        <v>54.49</v>
      </c>
    </row>
    <row r="76" spans="1:14" ht="12.75" hidden="1" customHeight="1" x14ac:dyDescent="0.2">
      <c r="A76">
        <v>65061</v>
      </c>
      <c r="B76" s="3" t="s">
        <v>1253</v>
      </c>
      <c r="C76" s="7" t="s">
        <v>442</v>
      </c>
      <c r="D76" s="7" t="s">
        <v>221</v>
      </c>
      <c r="F76" s="7" t="s">
        <v>597</v>
      </c>
      <c r="G76" s="7" t="s">
        <v>1572</v>
      </c>
      <c r="H76" s="7" t="s">
        <v>1362</v>
      </c>
      <c r="I76" s="7" t="s">
        <v>1253</v>
      </c>
      <c r="K76" s="7" t="s">
        <v>202</v>
      </c>
      <c r="L76" s="11">
        <v>2.99</v>
      </c>
      <c r="M76" s="11">
        <v>147216.26</v>
      </c>
      <c r="N76" s="9">
        <f t="shared" si="2"/>
        <v>2.99</v>
      </c>
    </row>
    <row r="77" spans="1:14" ht="12.75" hidden="1" customHeight="1" x14ac:dyDescent="0.2">
      <c r="A77">
        <v>65061</v>
      </c>
      <c r="B77" s="3" t="s">
        <v>1253</v>
      </c>
      <c r="C77" s="7" t="s">
        <v>218</v>
      </c>
      <c r="D77" s="7" t="s">
        <v>221</v>
      </c>
      <c r="F77" s="7" t="s">
        <v>425</v>
      </c>
      <c r="G77" s="7" t="s">
        <v>1572</v>
      </c>
      <c r="H77" s="7" t="s">
        <v>1362</v>
      </c>
      <c r="I77" s="7" t="s">
        <v>1253</v>
      </c>
      <c r="K77" s="7" t="s">
        <v>202</v>
      </c>
      <c r="L77" s="11">
        <v>10.199999999999999</v>
      </c>
      <c r="M77" s="11">
        <v>154046.60999999999</v>
      </c>
      <c r="N77" s="9">
        <f t="shared" si="2"/>
        <v>10.199999999999999</v>
      </c>
    </row>
    <row r="78" spans="1:14" ht="12.75" hidden="1" customHeight="1" x14ac:dyDescent="0.2">
      <c r="A78">
        <v>65061</v>
      </c>
      <c r="B78" s="3" t="s">
        <v>1253</v>
      </c>
      <c r="C78" s="7" t="s">
        <v>429</v>
      </c>
      <c r="D78" s="7" t="s">
        <v>242</v>
      </c>
      <c r="F78" s="7" t="s">
        <v>665</v>
      </c>
      <c r="G78" s="7" t="s">
        <v>1572</v>
      </c>
      <c r="H78" s="7" t="s">
        <v>1362</v>
      </c>
      <c r="I78" s="7" t="s">
        <v>1253</v>
      </c>
      <c r="J78" s="7" t="s">
        <v>664</v>
      </c>
      <c r="K78" s="7" t="s">
        <v>202</v>
      </c>
      <c r="L78" s="11">
        <v>-100</v>
      </c>
      <c r="M78" s="11">
        <v>155740.07</v>
      </c>
      <c r="N78" s="9">
        <f t="shared" si="2"/>
        <v>-100</v>
      </c>
    </row>
    <row r="79" spans="1:14" ht="12.75" hidden="1" customHeight="1" x14ac:dyDescent="0.2">
      <c r="A79">
        <v>65061</v>
      </c>
      <c r="B79" s="3" t="s">
        <v>1253</v>
      </c>
      <c r="C79" s="7" t="s">
        <v>637</v>
      </c>
      <c r="D79" s="7" t="s">
        <v>242</v>
      </c>
      <c r="F79" s="7" t="s">
        <v>638</v>
      </c>
      <c r="G79" s="7" t="s">
        <v>1572</v>
      </c>
      <c r="H79" s="7" t="s">
        <v>1362</v>
      </c>
      <c r="I79" s="7" t="s">
        <v>1253</v>
      </c>
      <c r="K79" s="7" t="s">
        <v>202</v>
      </c>
      <c r="L79" s="11">
        <v>-25</v>
      </c>
      <c r="M79" s="11">
        <v>169126.65</v>
      </c>
      <c r="N79" s="9">
        <f t="shared" si="2"/>
        <v>-25</v>
      </c>
    </row>
    <row r="80" spans="1:14" ht="12.75" hidden="1" customHeight="1" x14ac:dyDescent="0.2">
      <c r="A80">
        <v>65061</v>
      </c>
      <c r="B80" s="3" t="s">
        <v>1253</v>
      </c>
      <c r="C80" s="7" t="s">
        <v>486</v>
      </c>
      <c r="D80" s="7" t="s">
        <v>221</v>
      </c>
      <c r="F80" s="7" t="s">
        <v>265</v>
      </c>
      <c r="G80" s="7" t="s">
        <v>1572</v>
      </c>
      <c r="H80" s="7" t="s">
        <v>1362</v>
      </c>
      <c r="I80" s="7" t="s">
        <v>1253</v>
      </c>
      <c r="K80" s="7" t="s">
        <v>202</v>
      </c>
      <c r="L80" s="11">
        <v>13.45</v>
      </c>
      <c r="M80" s="11">
        <v>169526.88</v>
      </c>
      <c r="N80" s="9">
        <f t="shared" si="2"/>
        <v>13.45</v>
      </c>
    </row>
    <row r="81" spans="1:14" ht="12.75" hidden="1" customHeight="1" x14ac:dyDescent="0.2">
      <c r="A81">
        <v>65061</v>
      </c>
      <c r="B81" s="3" t="s">
        <v>1253</v>
      </c>
      <c r="C81" s="7" t="s">
        <v>585</v>
      </c>
      <c r="D81" s="7" t="s">
        <v>221</v>
      </c>
      <c r="F81" s="7" t="s">
        <v>366</v>
      </c>
      <c r="G81" s="7" t="s">
        <v>1572</v>
      </c>
      <c r="H81" s="7" t="s">
        <v>1362</v>
      </c>
      <c r="I81" s="7" t="s">
        <v>1253</v>
      </c>
      <c r="K81" s="7" t="s">
        <v>202</v>
      </c>
      <c r="L81" s="11">
        <v>200</v>
      </c>
      <c r="M81" s="11">
        <v>181810.08</v>
      </c>
      <c r="N81" s="9">
        <f t="shared" si="2"/>
        <v>200</v>
      </c>
    </row>
    <row r="82" spans="1:14" ht="12.75" hidden="1" customHeight="1" x14ac:dyDescent="0.2">
      <c r="A82">
        <v>65061</v>
      </c>
      <c r="B82" s="3" t="s">
        <v>1253</v>
      </c>
      <c r="C82" s="7" t="s">
        <v>426</v>
      </c>
      <c r="D82" s="7" t="s">
        <v>242</v>
      </c>
      <c r="F82" s="7" t="s">
        <v>571</v>
      </c>
      <c r="G82" s="7" t="s">
        <v>1572</v>
      </c>
      <c r="H82" s="7" t="s">
        <v>1362</v>
      </c>
      <c r="I82" s="7" t="s">
        <v>1253</v>
      </c>
      <c r="K82" s="7" t="s">
        <v>202</v>
      </c>
      <c r="L82" s="11">
        <v>-139.09</v>
      </c>
      <c r="M82" s="11">
        <v>189744.55</v>
      </c>
      <c r="N82" s="9">
        <f t="shared" si="2"/>
        <v>-139.09</v>
      </c>
    </row>
    <row r="83" spans="1:14" ht="12.75" hidden="1" customHeight="1" x14ac:dyDescent="0.2">
      <c r="A83">
        <v>65090</v>
      </c>
      <c r="B83" s="3" t="s">
        <v>1258</v>
      </c>
      <c r="C83" s="7" t="s">
        <v>308</v>
      </c>
      <c r="D83" s="7" t="s">
        <v>200</v>
      </c>
      <c r="F83" s="7" t="s">
        <v>435</v>
      </c>
      <c r="G83" s="7" t="s">
        <v>1572</v>
      </c>
      <c r="H83" s="7" t="s">
        <v>1362</v>
      </c>
      <c r="I83" s="7" t="s">
        <v>1258</v>
      </c>
      <c r="K83" s="7" t="s">
        <v>202</v>
      </c>
      <c r="L83" s="11">
        <v>61.62</v>
      </c>
      <c r="M83" s="11">
        <v>166.11</v>
      </c>
      <c r="N83" s="9">
        <f t="shared" si="2"/>
        <v>61.62</v>
      </c>
    </row>
    <row r="84" spans="1:14" ht="12.75" hidden="1" customHeight="1" x14ac:dyDescent="0.2">
      <c r="A84">
        <v>65090</v>
      </c>
      <c r="B84" s="3" t="s">
        <v>1258</v>
      </c>
      <c r="C84" s="7" t="s">
        <v>308</v>
      </c>
      <c r="D84" s="7" t="s">
        <v>200</v>
      </c>
      <c r="F84" s="7" t="s">
        <v>435</v>
      </c>
      <c r="G84" s="7" t="s">
        <v>1572</v>
      </c>
      <c r="H84" s="7" t="s">
        <v>1362</v>
      </c>
      <c r="I84" s="7" t="s">
        <v>1258</v>
      </c>
      <c r="K84" s="7" t="s">
        <v>202</v>
      </c>
      <c r="L84" s="11">
        <v>67.22</v>
      </c>
      <c r="M84" s="11">
        <v>233.33</v>
      </c>
      <c r="N84" s="9">
        <f t="shared" si="2"/>
        <v>67.22</v>
      </c>
    </row>
    <row r="85" spans="1:14" ht="12.75" hidden="1" customHeight="1" x14ac:dyDescent="0.2">
      <c r="A85">
        <v>67001</v>
      </c>
      <c r="B85" s="3" t="s">
        <v>1268</v>
      </c>
      <c r="C85" s="7" t="s">
        <v>305</v>
      </c>
      <c r="D85" s="7" t="s">
        <v>200</v>
      </c>
      <c r="F85" s="7" t="s">
        <v>304</v>
      </c>
      <c r="G85" s="7" t="s">
        <v>1572</v>
      </c>
      <c r="H85" s="70" t="s">
        <v>2129</v>
      </c>
      <c r="I85" s="7" t="s">
        <v>1268</v>
      </c>
      <c r="J85" s="7" t="s">
        <v>303</v>
      </c>
      <c r="K85" s="7" t="s">
        <v>202</v>
      </c>
      <c r="L85" s="11">
        <v>250</v>
      </c>
      <c r="M85" s="11">
        <v>46441.42</v>
      </c>
      <c r="N85" s="9">
        <f t="shared" si="2"/>
        <v>250</v>
      </c>
    </row>
    <row r="86" spans="1:14" ht="12.75" hidden="1" customHeight="1" x14ac:dyDescent="0.2">
      <c r="A86">
        <v>67001</v>
      </c>
      <c r="B86" s="3" t="s">
        <v>1268</v>
      </c>
      <c r="C86" s="7" t="s">
        <v>298</v>
      </c>
      <c r="D86" s="7" t="s">
        <v>200</v>
      </c>
      <c r="F86" s="7" t="s">
        <v>300</v>
      </c>
      <c r="G86" s="7" t="s">
        <v>1572</v>
      </c>
      <c r="H86" s="70" t="s">
        <v>2129</v>
      </c>
      <c r="I86" s="7" t="s">
        <v>1268</v>
      </c>
      <c r="J86" s="7" t="s">
        <v>299</v>
      </c>
      <c r="K86" s="7" t="s">
        <v>202</v>
      </c>
      <c r="L86" s="11">
        <v>36.92</v>
      </c>
      <c r="M86" s="11">
        <v>46523.34</v>
      </c>
      <c r="N86" s="9">
        <f t="shared" si="2"/>
        <v>36.92</v>
      </c>
    </row>
    <row r="87" spans="1:14" ht="12.75" hidden="1" customHeight="1" x14ac:dyDescent="0.2">
      <c r="A87">
        <v>67001</v>
      </c>
      <c r="B87" s="3" t="s">
        <v>1268</v>
      </c>
      <c r="C87" s="7" t="s">
        <v>194</v>
      </c>
      <c r="D87" s="7" t="s">
        <v>200</v>
      </c>
      <c r="E87" s="7">
        <v>1060</v>
      </c>
      <c r="F87" s="7" t="s">
        <v>205</v>
      </c>
      <c r="G87" s="7" t="s">
        <v>1572</v>
      </c>
      <c r="H87" s="70" t="s">
        <v>2129</v>
      </c>
      <c r="I87" s="7" t="s">
        <v>1268</v>
      </c>
      <c r="K87" s="7" t="s">
        <v>202</v>
      </c>
      <c r="L87" s="11">
        <v>400</v>
      </c>
      <c r="M87" s="11">
        <v>54596.11</v>
      </c>
      <c r="N87" s="9">
        <f t="shared" si="2"/>
        <v>400</v>
      </c>
    </row>
    <row r="88" spans="1:14" ht="12.75" hidden="1" customHeight="1" x14ac:dyDescent="0.2">
      <c r="A88">
        <v>67001</v>
      </c>
      <c r="B88" s="3" t="s">
        <v>1268</v>
      </c>
      <c r="C88" s="7" t="s">
        <v>224</v>
      </c>
      <c r="D88" s="7" t="s">
        <v>200</v>
      </c>
      <c r="E88" s="7">
        <v>1061</v>
      </c>
      <c r="F88" s="7" t="s">
        <v>205</v>
      </c>
      <c r="G88" s="7" t="s">
        <v>1572</v>
      </c>
      <c r="H88" s="70" t="s">
        <v>2129</v>
      </c>
      <c r="I88" s="7" t="s">
        <v>1268</v>
      </c>
      <c r="K88" s="7" t="s">
        <v>202</v>
      </c>
      <c r="L88" s="11">
        <v>500</v>
      </c>
      <c r="M88" s="11">
        <v>56962.25</v>
      </c>
      <c r="N88" s="9">
        <f t="shared" si="2"/>
        <v>500</v>
      </c>
    </row>
    <row r="89" spans="1:14" ht="12.75" hidden="1" customHeight="1" x14ac:dyDescent="0.2">
      <c r="A89">
        <v>67001</v>
      </c>
      <c r="B89" s="3" t="s">
        <v>1268</v>
      </c>
      <c r="C89" s="7" t="s">
        <v>207</v>
      </c>
      <c r="D89" s="7" t="s">
        <v>200</v>
      </c>
      <c r="E89" s="7">
        <v>1062</v>
      </c>
      <c r="F89" s="7" t="s">
        <v>206</v>
      </c>
      <c r="G89" s="7" t="s">
        <v>1572</v>
      </c>
      <c r="H89" s="70" t="s">
        <v>2129</v>
      </c>
      <c r="I89" s="7" t="s">
        <v>1268</v>
      </c>
      <c r="K89" s="7" t="s">
        <v>202</v>
      </c>
      <c r="L89" s="11">
        <v>1546.46</v>
      </c>
      <c r="M89" s="11">
        <v>59213.33</v>
      </c>
      <c r="N89" s="9">
        <f t="shared" si="2"/>
        <v>1546.46</v>
      </c>
    </row>
    <row r="90" spans="1:14" ht="12.75" hidden="1" customHeight="1" x14ac:dyDescent="0.2">
      <c r="A90">
        <v>67001</v>
      </c>
      <c r="B90" s="3" t="s">
        <v>1268</v>
      </c>
      <c r="C90" s="7" t="s">
        <v>204</v>
      </c>
      <c r="D90" s="7" t="s">
        <v>200</v>
      </c>
      <c r="E90" s="7">
        <v>1064</v>
      </c>
      <c r="F90" s="7" t="s">
        <v>205</v>
      </c>
      <c r="G90" s="7" t="s">
        <v>1572</v>
      </c>
      <c r="H90" s="70" t="s">
        <v>2129</v>
      </c>
      <c r="I90" s="7" t="s">
        <v>1268</v>
      </c>
      <c r="K90" s="7" t="s">
        <v>202</v>
      </c>
      <c r="L90" s="11">
        <v>300</v>
      </c>
      <c r="M90" s="11">
        <v>59513.33</v>
      </c>
      <c r="N90" s="9">
        <f t="shared" si="2"/>
        <v>300</v>
      </c>
    </row>
    <row r="91" spans="1:14" ht="12.75" hidden="1" customHeight="1" x14ac:dyDescent="0.2">
      <c r="A91">
        <v>67001</v>
      </c>
      <c r="B91" s="3" t="s">
        <v>1268</v>
      </c>
      <c r="C91" s="7" t="s">
        <v>204</v>
      </c>
      <c r="D91" s="7" t="s">
        <v>200</v>
      </c>
      <c r="E91" s="7">
        <v>1063</v>
      </c>
      <c r="F91" s="7" t="s">
        <v>203</v>
      </c>
      <c r="G91" s="7" t="s">
        <v>1572</v>
      </c>
      <c r="H91" s="70" t="s">
        <v>2129</v>
      </c>
      <c r="I91" s="7" t="s">
        <v>1268</v>
      </c>
      <c r="K91" s="7" t="s">
        <v>202</v>
      </c>
      <c r="L91" s="11">
        <v>700</v>
      </c>
      <c r="M91" s="11">
        <v>60213.33</v>
      </c>
      <c r="N91" s="9">
        <f t="shared" si="2"/>
        <v>700</v>
      </c>
    </row>
    <row r="92" spans="1:14" ht="12.75" customHeight="1" x14ac:dyDescent="0.2">
      <c r="A92">
        <v>43400</v>
      </c>
      <c r="B92" s="3" t="s">
        <v>1224</v>
      </c>
      <c r="C92" s="7" t="s">
        <v>965</v>
      </c>
      <c r="D92" s="7" t="s">
        <v>242</v>
      </c>
      <c r="F92" s="7" t="s">
        <v>1203</v>
      </c>
      <c r="G92" s="7" t="s">
        <v>1577</v>
      </c>
      <c r="H92" s="7" t="s">
        <v>1359</v>
      </c>
      <c r="I92" s="7" t="s">
        <v>1224</v>
      </c>
      <c r="K92" s="7" t="s">
        <v>1141</v>
      </c>
      <c r="L92" s="11">
        <v>1000</v>
      </c>
      <c r="M92" s="11">
        <v>-19834.89</v>
      </c>
      <c r="N92" s="9">
        <f t="shared" si="2"/>
        <v>-1000</v>
      </c>
    </row>
    <row r="93" spans="1:14" ht="12.75" customHeight="1" x14ac:dyDescent="0.2">
      <c r="A93">
        <v>43400</v>
      </c>
      <c r="B93" s="3" t="s">
        <v>1224</v>
      </c>
      <c r="C93" s="7" t="s">
        <v>932</v>
      </c>
      <c r="D93" s="7" t="s">
        <v>242</v>
      </c>
      <c r="F93" s="7" t="s">
        <v>665</v>
      </c>
      <c r="G93" s="7" t="s">
        <v>1577</v>
      </c>
      <c r="H93" s="7" t="s">
        <v>1359</v>
      </c>
      <c r="I93" s="7" t="s">
        <v>1224</v>
      </c>
      <c r="K93" s="7" t="s">
        <v>1141</v>
      </c>
      <c r="L93" s="11">
        <v>5211.05</v>
      </c>
      <c r="M93" s="11">
        <v>35564.14</v>
      </c>
      <c r="N93" s="9">
        <f t="shared" si="2"/>
        <v>-5211.05</v>
      </c>
    </row>
    <row r="94" spans="1:14" ht="12.75" hidden="1" customHeight="1" x14ac:dyDescent="0.2">
      <c r="A94">
        <v>43430</v>
      </c>
      <c r="B94" s="3" t="s">
        <v>1226</v>
      </c>
      <c r="C94" s="7" t="s">
        <v>482</v>
      </c>
      <c r="D94" s="7" t="s">
        <v>183</v>
      </c>
      <c r="E94" s="7">
        <v>469</v>
      </c>
      <c r="G94" s="7" t="s">
        <v>1563</v>
      </c>
      <c r="H94" s="7" t="s">
        <v>1360</v>
      </c>
      <c r="I94" s="7" t="s">
        <v>1226</v>
      </c>
      <c r="J94" s="7" t="s">
        <v>480</v>
      </c>
      <c r="K94" s="7" t="s">
        <v>180</v>
      </c>
      <c r="L94" s="11">
        <v>6277</v>
      </c>
      <c r="M94" s="11">
        <v>6277</v>
      </c>
      <c r="N94" s="9">
        <f t="shared" si="2"/>
        <v>-6277</v>
      </c>
    </row>
    <row r="95" spans="1:14" ht="12.75" hidden="1" customHeight="1" x14ac:dyDescent="0.2">
      <c r="A95">
        <v>43440</v>
      </c>
      <c r="B95" s="3" t="s">
        <v>1228</v>
      </c>
      <c r="C95" s="7" t="s">
        <v>482</v>
      </c>
      <c r="D95" s="7" t="s">
        <v>183</v>
      </c>
      <c r="E95" s="7">
        <v>469</v>
      </c>
      <c r="G95" s="7" t="s">
        <v>1563</v>
      </c>
      <c r="H95" s="7" t="s">
        <v>1360</v>
      </c>
      <c r="I95" s="7" t="s">
        <v>1228</v>
      </c>
      <c r="J95" s="7" t="s">
        <v>542</v>
      </c>
      <c r="K95" s="7" t="s">
        <v>180</v>
      </c>
      <c r="L95" s="11">
        <v>350</v>
      </c>
      <c r="M95" s="11">
        <v>975</v>
      </c>
      <c r="N95" s="9">
        <f t="shared" si="2"/>
        <v>-350</v>
      </c>
    </row>
    <row r="96" spans="1:14" ht="12.75" hidden="1" customHeight="1" x14ac:dyDescent="0.2">
      <c r="A96">
        <v>43440</v>
      </c>
      <c r="B96" s="3" t="s">
        <v>1228</v>
      </c>
      <c r="C96" s="7" t="s">
        <v>482</v>
      </c>
      <c r="D96" s="7" t="s">
        <v>183</v>
      </c>
      <c r="E96" s="7">
        <v>469</v>
      </c>
      <c r="G96" s="7" t="s">
        <v>1563</v>
      </c>
      <c r="H96" s="7" t="s">
        <v>1360</v>
      </c>
      <c r="I96" s="7" t="s">
        <v>1228</v>
      </c>
      <c r="J96" s="7" t="s">
        <v>541</v>
      </c>
      <c r="K96" s="7" t="s">
        <v>180</v>
      </c>
      <c r="L96" s="11">
        <v>600</v>
      </c>
      <c r="M96" s="11">
        <v>1575</v>
      </c>
      <c r="N96" s="9">
        <f t="shared" si="2"/>
        <v>-600</v>
      </c>
    </row>
    <row r="97" spans="1:14" ht="12.75" hidden="1" customHeight="1" x14ac:dyDescent="0.2">
      <c r="A97">
        <v>43440</v>
      </c>
      <c r="B97" s="3" t="s">
        <v>1228</v>
      </c>
      <c r="C97" s="7" t="s">
        <v>482</v>
      </c>
      <c r="D97" s="7" t="s">
        <v>183</v>
      </c>
      <c r="E97" s="7">
        <v>469</v>
      </c>
      <c r="G97" s="7" t="s">
        <v>1563</v>
      </c>
      <c r="H97" s="7" t="s">
        <v>1360</v>
      </c>
      <c r="I97" s="7" t="s">
        <v>1228</v>
      </c>
      <c r="J97" s="7" t="s">
        <v>540</v>
      </c>
      <c r="K97" s="7" t="s">
        <v>180</v>
      </c>
      <c r="L97" s="11">
        <v>450</v>
      </c>
      <c r="M97" s="11">
        <v>2025</v>
      </c>
      <c r="N97" s="9">
        <f t="shared" si="2"/>
        <v>-450</v>
      </c>
    </row>
    <row r="98" spans="1:14" ht="12.75" hidden="1" customHeight="1" x14ac:dyDescent="0.2">
      <c r="A98">
        <v>43440</v>
      </c>
      <c r="B98" s="3" t="s">
        <v>1228</v>
      </c>
      <c r="C98" s="7" t="s">
        <v>482</v>
      </c>
      <c r="D98" s="7" t="s">
        <v>183</v>
      </c>
      <c r="E98" s="7">
        <v>469</v>
      </c>
      <c r="G98" s="7" t="s">
        <v>1563</v>
      </c>
      <c r="H98" s="7" t="s">
        <v>1360</v>
      </c>
      <c r="I98" s="7" t="s">
        <v>1228</v>
      </c>
      <c r="J98" s="7" t="s">
        <v>538</v>
      </c>
      <c r="K98" s="7" t="s">
        <v>180</v>
      </c>
      <c r="L98" s="11">
        <v>365.98</v>
      </c>
      <c r="M98" s="11">
        <v>2390.98</v>
      </c>
      <c r="N98" s="9">
        <f t="shared" si="2"/>
        <v>-365.98</v>
      </c>
    </row>
    <row r="99" spans="1:14" ht="12.75" hidden="1" customHeight="1" x14ac:dyDescent="0.2">
      <c r="A99">
        <v>43440</v>
      </c>
      <c r="B99" s="3" t="s">
        <v>1228</v>
      </c>
      <c r="C99" s="7" t="s">
        <v>482</v>
      </c>
      <c r="D99" s="7" t="s">
        <v>183</v>
      </c>
      <c r="E99" s="7">
        <v>469</v>
      </c>
      <c r="G99" s="7" t="s">
        <v>1563</v>
      </c>
      <c r="H99" s="7" t="s">
        <v>1360</v>
      </c>
      <c r="I99" s="7" t="s">
        <v>1228</v>
      </c>
      <c r="J99" s="7" t="s">
        <v>543</v>
      </c>
      <c r="K99" s="7" t="s">
        <v>180</v>
      </c>
      <c r="L99" s="11">
        <v>295.38</v>
      </c>
      <c r="M99" s="11">
        <v>2686.36</v>
      </c>
      <c r="N99" s="9">
        <f t="shared" si="2"/>
        <v>-295.38</v>
      </c>
    </row>
    <row r="100" spans="1:14" ht="12.75" hidden="1" customHeight="1" x14ac:dyDescent="0.2">
      <c r="A100">
        <v>43440</v>
      </c>
      <c r="B100" s="3" t="s">
        <v>1228</v>
      </c>
      <c r="C100" s="7" t="s">
        <v>482</v>
      </c>
      <c r="D100" s="7" t="s">
        <v>183</v>
      </c>
      <c r="E100" s="7">
        <v>469</v>
      </c>
      <c r="G100" s="7" t="s">
        <v>1563</v>
      </c>
      <c r="H100" s="7" t="s">
        <v>1360</v>
      </c>
      <c r="I100" s="7" t="s">
        <v>1228</v>
      </c>
      <c r="J100" s="7" t="s">
        <v>539</v>
      </c>
      <c r="K100" s="7" t="s">
        <v>180</v>
      </c>
      <c r="L100" s="11">
        <v>700</v>
      </c>
      <c r="M100" s="11">
        <v>3386.36</v>
      </c>
      <c r="N100" s="9">
        <f t="shared" si="2"/>
        <v>-700</v>
      </c>
    </row>
    <row r="101" spans="1:14" ht="12.75" hidden="1" customHeight="1" x14ac:dyDescent="0.2">
      <c r="A101">
        <v>43440</v>
      </c>
      <c r="B101" s="3" t="s">
        <v>1228</v>
      </c>
      <c r="C101" s="7" t="s">
        <v>482</v>
      </c>
      <c r="D101" s="7" t="s">
        <v>183</v>
      </c>
      <c r="E101" s="7">
        <v>469</v>
      </c>
      <c r="G101" s="7" t="s">
        <v>1563</v>
      </c>
      <c r="H101" s="7" t="s">
        <v>1360</v>
      </c>
      <c r="I101" s="7" t="s">
        <v>1228</v>
      </c>
      <c r="J101" s="7" t="s">
        <v>537</v>
      </c>
      <c r="K101" s="7" t="s">
        <v>180</v>
      </c>
      <c r="L101" s="11">
        <v>400</v>
      </c>
      <c r="M101" s="11">
        <v>3786.36</v>
      </c>
      <c r="N101" s="9">
        <f t="shared" si="2"/>
        <v>-400</v>
      </c>
    </row>
    <row r="102" spans="1:14" ht="12.75" hidden="1" customHeight="1" x14ac:dyDescent="0.2">
      <c r="A102">
        <v>65020</v>
      </c>
      <c r="B102" s="3" t="s">
        <v>1245</v>
      </c>
      <c r="C102" s="7" t="s">
        <v>448</v>
      </c>
      <c r="D102" s="7" t="s">
        <v>200</v>
      </c>
      <c r="F102" s="7" t="s">
        <v>338</v>
      </c>
      <c r="G102" s="7" t="s">
        <v>1563</v>
      </c>
      <c r="H102" s="7" t="s">
        <v>1362</v>
      </c>
      <c r="I102" s="7" t="s">
        <v>1245</v>
      </c>
      <c r="K102" s="7" t="s">
        <v>971</v>
      </c>
      <c r="L102" s="11">
        <v>17.64</v>
      </c>
      <c r="M102" s="11">
        <v>496.4</v>
      </c>
      <c r="N102" s="9">
        <f t="shared" ref="N102:N130" si="3">IF(A102&lt;60000,-L102,+L102)</f>
        <v>17.64</v>
      </c>
    </row>
    <row r="103" spans="1:14" ht="12.75" hidden="1" customHeight="1" x14ac:dyDescent="0.2">
      <c r="A103">
        <v>65061</v>
      </c>
      <c r="B103" s="3" t="s">
        <v>1253</v>
      </c>
      <c r="C103" s="7" t="s">
        <v>978</v>
      </c>
      <c r="D103" s="7" t="s">
        <v>200</v>
      </c>
      <c r="F103" s="7" t="s">
        <v>265</v>
      </c>
      <c r="G103" s="7" t="s">
        <v>1563</v>
      </c>
      <c r="H103" s="7" t="s">
        <v>1362</v>
      </c>
      <c r="I103" s="7" t="s">
        <v>1253</v>
      </c>
      <c r="K103" s="7" t="s">
        <v>971</v>
      </c>
      <c r="L103" s="11">
        <v>36</v>
      </c>
      <c r="M103" s="11">
        <v>-6213.83</v>
      </c>
      <c r="N103" s="9">
        <f t="shared" si="3"/>
        <v>36</v>
      </c>
    </row>
    <row r="104" spans="1:14" ht="12.75" hidden="1" customHeight="1" x14ac:dyDescent="0.2">
      <c r="A104">
        <v>65061</v>
      </c>
      <c r="B104" s="3" t="s">
        <v>1253</v>
      </c>
      <c r="C104" s="7" t="s">
        <v>432</v>
      </c>
      <c r="D104" s="7" t="s">
        <v>200</v>
      </c>
      <c r="F104" s="7" t="s">
        <v>595</v>
      </c>
      <c r="G104" s="7" t="s">
        <v>1563</v>
      </c>
      <c r="H104" s="7" t="s">
        <v>1362</v>
      </c>
      <c r="I104" s="7" t="s">
        <v>1253</v>
      </c>
      <c r="K104" s="7" t="s">
        <v>971</v>
      </c>
      <c r="L104" s="11">
        <v>613.9</v>
      </c>
      <c r="M104" s="11">
        <v>-4820.84</v>
      </c>
      <c r="N104" s="9">
        <f t="shared" si="3"/>
        <v>613.9</v>
      </c>
    </row>
    <row r="105" spans="1:14" ht="12.75" hidden="1" customHeight="1" x14ac:dyDescent="0.2">
      <c r="A105">
        <v>65061</v>
      </c>
      <c r="B105" s="3" t="s">
        <v>1253</v>
      </c>
      <c r="C105" s="7" t="s">
        <v>388</v>
      </c>
      <c r="D105" s="7" t="s">
        <v>200</v>
      </c>
      <c r="F105" s="7" t="s">
        <v>241</v>
      </c>
      <c r="G105" s="7" t="s">
        <v>1563</v>
      </c>
      <c r="H105" s="7" t="s">
        <v>1362</v>
      </c>
      <c r="I105" s="7" t="s">
        <v>1253</v>
      </c>
      <c r="K105" s="7" t="s">
        <v>971</v>
      </c>
      <c r="L105" s="11">
        <v>9.5</v>
      </c>
      <c r="M105" s="11">
        <v>1967.23</v>
      </c>
      <c r="N105" s="9">
        <f t="shared" si="3"/>
        <v>9.5</v>
      </c>
    </row>
    <row r="106" spans="1:14" ht="12.75" hidden="1" customHeight="1" x14ac:dyDescent="0.2">
      <c r="A106">
        <v>65061</v>
      </c>
      <c r="B106" s="3" t="s">
        <v>1253</v>
      </c>
      <c r="C106" s="7" t="s">
        <v>388</v>
      </c>
      <c r="D106" s="7" t="s">
        <v>200</v>
      </c>
      <c r="F106" s="7" t="s">
        <v>972</v>
      </c>
      <c r="G106" s="7" t="s">
        <v>1563</v>
      </c>
      <c r="H106" s="7" t="s">
        <v>1362</v>
      </c>
      <c r="I106" s="7" t="s">
        <v>1253</v>
      </c>
      <c r="K106" s="7" t="s">
        <v>971</v>
      </c>
      <c r="L106" s="11">
        <v>215.38</v>
      </c>
      <c r="M106" s="11">
        <v>2182.61</v>
      </c>
      <c r="N106" s="9">
        <f t="shared" si="3"/>
        <v>215.38</v>
      </c>
    </row>
    <row r="107" spans="1:14" ht="12.75" hidden="1" customHeight="1" x14ac:dyDescent="0.2">
      <c r="A107">
        <v>65061</v>
      </c>
      <c r="B107" s="3" t="s">
        <v>1253</v>
      </c>
      <c r="C107" s="7" t="s">
        <v>388</v>
      </c>
      <c r="D107" s="7" t="s">
        <v>200</v>
      </c>
      <c r="F107" s="7" t="s">
        <v>352</v>
      </c>
      <c r="G107" s="7" t="s">
        <v>1563</v>
      </c>
      <c r="H107" s="7" t="s">
        <v>1362</v>
      </c>
      <c r="I107" s="7" t="s">
        <v>1253</v>
      </c>
      <c r="K107" s="7" t="s">
        <v>971</v>
      </c>
      <c r="L107" s="11">
        <v>155.77000000000001</v>
      </c>
      <c r="M107" s="11">
        <v>2338.38</v>
      </c>
      <c r="N107" s="9">
        <f t="shared" si="3"/>
        <v>155.77000000000001</v>
      </c>
    </row>
    <row r="108" spans="1:14" ht="12.75" hidden="1" customHeight="1" x14ac:dyDescent="0.2">
      <c r="A108">
        <v>65061</v>
      </c>
      <c r="B108" s="3" t="s">
        <v>1253</v>
      </c>
      <c r="C108" s="7" t="s">
        <v>388</v>
      </c>
      <c r="D108" s="7" t="s">
        <v>242</v>
      </c>
      <c r="G108" s="7" t="s">
        <v>1563</v>
      </c>
      <c r="H108" s="7" t="s">
        <v>1362</v>
      </c>
      <c r="I108" s="7" t="s">
        <v>1253</v>
      </c>
      <c r="K108" s="7" t="s">
        <v>971</v>
      </c>
      <c r="L108" s="11">
        <v>-190.19</v>
      </c>
      <c r="M108" s="11">
        <v>2148.19</v>
      </c>
      <c r="N108" s="9">
        <f t="shared" si="3"/>
        <v>-190.19</v>
      </c>
    </row>
    <row r="109" spans="1:14" ht="12.75" hidden="1" customHeight="1" x14ac:dyDescent="0.2">
      <c r="A109">
        <v>65061</v>
      </c>
      <c r="B109" s="3" t="s">
        <v>1253</v>
      </c>
      <c r="C109" s="7" t="s">
        <v>388</v>
      </c>
      <c r="D109" s="7" t="s">
        <v>242</v>
      </c>
      <c r="F109" s="7" t="s">
        <v>595</v>
      </c>
      <c r="G109" s="7" t="s">
        <v>1563</v>
      </c>
      <c r="H109" s="7" t="s">
        <v>1362</v>
      </c>
      <c r="I109" s="7" t="s">
        <v>1253</v>
      </c>
      <c r="K109" s="7" t="s">
        <v>971</v>
      </c>
      <c r="L109" s="11">
        <v>-21.24</v>
      </c>
      <c r="M109" s="11">
        <v>2126.9499999999998</v>
      </c>
      <c r="N109" s="9">
        <f t="shared" si="3"/>
        <v>-21.24</v>
      </c>
    </row>
    <row r="110" spans="1:14" ht="12.75" hidden="1" customHeight="1" x14ac:dyDescent="0.2">
      <c r="A110">
        <v>65061</v>
      </c>
      <c r="B110" s="3" t="s">
        <v>1253</v>
      </c>
      <c r="C110" s="7" t="s">
        <v>388</v>
      </c>
      <c r="D110" s="7" t="s">
        <v>200</v>
      </c>
      <c r="F110" s="7" t="s">
        <v>595</v>
      </c>
      <c r="G110" s="7" t="s">
        <v>1563</v>
      </c>
      <c r="H110" s="7" t="s">
        <v>1362</v>
      </c>
      <c r="I110" s="7" t="s">
        <v>1253</v>
      </c>
      <c r="K110" s="7" t="s">
        <v>971</v>
      </c>
      <c r="L110" s="11">
        <v>66.86</v>
      </c>
      <c r="M110" s="11">
        <v>2193.81</v>
      </c>
      <c r="N110" s="9">
        <f t="shared" si="3"/>
        <v>66.86</v>
      </c>
    </row>
    <row r="111" spans="1:14" ht="12.75" hidden="1" customHeight="1" x14ac:dyDescent="0.2">
      <c r="A111">
        <v>65061</v>
      </c>
      <c r="B111" s="3" t="s">
        <v>1253</v>
      </c>
      <c r="C111" s="7" t="s">
        <v>388</v>
      </c>
      <c r="D111" s="7" t="s">
        <v>200</v>
      </c>
      <c r="F111" s="7" t="s">
        <v>241</v>
      </c>
      <c r="G111" s="7" t="s">
        <v>1563</v>
      </c>
      <c r="H111" s="7" t="s">
        <v>1362</v>
      </c>
      <c r="I111" s="7" t="s">
        <v>1253</v>
      </c>
      <c r="K111" s="7" t="s">
        <v>971</v>
      </c>
      <c r="L111" s="11">
        <v>92.48</v>
      </c>
      <c r="M111" s="11">
        <v>2286.29</v>
      </c>
      <c r="N111" s="9">
        <f t="shared" si="3"/>
        <v>92.48</v>
      </c>
    </row>
    <row r="112" spans="1:14" ht="12.75" hidden="1" customHeight="1" x14ac:dyDescent="0.2">
      <c r="A112">
        <v>65061</v>
      </c>
      <c r="B112" s="3" t="s">
        <v>1253</v>
      </c>
      <c r="C112" s="7" t="s">
        <v>388</v>
      </c>
      <c r="D112" s="7" t="s">
        <v>200</v>
      </c>
      <c r="F112" s="7" t="s">
        <v>234</v>
      </c>
      <c r="G112" s="7" t="s">
        <v>1563</v>
      </c>
      <c r="H112" s="7" t="s">
        <v>1362</v>
      </c>
      <c r="I112" s="7" t="s">
        <v>1253</v>
      </c>
      <c r="K112" s="7" t="s">
        <v>971</v>
      </c>
      <c r="L112" s="11">
        <v>79.73</v>
      </c>
      <c r="M112" s="11">
        <v>2366.02</v>
      </c>
      <c r="N112" s="9">
        <f t="shared" si="3"/>
        <v>79.73</v>
      </c>
    </row>
    <row r="113" spans="1:14" ht="12.75" hidden="1" customHeight="1" x14ac:dyDescent="0.2">
      <c r="A113">
        <v>65061</v>
      </c>
      <c r="B113" s="3" t="s">
        <v>1253</v>
      </c>
      <c r="C113" s="7" t="s">
        <v>388</v>
      </c>
      <c r="D113" s="7" t="s">
        <v>200</v>
      </c>
      <c r="F113" s="7" t="s">
        <v>595</v>
      </c>
      <c r="G113" s="7" t="s">
        <v>1563</v>
      </c>
      <c r="H113" s="7" t="s">
        <v>1362</v>
      </c>
      <c r="I113" s="7" t="s">
        <v>1253</v>
      </c>
      <c r="K113" s="7" t="s">
        <v>971</v>
      </c>
      <c r="L113" s="11">
        <v>36.1</v>
      </c>
      <c r="M113" s="11">
        <v>2402.12</v>
      </c>
      <c r="N113" s="9">
        <f t="shared" si="3"/>
        <v>36.1</v>
      </c>
    </row>
    <row r="114" spans="1:14" ht="12.75" hidden="1" customHeight="1" x14ac:dyDescent="0.2">
      <c r="A114">
        <v>65061</v>
      </c>
      <c r="B114" s="3" t="s">
        <v>1253</v>
      </c>
      <c r="C114" s="7" t="s">
        <v>306</v>
      </c>
      <c r="D114" s="7" t="s">
        <v>200</v>
      </c>
      <c r="E114" s="7">
        <v>429</v>
      </c>
      <c r="F114" s="7" t="s">
        <v>839</v>
      </c>
      <c r="G114" s="7" t="s">
        <v>1563</v>
      </c>
      <c r="H114" s="7" t="s">
        <v>1362</v>
      </c>
      <c r="I114" s="7" t="s">
        <v>1253</v>
      </c>
      <c r="J114" s="7" t="s">
        <v>838</v>
      </c>
      <c r="K114" s="7" t="s">
        <v>198</v>
      </c>
      <c r="L114" s="11">
        <v>1166.47</v>
      </c>
      <c r="M114" s="11">
        <v>76930.649999999994</v>
      </c>
      <c r="N114" s="9">
        <f t="shared" si="3"/>
        <v>1166.47</v>
      </c>
    </row>
    <row r="115" spans="1:14" ht="12.75" hidden="1" customHeight="1" x14ac:dyDescent="0.2">
      <c r="A115">
        <v>65062</v>
      </c>
      <c r="B115" s="3" t="s">
        <v>1254</v>
      </c>
      <c r="C115" s="7" t="s">
        <v>482</v>
      </c>
      <c r="D115" s="7" t="s">
        <v>183</v>
      </c>
      <c r="E115" s="7">
        <v>469</v>
      </c>
      <c r="G115" s="7" t="s">
        <v>1563</v>
      </c>
      <c r="H115" s="7" t="s">
        <v>1362</v>
      </c>
      <c r="I115" s="7" t="s">
        <v>1254</v>
      </c>
      <c r="J115" s="7" t="s">
        <v>543</v>
      </c>
      <c r="K115" s="7" t="s">
        <v>180</v>
      </c>
      <c r="L115" s="11">
        <v>295.38</v>
      </c>
      <c r="M115" s="11">
        <v>920.38</v>
      </c>
      <c r="N115" s="9">
        <f t="shared" si="3"/>
        <v>295.38</v>
      </c>
    </row>
    <row r="116" spans="1:14" ht="12.75" hidden="1" customHeight="1" x14ac:dyDescent="0.2">
      <c r="A116">
        <v>65062</v>
      </c>
      <c r="B116" s="3" t="s">
        <v>1254</v>
      </c>
      <c r="C116" s="7" t="s">
        <v>482</v>
      </c>
      <c r="D116" s="7" t="s">
        <v>183</v>
      </c>
      <c r="E116" s="7">
        <v>469</v>
      </c>
      <c r="G116" s="7" t="s">
        <v>1563</v>
      </c>
      <c r="H116" s="7" t="s">
        <v>1362</v>
      </c>
      <c r="I116" s="7" t="s">
        <v>1254</v>
      </c>
      <c r="J116" s="7" t="s">
        <v>542</v>
      </c>
      <c r="K116" s="7" t="s">
        <v>180</v>
      </c>
      <c r="L116" s="11">
        <v>350</v>
      </c>
      <c r="M116" s="11">
        <v>1270.3800000000001</v>
      </c>
      <c r="N116" s="9">
        <f t="shared" si="3"/>
        <v>350</v>
      </c>
    </row>
    <row r="117" spans="1:14" ht="12.75" hidden="1" customHeight="1" x14ac:dyDescent="0.2">
      <c r="A117">
        <v>65062</v>
      </c>
      <c r="B117" s="3" t="s">
        <v>1254</v>
      </c>
      <c r="C117" s="7" t="s">
        <v>482</v>
      </c>
      <c r="D117" s="7" t="s">
        <v>183</v>
      </c>
      <c r="E117" s="7">
        <v>469</v>
      </c>
      <c r="G117" s="7" t="s">
        <v>1563</v>
      </c>
      <c r="H117" s="7" t="s">
        <v>1362</v>
      </c>
      <c r="I117" s="7" t="s">
        <v>1254</v>
      </c>
      <c r="J117" s="7" t="s">
        <v>541</v>
      </c>
      <c r="K117" s="7" t="s">
        <v>180</v>
      </c>
      <c r="L117" s="11">
        <v>600</v>
      </c>
      <c r="M117" s="11">
        <v>1870.38</v>
      </c>
      <c r="N117" s="9">
        <f t="shared" si="3"/>
        <v>600</v>
      </c>
    </row>
    <row r="118" spans="1:14" ht="12.75" hidden="1" customHeight="1" x14ac:dyDescent="0.2">
      <c r="A118">
        <v>65062</v>
      </c>
      <c r="B118" s="3" t="s">
        <v>1254</v>
      </c>
      <c r="C118" s="7" t="s">
        <v>482</v>
      </c>
      <c r="D118" s="7" t="s">
        <v>183</v>
      </c>
      <c r="E118" s="7">
        <v>469</v>
      </c>
      <c r="G118" s="7" t="s">
        <v>1563</v>
      </c>
      <c r="H118" s="7" t="s">
        <v>1362</v>
      </c>
      <c r="I118" s="7" t="s">
        <v>1254</v>
      </c>
      <c r="J118" s="7" t="s">
        <v>540</v>
      </c>
      <c r="K118" s="7" t="s">
        <v>180</v>
      </c>
      <c r="L118" s="11">
        <v>450</v>
      </c>
      <c r="M118" s="11">
        <v>2320.38</v>
      </c>
      <c r="N118" s="9">
        <f t="shared" si="3"/>
        <v>450</v>
      </c>
    </row>
    <row r="119" spans="1:14" ht="12.75" hidden="1" customHeight="1" x14ac:dyDescent="0.2">
      <c r="A119">
        <v>65062</v>
      </c>
      <c r="B119" s="3" t="s">
        <v>1254</v>
      </c>
      <c r="C119" s="7" t="s">
        <v>482</v>
      </c>
      <c r="D119" s="7" t="s">
        <v>183</v>
      </c>
      <c r="E119" s="7">
        <v>469</v>
      </c>
      <c r="G119" s="7" t="s">
        <v>1563</v>
      </c>
      <c r="H119" s="7" t="s">
        <v>1362</v>
      </c>
      <c r="I119" s="7" t="s">
        <v>1254</v>
      </c>
      <c r="J119" s="7" t="s">
        <v>539</v>
      </c>
      <c r="K119" s="7" t="s">
        <v>180</v>
      </c>
      <c r="L119" s="11">
        <v>700</v>
      </c>
      <c r="M119" s="11">
        <v>3020.38</v>
      </c>
      <c r="N119" s="9">
        <f t="shared" si="3"/>
        <v>700</v>
      </c>
    </row>
    <row r="120" spans="1:14" ht="12.75" hidden="1" customHeight="1" x14ac:dyDescent="0.2">
      <c r="A120">
        <v>65062</v>
      </c>
      <c r="B120" s="3" t="s">
        <v>1254</v>
      </c>
      <c r="C120" s="7" t="s">
        <v>482</v>
      </c>
      <c r="D120" s="7" t="s">
        <v>183</v>
      </c>
      <c r="E120" s="7">
        <v>469</v>
      </c>
      <c r="G120" s="7" t="s">
        <v>1563</v>
      </c>
      <c r="H120" s="7" t="s">
        <v>1362</v>
      </c>
      <c r="I120" s="7" t="s">
        <v>1254</v>
      </c>
      <c r="J120" s="7" t="s">
        <v>538</v>
      </c>
      <c r="K120" s="7" t="s">
        <v>180</v>
      </c>
      <c r="L120" s="11">
        <v>365.98</v>
      </c>
      <c r="M120" s="11">
        <v>3386.36</v>
      </c>
      <c r="N120" s="9">
        <f t="shared" si="3"/>
        <v>365.98</v>
      </c>
    </row>
    <row r="121" spans="1:14" ht="12.75" hidden="1" customHeight="1" x14ac:dyDescent="0.2">
      <c r="A121">
        <v>65062</v>
      </c>
      <c r="B121" s="3" t="s">
        <v>1254</v>
      </c>
      <c r="C121" s="7" t="s">
        <v>482</v>
      </c>
      <c r="D121" s="7" t="s">
        <v>183</v>
      </c>
      <c r="E121" s="7">
        <v>469</v>
      </c>
      <c r="G121" s="7" t="s">
        <v>1563</v>
      </c>
      <c r="H121" s="7" t="s">
        <v>1362</v>
      </c>
      <c r="I121" s="7" t="s">
        <v>1254</v>
      </c>
      <c r="J121" s="7" t="s">
        <v>537</v>
      </c>
      <c r="K121" s="7" t="s">
        <v>180</v>
      </c>
      <c r="L121" s="11">
        <v>400</v>
      </c>
      <c r="M121" s="11">
        <v>3786.36</v>
      </c>
      <c r="N121" s="9">
        <f t="shared" si="3"/>
        <v>400</v>
      </c>
    </row>
    <row r="122" spans="1:14" ht="12.75" hidden="1" customHeight="1" x14ac:dyDescent="0.2">
      <c r="A122">
        <v>65063</v>
      </c>
      <c r="B122" s="3" t="s">
        <v>1255</v>
      </c>
      <c r="C122" s="7" t="s">
        <v>482</v>
      </c>
      <c r="D122" s="7" t="s">
        <v>183</v>
      </c>
      <c r="E122" s="7">
        <v>469</v>
      </c>
      <c r="G122" s="7" t="s">
        <v>1563</v>
      </c>
      <c r="H122" s="7" t="s">
        <v>1362</v>
      </c>
      <c r="I122" s="7" t="s">
        <v>1255</v>
      </c>
      <c r="J122" s="7" t="s">
        <v>480</v>
      </c>
      <c r="K122" s="7" t="s">
        <v>180</v>
      </c>
      <c r="L122" s="11">
        <v>6277</v>
      </c>
      <c r="M122" s="11">
        <v>6277</v>
      </c>
      <c r="N122" s="9">
        <f t="shared" si="3"/>
        <v>6277</v>
      </c>
    </row>
    <row r="123" spans="1:14" ht="12.75" customHeight="1" x14ac:dyDescent="0.2">
      <c r="A123">
        <v>43400</v>
      </c>
      <c r="B123" s="3" t="s">
        <v>1224</v>
      </c>
      <c r="C123" s="7" t="s">
        <v>340</v>
      </c>
      <c r="D123" s="7" t="s">
        <v>242</v>
      </c>
      <c r="F123" s="7" t="s">
        <v>665</v>
      </c>
      <c r="G123" s="7" t="s">
        <v>1577</v>
      </c>
      <c r="H123" s="7" t="s">
        <v>1359</v>
      </c>
      <c r="I123" s="7" t="s">
        <v>1224</v>
      </c>
      <c r="K123" s="7" t="s">
        <v>1141</v>
      </c>
      <c r="L123" s="11">
        <v>3550</v>
      </c>
      <c r="M123" s="11">
        <v>76704.399999999994</v>
      </c>
      <c r="N123" s="9">
        <f t="shared" si="3"/>
        <v>-3550</v>
      </c>
    </row>
    <row r="124" spans="1:14" ht="12.75" customHeight="1" x14ac:dyDescent="0.2">
      <c r="A124">
        <v>43400</v>
      </c>
      <c r="B124" s="3" t="s">
        <v>1224</v>
      </c>
      <c r="C124" s="7" t="s">
        <v>315</v>
      </c>
      <c r="D124" s="7" t="s">
        <v>183</v>
      </c>
      <c r="E124" s="7">
        <v>446</v>
      </c>
      <c r="G124" s="7" t="s">
        <v>1577</v>
      </c>
      <c r="H124" s="7" t="s">
        <v>1359</v>
      </c>
      <c r="I124" s="7" t="s">
        <v>1224</v>
      </c>
      <c r="J124" s="7" t="s">
        <v>425</v>
      </c>
      <c r="K124" s="7" t="s">
        <v>180</v>
      </c>
      <c r="L124" s="11">
        <v>225</v>
      </c>
      <c r="M124" s="11">
        <v>89174.21</v>
      </c>
      <c r="N124" s="9">
        <f t="shared" si="3"/>
        <v>-225</v>
      </c>
    </row>
    <row r="125" spans="1:14" ht="12.75" customHeight="1" x14ac:dyDescent="0.2">
      <c r="A125">
        <v>43400</v>
      </c>
      <c r="B125" s="3" t="s">
        <v>1224</v>
      </c>
      <c r="C125" s="7" t="s">
        <v>855</v>
      </c>
      <c r="D125" s="7" t="s">
        <v>242</v>
      </c>
      <c r="F125" s="7" t="s">
        <v>665</v>
      </c>
      <c r="G125" s="7" t="s">
        <v>1577</v>
      </c>
      <c r="H125" s="7" t="s">
        <v>1359</v>
      </c>
      <c r="I125" s="7" t="s">
        <v>1224</v>
      </c>
      <c r="K125" s="7" t="s">
        <v>1141</v>
      </c>
      <c r="L125" s="11">
        <v>783.5</v>
      </c>
      <c r="M125" s="11">
        <v>92104.75</v>
      </c>
      <c r="N125" s="9">
        <f t="shared" si="3"/>
        <v>-783.5</v>
      </c>
    </row>
    <row r="126" spans="1:14" ht="12.75" customHeight="1" x14ac:dyDescent="0.2">
      <c r="A126">
        <v>43400</v>
      </c>
      <c r="B126" s="3" t="s">
        <v>1224</v>
      </c>
      <c r="C126" s="7" t="s">
        <v>305</v>
      </c>
      <c r="D126" s="7" t="s">
        <v>242</v>
      </c>
      <c r="F126" s="7" t="s">
        <v>665</v>
      </c>
      <c r="G126" s="7" t="s">
        <v>1577</v>
      </c>
      <c r="H126" s="7" t="s">
        <v>1359</v>
      </c>
      <c r="I126" s="7" t="s">
        <v>1224</v>
      </c>
      <c r="K126" s="7" t="s">
        <v>1141</v>
      </c>
      <c r="L126" s="11">
        <v>1640</v>
      </c>
      <c r="M126" s="11">
        <v>104948.59</v>
      </c>
      <c r="N126" s="9">
        <f t="shared" si="3"/>
        <v>-1640</v>
      </c>
    </row>
    <row r="127" spans="1:14" ht="12.75" customHeight="1" x14ac:dyDescent="0.2">
      <c r="A127">
        <v>43400</v>
      </c>
      <c r="B127" s="3" t="s">
        <v>1224</v>
      </c>
      <c r="C127" s="7" t="s">
        <v>417</v>
      </c>
      <c r="D127" s="7" t="s">
        <v>242</v>
      </c>
      <c r="F127" s="7" t="s">
        <v>665</v>
      </c>
      <c r="G127" s="7" t="s">
        <v>1577</v>
      </c>
      <c r="H127" s="7" t="s">
        <v>1359</v>
      </c>
      <c r="I127" s="7" t="s">
        <v>1224</v>
      </c>
      <c r="K127" s="7" t="s">
        <v>1141</v>
      </c>
      <c r="L127" s="11">
        <v>300.3</v>
      </c>
      <c r="M127" s="11">
        <v>125289.41</v>
      </c>
      <c r="N127" s="9">
        <f t="shared" si="3"/>
        <v>-300.3</v>
      </c>
    </row>
    <row r="128" spans="1:14" ht="12.75" customHeight="1" x14ac:dyDescent="0.2">
      <c r="A128">
        <v>43400</v>
      </c>
      <c r="B128" s="3" t="s">
        <v>1224</v>
      </c>
      <c r="C128" s="7" t="s">
        <v>229</v>
      </c>
      <c r="D128" s="7" t="s">
        <v>242</v>
      </c>
      <c r="F128" s="7" t="s">
        <v>665</v>
      </c>
      <c r="G128" s="7" t="s">
        <v>1577</v>
      </c>
      <c r="H128" s="7" t="s">
        <v>1359</v>
      </c>
      <c r="I128" s="7" t="s">
        <v>1224</v>
      </c>
      <c r="K128" s="7" t="s">
        <v>1141</v>
      </c>
      <c r="L128" s="11">
        <v>322</v>
      </c>
      <c r="M128" s="11">
        <v>162211.01</v>
      </c>
      <c r="N128" s="9">
        <f t="shared" si="3"/>
        <v>-322</v>
      </c>
    </row>
    <row r="129" spans="1:14" ht="12.75" customHeight="1" x14ac:dyDescent="0.2">
      <c r="A129">
        <v>43400</v>
      </c>
      <c r="B129" s="3" t="s">
        <v>1224</v>
      </c>
      <c r="C129" s="7" t="s">
        <v>486</v>
      </c>
      <c r="D129" s="7" t="s">
        <v>242</v>
      </c>
      <c r="F129" s="7" t="s">
        <v>665</v>
      </c>
      <c r="G129" s="7" t="s">
        <v>1577</v>
      </c>
      <c r="H129" s="7" t="s">
        <v>1359</v>
      </c>
      <c r="I129" s="7" t="s">
        <v>1224</v>
      </c>
      <c r="K129" s="7" t="s">
        <v>1141</v>
      </c>
      <c r="L129" s="11">
        <v>215.91</v>
      </c>
      <c r="M129" s="11">
        <v>193500.02</v>
      </c>
      <c r="N129" s="9">
        <f t="shared" si="3"/>
        <v>-215.91</v>
      </c>
    </row>
    <row r="130" spans="1:14" ht="12.75" customHeight="1" x14ac:dyDescent="0.2">
      <c r="A130">
        <v>43400</v>
      </c>
      <c r="B130" s="3" t="s">
        <v>1224</v>
      </c>
      <c r="C130" s="7" t="s">
        <v>204</v>
      </c>
      <c r="D130" s="7" t="s">
        <v>242</v>
      </c>
      <c r="F130" s="7" t="s">
        <v>665</v>
      </c>
      <c r="G130" s="7" t="s">
        <v>1577</v>
      </c>
      <c r="H130" s="7" t="s">
        <v>1359</v>
      </c>
      <c r="I130" s="7" t="s">
        <v>1224</v>
      </c>
      <c r="K130" s="7" t="s">
        <v>1141</v>
      </c>
      <c r="L130" s="11">
        <v>1350</v>
      </c>
      <c r="M130" s="11">
        <v>207532.07</v>
      </c>
      <c r="N130" s="9">
        <f t="shared" si="3"/>
        <v>-1350</v>
      </c>
    </row>
    <row r="131" spans="1:14" ht="12.75" customHeight="1" x14ac:dyDescent="0.2">
      <c r="A131">
        <v>43400</v>
      </c>
      <c r="B131" s="3" t="s">
        <v>1224</v>
      </c>
      <c r="C131" s="7" t="s">
        <v>1603</v>
      </c>
      <c r="D131" s="7" t="s">
        <v>242</v>
      </c>
      <c r="F131" s="7" t="s">
        <v>1604</v>
      </c>
      <c r="G131" s="7" t="s">
        <v>1605</v>
      </c>
      <c r="H131" s="7" t="s">
        <v>1359</v>
      </c>
      <c r="I131" s="7" t="s">
        <v>1224</v>
      </c>
      <c r="K131" s="39" t="s">
        <v>1191</v>
      </c>
      <c r="L131" s="40">
        <v>6334.05</v>
      </c>
      <c r="M131" s="40">
        <v>249078.42</v>
      </c>
      <c r="N131" s="41">
        <f>-L131</f>
        <v>-6334.05</v>
      </c>
    </row>
    <row r="132" spans="1:14" ht="12.75" customHeight="1" x14ac:dyDescent="0.2">
      <c r="A132">
        <v>43400</v>
      </c>
      <c r="B132" s="3" t="s">
        <v>1224</v>
      </c>
      <c r="C132" s="7" t="s">
        <v>1543</v>
      </c>
      <c r="D132" s="7" t="s">
        <v>242</v>
      </c>
      <c r="F132" s="7" t="s">
        <v>665</v>
      </c>
      <c r="G132" s="7" t="s">
        <v>1605</v>
      </c>
      <c r="H132" s="7" t="s">
        <v>1359</v>
      </c>
      <c r="I132" s="7" t="s">
        <v>1224</v>
      </c>
      <c r="K132" s="39" t="s">
        <v>1191</v>
      </c>
      <c r="L132" s="40">
        <v>100</v>
      </c>
      <c r="M132" s="40">
        <v>256217.42</v>
      </c>
      <c r="N132" s="41">
        <f>-L132</f>
        <v>-100</v>
      </c>
    </row>
    <row r="133" spans="1:14" ht="12.75" customHeight="1" x14ac:dyDescent="0.2">
      <c r="A133">
        <v>43400</v>
      </c>
      <c r="B133" s="3" t="s">
        <v>1224</v>
      </c>
      <c r="C133" s="7" t="s">
        <v>1567</v>
      </c>
      <c r="D133" s="7" t="s">
        <v>242</v>
      </c>
      <c r="G133" s="7" t="s">
        <v>1568</v>
      </c>
      <c r="H133" s="7" t="s">
        <v>1359</v>
      </c>
      <c r="I133" s="7" t="s">
        <v>1224</v>
      </c>
      <c r="K133" s="39" t="s">
        <v>258</v>
      </c>
      <c r="L133" s="40">
        <v>60</v>
      </c>
      <c r="M133" s="40">
        <v>223527.57</v>
      </c>
      <c r="N133" s="41">
        <f>-L133</f>
        <v>-60</v>
      </c>
    </row>
    <row r="134" spans="1:14" ht="12.75" customHeight="1" x14ac:dyDescent="0.2">
      <c r="A134">
        <v>43400</v>
      </c>
      <c r="B134" s="3" t="s">
        <v>1224</v>
      </c>
      <c r="C134" s="7" t="s">
        <v>406</v>
      </c>
      <c r="D134" s="7" t="s">
        <v>242</v>
      </c>
      <c r="F134" s="7" t="s">
        <v>665</v>
      </c>
      <c r="G134" s="7" t="s">
        <v>1564</v>
      </c>
      <c r="H134" s="7" t="s">
        <v>1359</v>
      </c>
      <c r="I134" s="7" t="s">
        <v>1224</v>
      </c>
      <c r="K134" s="7" t="s">
        <v>1186</v>
      </c>
      <c r="L134" s="11">
        <v>1000</v>
      </c>
      <c r="M134" s="11">
        <v>107526.64</v>
      </c>
      <c r="N134" s="9">
        <f t="shared" ref="N134:N165" si="4">IF(A134&lt;60000,-L134,+L134)</f>
        <v>-1000</v>
      </c>
    </row>
    <row r="135" spans="1:14" ht="12.75" customHeight="1" x14ac:dyDescent="0.2">
      <c r="A135">
        <v>43400</v>
      </c>
      <c r="B135" s="3" t="s">
        <v>1224</v>
      </c>
      <c r="C135" s="7" t="s">
        <v>249</v>
      </c>
      <c r="D135" s="7" t="s">
        <v>242</v>
      </c>
      <c r="F135" s="7" t="s">
        <v>665</v>
      </c>
      <c r="G135" s="7" t="s">
        <v>1564</v>
      </c>
      <c r="H135" s="7" t="s">
        <v>1359</v>
      </c>
      <c r="I135" s="7" t="s">
        <v>1224</v>
      </c>
      <c r="K135" s="7" t="s">
        <v>1186</v>
      </c>
      <c r="L135" s="11">
        <v>100</v>
      </c>
      <c r="M135" s="11">
        <v>128474.41</v>
      </c>
      <c r="N135" s="9">
        <f t="shared" si="4"/>
        <v>-100</v>
      </c>
    </row>
    <row r="136" spans="1:14" ht="12.75" hidden="1" customHeight="1" x14ac:dyDescent="0.2">
      <c r="A136">
        <v>43430</v>
      </c>
      <c r="B136" s="3" t="s">
        <v>1226</v>
      </c>
      <c r="C136" s="7" t="s">
        <v>466</v>
      </c>
      <c r="D136" s="7" t="s">
        <v>183</v>
      </c>
      <c r="E136" s="7">
        <v>574</v>
      </c>
      <c r="G136" s="7" t="s">
        <v>1577</v>
      </c>
      <c r="H136" s="7" t="s">
        <v>1360</v>
      </c>
      <c r="I136" s="7" t="s">
        <v>1226</v>
      </c>
      <c r="J136" s="7" t="s">
        <v>465</v>
      </c>
      <c r="K136" s="7" t="s">
        <v>180</v>
      </c>
      <c r="L136" s="11">
        <v>1040</v>
      </c>
      <c r="M136" s="11">
        <v>12367.5</v>
      </c>
      <c r="N136" s="9">
        <f t="shared" si="4"/>
        <v>-1040</v>
      </c>
    </row>
    <row r="137" spans="1:14" ht="12.75" hidden="1" customHeight="1" x14ac:dyDescent="0.2">
      <c r="A137">
        <v>43430</v>
      </c>
      <c r="B137" s="3" t="s">
        <v>1226</v>
      </c>
      <c r="C137" s="7" t="s">
        <v>455</v>
      </c>
      <c r="D137" s="7" t="s">
        <v>183</v>
      </c>
      <c r="E137" s="7">
        <v>609</v>
      </c>
      <c r="G137" s="7" t="s">
        <v>1577</v>
      </c>
      <c r="H137" s="7" t="s">
        <v>1360</v>
      </c>
      <c r="I137" s="7" t="s">
        <v>1226</v>
      </c>
      <c r="J137" s="7" t="s">
        <v>1161</v>
      </c>
      <c r="K137" s="7" t="s">
        <v>180</v>
      </c>
      <c r="L137" s="11">
        <v>205</v>
      </c>
      <c r="M137" s="11">
        <v>15472.5</v>
      </c>
      <c r="N137" s="9">
        <f t="shared" si="4"/>
        <v>-205</v>
      </c>
    </row>
    <row r="138" spans="1:14" ht="12.75" hidden="1" customHeight="1" x14ac:dyDescent="0.2">
      <c r="A138">
        <v>43430</v>
      </c>
      <c r="B138" s="3" t="s">
        <v>1226</v>
      </c>
      <c r="C138" s="7" t="s">
        <v>452</v>
      </c>
      <c r="D138" s="7" t="s">
        <v>183</v>
      </c>
      <c r="E138" s="7">
        <v>610</v>
      </c>
      <c r="G138" s="7" t="s">
        <v>1577</v>
      </c>
      <c r="H138" s="7" t="s">
        <v>1360</v>
      </c>
      <c r="I138" s="7" t="s">
        <v>1226</v>
      </c>
      <c r="J138" s="7" t="s">
        <v>453</v>
      </c>
      <c r="K138" s="7" t="s">
        <v>180</v>
      </c>
      <c r="L138" s="11">
        <v>650</v>
      </c>
      <c r="M138" s="11">
        <v>18522.5</v>
      </c>
      <c r="N138" s="9">
        <f t="shared" si="4"/>
        <v>-650</v>
      </c>
    </row>
    <row r="139" spans="1:14" ht="12.75" hidden="1" customHeight="1" x14ac:dyDescent="0.2">
      <c r="A139">
        <v>43440</v>
      </c>
      <c r="B139" s="3" t="s">
        <v>1228</v>
      </c>
      <c r="C139" s="7" t="s">
        <v>505</v>
      </c>
      <c r="D139" s="7" t="s">
        <v>183</v>
      </c>
      <c r="E139" s="7">
        <v>573</v>
      </c>
      <c r="G139" s="7" t="s">
        <v>1577</v>
      </c>
      <c r="H139" s="7" t="s">
        <v>1360</v>
      </c>
      <c r="I139" s="7" t="s">
        <v>1228</v>
      </c>
      <c r="J139" s="7" t="s">
        <v>504</v>
      </c>
      <c r="K139" s="7" t="s">
        <v>180</v>
      </c>
      <c r="L139" s="11">
        <v>1000</v>
      </c>
      <c r="M139" s="11">
        <v>20371.63</v>
      </c>
      <c r="N139" s="9">
        <f t="shared" si="4"/>
        <v>-1000</v>
      </c>
    </row>
    <row r="140" spans="1:14" ht="12.75" hidden="1" customHeight="1" x14ac:dyDescent="0.2">
      <c r="A140">
        <v>43440</v>
      </c>
      <c r="B140" s="3" t="s">
        <v>1228</v>
      </c>
      <c r="C140" s="7" t="s">
        <v>505</v>
      </c>
      <c r="D140" s="7" t="s">
        <v>183</v>
      </c>
      <c r="E140" s="7">
        <v>573</v>
      </c>
      <c r="G140" s="7" t="s">
        <v>1577</v>
      </c>
      <c r="H140" s="7" t="s">
        <v>1360</v>
      </c>
      <c r="I140" s="7" t="s">
        <v>1228</v>
      </c>
      <c r="J140" s="7" t="s">
        <v>504</v>
      </c>
      <c r="K140" s="7" t="s">
        <v>180</v>
      </c>
      <c r="L140" s="11">
        <v>150</v>
      </c>
      <c r="M140" s="11">
        <v>20521.63</v>
      </c>
      <c r="N140" s="9">
        <f t="shared" si="4"/>
        <v>-150</v>
      </c>
    </row>
    <row r="141" spans="1:14" ht="12.75" hidden="1" customHeight="1" x14ac:dyDescent="0.2">
      <c r="A141">
        <v>43440</v>
      </c>
      <c r="B141" s="3" t="s">
        <v>1228</v>
      </c>
      <c r="C141" s="7" t="s">
        <v>505</v>
      </c>
      <c r="D141" s="7" t="s">
        <v>183</v>
      </c>
      <c r="E141" s="7">
        <v>573</v>
      </c>
      <c r="G141" s="7" t="s">
        <v>1577</v>
      </c>
      <c r="H141" s="7" t="s">
        <v>1360</v>
      </c>
      <c r="I141" s="7" t="s">
        <v>1228</v>
      </c>
      <c r="J141" s="7" t="s">
        <v>504</v>
      </c>
      <c r="K141" s="7" t="s">
        <v>180</v>
      </c>
      <c r="L141" s="11">
        <v>545</v>
      </c>
      <c r="M141" s="11">
        <v>21066.63</v>
      </c>
      <c r="N141" s="9">
        <f t="shared" si="4"/>
        <v>-545</v>
      </c>
    </row>
    <row r="142" spans="1:14" ht="12.75" hidden="1" customHeight="1" x14ac:dyDescent="0.2">
      <c r="A142">
        <v>43440</v>
      </c>
      <c r="B142" s="3" t="s">
        <v>1228</v>
      </c>
      <c r="C142" s="7" t="s">
        <v>505</v>
      </c>
      <c r="D142" s="7" t="s">
        <v>183</v>
      </c>
      <c r="E142" s="7">
        <v>573</v>
      </c>
      <c r="G142" s="7" t="s">
        <v>1577</v>
      </c>
      <c r="H142" s="7" t="s">
        <v>1360</v>
      </c>
      <c r="I142" s="7" t="s">
        <v>1228</v>
      </c>
      <c r="J142" s="7" t="s">
        <v>504</v>
      </c>
      <c r="K142" s="7" t="s">
        <v>180</v>
      </c>
      <c r="L142" s="11">
        <v>325</v>
      </c>
      <c r="M142" s="11">
        <v>21391.63</v>
      </c>
      <c r="N142" s="9">
        <f t="shared" si="4"/>
        <v>-325</v>
      </c>
    </row>
    <row r="143" spans="1:14" ht="12.75" hidden="1" customHeight="1" x14ac:dyDescent="0.2">
      <c r="A143">
        <v>43440</v>
      </c>
      <c r="B143" s="3" t="s">
        <v>1228</v>
      </c>
      <c r="C143" s="7" t="s">
        <v>196</v>
      </c>
      <c r="D143" s="7" t="s">
        <v>183</v>
      </c>
      <c r="E143" s="7">
        <v>572</v>
      </c>
      <c r="G143" s="7" t="s">
        <v>1577</v>
      </c>
      <c r="H143" s="7" t="s">
        <v>1360</v>
      </c>
      <c r="I143" s="7" t="s">
        <v>1228</v>
      </c>
      <c r="J143" s="7" t="s">
        <v>500</v>
      </c>
      <c r="K143" s="7" t="s">
        <v>180</v>
      </c>
      <c r="L143" s="11">
        <v>850</v>
      </c>
      <c r="M143" s="11">
        <v>22991.63</v>
      </c>
      <c r="N143" s="9">
        <f t="shared" si="4"/>
        <v>-850</v>
      </c>
    </row>
    <row r="144" spans="1:14" ht="12.75" hidden="1" customHeight="1" x14ac:dyDescent="0.2">
      <c r="A144">
        <v>43440</v>
      </c>
      <c r="B144" s="3" t="s">
        <v>1228</v>
      </c>
      <c r="C144" s="7" t="s">
        <v>196</v>
      </c>
      <c r="D144" s="7" t="s">
        <v>183</v>
      </c>
      <c r="E144" s="7">
        <v>572</v>
      </c>
      <c r="G144" s="7" t="s">
        <v>1577</v>
      </c>
      <c r="H144" s="7" t="s">
        <v>1360</v>
      </c>
      <c r="I144" s="7" t="s">
        <v>1228</v>
      </c>
      <c r="J144" s="7" t="s">
        <v>500</v>
      </c>
      <c r="K144" s="7" t="s">
        <v>180</v>
      </c>
      <c r="L144" s="11">
        <v>1500</v>
      </c>
      <c r="M144" s="11">
        <v>24491.63</v>
      </c>
      <c r="N144" s="9">
        <f t="shared" si="4"/>
        <v>-1500</v>
      </c>
    </row>
    <row r="145" spans="1:14" ht="12.75" hidden="1" customHeight="1" x14ac:dyDescent="0.2">
      <c r="A145">
        <v>43440</v>
      </c>
      <c r="B145" s="3" t="s">
        <v>1228</v>
      </c>
      <c r="C145" s="7" t="s">
        <v>455</v>
      </c>
      <c r="D145" s="7" t="s">
        <v>183</v>
      </c>
      <c r="E145" s="7">
        <v>609</v>
      </c>
      <c r="G145" s="7" t="s">
        <v>1577</v>
      </c>
      <c r="H145" s="7" t="s">
        <v>1360</v>
      </c>
      <c r="I145" s="7" t="s">
        <v>1228</v>
      </c>
      <c r="J145" s="7" t="s">
        <v>487</v>
      </c>
      <c r="K145" s="7" t="s">
        <v>180</v>
      </c>
      <c r="L145" s="11">
        <v>33</v>
      </c>
      <c r="M145" s="11">
        <v>28110.17</v>
      </c>
      <c r="N145" s="9">
        <f t="shared" si="4"/>
        <v>-33</v>
      </c>
    </row>
    <row r="146" spans="1:14" ht="12.75" customHeight="1" x14ac:dyDescent="0.2">
      <c r="A146">
        <v>43400</v>
      </c>
      <c r="B146" s="3" t="s">
        <v>1224</v>
      </c>
      <c r="C146" s="7" t="s">
        <v>962</v>
      </c>
      <c r="D146" s="7" t="s">
        <v>242</v>
      </c>
      <c r="F146" s="7" t="s">
        <v>665</v>
      </c>
      <c r="G146" s="7" t="s">
        <v>1545</v>
      </c>
      <c r="H146" s="7" t="s">
        <v>1359</v>
      </c>
      <c r="I146" s="7" t="s">
        <v>1224</v>
      </c>
      <c r="K146" s="7" t="s">
        <v>1150</v>
      </c>
      <c r="L146" s="11">
        <v>4977</v>
      </c>
      <c r="M146" s="11">
        <v>-10337.89</v>
      </c>
      <c r="N146" s="9">
        <f t="shared" si="4"/>
        <v>-4977</v>
      </c>
    </row>
    <row r="147" spans="1:14" ht="12.75" customHeight="1" x14ac:dyDescent="0.2">
      <c r="A147">
        <v>43400</v>
      </c>
      <c r="B147" s="3" t="s">
        <v>1224</v>
      </c>
      <c r="C147" s="7" t="s">
        <v>372</v>
      </c>
      <c r="D147" s="7" t="s">
        <v>242</v>
      </c>
      <c r="F147" s="7" t="s">
        <v>380</v>
      </c>
      <c r="G147" s="7" t="s">
        <v>1545</v>
      </c>
      <c r="H147" s="7" t="s">
        <v>1359</v>
      </c>
      <c r="I147" s="7" t="s">
        <v>1224</v>
      </c>
      <c r="K147" s="7" t="s">
        <v>1150</v>
      </c>
      <c r="L147" s="11">
        <v>819.65</v>
      </c>
      <c r="M147" s="11">
        <v>41645.54</v>
      </c>
      <c r="N147" s="9">
        <f t="shared" si="4"/>
        <v>-819.65</v>
      </c>
    </row>
    <row r="148" spans="1:14" ht="12.75" customHeight="1" x14ac:dyDescent="0.2">
      <c r="A148">
        <v>43400</v>
      </c>
      <c r="B148" s="3" t="s">
        <v>1224</v>
      </c>
      <c r="C148" s="7" t="s">
        <v>372</v>
      </c>
      <c r="D148" s="7" t="s">
        <v>242</v>
      </c>
      <c r="F148" s="7" t="s">
        <v>380</v>
      </c>
      <c r="G148" s="7" t="s">
        <v>1545</v>
      </c>
      <c r="H148" s="7" t="s">
        <v>1359</v>
      </c>
      <c r="I148" s="7" t="s">
        <v>1224</v>
      </c>
      <c r="K148" s="7" t="s">
        <v>1150</v>
      </c>
      <c r="L148" s="11">
        <v>5048.26</v>
      </c>
      <c r="M148" s="11">
        <v>46693.8</v>
      </c>
      <c r="N148" s="9">
        <f t="shared" si="4"/>
        <v>-5048.26</v>
      </c>
    </row>
    <row r="149" spans="1:14" ht="12.75" customHeight="1" x14ac:dyDescent="0.2">
      <c r="A149">
        <v>43400</v>
      </c>
      <c r="B149" s="3" t="s">
        <v>1224</v>
      </c>
      <c r="C149" s="7" t="s">
        <v>907</v>
      </c>
      <c r="D149" s="7" t="s">
        <v>242</v>
      </c>
      <c r="F149" s="7" t="s">
        <v>665</v>
      </c>
      <c r="G149" s="7" t="s">
        <v>1545</v>
      </c>
      <c r="H149" s="7" t="s">
        <v>1359</v>
      </c>
      <c r="I149" s="7" t="s">
        <v>1224</v>
      </c>
      <c r="K149" s="7" t="s">
        <v>1150</v>
      </c>
      <c r="L149" s="11">
        <v>2040</v>
      </c>
      <c r="M149" s="11">
        <v>48733.8</v>
      </c>
      <c r="N149" s="9">
        <f t="shared" si="4"/>
        <v>-2040</v>
      </c>
    </row>
    <row r="150" spans="1:14" ht="12.75" customHeight="1" x14ac:dyDescent="0.2">
      <c r="A150">
        <v>43400</v>
      </c>
      <c r="B150" s="3" t="s">
        <v>1224</v>
      </c>
      <c r="C150" s="7" t="s">
        <v>907</v>
      </c>
      <c r="D150" s="7" t="s">
        <v>242</v>
      </c>
      <c r="F150" s="7" t="s">
        <v>665</v>
      </c>
      <c r="G150" s="7" t="s">
        <v>1545</v>
      </c>
      <c r="H150" s="7" t="s">
        <v>1359</v>
      </c>
      <c r="I150" s="7" t="s">
        <v>1224</v>
      </c>
      <c r="K150" s="7" t="s">
        <v>1150</v>
      </c>
      <c r="L150" s="11">
        <v>2040</v>
      </c>
      <c r="M150" s="11">
        <v>50773.8</v>
      </c>
      <c r="N150" s="9">
        <f t="shared" si="4"/>
        <v>-2040</v>
      </c>
    </row>
    <row r="151" spans="1:14" ht="12.75" customHeight="1" x14ac:dyDescent="0.2">
      <c r="A151">
        <v>43400</v>
      </c>
      <c r="B151" s="3" t="s">
        <v>1224</v>
      </c>
      <c r="C151" s="7" t="s">
        <v>319</v>
      </c>
      <c r="D151" s="7" t="s">
        <v>242</v>
      </c>
      <c r="F151" s="7" t="s">
        <v>1193</v>
      </c>
      <c r="G151" s="7" t="s">
        <v>1545</v>
      </c>
      <c r="H151" s="7" t="s">
        <v>1359</v>
      </c>
      <c r="I151" s="7" t="s">
        <v>1224</v>
      </c>
      <c r="K151" s="7" t="s">
        <v>1150</v>
      </c>
      <c r="L151" s="11">
        <v>3500</v>
      </c>
      <c r="M151" s="11">
        <v>88713.21</v>
      </c>
      <c r="N151" s="9">
        <f t="shared" si="4"/>
        <v>-3500</v>
      </c>
    </row>
    <row r="152" spans="1:14" ht="12.75" customHeight="1" x14ac:dyDescent="0.2">
      <c r="A152">
        <v>43400</v>
      </c>
      <c r="B152" s="3" t="s">
        <v>1224</v>
      </c>
      <c r="C152" s="7" t="s">
        <v>315</v>
      </c>
      <c r="D152" s="7" t="s">
        <v>183</v>
      </c>
      <c r="E152" s="7">
        <v>446</v>
      </c>
      <c r="G152" s="7" t="s">
        <v>1545</v>
      </c>
      <c r="H152" s="7" t="s">
        <v>1359</v>
      </c>
      <c r="I152" s="7" t="s">
        <v>1224</v>
      </c>
      <c r="J152" s="7" t="s">
        <v>425</v>
      </c>
      <c r="K152" s="7" t="s">
        <v>180</v>
      </c>
      <c r="L152" s="11">
        <v>35</v>
      </c>
      <c r="M152" s="11">
        <v>88949.21</v>
      </c>
      <c r="N152" s="9">
        <f t="shared" si="4"/>
        <v>-35</v>
      </c>
    </row>
    <row r="153" spans="1:14" ht="12.75" customHeight="1" x14ac:dyDescent="0.2">
      <c r="A153">
        <v>43400</v>
      </c>
      <c r="B153" s="3" t="s">
        <v>1224</v>
      </c>
      <c r="C153" s="7" t="s">
        <v>306</v>
      </c>
      <c r="D153" s="7" t="s">
        <v>242</v>
      </c>
      <c r="F153" s="7" t="s">
        <v>665</v>
      </c>
      <c r="G153" s="7" t="s">
        <v>1545</v>
      </c>
      <c r="H153" s="7" t="s">
        <v>1359</v>
      </c>
      <c r="I153" s="7" t="s">
        <v>1224</v>
      </c>
      <c r="K153" s="7" t="s">
        <v>1150</v>
      </c>
      <c r="L153" s="11">
        <v>634.26</v>
      </c>
      <c r="M153" s="11">
        <v>101780.72</v>
      </c>
      <c r="N153" s="9">
        <f t="shared" si="4"/>
        <v>-634.26</v>
      </c>
    </row>
    <row r="154" spans="1:14" ht="12.75" customHeight="1" x14ac:dyDescent="0.2">
      <c r="A154">
        <v>43400</v>
      </c>
      <c r="B154" s="3" t="s">
        <v>1224</v>
      </c>
      <c r="C154" s="7" t="s">
        <v>249</v>
      </c>
      <c r="D154" s="7" t="s">
        <v>242</v>
      </c>
      <c r="F154" s="7" t="s">
        <v>665</v>
      </c>
      <c r="G154" s="7" t="s">
        <v>1545</v>
      </c>
      <c r="H154" s="7" t="s">
        <v>1359</v>
      </c>
      <c r="I154" s="7" t="s">
        <v>1224</v>
      </c>
      <c r="K154" s="7" t="s">
        <v>1150</v>
      </c>
      <c r="L154" s="11">
        <v>3000</v>
      </c>
      <c r="M154" s="11">
        <v>131924.41</v>
      </c>
      <c r="N154" s="9">
        <f t="shared" si="4"/>
        <v>-3000</v>
      </c>
    </row>
    <row r="155" spans="1:14" ht="12.75" customHeight="1" x14ac:dyDescent="0.2">
      <c r="A155">
        <v>43400</v>
      </c>
      <c r="B155" s="3" t="s">
        <v>1224</v>
      </c>
      <c r="C155" s="7" t="s">
        <v>430</v>
      </c>
      <c r="D155" s="7" t="s">
        <v>242</v>
      </c>
      <c r="G155" s="7" t="s">
        <v>1545</v>
      </c>
      <c r="H155" s="7" t="s">
        <v>1359</v>
      </c>
      <c r="I155" s="7" t="s">
        <v>1224</v>
      </c>
      <c r="K155" s="7" t="s">
        <v>1150</v>
      </c>
      <c r="L155" s="11">
        <v>1940</v>
      </c>
      <c r="M155" s="11">
        <v>162945.95000000001</v>
      </c>
      <c r="N155" s="9">
        <f t="shared" si="4"/>
        <v>-1940</v>
      </c>
    </row>
    <row r="156" spans="1:14" ht="12.75" hidden="1" customHeight="1" x14ac:dyDescent="0.2">
      <c r="A156">
        <v>62145</v>
      </c>
      <c r="B156" s="3" t="s">
        <v>1237</v>
      </c>
      <c r="C156" s="7" t="s">
        <v>417</v>
      </c>
      <c r="D156" s="7" t="s">
        <v>200</v>
      </c>
      <c r="E156" s="7">
        <v>1221</v>
      </c>
      <c r="F156" s="7" t="s">
        <v>877</v>
      </c>
      <c r="G156" s="7" t="s">
        <v>1577</v>
      </c>
      <c r="H156" s="7" t="s">
        <v>1362</v>
      </c>
      <c r="I156" s="7" t="s">
        <v>1237</v>
      </c>
      <c r="K156" s="7" t="s">
        <v>277</v>
      </c>
      <c r="L156" s="11">
        <v>361.41</v>
      </c>
      <c r="M156" s="11">
        <v>1123.9100000000001</v>
      </c>
      <c r="N156" s="9">
        <f t="shared" si="4"/>
        <v>361.41</v>
      </c>
    </row>
    <row r="157" spans="1:14" ht="12.75" hidden="1" customHeight="1" x14ac:dyDescent="0.2">
      <c r="A157">
        <v>62145</v>
      </c>
      <c r="B157" s="3" t="s">
        <v>1237</v>
      </c>
      <c r="C157" s="7" t="s">
        <v>755</v>
      </c>
      <c r="D157" s="7" t="s">
        <v>221</v>
      </c>
      <c r="F157" s="7" t="s">
        <v>1087</v>
      </c>
      <c r="G157" s="7" t="s">
        <v>1577</v>
      </c>
      <c r="H157" s="7" t="s">
        <v>1362</v>
      </c>
      <c r="I157" s="7" t="s">
        <v>1237</v>
      </c>
      <c r="K157" s="7" t="s">
        <v>277</v>
      </c>
      <c r="L157" s="11">
        <v>139.52000000000001</v>
      </c>
      <c r="M157" s="11">
        <v>1324.07</v>
      </c>
      <c r="N157" s="9">
        <f t="shared" si="4"/>
        <v>139.52000000000001</v>
      </c>
    </row>
    <row r="158" spans="1:14" ht="12.75" hidden="1" customHeight="1" x14ac:dyDescent="0.2">
      <c r="A158">
        <v>65020</v>
      </c>
      <c r="B158" s="3" t="s">
        <v>1245</v>
      </c>
      <c r="C158" s="7" t="s">
        <v>448</v>
      </c>
      <c r="D158" s="7" t="s">
        <v>200</v>
      </c>
      <c r="F158" s="7" t="s">
        <v>338</v>
      </c>
      <c r="G158" s="7" t="s">
        <v>1577</v>
      </c>
      <c r="H158" s="7" t="s">
        <v>1362</v>
      </c>
      <c r="I158" s="7" t="s">
        <v>1245</v>
      </c>
      <c r="K158" s="7" t="s">
        <v>277</v>
      </c>
      <c r="L158" s="11">
        <v>49</v>
      </c>
      <c r="M158" s="11">
        <v>545.4</v>
      </c>
      <c r="N158" s="9">
        <f t="shared" si="4"/>
        <v>49</v>
      </c>
    </row>
    <row r="159" spans="1:14" ht="12.75" hidden="1" customHeight="1" x14ac:dyDescent="0.2">
      <c r="A159">
        <v>65020</v>
      </c>
      <c r="B159" s="3" t="s">
        <v>1245</v>
      </c>
      <c r="C159" s="7" t="s">
        <v>330</v>
      </c>
      <c r="D159" s="7" t="s">
        <v>200</v>
      </c>
      <c r="F159" s="7" t="s">
        <v>338</v>
      </c>
      <c r="G159" s="7" t="s">
        <v>1577</v>
      </c>
      <c r="H159" s="7" t="s">
        <v>1362</v>
      </c>
      <c r="I159" s="7" t="s">
        <v>1245</v>
      </c>
      <c r="K159" s="7" t="s">
        <v>277</v>
      </c>
      <c r="L159" s="11">
        <v>2.66</v>
      </c>
      <c r="M159" s="11">
        <v>722.06</v>
      </c>
      <c r="N159" s="9">
        <f t="shared" si="4"/>
        <v>2.66</v>
      </c>
    </row>
    <row r="160" spans="1:14" ht="12.75" hidden="1" customHeight="1" x14ac:dyDescent="0.2">
      <c r="A160">
        <v>65020</v>
      </c>
      <c r="B160" s="3" t="s">
        <v>1245</v>
      </c>
      <c r="C160" s="7" t="s">
        <v>319</v>
      </c>
      <c r="D160" s="7" t="s">
        <v>200</v>
      </c>
      <c r="F160" s="7" t="s">
        <v>338</v>
      </c>
      <c r="G160" s="7" t="s">
        <v>1577</v>
      </c>
      <c r="H160" s="7" t="s">
        <v>1362</v>
      </c>
      <c r="I160" s="7" t="s">
        <v>1245</v>
      </c>
      <c r="K160" s="7" t="s">
        <v>277</v>
      </c>
      <c r="L160" s="11">
        <v>19.600000000000001</v>
      </c>
      <c r="M160" s="11">
        <v>741.66</v>
      </c>
      <c r="N160" s="9">
        <f t="shared" si="4"/>
        <v>19.600000000000001</v>
      </c>
    </row>
    <row r="161" spans="1:14" ht="12.75" hidden="1" customHeight="1" x14ac:dyDescent="0.2">
      <c r="A161">
        <v>65020</v>
      </c>
      <c r="B161" s="3" t="s">
        <v>1245</v>
      </c>
      <c r="C161" s="7" t="s">
        <v>201</v>
      </c>
      <c r="D161" s="7" t="s">
        <v>200</v>
      </c>
      <c r="F161" s="7" t="s">
        <v>338</v>
      </c>
      <c r="G161" s="7" t="s">
        <v>1577</v>
      </c>
      <c r="H161" s="7" t="s">
        <v>1362</v>
      </c>
      <c r="I161" s="7" t="s">
        <v>1245</v>
      </c>
      <c r="K161" s="7" t="s">
        <v>277</v>
      </c>
      <c r="L161" s="11">
        <v>2.87</v>
      </c>
      <c r="M161" s="11">
        <v>1062.55</v>
      </c>
      <c r="N161" s="9">
        <f t="shared" si="4"/>
        <v>2.87</v>
      </c>
    </row>
    <row r="162" spans="1:14" ht="12.75" hidden="1" customHeight="1" x14ac:dyDescent="0.2">
      <c r="A162">
        <v>65020</v>
      </c>
      <c r="B162" s="3" t="s">
        <v>1245</v>
      </c>
      <c r="C162" s="7" t="s">
        <v>659</v>
      </c>
      <c r="D162" s="7" t="s">
        <v>221</v>
      </c>
      <c r="F162" s="7" t="s">
        <v>338</v>
      </c>
      <c r="G162" s="7" t="s">
        <v>1577</v>
      </c>
      <c r="H162" s="7" t="s">
        <v>1362</v>
      </c>
      <c r="I162" s="7" t="s">
        <v>1245</v>
      </c>
      <c r="K162" s="7" t="s">
        <v>277</v>
      </c>
      <c r="L162" s="11">
        <v>6.85</v>
      </c>
      <c r="M162" s="11">
        <v>1566.28</v>
      </c>
      <c r="N162" s="9">
        <f t="shared" si="4"/>
        <v>6.85</v>
      </c>
    </row>
    <row r="163" spans="1:14" ht="12.75" hidden="1" customHeight="1" x14ac:dyDescent="0.2">
      <c r="A163">
        <v>65036</v>
      </c>
      <c r="B163" s="3" t="s">
        <v>1249</v>
      </c>
      <c r="C163" s="7" t="s">
        <v>907</v>
      </c>
      <c r="D163" s="7" t="s">
        <v>200</v>
      </c>
      <c r="F163" s="7" t="s">
        <v>1020</v>
      </c>
      <c r="G163" s="7" t="s">
        <v>1577</v>
      </c>
      <c r="H163" s="7" t="s">
        <v>1362</v>
      </c>
      <c r="I163" s="7" t="s">
        <v>1249</v>
      </c>
      <c r="K163" s="7" t="s">
        <v>277</v>
      </c>
      <c r="L163" s="11">
        <v>38.28</v>
      </c>
      <c r="M163" s="11">
        <v>622.91</v>
      </c>
      <c r="N163" s="9">
        <f t="shared" si="4"/>
        <v>38.28</v>
      </c>
    </row>
    <row r="164" spans="1:14" ht="12.75" hidden="1" customHeight="1" x14ac:dyDescent="0.2">
      <c r="A164">
        <v>65036</v>
      </c>
      <c r="B164" s="3" t="s">
        <v>1249</v>
      </c>
      <c r="C164" s="7" t="s">
        <v>907</v>
      </c>
      <c r="D164" s="7" t="s">
        <v>200</v>
      </c>
      <c r="F164" s="7" t="s">
        <v>1012</v>
      </c>
      <c r="G164" s="7" t="s">
        <v>1577</v>
      </c>
      <c r="H164" s="7" t="s">
        <v>1362</v>
      </c>
      <c r="I164" s="7" t="s">
        <v>1249</v>
      </c>
      <c r="K164" s="7" t="s">
        <v>277</v>
      </c>
      <c r="L164" s="11">
        <v>15.07</v>
      </c>
      <c r="M164" s="11">
        <v>672.98</v>
      </c>
      <c r="N164" s="9">
        <f t="shared" si="4"/>
        <v>15.07</v>
      </c>
    </row>
    <row r="165" spans="1:14" ht="12.75" hidden="1" customHeight="1" x14ac:dyDescent="0.2">
      <c r="A165">
        <v>65036</v>
      </c>
      <c r="B165" s="3" t="s">
        <v>1249</v>
      </c>
      <c r="C165" s="7" t="s">
        <v>650</v>
      </c>
      <c r="D165" s="7" t="s">
        <v>221</v>
      </c>
      <c r="F165" s="7" t="s">
        <v>1012</v>
      </c>
      <c r="G165" s="7" t="s">
        <v>1577</v>
      </c>
      <c r="H165" s="7" t="s">
        <v>1362</v>
      </c>
      <c r="I165" s="7" t="s">
        <v>1249</v>
      </c>
      <c r="K165" s="7" t="s">
        <v>277</v>
      </c>
      <c r="L165" s="11">
        <v>16.149999999999999</v>
      </c>
      <c r="M165" s="11">
        <v>5041.72</v>
      </c>
      <c r="N165" s="9">
        <f t="shared" si="4"/>
        <v>16.149999999999999</v>
      </c>
    </row>
    <row r="166" spans="1:14" ht="12.75" hidden="1" customHeight="1" x14ac:dyDescent="0.2">
      <c r="A166">
        <v>65040</v>
      </c>
      <c r="B166" s="3" t="s">
        <v>1250</v>
      </c>
      <c r="C166" s="7" t="s">
        <v>939</v>
      </c>
      <c r="D166" s="7" t="s">
        <v>200</v>
      </c>
      <c r="E166" s="7">
        <v>1200</v>
      </c>
      <c r="F166" s="7" t="s">
        <v>864</v>
      </c>
      <c r="G166" s="7" t="s">
        <v>1577</v>
      </c>
      <c r="H166" s="7" t="s">
        <v>1362</v>
      </c>
      <c r="I166" s="7" t="s">
        <v>1250</v>
      </c>
      <c r="K166" s="7" t="s">
        <v>277</v>
      </c>
      <c r="L166" s="11">
        <v>50</v>
      </c>
      <c r="M166" s="11">
        <v>680.31</v>
      </c>
      <c r="N166" s="9">
        <f t="shared" ref="N166:N197" si="5">IF(A166&lt;60000,-L166,+L166)</f>
        <v>50</v>
      </c>
    </row>
    <row r="167" spans="1:14" ht="12.75" hidden="1" customHeight="1" x14ac:dyDescent="0.2">
      <c r="A167">
        <v>65040</v>
      </c>
      <c r="B167" s="3" t="s">
        <v>1250</v>
      </c>
      <c r="C167" s="7" t="s">
        <v>617</v>
      </c>
      <c r="D167" s="7" t="s">
        <v>200</v>
      </c>
      <c r="E167" s="7">
        <v>1226</v>
      </c>
      <c r="F167" s="7" t="s">
        <v>1004</v>
      </c>
      <c r="G167" s="7" t="s">
        <v>1577</v>
      </c>
      <c r="H167" s="7" t="s">
        <v>1362</v>
      </c>
      <c r="I167" s="7" t="s">
        <v>1250</v>
      </c>
      <c r="K167" s="7" t="s">
        <v>277</v>
      </c>
      <c r="L167" s="11">
        <v>250</v>
      </c>
      <c r="M167" s="11">
        <v>1983.76</v>
      </c>
      <c r="N167" s="9">
        <f t="shared" si="5"/>
        <v>250</v>
      </c>
    </row>
    <row r="168" spans="1:14" ht="12.75" hidden="1" customHeight="1" x14ac:dyDescent="0.2">
      <c r="A168">
        <v>65060</v>
      </c>
      <c r="B168" s="3" t="s">
        <v>1253</v>
      </c>
      <c r="C168" s="7" t="s">
        <v>224</v>
      </c>
      <c r="D168" s="7" t="s">
        <v>221</v>
      </c>
      <c r="F168" s="7" t="s">
        <v>355</v>
      </c>
      <c r="G168" s="7" t="s">
        <v>1577</v>
      </c>
      <c r="H168" s="7" t="s">
        <v>1362</v>
      </c>
      <c r="I168" s="7" t="s">
        <v>1253</v>
      </c>
      <c r="K168" s="7" t="s">
        <v>277</v>
      </c>
      <c r="L168" s="11">
        <v>54.98</v>
      </c>
      <c r="M168" s="11">
        <v>28.48</v>
      </c>
      <c r="N168" s="9">
        <f t="shared" si="5"/>
        <v>54.98</v>
      </c>
    </row>
    <row r="169" spans="1:14" ht="12.75" hidden="1" customHeight="1" x14ac:dyDescent="0.2">
      <c r="A169">
        <v>65061</v>
      </c>
      <c r="B169" s="3" t="s">
        <v>1253</v>
      </c>
      <c r="C169" s="7" t="s">
        <v>980</v>
      </c>
      <c r="D169" s="7" t="s">
        <v>200</v>
      </c>
      <c r="F169" s="7" t="s">
        <v>979</v>
      </c>
      <c r="G169" s="7" t="s">
        <v>1577</v>
      </c>
      <c r="H169" s="7" t="s">
        <v>1362</v>
      </c>
      <c r="I169" s="7" t="s">
        <v>1253</v>
      </c>
      <c r="K169" s="7" t="s">
        <v>277</v>
      </c>
      <c r="L169" s="11">
        <v>76.53</v>
      </c>
      <c r="M169" s="11">
        <v>-6381.86</v>
      </c>
      <c r="N169" s="9">
        <f t="shared" si="5"/>
        <v>76.53</v>
      </c>
    </row>
    <row r="170" spans="1:14" ht="12.75" hidden="1" customHeight="1" x14ac:dyDescent="0.2">
      <c r="A170">
        <v>65061</v>
      </c>
      <c r="B170" s="3" t="s">
        <v>1253</v>
      </c>
      <c r="C170" s="7" t="s">
        <v>980</v>
      </c>
      <c r="D170" s="7" t="s">
        <v>200</v>
      </c>
      <c r="F170" s="7" t="s">
        <v>265</v>
      </c>
      <c r="G170" s="7" t="s">
        <v>1577</v>
      </c>
      <c r="H170" s="7" t="s">
        <v>1362</v>
      </c>
      <c r="I170" s="7" t="s">
        <v>1253</v>
      </c>
      <c r="K170" s="7" t="s">
        <v>277</v>
      </c>
      <c r="L170" s="11">
        <v>15.76</v>
      </c>
      <c r="M170" s="11">
        <v>-6366.1</v>
      </c>
      <c r="N170" s="9">
        <f t="shared" si="5"/>
        <v>15.76</v>
      </c>
    </row>
    <row r="171" spans="1:14" ht="12.75" hidden="1" customHeight="1" x14ac:dyDescent="0.2">
      <c r="A171">
        <v>65061</v>
      </c>
      <c r="B171" s="3" t="s">
        <v>1253</v>
      </c>
      <c r="C171" s="7" t="s">
        <v>980</v>
      </c>
      <c r="D171" s="7" t="s">
        <v>200</v>
      </c>
      <c r="F171" s="7" t="s">
        <v>979</v>
      </c>
      <c r="G171" s="7" t="s">
        <v>1577</v>
      </c>
      <c r="H171" s="7" t="s">
        <v>1362</v>
      </c>
      <c r="I171" s="7" t="s">
        <v>1253</v>
      </c>
      <c r="K171" s="7" t="s">
        <v>277</v>
      </c>
      <c r="L171" s="11">
        <v>2.2999999999999998</v>
      </c>
      <c r="M171" s="11">
        <v>-6249.83</v>
      </c>
      <c r="N171" s="9">
        <f t="shared" si="5"/>
        <v>2.2999999999999998</v>
      </c>
    </row>
    <row r="172" spans="1:14" ht="12.75" hidden="1" customHeight="1" x14ac:dyDescent="0.2">
      <c r="A172">
        <v>65061</v>
      </c>
      <c r="B172" s="3" t="s">
        <v>1253</v>
      </c>
      <c r="C172" s="7" t="s">
        <v>388</v>
      </c>
      <c r="D172" s="7" t="s">
        <v>200</v>
      </c>
      <c r="E172" s="7">
        <v>1199</v>
      </c>
      <c r="F172" s="7" t="s">
        <v>564</v>
      </c>
      <c r="G172" s="7" t="s">
        <v>1577</v>
      </c>
      <c r="H172" s="7" t="s">
        <v>1362</v>
      </c>
      <c r="I172" s="7" t="s">
        <v>1253</v>
      </c>
      <c r="K172" s="7" t="s">
        <v>277</v>
      </c>
      <c r="L172" s="11">
        <v>678.74</v>
      </c>
      <c r="M172" s="11">
        <v>573.04999999999995</v>
      </c>
      <c r="N172" s="9">
        <f t="shared" si="5"/>
        <v>678.74</v>
      </c>
    </row>
    <row r="173" spans="1:14" ht="12.75" hidden="1" customHeight="1" x14ac:dyDescent="0.2">
      <c r="A173">
        <v>65061</v>
      </c>
      <c r="B173" s="3" t="s">
        <v>1253</v>
      </c>
      <c r="C173" s="7" t="s">
        <v>388</v>
      </c>
      <c r="D173" s="7" t="s">
        <v>200</v>
      </c>
      <c r="F173" s="7" t="s">
        <v>975</v>
      </c>
      <c r="G173" s="7" t="s">
        <v>1577</v>
      </c>
      <c r="H173" s="7" t="s">
        <v>1362</v>
      </c>
      <c r="I173" s="7" t="s">
        <v>1253</v>
      </c>
      <c r="K173" s="7" t="s">
        <v>277</v>
      </c>
      <c r="L173" s="11">
        <v>18</v>
      </c>
      <c r="M173" s="11">
        <v>591.04999999999995</v>
      </c>
      <c r="N173" s="9">
        <f t="shared" si="5"/>
        <v>18</v>
      </c>
    </row>
    <row r="174" spans="1:14" ht="12.75" hidden="1" customHeight="1" x14ac:dyDescent="0.2">
      <c r="A174">
        <v>65061</v>
      </c>
      <c r="B174" s="3" t="s">
        <v>1253</v>
      </c>
      <c r="C174" s="7" t="s">
        <v>383</v>
      </c>
      <c r="D174" s="7" t="s">
        <v>200</v>
      </c>
      <c r="F174" s="7" t="s">
        <v>671</v>
      </c>
      <c r="G174" s="7" t="s">
        <v>1577</v>
      </c>
      <c r="H174" s="7" t="s">
        <v>1362</v>
      </c>
      <c r="I174" s="7" t="s">
        <v>1253</v>
      </c>
      <c r="K174" s="7" t="s">
        <v>277</v>
      </c>
      <c r="L174" s="11">
        <v>22.82</v>
      </c>
      <c r="M174" s="11">
        <v>20307.43</v>
      </c>
      <c r="N174" s="9">
        <f t="shared" si="5"/>
        <v>22.82</v>
      </c>
    </row>
    <row r="175" spans="1:14" ht="12.75" hidden="1" customHeight="1" x14ac:dyDescent="0.2">
      <c r="A175">
        <v>65061</v>
      </c>
      <c r="B175" s="3" t="s">
        <v>1253</v>
      </c>
      <c r="C175" s="7" t="s">
        <v>381</v>
      </c>
      <c r="D175" s="7" t="s">
        <v>200</v>
      </c>
      <c r="F175" s="7" t="s">
        <v>625</v>
      </c>
      <c r="G175" s="7" t="s">
        <v>1577</v>
      </c>
      <c r="H175" s="7" t="s">
        <v>1362</v>
      </c>
      <c r="I175" s="7" t="s">
        <v>1253</v>
      </c>
      <c r="K175" s="7" t="s">
        <v>277</v>
      </c>
      <c r="L175" s="11">
        <v>27.2</v>
      </c>
      <c r="M175" s="11">
        <v>20286.43</v>
      </c>
      <c r="N175" s="9">
        <f t="shared" si="5"/>
        <v>27.2</v>
      </c>
    </row>
    <row r="176" spans="1:14" ht="12.75" hidden="1" customHeight="1" x14ac:dyDescent="0.2">
      <c r="A176">
        <v>65061</v>
      </c>
      <c r="B176" s="3" t="s">
        <v>1253</v>
      </c>
      <c r="C176" s="7" t="s">
        <v>381</v>
      </c>
      <c r="D176" s="7" t="s">
        <v>200</v>
      </c>
      <c r="F176" s="7" t="s">
        <v>352</v>
      </c>
      <c r="G176" s="7" t="s">
        <v>1577</v>
      </c>
      <c r="H176" s="7" t="s">
        <v>1362</v>
      </c>
      <c r="I176" s="7" t="s">
        <v>1253</v>
      </c>
      <c r="K176" s="7" t="s">
        <v>277</v>
      </c>
      <c r="L176" s="11">
        <v>36.94</v>
      </c>
      <c r="M176" s="11">
        <v>20323.37</v>
      </c>
      <c r="N176" s="9">
        <f t="shared" si="5"/>
        <v>36.94</v>
      </c>
    </row>
    <row r="177" spans="1:14" ht="12.75" hidden="1" customHeight="1" x14ac:dyDescent="0.2">
      <c r="A177">
        <v>65061</v>
      </c>
      <c r="B177" s="3" t="s">
        <v>1253</v>
      </c>
      <c r="C177" s="7" t="s">
        <v>381</v>
      </c>
      <c r="D177" s="7" t="s">
        <v>200</v>
      </c>
      <c r="F177" s="7" t="s">
        <v>568</v>
      </c>
      <c r="G177" s="7" t="s">
        <v>1577</v>
      </c>
      <c r="H177" s="7" t="s">
        <v>1362</v>
      </c>
      <c r="I177" s="7" t="s">
        <v>1253</v>
      </c>
      <c r="K177" s="7" t="s">
        <v>277</v>
      </c>
      <c r="L177" s="11">
        <v>21.74</v>
      </c>
      <c r="M177" s="11">
        <v>20345.11</v>
      </c>
      <c r="N177" s="9">
        <f t="shared" si="5"/>
        <v>21.74</v>
      </c>
    </row>
    <row r="178" spans="1:14" ht="12.75" hidden="1" customHeight="1" x14ac:dyDescent="0.2">
      <c r="A178">
        <v>65061</v>
      </c>
      <c r="B178" s="3" t="s">
        <v>1253</v>
      </c>
      <c r="C178" s="7" t="s">
        <v>939</v>
      </c>
      <c r="D178" s="7" t="s">
        <v>200</v>
      </c>
      <c r="F178" s="7" t="s">
        <v>568</v>
      </c>
      <c r="G178" s="7" t="s">
        <v>1577</v>
      </c>
      <c r="H178" s="7" t="s">
        <v>1362</v>
      </c>
      <c r="I178" s="7" t="s">
        <v>1253</v>
      </c>
      <c r="K178" s="7" t="s">
        <v>277</v>
      </c>
      <c r="L178" s="11">
        <v>154.36000000000001</v>
      </c>
      <c r="M178" s="11">
        <v>21035.79</v>
      </c>
      <c r="N178" s="9">
        <f t="shared" si="5"/>
        <v>154.36000000000001</v>
      </c>
    </row>
    <row r="179" spans="1:14" ht="12.75" hidden="1" customHeight="1" x14ac:dyDescent="0.2">
      <c r="A179">
        <v>65061</v>
      </c>
      <c r="B179" s="3" t="s">
        <v>1253</v>
      </c>
      <c r="C179" s="7" t="s">
        <v>939</v>
      </c>
      <c r="D179" s="7" t="s">
        <v>200</v>
      </c>
      <c r="F179" s="7" t="s">
        <v>265</v>
      </c>
      <c r="G179" s="7" t="s">
        <v>1577</v>
      </c>
      <c r="H179" s="7" t="s">
        <v>1362</v>
      </c>
      <c r="I179" s="7" t="s">
        <v>1253</v>
      </c>
      <c r="K179" s="7" t="s">
        <v>277</v>
      </c>
      <c r="L179" s="11">
        <v>37.93</v>
      </c>
      <c r="M179" s="11">
        <v>21073.72</v>
      </c>
      <c r="N179" s="9">
        <f t="shared" si="5"/>
        <v>37.93</v>
      </c>
    </row>
    <row r="180" spans="1:14" ht="12.75" hidden="1" customHeight="1" x14ac:dyDescent="0.2">
      <c r="A180">
        <v>65061</v>
      </c>
      <c r="B180" s="3" t="s">
        <v>1253</v>
      </c>
      <c r="C180" s="7" t="s">
        <v>939</v>
      </c>
      <c r="D180" s="7" t="s">
        <v>200</v>
      </c>
      <c r="F180" s="7" t="s">
        <v>352</v>
      </c>
      <c r="G180" s="7" t="s">
        <v>1577</v>
      </c>
      <c r="H180" s="7" t="s">
        <v>1362</v>
      </c>
      <c r="I180" s="7" t="s">
        <v>1253</v>
      </c>
      <c r="K180" s="7" t="s">
        <v>277</v>
      </c>
      <c r="L180" s="11">
        <v>32.630000000000003</v>
      </c>
      <c r="M180" s="11">
        <v>21106.35</v>
      </c>
      <c r="N180" s="9">
        <f t="shared" si="5"/>
        <v>32.630000000000003</v>
      </c>
    </row>
    <row r="181" spans="1:14" ht="12.75" hidden="1" customHeight="1" x14ac:dyDescent="0.2">
      <c r="A181">
        <v>65061</v>
      </c>
      <c r="B181" s="3" t="s">
        <v>1253</v>
      </c>
      <c r="C181" s="7" t="s">
        <v>932</v>
      </c>
      <c r="D181" s="7" t="s">
        <v>200</v>
      </c>
      <c r="F181" s="7" t="s">
        <v>568</v>
      </c>
      <c r="G181" s="7" t="s">
        <v>1577</v>
      </c>
      <c r="H181" s="7" t="s">
        <v>1362</v>
      </c>
      <c r="I181" s="7" t="s">
        <v>1253</v>
      </c>
      <c r="K181" s="7" t="s">
        <v>277</v>
      </c>
      <c r="L181" s="11">
        <v>119.94</v>
      </c>
      <c r="M181" s="11">
        <v>24639.75</v>
      </c>
      <c r="N181" s="9">
        <f t="shared" si="5"/>
        <v>119.94</v>
      </c>
    </row>
    <row r="182" spans="1:14" ht="12.75" hidden="1" customHeight="1" x14ac:dyDescent="0.2">
      <c r="A182">
        <v>65061</v>
      </c>
      <c r="B182" s="3" t="s">
        <v>1253</v>
      </c>
      <c r="C182" s="7" t="s">
        <v>932</v>
      </c>
      <c r="D182" s="7" t="s">
        <v>200</v>
      </c>
      <c r="E182" s="7">
        <v>1202</v>
      </c>
      <c r="F182" s="7" t="s">
        <v>933</v>
      </c>
      <c r="G182" s="7" t="s">
        <v>1577</v>
      </c>
      <c r="H182" s="7" t="s">
        <v>1362</v>
      </c>
      <c r="I182" s="7" t="s">
        <v>1253</v>
      </c>
      <c r="K182" s="7" t="s">
        <v>277</v>
      </c>
      <c r="L182" s="11">
        <v>739.86</v>
      </c>
      <c r="M182" s="11">
        <v>25379.61</v>
      </c>
      <c r="N182" s="9">
        <f t="shared" si="5"/>
        <v>739.86</v>
      </c>
    </row>
    <row r="183" spans="1:14" ht="12.75" hidden="1" customHeight="1" x14ac:dyDescent="0.2">
      <c r="A183">
        <v>65061</v>
      </c>
      <c r="B183" s="3" t="s">
        <v>1253</v>
      </c>
      <c r="C183" s="7" t="s">
        <v>932</v>
      </c>
      <c r="D183" s="7" t="s">
        <v>200</v>
      </c>
      <c r="F183" s="7" t="s">
        <v>265</v>
      </c>
      <c r="G183" s="7" t="s">
        <v>1577</v>
      </c>
      <c r="H183" s="7" t="s">
        <v>1362</v>
      </c>
      <c r="I183" s="7" t="s">
        <v>1253</v>
      </c>
      <c r="K183" s="7" t="s">
        <v>277</v>
      </c>
      <c r="L183" s="11">
        <v>37.35</v>
      </c>
      <c r="M183" s="11">
        <v>25416.959999999999</v>
      </c>
      <c r="N183" s="9">
        <f t="shared" si="5"/>
        <v>37.35</v>
      </c>
    </row>
    <row r="184" spans="1:14" ht="12.75" hidden="1" customHeight="1" x14ac:dyDescent="0.2">
      <c r="A184">
        <v>65061</v>
      </c>
      <c r="B184" s="3" t="s">
        <v>1253</v>
      </c>
      <c r="C184" s="7" t="s">
        <v>932</v>
      </c>
      <c r="D184" s="7" t="s">
        <v>242</v>
      </c>
      <c r="F184" s="7" t="s">
        <v>568</v>
      </c>
      <c r="G184" s="7" t="s">
        <v>1577</v>
      </c>
      <c r="H184" s="7" t="s">
        <v>1362</v>
      </c>
      <c r="I184" s="7" t="s">
        <v>1253</v>
      </c>
      <c r="K184" s="7" t="s">
        <v>277</v>
      </c>
      <c r="L184" s="11">
        <v>-154.36000000000001</v>
      </c>
      <c r="M184" s="11">
        <v>25378.09</v>
      </c>
      <c r="N184" s="9">
        <f t="shared" si="5"/>
        <v>-154.36000000000001</v>
      </c>
    </row>
    <row r="185" spans="1:14" ht="12.75" hidden="1" customHeight="1" x14ac:dyDescent="0.2">
      <c r="A185">
        <v>65061</v>
      </c>
      <c r="B185" s="3" t="s">
        <v>1253</v>
      </c>
      <c r="C185" s="7" t="s">
        <v>379</v>
      </c>
      <c r="D185" s="7" t="s">
        <v>200</v>
      </c>
      <c r="F185" s="7" t="s">
        <v>243</v>
      </c>
      <c r="G185" s="7" t="s">
        <v>1577</v>
      </c>
      <c r="H185" s="7" t="s">
        <v>1362</v>
      </c>
      <c r="I185" s="7" t="s">
        <v>1253</v>
      </c>
      <c r="K185" s="7" t="s">
        <v>277</v>
      </c>
      <c r="L185" s="11">
        <v>9.1</v>
      </c>
      <c r="M185" s="11">
        <v>27899.22</v>
      </c>
      <c r="N185" s="9">
        <f t="shared" si="5"/>
        <v>9.1</v>
      </c>
    </row>
    <row r="186" spans="1:14" ht="12.75" hidden="1" customHeight="1" x14ac:dyDescent="0.2">
      <c r="A186">
        <v>65061</v>
      </c>
      <c r="B186" s="3" t="s">
        <v>1253</v>
      </c>
      <c r="C186" s="7" t="s">
        <v>379</v>
      </c>
      <c r="D186" s="7" t="s">
        <v>200</v>
      </c>
      <c r="F186" s="7" t="s">
        <v>589</v>
      </c>
      <c r="G186" s="7" t="s">
        <v>1577</v>
      </c>
      <c r="H186" s="7" t="s">
        <v>1362</v>
      </c>
      <c r="I186" s="7" t="s">
        <v>1253</v>
      </c>
      <c r="K186" s="7" t="s">
        <v>277</v>
      </c>
      <c r="L186" s="11">
        <v>59.59</v>
      </c>
      <c r="M186" s="11">
        <v>27958.81</v>
      </c>
      <c r="N186" s="9">
        <f t="shared" si="5"/>
        <v>59.59</v>
      </c>
    </row>
    <row r="187" spans="1:14" ht="12.75" hidden="1" customHeight="1" x14ac:dyDescent="0.2">
      <c r="A187">
        <v>65061</v>
      </c>
      <c r="B187" s="3" t="s">
        <v>1253</v>
      </c>
      <c r="C187" s="7" t="s">
        <v>377</v>
      </c>
      <c r="D187" s="7" t="s">
        <v>200</v>
      </c>
      <c r="F187" s="7" t="s">
        <v>265</v>
      </c>
      <c r="G187" s="7" t="s">
        <v>1577</v>
      </c>
      <c r="H187" s="7" t="s">
        <v>1362</v>
      </c>
      <c r="I187" s="7" t="s">
        <v>1253</v>
      </c>
      <c r="K187" s="7" t="s">
        <v>277</v>
      </c>
      <c r="L187" s="11">
        <v>203.99</v>
      </c>
      <c r="M187" s="11">
        <v>28994.37</v>
      </c>
      <c r="N187" s="9">
        <f t="shared" si="5"/>
        <v>203.99</v>
      </c>
    </row>
    <row r="188" spans="1:14" ht="12.75" hidden="1" customHeight="1" x14ac:dyDescent="0.2">
      <c r="A188">
        <v>65061</v>
      </c>
      <c r="B188" s="3" t="s">
        <v>1253</v>
      </c>
      <c r="C188" s="7" t="s">
        <v>377</v>
      </c>
      <c r="D188" s="7" t="s">
        <v>200</v>
      </c>
      <c r="F188" s="7" t="s">
        <v>265</v>
      </c>
      <c r="G188" s="7" t="s">
        <v>1577</v>
      </c>
      <c r="H188" s="7" t="s">
        <v>1362</v>
      </c>
      <c r="I188" s="7" t="s">
        <v>1253</v>
      </c>
      <c r="K188" s="7" t="s">
        <v>277</v>
      </c>
      <c r="L188" s="11">
        <v>7.5</v>
      </c>
      <c r="M188" s="11">
        <v>29001.87</v>
      </c>
      <c r="N188" s="9">
        <f t="shared" si="5"/>
        <v>7.5</v>
      </c>
    </row>
    <row r="189" spans="1:14" ht="12.75" hidden="1" customHeight="1" x14ac:dyDescent="0.2">
      <c r="A189">
        <v>65061</v>
      </c>
      <c r="B189" s="3" t="s">
        <v>1253</v>
      </c>
      <c r="C189" s="7" t="s">
        <v>377</v>
      </c>
      <c r="D189" s="7" t="s">
        <v>200</v>
      </c>
      <c r="F189" s="7" t="s">
        <v>265</v>
      </c>
      <c r="G189" s="7" t="s">
        <v>1577</v>
      </c>
      <c r="H189" s="7" t="s">
        <v>1362</v>
      </c>
      <c r="I189" s="7" t="s">
        <v>1253</v>
      </c>
      <c r="K189" s="7" t="s">
        <v>277</v>
      </c>
      <c r="L189" s="11">
        <v>36.78</v>
      </c>
      <c r="M189" s="11">
        <v>29038.65</v>
      </c>
      <c r="N189" s="9">
        <f t="shared" si="5"/>
        <v>36.78</v>
      </c>
    </row>
    <row r="190" spans="1:14" ht="12.75" hidden="1" customHeight="1" x14ac:dyDescent="0.2">
      <c r="A190">
        <v>65061</v>
      </c>
      <c r="B190" s="3" t="s">
        <v>1253</v>
      </c>
      <c r="C190" s="7" t="s">
        <v>926</v>
      </c>
      <c r="D190" s="7" t="s">
        <v>200</v>
      </c>
      <c r="F190" s="7" t="s">
        <v>243</v>
      </c>
      <c r="G190" s="7" t="s">
        <v>1577</v>
      </c>
      <c r="H190" s="7" t="s">
        <v>1362</v>
      </c>
      <c r="I190" s="7" t="s">
        <v>1253</v>
      </c>
      <c r="K190" s="7" t="s">
        <v>277</v>
      </c>
      <c r="L190" s="11">
        <v>22.47</v>
      </c>
      <c r="M190" s="11">
        <v>29875.09</v>
      </c>
      <c r="N190" s="9">
        <f t="shared" si="5"/>
        <v>22.47</v>
      </c>
    </row>
    <row r="191" spans="1:14" ht="12.75" hidden="1" customHeight="1" x14ac:dyDescent="0.2">
      <c r="A191">
        <v>65061</v>
      </c>
      <c r="B191" s="3" t="s">
        <v>1253</v>
      </c>
      <c r="C191" s="7" t="s">
        <v>376</v>
      </c>
      <c r="D191" s="7" t="s">
        <v>200</v>
      </c>
      <c r="F191" s="7" t="s">
        <v>265</v>
      </c>
      <c r="G191" s="7" t="s">
        <v>1577</v>
      </c>
      <c r="H191" s="7" t="s">
        <v>1362</v>
      </c>
      <c r="I191" s="7" t="s">
        <v>1253</v>
      </c>
      <c r="K191" s="7" t="s">
        <v>277</v>
      </c>
      <c r="L191" s="11">
        <v>2.78</v>
      </c>
      <c r="M191" s="11">
        <v>30326.05</v>
      </c>
      <c r="N191" s="9">
        <f t="shared" si="5"/>
        <v>2.78</v>
      </c>
    </row>
    <row r="192" spans="1:14" ht="12.75" hidden="1" customHeight="1" x14ac:dyDescent="0.2">
      <c r="A192">
        <v>65061</v>
      </c>
      <c r="B192" s="3" t="s">
        <v>1253</v>
      </c>
      <c r="C192" s="7" t="s">
        <v>376</v>
      </c>
      <c r="D192" s="7" t="s">
        <v>200</v>
      </c>
      <c r="F192" s="7" t="s">
        <v>265</v>
      </c>
      <c r="G192" s="7" t="s">
        <v>1577</v>
      </c>
      <c r="H192" s="7" t="s">
        <v>1362</v>
      </c>
      <c r="I192" s="7" t="s">
        <v>1253</v>
      </c>
      <c r="K192" s="7" t="s">
        <v>277</v>
      </c>
      <c r="L192" s="11">
        <v>27.18</v>
      </c>
      <c r="M192" s="11">
        <v>30353.23</v>
      </c>
      <c r="N192" s="9">
        <f t="shared" si="5"/>
        <v>27.18</v>
      </c>
    </row>
    <row r="193" spans="1:14" ht="12.75" hidden="1" customHeight="1" x14ac:dyDescent="0.2">
      <c r="A193">
        <v>65061</v>
      </c>
      <c r="B193" s="3" t="s">
        <v>1253</v>
      </c>
      <c r="C193" s="7" t="s">
        <v>376</v>
      </c>
      <c r="D193" s="7" t="s">
        <v>200</v>
      </c>
      <c r="F193" s="7" t="s">
        <v>265</v>
      </c>
      <c r="G193" s="7" t="s">
        <v>1577</v>
      </c>
      <c r="H193" s="7" t="s">
        <v>1362</v>
      </c>
      <c r="I193" s="7" t="s">
        <v>1253</v>
      </c>
      <c r="K193" s="7" t="s">
        <v>277</v>
      </c>
      <c r="L193" s="11">
        <v>2.9</v>
      </c>
      <c r="M193" s="11">
        <v>30356.13</v>
      </c>
      <c r="N193" s="9">
        <f t="shared" si="5"/>
        <v>2.9</v>
      </c>
    </row>
    <row r="194" spans="1:14" ht="12.75" hidden="1" customHeight="1" x14ac:dyDescent="0.2">
      <c r="A194">
        <v>65061</v>
      </c>
      <c r="B194" s="3" t="s">
        <v>1253</v>
      </c>
      <c r="C194" s="7" t="s">
        <v>376</v>
      </c>
      <c r="D194" s="7" t="s">
        <v>200</v>
      </c>
      <c r="F194" s="7" t="s">
        <v>265</v>
      </c>
      <c r="G194" s="7" t="s">
        <v>1577</v>
      </c>
      <c r="H194" s="7" t="s">
        <v>1362</v>
      </c>
      <c r="I194" s="7" t="s">
        <v>1253</v>
      </c>
      <c r="K194" s="7" t="s">
        <v>277</v>
      </c>
      <c r="L194" s="11">
        <v>5.08</v>
      </c>
      <c r="M194" s="11">
        <v>30361.21</v>
      </c>
      <c r="N194" s="9">
        <f t="shared" si="5"/>
        <v>5.08</v>
      </c>
    </row>
    <row r="195" spans="1:14" ht="12.75" hidden="1" customHeight="1" x14ac:dyDescent="0.2">
      <c r="A195">
        <v>65061</v>
      </c>
      <c r="B195" s="3" t="s">
        <v>1253</v>
      </c>
      <c r="C195" s="7" t="s">
        <v>376</v>
      </c>
      <c r="D195" s="7" t="s">
        <v>200</v>
      </c>
      <c r="F195" s="7" t="s">
        <v>265</v>
      </c>
      <c r="G195" s="7" t="s">
        <v>1577</v>
      </c>
      <c r="H195" s="7" t="s">
        <v>1362</v>
      </c>
      <c r="I195" s="7" t="s">
        <v>1253</v>
      </c>
      <c r="K195" s="7" t="s">
        <v>277</v>
      </c>
      <c r="L195" s="11">
        <v>30.42</v>
      </c>
      <c r="M195" s="11">
        <v>30391.63</v>
      </c>
      <c r="N195" s="9">
        <f t="shared" si="5"/>
        <v>30.42</v>
      </c>
    </row>
    <row r="196" spans="1:14" ht="12.75" hidden="1" customHeight="1" x14ac:dyDescent="0.2">
      <c r="A196">
        <v>65061</v>
      </c>
      <c r="B196" s="3" t="s">
        <v>1253</v>
      </c>
      <c r="C196" s="7" t="s">
        <v>374</v>
      </c>
      <c r="D196" s="7" t="s">
        <v>200</v>
      </c>
      <c r="F196" s="7" t="s">
        <v>265</v>
      </c>
      <c r="G196" s="7" t="s">
        <v>1577</v>
      </c>
      <c r="H196" s="7" t="s">
        <v>1362</v>
      </c>
      <c r="I196" s="7" t="s">
        <v>1253</v>
      </c>
      <c r="K196" s="7" t="s">
        <v>277</v>
      </c>
      <c r="L196" s="11">
        <v>110.01</v>
      </c>
      <c r="M196" s="11">
        <v>31969.45</v>
      </c>
      <c r="N196" s="9">
        <f t="shared" si="5"/>
        <v>110.01</v>
      </c>
    </row>
    <row r="197" spans="1:14" ht="12.75" hidden="1" customHeight="1" x14ac:dyDescent="0.2">
      <c r="A197">
        <v>65061</v>
      </c>
      <c r="B197" s="3" t="s">
        <v>1253</v>
      </c>
      <c r="C197" s="7" t="s">
        <v>372</v>
      </c>
      <c r="D197" s="7" t="s">
        <v>200</v>
      </c>
      <c r="F197" s="7" t="s">
        <v>681</v>
      </c>
      <c r="G197" s="7" t="s">
        <v>1577</v>
      </c>
      <c r="H197" s="7" t="s">
        <v>1362</v>
      </c>
      <c r="I197" s="7" t="s">
        <v>1253</v>
      </c>
      <c r="K197" s="7" t="s">
        <v>277</v>
      </c>
      <c r="L197" s="11">
        <v>169.99</v>
      </c>
      <c r="M197" s="11">
        <v>33342.239999999998</v>
      </c>
      <c r="N197" s="9">
        <f t="shared" si="5"/>
        <v>169.99</v>
      </c>
    </row>
    <row r="198" spans="1:14" ht="12.75" hidden="1" customHeight="1" x14ac:dyDescent="0.2">
      <c r="A198">
        <v>65061</v>
      </c>
      <c r="B198" s="3" t="s">
        <v>1253</v>
      </c>
      <c r="C198" s="7" t="s">
        <v>418</v>
      </c>
      <c r="D198" s="7" t="s">
        <v>200</v>
      </c>
      <c r="F198" s="7" t="s">
        <v>904</v>
      </c>
      <c r="G198" s="7" t="s">
        <v>1577</v>
      </c>
      <c r="H198" s="7" t="s">
        <v>1362</v>
      </c>
      <c r="I198" s="7" t="s">
        <v>1253</v>
      </c>
      <c r="K198" s="7" t="s">
        <v>277</v>
      </c>
      <c r="L198" s="11">
        <v>62.44</v>
      </c>
      <c r="M198" s="11">
        <v>39100.1</v>
      </c>
      <c r="N198" s="9">
        <f t="shared" ref="N198:N229" si="6">IF(A198&lt;60000,-L198,+L198)</f>
        <v>62.44</v>
      </c>
    </row>
    <row r="199" spans="1:14" ht="12.75" hidden="1" customHeight="1" x14ac:dyDescent="0.2">
      <c r="A199">
        <v>65061</v>
      </c>
      <c r="B199" s="3" t="s">
        <v>1253</v>
      </c>
      <c r="C199" s="7" t="s">
        <v>907</v>
      </c>
      <c r="D199" s="7" t="s">
        <v>200</v>
      </c>
      <c r="F199" s="7" t="s">
        <v>910</v>
      </c>
      <c r="G199" s="7" t="s">
        <v>1577</v>
      </c>
      <c r="H199" s="7" t="s">
        <v>1362</v>
      </c>
      <c r="I199" s="7" t="s">
        <v>1253</v>
      </c>
      <c r="K199" s="7" t="s">
        <v>277</v>
      </c>
      <c r="L199" s="11">
        <v>26.08</v>
      </c>
      <c r="M199" s="11">
        <v>40588.94</v>
      </c>
      <c r="N199" s="9">
        <f t="shared" si="6"/>
        <v>26.08</v>
      </c>
    </row>
    <row r="200" spans="1:14" ht="12.75" hidden="1" customHeight="1" x14ac:dyDescent="0.2">
      <c r="A200">
        <v>65061</v>
      </c>
      <c r="B200" s="3" t="s">
        <v>1253</v>
      </c>
      <c r="C200" s="7" t="s">
        <v>361</v>
      </c>
      <c r="D200" s="7" t="s">
        <v>200</v>
      </c>
      <c r="F200" s="7" t="s">
        <v>564</v>
      </c>
      <c r="G200" s="7" t="s">
        <v>1577</v>
      </c>
      <c r="H200" s="7" t="s">
        <v>1362</v>
      </c>
      <c r="I200" s="7" t="s">
        <v>1253</v>
      </c>
      <c r="K200" s="7" t="s">
        <v>277</v>
      </c>
      <c r="L200" s="11">
        <v>14.02</v>
      </c>
      <c r="M200" s="11">
        <v>43385.45</v>
      </c>
      <c r="N200" s="9">
        <f t="shared" si="6"/>
        <v>14.02</v>
      </c>
    </row>
    <row r="201" spans="1:14" ht="12.75" hidden="1" customHeight="1" x14ac:dyDescent="0.2">
      <c r="A201">
        <v>65061</v>
      </c>
      <c r="B201" s="3" t="s">
        <v>1253</v>
      </c>
      <c r="C201" s="7" t="s">
        <v>361</v>
      </c>
      <c r="D201" s="7" t="s">
        <v>200</v>
      </c>
      <c r="F201" s="7" t="s">
        <v>564</v>
      </c>
      <c r="G201" s="7" t="s">
        <v>1577</v>
      </c>
      <c r="H201" s="7" t="s">
        <v>1362</v>
      </c>
      <c r="I201" s="7" t="s">
        <v>1253</v>
      </c>
      <c r="K201" s="7" t="s">
        <v>277</v>
      </c>
      <c r="L201" s="11">
        <v>6.23</v>
      </c>
      <c r="M201" s="11">
        <v>43391.68</v>
      </c>
      <c r="N201" s="9">
        <f t="shared" si="6"/>
        <v>6.23</v>
      </c>
    </row>
    <row r="202" spans="1:14" ht="12.75" hidden="1" customHeight="1" x14ac:dyDescent="0.2">
      <c r="A202">
        <v>65061</v>
      </c>
      <c r="B202" s="3" t="s">
        <v>1253</v>
      </c>
      <c r="C202" s="7" t="s">
        <v>361</v>
      </c>
      <c r="D202" s="7" t="s">
        <v>200</v>
      </c>
      <c r="F202" s="7" t="s">
        <v>355</v>
      </c>
      <c r="G202" s="7" t="s">
        <v>1577</v>
      </c>
      <c r="H202" s="7" t="s">
        <v>1362</v>
      </c>
      <c r="I202" s="7" t="s">
        <v>1253</v>
      </c>
      <c r="K202" s="7" t="s">
        <v>277</v>
      </c>
      <c r="L202" s="11">
        <v>6.06</v>
      </c>
      <c r="M202" s="11">
        <v>43458.16</v>
      </c>
      <c r="N202" s="9">
        <f t="shared" si="6"/>
        <v>6.06</v>
      </c>
    </row>
    <row r="203" spans="1:14" ht="12.75" hidden="1" customHeight="1" x14ac:dyDescent="0.2">
      <c r="A203">
        <v>65061</v>
      </c>
      <c r="B203" s="3" t="s">
        <v>1253</v>
      </c>
      <c r="C203" s="7" t="s">
        <v>361</v>
      </c>
      <c r="D203" s="7" t="s">
        <v>200</v>
      </c>
      <c r="F203" s="7" t="s">
        <v>720</v>
      </c>
      <c r="G203" s="7" t="s">
        <v>1577</v>
      </c>
      <c r="H203" s="7" t="s">
        <v>1362</v>
      </c>
      <c r="I203" s="7" t="s">
        <v>1253</v>
      </c>
      <c r="K203" s="7" t="s">
        <v>277</v>
      </c>
      <c r="L203" s="11">
        <v>149.99</v>
      </c>
      <c r="M203" s="11">
        <v>43643.74</v>
      </c>
      <c r="N203" s="9">
        <f t="shared" si="6"/>
        <v>149.99</v>
      </c>
    </row>
    <row r="204" spans="1:14" ht="12.75" hidden="1" customHeight="1" x14ac:dyDescent="0.2">
      <c r="A204">
        <v>65061</v>
      </c>
      <c r="B204" s="3" t="s">
        <v>1253</v>
      </c>
      <c r="C204" s="7" t="s">
        <v>361</v>
      </c>
      <c r="D204" s="7" t="s">
        <v>200</v>
      </c>
      <c r="F204" s="7" t="s">
        <v>904</v>
      </c>
      <c r="G204" s="7" t="s">
        <v>1577</v>
      </c>
      <c r="H204" s="7" t="s">
        <v>1362</v>
      </c>
      <c r="I204" s="7" t="s">
        <v>1253</v>
      </c>
      <c r="K204" s="7" t="s">
        <v>277</v>
      </c>
      <c r="L204" s="11">
        <v>27</v>
      </c>
      <c r="M204" s="11">
        <v>44001.5</v>
      </c>
      <c r="N204" s="9">
        <f t="shared" si="6"/>
        <v>27</v>
      </c>
    </row>
    <row r="205" spans="1:14" ht="12.75" hidden="1" customHeight="1" x14ac:dyDescent="0.2">
      <c r="A205">
        <v>65061</v>
      </c>
      <c r="B205" s="3" t="s">
        <v>1253</v>
      </c>
      <c r="C205" s="7" t="s">
        <v>361</v>
      </c>
      <c r="D205" s="7" t="s">
        <v>200</v>
      </c>
      <c r="F205" s="7" t="s">
        <v>904</v>
      </c>
      <c r="G205" s="7" t="s">
        <v>1577</v>
      </c>
      <c r="H205" s="7" t="s">
        <v>1362</v>
      </c>
      <c r="I205" s="7" t="s">
        <v>1253</v>
      </c>
      <c r="K205" s="7" t="s">
        <v>277</v>
      </c>
      <c r="L205" s="11">
        <v>40.85</v>
      </c>
      <c r="M205" s="11">
        <v>44042.35</v>
      </c>
      <c r="N205" s="9">
        <f t="shared" si="6"/>
        <v>40.85</v>
      </c>
    </row>
    <row r="206" spans="1:14" ht="12.75" hidden="1" customHeight="1" x14ac:dyDescent="0.2">
      <c r="A206">
        <v>65061</v>
      </c>
      <c r="B206" s="3" t="s">
        <v>1253</v>
      </c>
      <c r="C206" s="7" t="s">
        <v>361</v>
      </c>
      <c r="D206" s="7" t="s">
        <v>200</v>
      </c>
      <c r="F206" s="7" t="s">
        <v>766</v>
      </c>
      <c r="G206" s="7" t="s">
        <v>1577</v>
      </c>
      <c r="H206" s="7" t="s">
        <v>1362</v>
      </c>
      <c r="I206" s="7" t="s">
        <v>1253</v>
      </c>
      <c r="K206" s="7" t="s">
        <v>277</v>
      </c>
      <c r="L206" s="11">
        <v>22.2</v>
      </c>
      <c r="M206" s="11">
        <v>44064.55</v>
      </c>
      <c r="N206" s="9">
        <f t="shared" si="6"/>
        <v>22.2</v>
      </c>
    </row>
    <row r="207" spans="1:14" ht="12.75" hidden="1" customHeight="1" x14ac:dyDescent="0.2">
      <c r="A207">
        <v>65061</v>
      </c>
      <c r="B207" s="3" t="s">
        <v>1253</v>
      </c>
      <c r="C207" s="7" t="s">
        <v>361</v>
      </c>
      <c r="D207" s="7" t="s">
        <v>200</v>
      </c>
      <c r="F207" s="7" t="s">
        <v>763</v>
      </c>
      <c r="G207" s="7" t="s">
        <v>1577</v>
      </c>
      <c r="H207" s="7" t="s">
        <v>1362</v>
      </c>
      <c r="I207" s="7" t="s">
        <v>1253</v>
      </c>
      <c r="K207" s="7" t="s">
        <v>277</v>
      </c>
      <c r="L207" s="11">
        <v>22.42</v>
      </c>
      <c r="M207" s="11">
        <v>44364.959999999999</v>
      </c>
      <c r="N207" s="9">
        <f t="shared" si="6"/>
        <v>22.42</v>
      </c>
    </row>
    <row r="208" spans="1:14" ht="12.75" hidden="1" customHeight="1" x14ac:dyDescent="0.2">
      <c r="A208">
        <v>65061</v>
      </c>
      <c r="B208" s="3" t="s">
        <v>1253</v>
      </c>
      <c r="C208" s="7" t="s">
        <v>897</v>
      </c>
      <c r="D208" s="7" t="s">
        <v>200</v>
      </c>
      <c r="F208" s="7" t="s">
        <v>352</v>
      </c>
      <c r="G208" s="7" t="s">
        <v>1577</v>
      </c>
      <c r="H208" s="7" t="s">
        <v>1362</v>
      </c>
      <c r="I208" s="7" t="s">
        <v>1253</v>
      </c>
      <c r="K208" s="7" t="s">
        <v>277</v>
      </c>
      <c r="L208" s="11">
        <v>65.25</v>
      </c>
      <c r="M208" s="11">
        <v>45346.97</v>
      </c>
      <c r="N208" s="9">
        <f t="shared" si="6"/>
        <v>65.25</v>
      </c>
    </row>
    <row r="209" spans="1:14" ht="12.75" hidden="1" customHeight="1" x14ac:dyDescent="0.2">
      <c r="A209">
        <v>65061</v>
      </c>
      <c r="B209" s="3" t="s">
        <v>1253</v>
      </c>
      <c r="C209" s="7" t="s">
        <v>359</v>
      </c>
      <c r="D209" s="7" t="s">
        <v>200</v>
      </c>
      <c r="F209" s="7" t="s">
        <v>708</v>
      </c>
      <c r="G209" s="7" t="s">
        <v>1577</v>
      </c>
      <c r="H209" s="7" t="s">
        <v>1362</v>
      </c>
      <c r="I209" s="7" t="s">
        <v>1253</v>
      </c>
      <c r="K209" s="7" t="s">
        <v>277</v>
      </c>
      <c r="L209" s="11">
        <v>20.23</v>
      </c>
      <c r="M209" s="11">
        <v>47406.04</v>
      </c>
      <c r="N209" s="9">
        <f t="shared" si="6"/>
        <v>20.23</v>
      </c>
    </row>
    <row r="210" spans="1:14" ht="12.75" hidden="1" customHeight="1" x14ac:dyDescent="0.2">
      <c r="A210">
        <v>65061</v>
      </c>
      <c r="B210" s="3" t="s">
        <v>1253</v>
      </c>
      <c r="C210" s="7" t="s">
        <v>359</v>
      </c>
      <c r="D210" s="7" t="s">
        <v>200</v>
      </c>
      <c r="F210" s="7" t="s">
        <v>708</v>
      </c>
      <c r="G210" s="7" t="s">
        <v>1577</v>
      </c>
      <c r="H210" s="7" t="s">
        <v>1362</v>
      </c>
      <c r="I210" s="7" t="s">
        <v>1253</v>
      </c>
      <c r="K210" s="7" t="s">
        <v>277</v>
      </c>
      <c r="L210" s="11">
        <v>0.61</v>
      </c>
      <c r="M210" s="11">
        <v>47485.59</v>
      </c>
      <c r="N210" s="9">
        <f t="shared" si="6"/>
        <v>0.61</v>
      </c>
    </row>
    <row r="211" spans="1:14" ht="12.75" hidden="1" customHeight="1" x14ac:dyDescent="0.2">
      <c r="A211">
        <v>65061</v>
      </c>
      <c r="B211" s="3" t="s">
        <v>1253</v>
      </c>
      <c r="C211" s="7" t="s">
        <v>340</v>
      </c>
      <c r="D211" s="7" t="s">
        <v>200</v>
      </c>
      <c r="E211" s="7">
        <v>1205</v>
      </c>
      <c r="F211" s="7" t="s">
        <v>877</v>
      </c>
      <c r="G211" s="7" t="s">
        <v>1577</v>
      </c>
      <c r="H211" s="7" t="s">
        <v>1362</v>
      </c>
      <c r="I211" s="7" t="s">
        <v>1253</v>
      </c>
      <c r="K211" s="7" t="s">
        <v>277</v>
      </c>
      <c r="L211" s="11">
        <v>139.19</v>
      </c>
      <c r="M211" s="11">
        <v>57368.97</v>
      </c>
      <c r="N211" s="9">
        <f t="shared" si="6"/>
        <v>139.19</v>
      </c>
    </row>
    <row r="212" spans="1:14" ht="12.75" hidden="1" customHeight="1" x14ac:dyDescent="0.2">
      <c r="A212">
        <v>65061</v>
      </c>
      <c r="B212" s="3" t="s">
        <v>1253</v>
      </c>
      <c r="C212" s="7" t="s">
        <v>330</v>
      </c>
      <c r="D212" s="7" t="s">
        <v>200</v>
      </c>
      <c r="F212" s="7" t="s">
        <v>625</v>
      </c>
      <c r="G212" s="7" t="s">
        <v>1577</v>
      </c>
      <c r="H212" s="7" t="s">
        <v>1362</v>
      </c>
      <c r="I212" s="7" t="s">
        <v>1253</v>
      </c>
      <c r="K212" s="7" t="s">
        <v>277</v>
      </c>
      <c r="L212" s="11">
        <v>51.99</v>
      </c>
      <c r="M212" s="11">
        <v>61466.3</v>
      </c>
      <c r="N212" s="9">
        <f t="shared" si="6"/>
        <v>51.99</v>
      </c>
    </row>
    <row r="213" spans="1:14" ht="12.75" hidden="1" customHeight="1" x14ac:dyDescent="0.2">
      <c r="A213">
        <v>65061</v>
      </c>
      <c r="B213" s="3" t="s">
        <v>1253</v>
      </c>
      <c r="C213" s="7" t="s">
        <v>868</v>
      </c>
      <c r="D213" s="7" t="s">
        <v>200</v>
      </c>
      <c r="F213" s="7" t="s">
        <v>624</v>
      </c>
      <c r="G213" s="7" t="s">
        <v>1577</v>
      </c>
      <c r="H213" s="7" t="s">
        <v>1362</v>
      </c>
      <c r="I213" s="7" t="s">
        <v>1253</v>
      </c>
      <c r="K213" s="7" t="s">
        <v>277</v>
      </c>
      <c r="L213" s="11">
        <v>9.99</v>
      </c>
      <c r="M213" s="11">
        <v>64828.13</v>
      </c>
      <c r="N213" s="9">
        <f t="shared" si="6"/>
        <v>9.99</v>
      </c>
    </row>
    <row r="214" spans="1:14" ht="12.75" hidden="1" customHeight="1" x14ac:dyDescent="0.2">
      <c r="A214">
        <v>65061</v>
      </c>
      <c r="B214" s="3" t="s">
        <v>1253</v>
      </c>
      <c r="C214" s="7" t="s">
        <v>319</v>
      </c>
      <c r="D214" s="7" t="s">
        <v>200</v>
      </c>
      <c r="E214" s="7">
        <v>1207</v>
      </c>
      <c r="F214" s="7" t="s">
        <v>864</v>
      </c>
      <c r="G214" s="7" t="s">
        <v>1577</v>
      </c>
      <c r="H214" s="7" t="s">
        <v>1362</v>
      </c>
      <c r="I214" s="7" t="s">
        <v>1253</v>
      </c>
      <c r="K214" s="7" t="s">
        <v>277</v>
      </c>
      <c r="L214" s="11">
        <v>119.49</v>
      </c>
      <c r="M214" s="11">
        <v>67471.679999999993</v>
      </c>
      <c r="N214" s="9">
        <f t="shared" si="6"/>
        <v>119.49</v>
      </c>
    </row>
    <row r="215" spans="1:14" ht="12.75" hidden="1" customHeight="1" x14ac:dyDescent="0.2">
      <c r="A215">
        <v>65061</v>
      </c>
      <c r="B215" s="3" t="s">
        <v>1253</v>
      </c>
      <c r="C215" s="7" t="s">
        <v>315</v>
      </c>
      <c r="D215" s="7" t="s">
        <v>200</v>
      </c>
      <c r="F215" s="7" t="s">
        <v>563</v>
      </c>
      <c r="G215" s="7" t="s">
        <v>1577</v>
      </c>
      <c r="H215" s="7" t="s">
        <v>1362</v>
      </c>
      <c r="I215" s="7" t="s">
        <v>1253</v>
      </c>
      <c r="K215" s="7" t="s">
        <v>277</v>
      </c>
      <c r="L215" s="11">
        <v>209.98</v>
      </c>
      <c r="M215" s="11">
        <v>68131.350000000006</v>
      </c>
      <c r="N215" s="9">
        <f t="shared" si="6"/>
        <v>209.98</v>
      </c>
    </row>
    <row r="216" spans="1:14" ht="12.75" hidden="1" customHeight="1" x14ac:dyDescent="0.2">
      <c r="A216">
        <v>65061</v>
      </c>
      <c r="B216" s="3" t="s">
        <v>1253</v>
      </c>
      <c r="C216" s="7" t="s">
        <v>315</v>
      </c>
      <c r="D216" s="7" t="s">
        <v>200</v>
      </c>
      <c r="F216" s="7" t="s">
        <v>265</v>
      </c>
      <c r="G216" s="7" t="s">
        <v>1577</v>
      </c>
      <c r="H216" s="7" t="s">
        <v>1362</v>
      </c>
      <c r="I216" s="7" t="s">
        <v>1253</v>
      </c>
      <c r="K216" s="7" t="s">
        <v>277</v>
      </c>
      <c r="L216" s="11">
        <v>82.39</v>
      </c>
      <c r="M216" s="11">
        <v>68315.259999999995</v>
      </c>
      <c r="N216" s="9">
        <f t="shared" si="6"/>
        <v>82.39</v>
      </c>
    </row>
    <row r="217" spans="1:14" ht="12.75" hidden="1" customHeight="1" x14ac:dyDescent="0.2">
      <c r="A217">
        <v>65061</v>
      </c>
      <c r="B217" s="3" t="s">
        <v>1253</v>
      </c>
      <c r="C217" s="7" t="s">
        <v>315</v>
      </c>
      <c r="D217" s="7" t="s">
        <v>200</v>
      </c>
      <c r="F217" s="7" t="s">
        <v>265</v>
      </c>
      <c r="G217" s="7" t="s">
        <v>1577</v>
      </c>
      <c r="H217" s="7" t="s">
        <v>1362</v>
      </c>
      <c r="I217" s="7" t="s">
        <v>1253</v>
      </c>
      <c r="K217" s="7" t="s">
        <v>277</v>
      </c>
      <c r="L217" s="11">
        <v>97.74</v>
      </c>
      <c r="M217" s="11">
        <v>68413</v>
      </c>
      <c r="N217" s="9">
        <f t="shared" si="6"/>
        <v>97.74</v>
      </c>
    </row>
    <row r="218" spans="1:14" ht="12.75" hidden="1" customHeight="1" x14ac:dyDescent="0.2">
      <c r="A218">
        <v>65061</v>
      </c>
      <c r="B218" s="3" t="s">
        <v>1253</v>
      </c>
      <c r="C218" s="7" t="s">
        <v>511</v>
      </c>
      <c r="D218" s="7" t="s">
        <v>200</v>
      </c>
      <c r="F218" s="7" t="s">
        <v>265</v>
      </c>
      <c r="G218" s="7" t="s">
        <v>1577</v>
      </c>
      <c r="H218" s="7" t="s">
        <v>1362</v>
      </c>
      <c r="I218" s="7" t="s">
        <v>1253</v>
      </c>
      <c r="K218" s="7" t="s">
        <v>277</v>
      </c>
      <c r="L218" s="11">
        <v>42.42</v>
      </c>
      <c r="M218" s="11">
        <v>68566.73</v>
      </c>
      <c r="N218" s="9">
        <f t="shared" si="6"/>
        <v>42.42</v>
      </c>
    </row>
    <row r="219" spans="1:14" ht="12.75" hidden="1" customHeight="1" x14ac:dyDescent="0.2">
      <c r="A219">
        <v>65061</v>
      </c>
      <c r="B219" s="3" t="s">
        <v>1253</v>
      </c>
      <c r="C219" s="7" t="s">
        <v>312</v>
      </c>
      <c r="D219" s="7" t="s">
        <v>200</v>
      </c>
      <c r="F219" s="7" t="s">
        <v>265</v>
      </c>
      <c r="G219" s="7" t="s">
        <v>1577</v>
      </c>
      <c r="H219" s="7" t="s">
        <v>1362</v>
      </c>
      <c r="I219" s="7" t="s">
        <v>1253</v>
      </c>
      <c r="K219" s="7" t="s">
        <v>277</v>
      </c>
      <c r="L219" s="11">
        <v>38</v>
      </c>
      <c r="M219" s="11">
        <v>70617.91</v>
      </c>
      <c r="N219" s="9">
        <f t="shared" si="6"/>
        <v>38</v>
      </c>
    </row>
    <row r="220" spans="1:14" ht="12.75" hidden="1" customHeight="1" x14ac:dyDescent="0.2">
      <c r="A220">
        <v>65061</v>
      </c>
      <c r="B220" s="3" t="s">
        <v>1253</v>
      </c>
      <c r="C220" s="7" t="s">
        <v>312</v>
      </c>
      <c r="D220" s="7" t="s">
        <v>200</v>
      </c>
      <c r="F220" s="7" t="s">
        <v>681</v>
      </c>
      <c r="G220" s="7" t="s">
        <v>1577</v>
      </c>
      <c r="H220" s="7" t="s">
        <v>1362</v>
      </c>
      <c r="I220" s="7" t="s">
        <v>1253</v>
      </c>
      <c r="K220" s="7" t="s">
        <v>277</v>
      </c>
      <c r="L220" s="11">
        <v>359.98</v>
      </c>
      <c r="M220" s="11">
        <v>71305.38</v>
      </c>
      <c r="N220" s="9">
        <f t="shared" si="6"/>
        <v>359.98</v>
      </c>
    </row>
    <row r="221" spans="1:14" ht="12.75" hidden="1" customHeight="1" x14ac:dyDescent="0.2">
      <c r="A221">
        <v>65061</v>
      </c>
      <c r="B221" s="3" t="s">
        <v>1253</v>
      </c>
      <c r="C221" s="7" t="s">
        <v>312</v>
      </c>
      <c r="D221" s="7" t="s">
        <v>200</v>
      </c>
      <c r="F221" s="7" t="s">
        <v>352</v>
      </c>
      <c r="G221" s="7" t="s">
        <v>1577</v>
      </c>
      <c r="H221" s="7" t="s">
        <v>1362</v>
      </c>
      <c r="I221" s="7" t="s">
        <v>1253</v>
      </c>
      <c r="K221" s="7" t="s">
        <v>277</v>
      </c>
      <c r="L221" s="11">
        <v>30.22</v>
      </c>
      <c r="M221" s="11">
        <v>71392.679999999993</v>
      </c>
      <c r="N221" s="9">
        <f t="shared" si="6"/>
        <v>30.22</v>
      </c>
    </row>
    <row r="222" spans="1:14" ht="12.75" hidden="1" customHeight="1" x14ac:dyDescent="0.2">
      <c r="A222">
        <v>65061</v>
      </c>
      <c r="B222" s="3" t="s">
        <v>1253</v>
      </c>
      <c r="C222" s="7" t="s">
        <v>312</v>
      </c>
      <c r="D222" s="7" t="s">
        <v>200</v>
      </c>
      <c r="E222" s="7">
        <v>1208</v>
      </c>
      <c r="F222" s="7" t="s">
        <v>606</v>
      </c>
      <c r="G222" s="7" t="s">
        <v>1577</v>
      </c>
      <c r="H222" s="7" t="s">
        <v>1362</v>
      </c>
      <c r="I222" s="7" t="s">
        <v>1253</v>
      </c>
      <c r="K222" s="7" t="s">
        <v>277</v>
      </c>
      <c r="L222" s="11">
        <v>429.13</v>
      </c>
      <c r="M222" s="11">
        <v>71942.55</v>
      </c>
      <c r="N222" s="9">
        <f t="shared" si="6"/>
        <v>429.13</v>
      </c>
    </row>
    <row r="223" spans="1:14" ht="12.75" hidden="1" customHeight="1" x14ac:dyDescent="0.2">
      <c r="A223">
        <v>65061</v>
      </c>
      <c r="B223" s="3" t="s">
        <v>1253</v>
      </c>
      <c r="C223" s="7" t="s">
        <v>312</v>
      </c>
      <c r="D223" s="7" t="s">
        <v>200</v>
      </c>
      <c r="F223" s="7" t="s">
        <v>852</v>
      </c>
      <c r="G223" s="7" t="s">
        <v>1577</v>
      </c>
      <c r="H223" s="7" t="s">
        <v>1362</v>
      </c>
      <c r="I223" s="7" t="s">
        <v>1253</v>
      </c>
      <c r="K223" s="7" t="s">
        <v>277</v>
      </c>
      <c r="L223" s="11">
        <v>573.16999999999996</v>
      </c>
      <c r="M223" s="11">
        <v>72657.94</v>
      </c>
      <c r="N223" s="9">
        <f t="shared" si="6"/>
        <v>573.16999999999996</v>
      </c>
    </row>
    <row r="224" spans="1:14" ht="12.75" hidden="1" customHeight="1" x14ac:dyDescent="0.2">
      <c r="A224">
        <v>65061</v>
      </c>
      <c r="B224" s="3" t="s">
        <v>1253</v>
      </c>
      <c r="C224" s="7" t="s">
        <v>850</v>
      </c>
      <c r="D224" s="7" t="s">
        <v>200</v>
      </c>
      <c r="F224" s="7" t="s">
        <v>352</v>
      </c>
      <c r="G224" s="7" t="s">
        <v>1577</v>
      </c>
      <c r="H224" s="7" t="s">
        <v>1362</v>
      </c>
      <c r="I224" s="7" t="s">
        <v>1253</v>
      </c>
      <c r="K224" s="7" t="s">
        <v>277</v>
      </c>
      <c r="L224" s="11">
        <v>90.3</v>
      </c>
      <c r="M224" s="11">
        <v>72997.240000000005</v>
      </c>
      <c r="N224" s="9">
        <f t="shared" si="6"/>
        <v>90.3</v>
      </c>
    </row>
    <row r="225" spans="1:14" ht="12.75" hidden="1" customHeight="1" x14ac:dyDescent="0.2">
      <c r="A225">
        <v>65061</v>
      </c>
      <c r="B225" s="3" t="s">
        <v>1253</v>
      </c>
      <c r="C225" s="7" t="s">
        <v>308</v>
      </c>
      <c r="D225" s="7" t="s">
        <v>200</v>
      </c>
      <c r="F225" s="7" t="s">
        <v>265</v>
      </c>
      <c r="G225" s="7" t="s">
        <v>1577</v>
      </c>
      <c r="H225" s="7" t="s">
        <v>1362</v>
      </c>
      <c r="I225" s="7" t="s">
        <v>1253</v>
      </c>
      <c r="K225" s="7" t="s">
        <v>277</v>
      </c>
      <c r="L225" s="11">
        <v>18.75</v>
      </c>
      <c r="M225" s="11">
        <v>74970.39</v>
      </c>
      <c r="N225" s="9">
        <f t="shared" si="6"/>
        <v>18.75</v>
      </c>
    </row>
    <row r="226" spans="1:14" ht="12.75" hidden="1" customHeight="1" x14ac:dyDescent="0.2">
      <c r="A226">
        <v>65061</v>
      </c>
      <c r="B226" s="3" t="s">
        <v>1253</v>
      </c>
      <c r="C226" s="7" t="s">
        <v>306</v>
      </c>
      <c r="D226" s="7" t="s">
        <v>200</v>
      </c>
      <c r="F226" s="7" t="s">
        <v>265</v>
      </c>
      <c r="G226" s="7" t="s">
        <v>1577</v>
      </c>
      <c r="H226" s="7" t="s">
        <v>1362</v>
      </c>
      <c r="I226" s="7" t="s">
        <v>1253</v>
      </c>
      <c r="K226" s="7" t="s">
        <v>277</v>
      </c>
      <c r="L226" s="11">
        <v>18.36</v>
      </c>
      <c r="M226" s="11">
        <v>77225.509999999995</v>
      </c>
      <c r="N226" s="9">
        <f t="shared" si="6"/>
        <v>18.36</v>
      </c>
    </row>
    <row r="227" spans="1:14" ht="12.75" hidden="1" customHeight="1" x14ac:dyDescent="0.2">
      <c r="A227">
        <v>65061</v>
      </c>
      <c r="B227" s="3" t="s">
        <v>1253</v>
      </c>
      <c r="C227" s="7" t="s">
        <v>306</v>
      </c>
      <c r="D227" s="7" t="s">
        <v>200</v>
      </c>
      <c r="F227" s="7" t="s">
        <v>265</v>
      </c>
      <c r="G227" s="7" t="s">
        <v>1577</v>
      </c>
      <c r="H227" s="7" t="s">
        <v>1362</v>
      </c>
      <c r="I227" s="7" t="s">
        <v>1253</v>
      </c>
      <c r="K227" s="7" t="s">
        <v>277</v>
      </c>
      <c r="L227" s="11">
        <v>107.92</v>
      </c>
      <c r="M227" s="11">
        <v>77333.429999999993</v>
      </c>
      <c r="N227" s="9">
        <f t="shared" si="6"/>
        <v>107.92</v>
      </c>
    </row>
    <row r="228" spans="1:14" ht="12.75" hidden="1" customHeight="1" x14ac:dyDescent="0.2">
      <c r="A228">
        <v>65061</v>
      </c>
      <c r="B228" s="3" t="s">
        <v>1253</v>
      </c>
      <c r="C228" s="7" t="s">
        <v>298</v>
      </c>
      <c r="D228" s="7" t="s">
        <v>200</v>
      </c>
      <c r="F228" s="7" t="s">
        <v>769</v>
      </c>
      <c r="G228" s="7" t="s">
        <v>1577</v>
      </c>
      <c r="H228" s="7" t="s">
        <v>1362</v>
      </c>
      <c r="I228" s="7" t="s">
        <v>1253</v>
      </c>
      <c r="K228" s="7" t="s">
        <v>277</v>
      </c>
      <c r="L228" s="11">
        <v>10.85</v>
      </c>
      <c r="M228" s="11">
        <v>81132.649999999994</v>
      </c>
      <c r="N228" s="9">
        <f t="shared" si="6"/>
        <v>10.85</v>
      </c>
    </row>
    <row r="229" spans="1:14" ht="12.75" hidden="1" customHeight="1" x14ac:dyDescent="0.2">
      <c r="A229">
        <v>65061</v>
      </c>
      <c r="B229" s="3" t="s">
        <v>1253</v>
      </c>
      <c r="C229" s="7" t="s">
        <v>298</v>
      </c>
      <c r="D229" s="7" t="s">
        <v>200</v>
      </c>
      <c r="F229" s="7" t="s">
        <v>546</v>
      </c>
      <c r="G229" s="7" t="s">
        <v>1577</v>
      </c>
      <c r="H229" s="7" t="s">
        <v>1362</v>
      </c>
      <c r="I229" s="7" t="s">
        <v>1253</v>
      </c>
      <c r="K229" s="7" t="s">
        <v>277</v>
      </c>
      <c r="L229" s="11">
        <v>23.51</v>
      </c>
      <c r="M229" s="11">
        <v>81172.570000000007</v>
      </c>
      <c r="N229" s="9">
        <f t="shared" si="6"/>
        <v>23.51</v>
      </c>
    </row>
    <row r="230" spans="1:14" ht="12.75" hidden="1" customHeight="1" x14ac:dyDescent="0.2">
      <c r="A230">
        <v>65061</v>
      </c>
      <c r="B230" s="3" t="s">
        <v>1253</v>
      </c>
      <c r="C230" s="7" t="s">
        <v>298</v>
      </c>
      <c r="D230" s="7" t="s">
        <v>200</v>
      </c>
      <c r="F230" s="7" t="s">
        <v>820</v>
      </c>
      <c r="G230" s="7" t="s">
        <v>1577</v>
      </c>
      <c r="H230" s="7" t="s">
        <v>1362</v>
      </c>
      <c r="I230" s="7" t="s">
        <v>1253</v>
      </c>
      <c r="K230" s="7" t="s">
        <v>277</v>
      </c>
      <c r="L230" s="11">
        <v>53</v>
      </c>
      <c r="M230" s="11">
        <v>81365.63</v>
      </c>
      <c r="N230" s="9">
        <f t="shared" ref="N230:N261" si="7">IF(A230&lt;60000,-L230,+L230)</f>
        <v>53</v>
      </c>
    </row>
    <row r="231" spans="1:14" ht="12.75" hidden="1" customHeight="1" x14ac:dyDescent="0.2">
      <c r="A231">
        <v>65061</v>
      </c>
      <c r="B231" s="3" t="s">
        <v>1253</v>
      </c>
      <c r="C231" s="7" t="s">
        <v>298</v>
      </c>
      <c r="D231" s="7" t="s">
        <v>200</v>
      </c>
      <c r="F231" s="7" t="s">
        <v>763</v>
      </c>
      <c r="G231" s="7" t="s">
        <v>1577</v>
      </c>
      <c r="H231" s="7" t="s">
        <v>1362</v>
      </c>
      <c r="I231" s="7" t="s">
        <v>1253</v>
      </c>
      <c r="K231" s="7" t="s">
        <v>277</v>
      </c>
      <c r="L231" s="11">
        <v>22.42</v>
      </c>
      <c r="M231" s="11">
        <v>81406.789999999994</v>
      </c>
      <c r="N231" s="9">
        <f t="shared" si="7"/>
        <v>22.42</v>
      </c>
    </row>
    <row r="232" spans="1:14" ht="12.75" hidden="1" customHeight="1" x14ac:dyDescent="0.2">
      <c r="A232">
        <v>65061</v>
      </c>
      <c r="B232" s="3" t="s">
        <v>1253</v>
      </c>
      <c r="C232" s="7" t="s">
        <v>293</v>
      </c>
      <c r="D232" s="7" t="s">
        <v>200</v>
      </c>
      <c r="E232" s="7">
        <v>1211</v>
      </c>
      <c r="F232" s="7" t="s">
        <v>567</v>
      </c>
      <c r="G232" s="7" t="s">
        <v>1577</v>
      </c>
      <c r="H232" s="7" t="s">
        <v>1362</v>
      </c>
      <c r="I232" s="7" t="s">
        <v>1253</v>
      </c>
      <c r="K232" s="7" t="s">
        <v>277</v>
      </c>
      <c r="L232" s="11">
        <v>184.72</v>
      </c>
      <c r="M232" s="11">
        <v>86560.89</v>
      </c>
      <c r="N232" s="9">
        <f t="shared" si="7"/>
        <v>184.72</v>
      </c>
    </row>
    <row r="233" spans="1:14" ht="12.75" hidden="1" customHeight="1" x14ac:dyDescent="0.2">
      <c r="A233">
        <v>65061</v>
      </c>
      <c r="B233" s="3" t="s">
        <v>1253</v>
      </c>
      <c r="C233" s="7" t="s">
        <v>290</v>
      </c>
      <c r="D233" s="7" t="s">
        <v>200</v>
      </c>
      <c r="F233" s="7" t="s">
        <v>352</v>
      </c>
      <c r="G233" s="7" t="s">
        <v>1577</v>
      </c>
      <c r="H233" s="7" t="s">
        <v>1362</v>
      </c>
      <c r="I233" s="7" t="s">
        <v>1253</v>
      </c>
      <c r="K233" s="7" t="s">
        <v>277</v>
      </c>
      <c r="L233" s="11">
        <v>125.77</v>
      </c>
      <c r="M233" s="11">
        <v>87979.38</v>
      </c>
      <c r="N233" s="9">
        <f t="shared" si="7"/>
        <v>125.77</v>
      </c>
    </row>
    <row r="234" spans="1:14" ht="12.75" hidden="1" customHeight="1" x14ac:dyDescent="0.2">
      <c r="A234">
        <v>65061</v>
      </c>
      <c r="B234" s="3" t="s">
        <v>1253</v>
      </c>
      <c r="C234" s="7" t="s">
        <v>287</v>
      </c>
      <c r="D234" s="7" t="s">
        <v>200</v>
      </c>
      <c r="F234" s="7" t="s">
        <v>671</v>
      </c>
      <c r="G234" s="7" t="s">
        <v>1577</v>
      </c>
      <c r="H234" s="7" t="s">
        <v>1362</v>
      </c>
      <c r="I234" s="7" t="s">
        <v>1253</v>
      </c>
      <c r="K234" s="7" t="s">
        <v>277</v>
      </c>
      <c r="L234" s="11">
        <v>71.17</v>
      </c>
      <c r="M234" s="11">
        <v>90523.22</v>
      </c>
      <c r="N234" s="9">
        <f t="shared" si="7"/>
        <v>71.17</v>
      </c>
    </row>
    <row r="235" spans="1:14" ht="12.75" hidden="1" customHeight="1" x14ac:dyDescent="0.2">
      <c r="A235">
        <v>65061</v>
      </c>
      <c r="B235" s="3" t="s">
        <v>1253</v>
      </c>
      <c r="C235" s="7" t="s">
        <v>284</v>
      </c>
      <c r="D235" s="7" t="s">
        <v>200</v>
      </c>
      <c r="F235" s="7" t="s">
        <v>352</v>
      </c>
      <c r="G235" s="7" t="s">
        <v>1577</v>
      </c>
      <c r="H235" s="7" t="s">
        <v>1362</v>
      </c>
      <c r="I235" s="7" t="s">
        <v>1253</v>
      </c>
      <c r="K235" s="7" t="s">
        <v>277</v>
      </c>
      <c r="L235" s="11">
        <v>37.81</v>
      </c>
      <c r="M235" s="11">
        <v>90685.06</v>
      </c>
      <c r="N235" s="9">
        <f t="shared" si="7"/>
        <v>37.81</v>
      </c>
    </row>
    <row r="236" spans="1:14" ht="12.75" hidden="1" customHeight="1" x14ac:dyDescent="0.2">
      <c r="A236">
        <v>65061</v>
      </c>
      <c r="B236" s="3" t="s">
        <v>1253</v>
      </c>
      <c r="C236" s="7" t="s">
        <v>802</v>
      </c>
      <c r="D236" s="7" t="s">
        <v>200</v>
      </c>
      <c r="E236" s="7">
        <v>1212</v>
      </c>
      <c r="F236" s="7" t="s">
        <v>606</v>
      </c>
      <c r="G236" s="7" t="s">
        <v>1577</v>
      </c>
      <c r="H236" s="7" t="s">
        <v>1362</v>
      </c>
      <c r="I236" s="7" t="s">
        <v>1253</v>
      </c>
      <c r="K236" s="7" t="s">
        <v>277</v>
      </c>
      <c r="L236" s="11">
        <v>639.04999999999995</v>
      </c>
      <c r="M236" s="11">
        <v>91652.36</v>
      </c>
      <c r="N236" s="9">
        <f t="shared" si="7"/>
        <v>639.04999999999995</v>
      </c>
    </row>
    <row r="237" spans="1:14" ht="12.75" hidden="1" customHeight="1" x14ac:dyDescent="0.2">
      <c r="A237">
        <v>65061</v>
      </c>
      <c r="B237" s="3" t="s">
        <v>1253</v>
      </c>
      <c r="C237" s="7" t="s">
        <v>503</v>
      </c>
      <c r="D237" s="7" t="s">
        <v>200</v>
      </c>
      <c r="F237" s="7" t="s">
        <v>570</v>
      </c>
      <c r="G237" s="7" t="s">
        <v>1577</v>
      </c>
      <c r="H237" s="7" t="s">
        <v>1362</v>
      </c>
      <c r="I237" s="7" t="s">
        <v>1253</v>
      </c>
      <c r="K237" s="7" t="s">
        <v>277</v>
      </c>
      <c r="L237" s="11">
        <v>48.92</v>
      </c>
      <c r="M237" s="11">
        <v>92200.49</v>
      </c>
      <c r="N237" s="9">
        <f t="shared" si="7"/>
        <v>48.92</v>
      </c>
    </row>
    <row r="238" spans="1:14" ht="12.75" hidden="1" customHeight="1" x14ac:dyDescent="0.2">
      <c r="A238">
        <v>65061</v>
      </c>
      <c r="B238" s="3" t="s">
        <v>1253</v>
      </c>
      <c r="C238" s="7" t="s">
        <v>280</v>
      </c>
      <c r="D238" s="7" t="s">
        <v>200</v>
      </c>
      <c r="F238" s="7" t="s">
        <v>797</v>
      </c>
      <c r="G238" s="7" t="s">
        <v>1577</v>
      </c>
      <c r="H238" s="7" t="s">
        <v>1362</v>
      </c>
      <c r="I238" s="7" t="s">
        <v>1253</v>
      </c>
      <c r="K238" s="7" t="s">
        <v>277</v>
      </c>
      <c r="L238" s="11">
        <v>50.61</v>
      </c>
      <c r="M238" s="11">
        <v>93857.45</v>
      </c>
      <c r="N238" s="9">
        <f t="shared" si="7"/>
        <v>50.61</v>
      </c>
    </row>
    <row r="239" spans="1:14" ht="12.75" hidden="1" customHeight="1" x14ac:dyDescent="0.2">
      <c r="A239">
        <v>65061</v>
      </c>
      <c r="B239" s="3" t="s">
        <v>1253</v>
      </c>
      <c r="C239" s="7" t="s">
        <v>201</v>
      </c>
      <c r="D239" s="7" t="s">
        <v>200</v>
      </c>
      <c r="F239" s="7" t="s">
        <v>265</v>
      </c>
      <c r="G239" s="7" t="s">
        <v>1577</v>
      </c>
      <c r="H239" s="7" t="s">
        <v>1362</v>
      </c>
      <c r="I239" s="7" t="s">
        <v>1253</v>
      </c>
      <c r="K239" s="7" t="s">
        <v>277</v>
      </c>
      <c r="L239" s="11">
        <v>99.48</v>
      </c>
      <c r="M239" s="11">
        <v>99496.7</v>
      </c>
      <c r="N239" s="9">
        <f t="shared" si="7"/>
        <v>99.48</v>
      </c>
    </row>
    <row r="240" spans="1:14" ht="12.75" hidden="1" customHeight="1" x14ac:dyDescent="0.2">
      <c r="A240">
        <v>65061</v>
      </c>
      <c r="B240" s="3" t="s">
        <v>1253</v>
      </c>
      <c r="C240" s="7" t="s">
        <v>201</v>
      </c>
      <c r="D240" s="7" t="s">
        <v>200</v>
      </c>
      <c r="F240" s="7" t="s">
        <v>265</v>
      </c>
      <c r="G240" s="7" t="s">
        <v>1577</v>
      </c>
      <c r="H240" s="7" t="s">
        <v>1362</v>
      </c>
      <c r="I240" s="7" t="s">
        <v>1253</v>
      </c>
      <c r="K240" s="7" t="s">
        <v>277</v>
      </c>
      <c r="L240" s="11">
        <v>11.99</v>
      </c>
      <c r="M240" s="11">
        <v>99520.639999999999</v>
      </c>
      <c r="N240" s="9">
        <f t="shared" si="7"/>
        <v>11.99</v>
      </c>
    </row>
    <row r="241" spans="1:14" ht="12.75" hidden="1" customHeight="1" x14ac:dyDescent="0.2">
      <c r="A241">
        <v>65061</v>
      </c>
      <c r="B241" s="3" t="s">
        <v>1253</v>
      </c>
      <c r="C241" s="7" t="s">
        <v>201</v>
      </c>
      <c r="D241" s="7" t="s">
        <v>200</v>
      </c>
      <c r="F241" s="7" t="s">
        <v>265</v>
      </c>
      <c r="G241" s="7" t="s">
        <v>1577</v>
      </c>
      <c r="H241" s="7" t="s">
        <v>1362</v>
      </c>
      <c r="I241" s="7" t="s">
        <v>1253</v>
      </c>
      <c r="K241" s="7" t="s">
        <v>277</v>
      </c>
      <c r="L241" s="11">
        <v>23.65</v>
      </c>
      <c r="M241" s="11">
        <v>99544.29</v>
      </c>
      <c r="N241" s="9">
        <f t="shared" si="7"/>
        <v>23.65</v>
      </c>
    </row>
    <row r="242" spans="1:14" ht="12.75" hidden="1" customHeight="1" x14ac:dyDescent="0.2">
      <c r="A242">
        <v>65061</v>
      </c>
      <c r="B242" s="3" t="s">
        <v>1253</v>
      </c>
      <c r="C242" s="7" t="s">
        <v>201</v>
      </c>
      <c r="D242" s="7" t="s">
        <v>200</v>
      </c>
      <c r="F242" s="7" t="s">
        <v>265</v>
      </c>
      <c r="G242" s="7" t="s">
        <v>1577</v>
      </c>
      <c r="H242" s="7" t="s">
        <v>1362</v>
      </c>
      <c r="I242" s="7" t="s">
        <v>1253</v>
      </c>
      <c r="K242" s="7" t="s">
        <v>277</v>
      </c>
      <c r="L242" s="11">
        <v>201.21</v>
      </c>
      <c r="M242" s="11">
        <v>99745.5</v>
      </c>
      <c r="N242" s="9">
        <f t="shared" si="7"/>
        <v>201.21</v>
      </c>
    </row>
    <row r="243" spans="1:14" ht="12.75" hidden="1" customHeight="1" x14ac:dyDescent="0.2">
      <c r="A243">
        <v>65061</v>
      </c>
      <c r="B243" s="3" t="s">
        <v>1253</v>
      </c>
      <c r="C243" s="7" t="s">
        <v>201</v>
      </c>
      <c r="D243" s="7" t="s">
        <v>200</v>
      </c>
      <c r="F243" s="7" t="s">
        <v>595</v>
      </c>
      <c r="G243" s="7" t="s">
        <v>1577</v>
      </c>
      <c r="H243" s="7" t="s">
        <v>1362</v>
      </c>
      <c r="I243" s="7" t="s">
        <v>1253</v>
      </c>
      <c r="K243" s="7" t="s">
        <v>277</v>
      </c>
      <c r="L243" s="11">
        <v>48.96</v>
      </c>
      <c r="M243" s="11">
        <v>99807.46</v>
      </c>
      <c r="N243" s="9">
        <f t="shared" si="7"/>
        <v>48.96</v>
      </c>
    </row>
    <row r="244" spans="1:14" ht="12.75" hidden="1" customHeight="1" x14ac:dyDescent="0.2">
      <c r="A244">
        <v>65061</v>
      </c>
      <c r="B244" s="3" t="s">
        <v>1253</v>
      </c>
      <c r="C244" s="7" t="s">
        <v>201</v>
      </c>
      <c r="D244" s="7" t="s">
        <v>200</v>
      </c>
      <c r="F244" s="7" t="s">
        <v>570</v>
      </c>
      <c r="G244" s="7" t="s">
        <v>1577</v>
      </c>
      <c r="H244" s="7" t="s">
        <v>1362</v>
      </c>
      <c r="I244" s="7" t="s">
        <v>1253</v>
      </c>
      <c r="K244" s="7" t="s">
        <v>277</v>
      </c>
      <c r="L244" s="11">
        <v>81.510000000000005</v>
      </c>
      <c r="M244" s="11">
        <v>100167.75</v>
      </c>
      <c r="N244" s="9">
        <f t="shared" si="7"/>
        <v>81.510000000000005</v>
      </c>
    </row>
    <row r="245" spans="1:14" ht="12.75" hidden="1" customHeight="1" x14ac:dyDescent="0.2">
      <c r="A245">
        <v>65061</v>
      </c>
      <c r="B245" s="3" t="s">
        <v>1253</v>
      </c>
      <c r="C245" s="7" t="s">
        <v>201</v>
      </c>
      <c r="D245" s="7" t="s">
        <v>200</v>
      </c>
      <c r="F245" s="7" t="s">
        <v>352</v>
      </c>
      <c r="G245" s="7" t="s">
        <v>1577</v>
      </c>
      <c r="H245" s="7" t="s">
        <v>1362</v>
      </c>
      <c r="I245" s="7" t="s">
        <v>1253</v>
      </c>
      <c r="K245" s="7" t="s">
        <v>277</v>
      </c>
      <c r="L245" s="11">
        <v>146.03</v>
      </c>
      <c r="M245" s="11">
        <v>100313.78</v>
      </c>
      <c r="N245" s="9">
        <f t="shared" si="7"/>
        <v>146.03</v>
      </c>
    </row>
    <row r="246" spans="1:14" ht="12.75" hidden="1" customHeight="1" x14ac:dyDescent="0.2">
      <c r="A246">
        <v>65061</v>
      </c>
      <c r="B246" s="3" t="s">
        <v>1253</v>
      </c>
      <c r="C246" s="7" t="s">
        <v>201</v>
      </c>
      <c r="D246" s="7" t="s">
        <v>200</v>
      </c>
      <c r="F246" s="7" t="s">
        <v>265</v>
      </c>
      <c r="G246" s="7" t="s">
        <v>1577</v>
      </c>
      <c r="H246" s="7" t="s">
        <v>1362</v>
      </c>
      <c r="I246" s="7" t="s">
        <v>1253</v>
      </c>
      <c r="K246" s="7" t="s">
        <v>277</v>
      </c>
      <c r="L246" s="11">
        <v>55.99</v>
      </c>
      <c r="M246" s="11">
        <v>101495.32</v>
      </c>
      <c r="N246" s="9">
        <f t="shared" si="7"/>
        <v>55.99</v>
      </c>
    </row>
    <row r="247" spans="1:14" ht="12.75" hidden="1" customHeight="1" x14ac:dyDescent="0.2">
      <c r="A247">
        <v>65061</v>
      </c>
      <c r="B247" s="3" t="s">
        <v>1253</v>
      </c>
      <c r="C247" s="7" t="s">
        <v>270</v>
      </c>
      <c r="D247" s="7" t="s">
        <v>200</v>
      </c>
      <c r="F247" s="7" t="s">
        <v>265</v>
      </c>
      <c r="G247" s="7" t="s">
        <v>1577</v>
      </c>
      <c r="H247" s="7" t="s">
        <v>1362</v>
      </c>
      <c r="I247" s="7" t="s">
        <v>1253</v>
      </c>
      <c r="K247" s="7" t="s">
        <v>277</v>
      </c>
      <c r="L247" s="11">
        <v>6.73</v>
      </c>
      <c r="M247" s="11">
        <v>101502.05</v>
      </c>
      <c r="N247" s="9">
        <f t="shared" si="7"/>
        <v>6.73</v>
      </c>
    </row>
    <row r="248" spans="1:14" ht="12.75" hidden="1" customHeight="1" x14ac:dyDescent="0.2">
      <c r="A248">
        <v>65061</v>
      </c>
      <c r="B248" s="3" t="s">
        <v>1253</v>
      </c>
      <c r="C248" s="7" t="s">
        <v>270</v>
      </c>
      <c r="D248" s="7" t="s">
        <v>200</v>
      </c>
      <c r="F248" s="7" t="s">
        <v>265</v>
      </c>
      <c r="G248" s="7" t="s">
        <v>1577</v>
      </c>
      <c r="H248" s="7" t="s">
        <v>1362</v>
      </c>
      <c r="I248" s="7" t="s">
        <v>1253</v>
      </c>
      <c r="K248" s="7" t="s">
        <v>277</v>
      </c>
      <c r="L248" s="11">
        <v>70.69</v>
      </c>
      <c r="M248" s="11">
        <v>101572.74</v>
      </c>
      <c r="N248" s="9">
        <f t="shared" si="7"/>
        <v>70.69</v>
      </c>
    </row>
    <row r="249" spans="1:14" ht="12.75" hidden="1" customHeight="1" x14ac:dyDescent="0.2">
      <c r="A249">
        <v>65061</v>
      </c>
      <c r="B249" s="3" t="s">
        <v>1253</v>
      </c>
      <c r="C249" s="7" t="s">
        <v>270</v>
      </c>
      <c r="D249" s="7" t="s">
        <v>200</v>
      </c>
      <c r="F249" s="7" t="s">
        <v>265</v>
      </c>
      <c r="G249" s="7" t="s">
        <v>1577</v>
      </c>
      <c r="H249" s="7" t="s">
        <v>1362</v>
      </c>
      <c r="I249" s="7" t="s">
        <v>1253</v>
      </c>
      <c r="K249" s="7" t="s">
        <v>277</v>
      </c>
      <c r="L249" s="11">
        <v>8.6</v>
      </c>
      <c r="M249" s="11">
        <v>101581.34</v>
      </c>
      <c r="N249" s="9">
        <f t="shared" si="7"/>
        <v>8.6</v>
      </c>
    </row>
    <row r="250" spans="1:14" ht="12.75" hidden="1" customHeight="1" x14ac:dyDescent="0.2">
      <c r="A250">
        <v>65061</v>
      </c>
      <c r="B250" s="3" t="s">
        <v>1253</v>
      </c>
      <c r="C250" s="7" t="s">
        <v>267</v>
      </c>
      <c r="D250" s="7" t="s">
        <v>200</v>
      </c>
      <c r="F250" s="7" t="s">
        <v>265</v>
      </c>
      <c r="G250" s="7" t="s">
        <v>1577</v>
      </c>
      <c r="H250" s="7" t="s">
        <v>1362</v>
      </c>
      <c r="I250" s="7" t="s">
        <v>1253</v>
      </c>
      <c r="K250" s="7" t="s">
        <v>277</v>
      </c>
      <c r="L250" s="11">
        <v>43.93</v>
      </c>
      <c r="M250" s="11">
        <v>101987.68</v>
      </c>
      <c r="N250" s="9">
        <f t="shared" si="7"/>
        <v>43.93</v>
      </c>
    </row>
    <row r="251" spans="1:14" ht="12.75" hidden="1" customHeight="1" x14ac:dyDescent="0.2">
      <c r="A251">
        <v>65061</v>
      </c>
      <c r="B251" s="3" t="s">
        <v>1253</v>
      </c>
      <c r="C251" s="7" t="s">
        <v>267</v>
      </c>
      <c r="D251" s="7" t="s">
        <v>200</v>
      </c>
      <c r="F251" s="7" t="s">
        <v>265</v>
      </c>
      <c r="G251" s="7" t="s">
        <v>1577</v>
      </c>
      <c r="H251" s="7" t="s">
        <v>1362</v>
      </c>
      <c r="I251" s="7" t="s">
        <v>1253</v>
      </c>
      <c r="K251" s="7" t="s">
        <v>277</v>
      </c>
      <c r="L251" s="11">
        <v>7.95</v>
      </c>
      <c r="M251" s="11">
        <v>101995.63</v>
      </c>
      <c r="N251" s="9">
        <f t="shared" si="7"/>
        <v>7.95</v>
      </c>
    </row>
    <row r="252" spans="1:14" ht="12.75" hidden="1" customHeight="1" x14ac:dyDescent="0.2">
      <c r="A252">
        <v>65061</v>
      </c>
      <c r="B252" s="3" t="s">
        <v>1253</v>
      </c>
      <c r="C252" s="7" t="s">
        <v>267</v>
      </c>
      <c r="D252" s="7" t="s">
        <v>200</v>
      </c>
      <c r="F252" s="7" t="s">
        <v>265</v>
      </c>
      <c r="G252" s="7" t="s">
        <v>1577</v>
      </c>
      <c r="H252" s="7" t="s">
        <v>1362</v>
      </c>
      <c r="I252" s="7" t="s">
        <v>1253</v>
      </c>
      <c r="K252" s="7" t="s">
        <v>277</v>
      </c>
      <c r="L252" s="11">
        <v>106.58</v>
      </c>
      <c r="M252" s="11">
        <v>102102.21</v>
      </c>
      <c r="N252" s="9">
        <f t="shared" si="7"/>
        <v>106.58</v>
      </c>
    </row>
    <row r="253" spans="1:14" ht="12.75" hidden="1" customHeight="1" x14ac:dyDescent="0.2">
      <c r="A253">
        <v>65061</v>
      </c>
      <c r="B253" s="3" t="s">
        <v>1253</v>
      </c>
      <c r="C253" s="7" t="s">
        <v>263</v>
      </c>
      <c r="D253" s="7" t="s">
        <v>200</v>
      </c>
      <c r="F253" s="7" t="s">
        <v>352</v>
      </c>
      <c r="G253" s="7" t="s">
        <v>1577</v>
      </c>
      <c r="H253" s="7" t="s">
        <v>1362</v>
      </c>
      <c r="I253" s="7" t="s">
        <v>1253</v>
      </c>
      <c r="K253" s="7" t="s">
        <v>277</v>
      </c>
      <c r="L253" s="11">
        <v>154.96</v>
      </c>
      <c r="M253" s="11">
        <v>104415.43</v>
      </c>
      <c r="N253" s="9">
        <f t="shared" si="7"/>
        <v>154.96</v>
      </c>
    </row>
    <row r="254" spans="1:14" ht="12.75" hidden="1" customHeight="1" x14ac:dyDescent="0.2">
      <c r="A254">
        <v>65061</v>
      </c>
      <c r="B254" s="3" t="s">
        <v>1253</v>
      </c>
      <c r="C254" s="7" t="s">
        <v>263</v>
      </c>
      <c r="D254" s="7" t="s">
        <v>200</v>
      </c>
      <c r="F254" s="7" t="s">
        <v>265</v>
      </c>
      <c r="G254" s="7" t="s">
        <v>1577</v>
      </c>
      <c r="H254" s="7" t="s">
        <v>1362</v>
      </c>
      <c r="I254" s="7" t="s">
        <v>1253</v>
      </c>
      <c r="K254" s="7" t="s">
        <v>277</v>
      </c>
      <c r="L254" s="11">
        <v>115.07</v>
      </c>
      <c r="M254" s="11">
        <v>104706.13</v>
      </c>
      <c r="N254" s="9">
        <f t="shared" si="7"/>
        <v>115.07</v>
      </c>
    </row>
    <row r="255" spans="1:14" ht="12.75" hidden="1" customHeight="1" x14ac:dyDescent="0.2">
      <c r="A255">
        <v>65061</v>
      </c>
      <c r="B255" s="3" t="s">
        <v>1253</v>
      </c>
      <c r="C255" s="7" t="s">
        <v>263</v>
      </c>
      <c r="D255" s="7" t="s">
        <v>200</v>
      </c>
      <c r="F255" s="7" t="s">
        <v>776</v>
      </c>
      <c r="G255" s="7" t="s">
        <v>1577</v>
      </c>
      <c r="H255" s="7" t="s">
        <v>1362</v>
      </c>
      <c r="I255" s="7" t="s">
        <v>1253</v>
      </c>
      <c r="K255" s="7" t="s">
        <v>277</v>
      </c>
      <c r="L255" s="11">
        <v>30.95</v>
      </c>
      <c r="M255" s="11">
        <v>105242.87</v>
      </c>
      <c r="N255" s="9">
        <f t="shared" si="7"/>
        <v>30.95</v>
      </c>
    </row>
    <row r="256" spans="1:14" ht="12.75" hidden="1" customHeight="1" x14ac:dyDescent="0.2">
      <c r="A256">
        <v>65061</v>
      </c>
      <c r="B256" s="3" t="s">
        <v>1253</v>
      </c>
      <c r="C256" s="7" t="s">
        <v>257</v>
      </c>
      <c r="D256" s="7" t="s">
        <v>200</v>
      </c>
      <c r="F256" s="7" t="s">
        <v>625</v>
      </c>
      <c r="G256" s="7" t="s">
        <v>1577</v>
      </c>
      <c r="H256" s="7" t="s">
        <v>1362</v>
      </c>
      <c r="I256" s="7" t="s">
        <v>1253</v>
      </c>
      <c r="K256" s="7" t="s">
        <v>277</v>
      </c>
      <c r="L256" s="11">
        <v>18</v>
      </c>
      <c r="M256" s="11">
        <v>106253.02</v>
      </c>
      <c r="N256" s="9">
        <f t="shared" si="7"/>
        <v>18</v>
      </c>
    </row>
    <row r="257" spans="1:14" ht="12.75" hidden="1" customHeight="1" x14ac:dyDescent="0.2">
      <c r="A257">
        <v>65061</v>
      </c>
      <c r="B257" s="3" t="s">
        <v>1253</v>
      </c>
      <c r="C257" s="7" t="s">
        <v>257</v>
      </c>
      <c r="D257" s="7" t="s">
        <v>200</v>
      </c>
      <c r="F257" s="7" t="s">
        <v>776</v>
      </c>
      <c r="G257" s="7" t="s">
        <v>1577</v>
      </c>
      <c r="H257" s="7" t="s">
        <v>1362</v>
      </c>
      <c r="I257" s="7" t="s">
        <v>1253</v>
      </c>
      <c r="K257" s="7" t="s">
        <v>277</v>
      </c>
      <c r="L257" s="11">
        <v>28.32</v>
      </c>
      <c r="M257" s="11">
        <v>106890.21</v>
      </c>
      <c r="N257" s="9">
        <f t="shared" si="7"/>
        <v>28.32</v>
      </c>
    </row>
    <row r="258" spans="1:14" ht="12.75" hidden="1" customHeight="1" x14ac:dyDescent="0.2">
      <c r="A258">
        <v>65061</v>
      </c>
      <c r="B258" s="3" t="s">
        <v>1253</v>
      </c>
      <c r="C258" s="7" t="s">
        <v>257</v>
      </c>
      <c r="D258" s="7" t="s">
        <v>200</v>
      </c>
      <c r="F258" s="7" t="s">
        <v>620</v>
      </c>
      <c r="G258" s="7" t="s">
        <v>1577</v>
      </c>
      <c r="H258" s="7" t="s">
        <v>1362</v>
      </c>
      <c r="I258" s="7" t="s">
        <v>1253</v>
      </c>
      <c r="K258" s="7" t="s">
        <v>277</v>
      </c>
      <c r="L258" s="11">
        <v>40.85</v>
      </c>
      <c r="M258" s="11">
        <v>106931.06</v>
      </c>
      <c r="N258" s="9">
        <f t="shared" si="7"/>
        <v>40.85</v>
      </c>
    </row>
    <row r="259" spans="1:14" ht="12.75" hidden="1" customHeight="1" x14ac:dyDescent="0.2">
      <c r="A259">
        <v>65061</v>
      </c>
      <c r="B259" s="3" t="s">
        <v>1253</v>
      </c>
      <c r="C259" s="7" t="s">
        <v>253</v>
      </c>
      <c r="D259" s="7" t="s">
        <v>200</v>
      </c>
      <c r="F259" s="7" t="s">
        <v>265</v>
      </c>
      <c r="G259" s="7" t="s">
        <v>1577</v>
      </c>
      <c r="H259" s="7" t="s">
        <v>1362</v>
      </c>
      <c r="I259" s="7" t="s">
        <v>1253</v>
      </c>
      <c r="K259" s="7" t="s">
        <v>277</v>
      </c>
      <c r="L259" s="11">
        <v>15.9</v>
      </c>
      <c r="M259" s="11">
        <v>108668.27</v>
      </c>
      <c r="N259" s="9">
        <f t="shared" si="7"/>
        <v>15.9</v>
      </c>
    </row>
    <row r="260" spans="1:14" ht="12.75" hidden="1" customHeight="1" x14ac:dyDescent="0.2">
      <c r="A260">
        <v>65061</v>
      </c>
      <c r="B260" s="3" t="s">
        <v>1253</v>
      </c>
      <c r="C260" s="7" t="s">
        <v>253</v>
      </c>
      <c r="D260" s="7" t="s">
        <v>200</v>
      </c>
      <c r="E260" s="7">
        <v>1217</v>
      </c>
      <c r="F260" s="7" t="s">
        <v>773</v>
      </c>
      <c r="G260" s="7" t="s">
        <v>1577</v>
      </c>
      <c r="H260" s="7" t="s">
        <v>1362</v>
      </c>
      <c r="I260" s="7" t="s">
        <v>1253</v>
      </c>
      <c r="K260" s="7" t="s">
        <v>277</v>
      </c>
      <c r="L260" s="11">
        <v>28.49</v>
      </c>
      <c r="M260" s="11">
        <v>109374.08</v>
      </c>
      <c r="N260" s="9">
        <f t="shared" si="7"/>
        <v>28.49</v>
      </c>
    </row>
    <row r="261" spans="1:14" ht="12.75" hidden="1" customHeight="1" x14ac:dyDescent="0.2">
      <c r="A261">
        <v>65061</v>
      </c>
      <c r="B261" s="3" t="s">
        <v>1253</v>
      </c>
      <c r="C261" s="7" t="s">
        <v>417</v>
      </c>
      <c r="D261" s="7" t="s">
        <v>200</v>
      </c>
      <c r="E261" s="7">
        <v>1218</v>
      </c>
      <c r="F261" s="7" t="s">
        <v>567</v>
      </c>
      <c r="G261" s="7" t="s">
        <v>1577</v>
      </c>
      <c r="H261" s="7" t="s">
        <v>1362</v>
      </c>
      <c r="I261" s="7" t="s">
        <v>1253</v>
      </c>
      <c r="K261" s="7" t="s">
        <v>277</v>
      </c>
      <c r="L261" s="11">
        <v>437.39</v>
      </c>
      <c r="M261" s="11">
        <v>114337.16</v>
      </c>
      <c r="N261" s="9">
        <f t="shared" si="7"/>
        <v>437.39</v>
      </c>
    </row>
    <row r="262" spans="1:14" ht="12.75" hidden="1" customHeight="1" x14ac:dyDescent="0.2">
      <c r="A262">
        <v>65061</v>
      </c>
      <c r="B262" s="3" t="s">
        <v>1253</v>
      </c>
      <c r="C262" s="7" t="s">
        <v>194</v>
      </c>
      <c r="D262" s="7" t="s">
        <v>221</v>
      </c>
      <c r="F262" s="7" t="s">
        <v>352</v>
      </c>
      <c r="G262" s="7" t="s">
        <v>1577</v>
      </c>
      <c r="H262" s="7" t="s">
        <v>1362</v>
      </c>
      <c r="I262" s="7" t="s">
        <v>1253</v>
      </c>
      <c r="K262" s="7" t="s">
        <v>277</v>
      </c>
      <c r="L262" s="11">
        <v>50.18</v>
      </c>
      <c r="M262" s="11">
        <v>114579.32</v>
      </c>
      <c r="N262" s="9">
        <f t="shared" ref="N262:N293" si="8">IF(A262&lt;60000,-L262,+L262)</f>
        <v>50.18</v>
      </c>
    </row>
    <row r="263" spans="1:14" ht="12.75" hidden="1" customHeight="1" x14ac:dyDescent="0.2">
      <c r="A263">
        <v>65061</v>
      </c>
      <c r="B263" s="3" t="s">
        <v>1253</v>
      </c>
      <c r="C263" s="7" t="s">
        <v>239</v>
      </c>
      <c r="D263" s="7" t="s">
        <v>221</v>
      </c>
      <c r="F263" s="7" t="s">
        <v>766</v>
      </c>
      <c r="G263" s="7" t="s">
        <v>1577</v>
      </c>
      <c r="H263" s="7" t="s">
        <v>1362</v>
      </c>
      <c r="I263" s="7" t="s">
        <v>1253</v>
      </c>
      <c r="K263" s="7" t="s">
        <v>277</v>
      </c>
      <c r="L263" s="11">
        <v>22.2</v>
      </c>
      <c r="M263" s="11">
        <v>116134.8</v>
      </c>
      <c r="N263" s="9">
        <f t="shared" si="8"/>
        <v>22.2</v>
      </c>
    </row>
    <row r="264" spans="1:14" ht="12.75" hidden="1" customHeight="1" x14ac:dyDescent="0.2">
      <c r="A264">
        <v>65061</v>
      </c>
      <c r="B264" s="3" t="s">
        <v>1253</v>
      </c>
      <c r="C264" s="7" t="s">
        <v>239</v>
      </c>
      <c r="D264" s="7" t="s">
        <v>200</v>
      </c>
      <c r="E264" s="7">
        <v>1216</v>
      </c>
      <c r="F264" s="7" t="s">
        <v>765</v>
      </c>
      <c r="G264" s="7" t="s">
        <v>1577</v>
      </c>
      <c r="H264" s="7" t="s">
        <v>1362</v>
      </c>
      <c r="I264" s="7" t="s">
        <v>1253</v>
      </c>
      <c r="K264" s="7" t="s">
        <v>277</v>
      </c>
      <c r="L264" s="11">
        <v>38.409999999999997</v>
      </c>
      <c r="M264" s="11">
        <v>116173.21</v>
      </c>
      <c r="N264" s="9">
        <f t="shared" si="8"/>
        <v>38.409999999999997</v>
      </c>
    </row>
    <row r="265" spans="1:14" ht="12.75" hidden="1" customHeight="1" x14ac:dyDescent="0.2">
      <c r="A265">
        <v>65061</v>
      </c>
      <c r="B265" s="3" t="s">
        <v>1253</v>
      </c>
      <c r="C265" s="7" t="s">
        <v>239</v>
      </c>
      <c r="D265" s="7" t="s">
        <v>221</v>
      </c>
      <c r="F265" s="7" t="s">
        <v>763</v>
      </c>
      <c r="G265" s="7" t="s">
        <v>1577</v>
      </c>
      <c r="H265" s="7" t="s">
        <v>1362</v>
      </c>
      <c r="I265" s="7" t="s">
        <v>1253</v>
      </c>
      <c r="K265" s="7" t="s">
        <v>277</v>
      </c>
      <c r="L265" s="11">
        <v>70.599999999999994</v>
      </c>
      <c r="M265" s="11">
        <v>119882.36</v>
      </c>
      <c r="N265" s="9">
        <f t="shared" si="8"/>
        <v>70.599999999999994</v>
      </c>
    </row>
    <row r="266" spans="1:14" ht="12.75" hidden="1" customHeight="1" x14ac:dyDescent="0.2">
      <c r="A266">
        <v>65061</v>
      </c>
      <c r="B266" s="3" t="s">
        <v>1253</v>
      </c>
      <c r="C266" s="7" t="s">
        <v>239</v>
      </c>
      <c r="D266" s="7" t="s">
        <v>221</v>
      </c>
      <c r="F266" s="7" t="s">
        <v>352</v>
      </c>
      <c r="G266" s="7" t="s">
        <v>1577</v>
      </c>
      <c r="H266" s="7" t="s">
        <v>1362</v>
      </c>
      <c r="I266" s="7" t="s">
        <v>1253</v>
      </c>
      <c r="K266" s="7" t="s">
        <v>277</v>
      </c>
      <c r="L266" s="11">
        <v>33.96</v>
      </c>
      <c r="M266" s="11">
        <v>119916.32</v>
      </c>
      <c r="N266" s="9">
        <f t="shared" si="8"/>
        <v>33.96</v>
      </c>
    </row>
    <row r="267" spans="1:14" ht="12.75" hidden="1" customHeight="1" x14ac:dyDescent="0.2">
      <c r="A267">
        <v>65061</v>
      </c>
      <c r="B267" s="3" t="s">
        <v>1253</v>
      </c>
      <c r="C267" s="7" t="s">
        <v>239</v>
      </c>
      <c r="D267" s="7" t="s">
        <v>221</v>
      </c>
      <c r="F267" s="7" t="s">
        <v>625</v>
      </c>
      <c r="G267" s="7" t="s">
        <v>1577</v>
      </c>
      <c r="H267" s="7" t="s">
        <v>1362</v>
      </c>
      <c r="I267" s="7" t="s">
        <v>1253</v>
      </c>
      <c r="K267" s="7" t="s">
        <v>277</v>
      </c>
      <c r="L267" s="11">
        <v>125.98</v>
      </c>
      <c r="M267" s="11">
        <v>120042.3</v>
      </c>
      <c r="N267" s="9">
        <f t="shared" si="8"/>
        <v>125.98</v>
      </c>
    </row>
    <row r="268" spans="1:14" ht="12.75" hidden="1" customHeight="1" x14ac:dyDescent="0.2">
      <c r="A268">
        <v>65061</v>
      </c>
      <c r="B268" s="3" t="s">
        <v>1253</v>
      </c>
      <c r="C268" s="7" t="s">
        <v>749</v>
      </c>
      <c r="D268" s="7" t="s">
        <v>221</v>
      </c>
      <c r="F268" s="7" t="s">
        <v>546</v>
      </c>
      <c r="G268" s="7" t="s">
        <v>1577</v>
      </c>
      <c r="H268" s="7" t="s">
        <v>1362</v>
      </c>
      <c r="I268" s="7" t="s">
        <v>1253</v>
      </c>
      <c r="K268" s="7" t="s">
        <v>277</v>
      </c>
      <c r="L268" s="11">
        <v>12.76</v>
      </c>
      <c r="M268" s="11">
        <v>124185.34</v>
      </c>
      <c r="N268" s="9">
        <f t="shared" si="8"/>
        <v>12.76</v>
      </c>
    </row>
    <row r="269" spans="1:14" ht="12.75" hidden="1" customHeight="1" x14ac:dyDescent="0.2">
      <c r="A269">
        <v>65061</v>
      </c>
      <c r="B269" s="3" t="s">
        <v>1253</v>
      </c>
      <c r="C269" s="7" t="s">
        <v>496</v>
      </c>
      <c r="D269" s="7" t="s">
        <v>242</v>
      </c>
      <c r="F269" s="7" t="s">
        <v>546</v>
      </c>
      <c r="G269" s="7" t="s">
        <v>1577</v>
      </c>
      <c r="H269" s="7" t="s">
        <v>1362</v>
      </c>
      <c r="I269" s="7" t="s">
        <v>1253</v>
      </c>
      <c r="K269" s="7" t="s">
        <v>277</v>
      </c>
      <c r="L269" s="11">
        <v>-5.97</v>
      </c>
      <c r="M269" s="11">
        <v>126706.75</v>
      </c>
      <c r="N269" s="9">
        <f t="shared" si="8"/>
        <v>-5.97</v>
      </c>
    </row>
    <row r="270" spans="1:14" ht="12.75" hidden="1" customHeight="1" x14ac:dyDescent="0.2">
      <c r="A270">
        <v>65061</v>
      </c>
      <c r="B270" s="3" t="s">
        <v>1253</v>
      </c>
      <c r="C270" s="7" t="s">
        <v>238</v>
      </c>
      <c r="D270" s="7" t="s">
        <v>221</v>
      </c>
      <c r="F270" s="7" t="s">
        <v>352</v>
      </c>
      <c r="G270" s="7" t="s">
        <v>1577</v>
      </c>
      <c r="H270" s="7" t="s">
        <v>1362</v>
      </c>
      <c r="I270" s="7" t="s">
        <v>1253</v>
      </c>
      <c r="K270" s="7" t="s">
        <v>277</v>
      </c>
      <c r="L270" s="11">
        <v>23.53</v>
      </c>
      <c r="M270" s="11">
        <v>129388.91</v>
      </c>
      <c r="N270" s="9">
        <f t="shared" si="8"/>
        <v>23.53</v>
      </c>
    </row>
    <row r="271" spans="1:14" ht="12.75" hidden="1" customHeight="1" x14ac:dyDescent="0.2">
      <c r="A271">
        <v>65061</v>
      </c>
      <c r="B271" s="3" t="s">
        <v>1253</v>
      </c>
      <c r="C271" s="7" t="s">
        <v>233</v>
      </c>
      <c r="D271" s="7" t="s">
        <v>221</v>
      </c>
      <c r="F271" s="7" t="s">
        <v>265</v>
      </c>
      <c r="G271" s="7" t="s">
        <v>1577</v>
      </c>
      <c r="H271" s="7" t="s">
        <v>1362</v>
      </c>
      <c r="I271" s="7" t="s">
        <v>1253</v>
      </c>
      <c r="K271" s="7" t="s">
        <v>277</v>
      </c>
      <c r="L271" s="11">
        <v>34.950000000000003</v>
      </c>
      <c r="M271" s="11">
        <v>134949.57999999999</v>
      </c>
      <c r="N271" s="9">
        <f t="shared" si="8"/>
        <v>34.950000000000003</v>
      </c>
    </row>
    <row r="272" spans="1:14" ht="12.75" hidden="1" customHeight="1" x14ac:dyDescent="0.2">
      <c r="A272">
        <v>65061</v>
      </c>
      <c r="B272" s="3" t="s">
        <v>1253</v>
      </c>
      <c r="C272" s="7" t="s">
        <v>233</v>
      </c>
      <c r="D272" s="7" t="s">
        <v>221</v>
      </c>
      <c r="F272" s="7" t="s">
        <v>265</v>
      </c>
      <c r="G272" s="7" t="s">
        <v>1577</v>
      </c>
      <c r="H272" s="7" t="s">
        <v>1362</v>
      </c>
      <c r="I272" s="7" t="s">
        <v>1253</v>
      </c>
      <c r="K272" s="7" t="s">
        <v>277</v>
      </c>
      <c r="L272" s="11">
        <v>76.14</v>
      </c>
      <c r="M272" s="11">
        <v>135025.72</v>
      </c>
      <c r="N272" s="9">
        <f t="shared" si="8"/>
        <v>76.14</v>
      </c>
    </row>
    <row r="273" spans="1:14" ht="12.75" hidden="1" customHeight="1" x14ac:dyDescent="0.2">
      <c r="A273">
        <v>65061</v>
      </c>
      <c r="B273" s="3" t="s">
        <v>1253</v>
      </c>
      <c r="C273" s="7" t="s">
        <v>233</v>
      </c>
      <c r="D273" s="7" t="s">
        <v>221</v>
      </c>
      <c r="F273" s="7" t="s">
        <v>265</v>
      </c>
      <c r="G273" s="7" t="s">
        <v>1577</v>
      </c>
      <c r="H273" s="7" t="s">
        <v>1362</v>
      </c>
      <c r="I273" s="7" t="s">
        <v>1253</v>
      </c>
      <c r="K273" s="7" t="s">
        <v>277</v>
      </c>
      <c r="L273" s="11">
        <v>108.74</v>
      </c>
      <c r="M273" s="11">
        <v>135134.46</v>
      </c>
      <c r="N273" s="9">
        <f t="shared" si="8"/>
        <v>108.74</v>
      </c>
    </row>
    <row r="274" spans="1:14" ht="12.75" hidden="1" customHeight="1" x14ac:dyDescent="0.2">
      <c r="A274">
        <v>65061</v>
      </c>
      <c r="B274" s="3" t="s">
        <v>1253</v>
      </c>
      <c r="C274" s="7" t="s">
        <v>233</v>
      </c>
      <c r="D274" s="7" t="s">
        <v>221</v>
      </c>
      <c r="F274" s="7" t="s">
        <v>265</v>
      </c>
      <c r="G274" s="7" t="s">
        <v>1577</v>
      </c>
      <c r="H274" s="7" t="s">
        <v>1362</v>
      </c>
      <c r="I274" s="7" t="s">
        <v>1253</v>
      </c>
      <c r="K274" s="7" t="s">
        <v>277</v>
      </c>
      <c r="L274" s="11">
        <v>107.09</v>
      </c>
      <c r="M274" s="11">
        <v>135241.54999999999</v>
      </c>
      <c r="N274" s="9">
        <f t="shared" si="8"/>
        <v>107.09</v>
      </c>
    </row>
    <row r="275" spans="1:14" ht="12.75" hidden="1" customHeight="1" x14ac:dyDescent="0.2">
      <c r="A275">
        <v>65061</v>
      </c>
      <c r="B275" s="3" t="s">
        <v>1253</v>
      </c>
      <c r="C275" s="7" t="s">
        <v>193</v>
      </c>
      <c r="D275" s="7" t="s">
        <v>221</v>
      </c>
      <c r="F275" s="7" t="s">
        <v>265</v>
      </c>
      <c r="G275" s="7" t="s">
        <v>1577</v>
      </c>
      <c r="H275" s="7" t="s">
        <v>1362</v>
      </c>
      <c r="I275" s="7" t="s">
        <v>1253</v>
      </c>
      <c r="K275" s="7" t="s">
        <v>277</v>
      </c>
      <c r="L275" s="11">
        <v>42.14</v>
      </c>
      <c r="M275" s="11">
        <v>136062.81</v>
      </c>
      <c r="N275" s="9">
        <f t="shared" si="8"/>
        <v>42.14</v>
      </c>
    </row>
    <row r="276" spans="1:14" ht="12.75" hidden="1" customHeight="1" x14ac:dyDescent="0.2">
      <c r="A276">
        <v>65061</v>
      </c>
      <c r="B276" s="3" t="s">
        <v>1253</v>
      </c>
      <c r="C276" s="7" t="s">
        <v>710</v>
      </c>
      <c r="D276" s="7" t="s">
        <v>200</v>
      </c>
      <c r="E276" s="7">
        <v>1222</v>
      </c>
      <c r="F276" s="7" t="s">
        <v>567</v>
      </c>
      <c r="G276" s="7" t="s">
        <v>1577</v>
      </c>
      <c r="H276" s="7" t="s">
        <v>1362</v>
      </c>
      <c r="I276" s="7" t="s">
        <v>1253</v>
      </c>
      <c r="K276" s="7" t="s">
        <v>277</v>
      </c>
      <c r="L276" s="11">
        <v>42.38</v>
      </c>
      <c r="M276" s="11">
        <v>140549.85999999999</v>
      </c>
      <c r="N276" s="9">
        <f t="shared" si="8"/>
        <v>42.38</v>
      </c>
    </row>
    <row r="277" spans="1:14" ht="12.75" hidden="1" customHeight="1" x14ac:dyDescent="0.2">
      <c r="A277">
        <v>65061</v>
      </c>
      <c r="B277" s="3" t="s">
        <v>1253</v>
      </c>
      <c r="C277" s="7" t="s">
        <v>229</v>
      </c>
      <c r="D277" s="7" t="s">
        <v>221</v>
      </c>
      <c r="F277" s="7" t="s">
        <v>708</v>
      </c>
      <c r="G277" s="7" t="s">
        <v>1577</v>
      </c>
      <c r="H277" s="7" t="s">
        <v>1362</v>
      </c>
      <c r="I277" s="7" t="s">
        <v>1253</v>
      </c>
      <c r="K277" s="7" t="s">
        <v>277</v>
      </c>
      <c r="L277" s="11">
        <v>0.61</v>
      </c>
      <c r="M277" s="11">
        <v>141125.13</v>
      </c>
      <c r="N277" s="9">
        <f t="shared" si="8"/>
        <v>0.61</v>
      </c>
    </row>
    <row r="278" spans="1:14" ht="12.75" hidden="1" customHeight="1" x14ac:dyDescent="0.2">
      <c r="A278">
        <v>65061</v>
      </c>
      <c r="B278" s="3" t="s">
        <v>1253</v>
      </c>
      <c r="C278" s="7" t="s">
        <v>229</v>
      </c>
      <c r="D278" s="7" t="s">
        <v>221</v>
      </c>
      <c r="F278" s="7" t="s">
        <v>595</v>
      </c>
      <c r="G278" s="7" t="s">
        <v>1577</v>
      </c>
      <c r="H278" s="7" t="s">
        <v>1362</v>
      </c>
      <c r="I278" s="7" t="s">
        <v>1253</v>
      </c>
      <c r="K278" s="7" t="s">
        <v>277</v>
      </c>
      <c r="L278" s="11">
        <v>12.99</v>
      </c>
      <c r="M278" s="11">
        <v>141138.12</v>
      </c>
      <c r="N278" s="9">
        <f t="shared" si="8"/>
        <v>12.99</v>
      </c>
    </row>
    <row r="279" spans="1:14" ht="12.75" hidden="1" customHeight="1" x14ac:dyDescent="0.2">
      <c r="A279">
        <v>65061</v>
      </c>
      <c r="B279" s="3" t="s">
        <v>1253</v>
      </c>
      <c r="C279" s="7" t="s">
        <v>229</v>
      </c>
      <c r="D279" s="7" t="s">
        <v>221</v>
      </c>
      <c r="F279" s="7" t="s">
        <v>265</v>
      </c>
      <c r="G279" s="7" t="s">
        <v>1577</v>
      </c>
      <c r="H279" s="7" t="s">
        <v>1362</v>
      </c>
      <c r="I279" s="7" t="s">
        <v>1253</v>
      </c>
      <c r="K279" s="7" t="s">
        <v>277</v>
      </c>
      <c r="L279" s="11">
        <v>27.66</v>
      </c>
      <c r="M279" s="11">
        <v>141165.78</v>
      </c>
      <c r="N279" s="9">
        <f t="shared" si="8"/>
        <v>27.66</v>
      </c>
    </row>
    <row r="280" spans="1:14" ht="12.75" hidden="1" customHeight="1" x14ac:dyDescent="0.2">
      <c r="A280">
        <v>65061</v>
      </c>
      <c r="B280" s="3" t="s">
        <v>1253</v>
      </c>
      <c r="C280" s="7" t="s">
        <v>229</v>
      </c>
      <c r="D280" s="7" t="s">
        <v>221</v>
      </c>
      <c r="F280" s="7" t="s">
        <v>708</v>
      </c>
      <c r="G280" s="7" t="s">
        <v>1577</v>
      </c>
      <c r="H280" s="7" t="s">
        <v>1362</v>
      </c>
      <c r="I280" s="7" t="s">
        <v>1253</v>
      </c>
      <c r="K280" s="7" t="s">
        <v>277</v>
      </c>
      <c r="L280" s="11">
        <v>20.23</v>
      </c>
      <c r="M280" s="11">
        <v>141186.01</v>
      </c>
      <c r="N280" s="9">
        <f t="shared" si="8"/>
        <v>20.23</v>
      </c>
    </row>
    <row r="281" spans="1:14" ht="12.75" hidden="1" customHeight="1" x14ac:dyDescent="0.2">
      <c r="A281">
        <v>65061</v>
      </c>
      <c r="B281" s="3" t="s">
        <v>1253</v>
      </c>
      <c r="C281" s="7" t="s">
        <v>229</v>
      </c>
      <c r="D281" s="7" t="s">
        <v>221</v>
      </c>
      <c r="F281" s="7" t="s">
        <v>352</v>
      </c>
      <c r="G281" s="7" t="s">
        <v>1577</v>
      </c>
      <c r="H281" s="7" t="s">
        <v>1362</v>
      </c>
      <c r="I281" s="7" t="s">
        <v>1253</v>
      </c>
      <c r="K281" s="7" t="s">
        <v>277</v>
      </c>
      <c r="L281" s="11">
        <v>170.43</v>
      </c>
      <c r="M281" s="11">
        <v>141356.44</v>
      </c>
      <c r="N281" s="9">
        <f t="shared" si="8"/>
        <v>170.43</v>
      </c>
    </row>
    <row r="282" spans="1:14" ht="12.75" hidden="1" customHeight="1" x14ac:dyDescent="0.2">
      <c r="A282">
        <v>65061</v>
      </c>
      <c r="B282" s="3" t="s">
        <v>1253</v>
      </c>
      <c r="C282" s="7" t="s">
        <v>229</v>
      </c>
      <c r="D282" s="7" t="s">
        <v>200</v>
      </c>
      <c r="E282" s="7">
        <v>1215</v>
      </c>
      <c r="F282" s="7" t="s">
        <v>707</v>
      </c>
      <c r="G282" s="7" t="s">
        <v>1577</v>
      </c>
      <c r="H282" s="7" t="s">
        <v>1362</v>
      </c>
      <c r="I282" s="7" t="s">
        <v>1253</v>
      </c>
      <c r="K282" s="7" t="s">
        <v>277</v>
      </c>
      <c r="L282" s="11">
        <v>18.100000000000001</v>
      </c>
      <c r="M282" s="11">
        <v>141374.54</v>
      </c>
      <c r="N282" s="9">
        <f t="shared" si="8"/>
        <v>18.100000000000001</v>
      </c>
    </row>
    <row r="283" spans="1:14" ht="12.75" hidden="1" customHeight="1" x14ac:dyDescent="0.2">
      <c r="A283">
        <v>65061</v>
      </c>
      <c r="B283" s="3" t="s">
        <v>1253</v>
      </c>
      <c r="C283" s="7" t="s">
        <v>229</v>
      </c>
      <c r="D283" s="7" t="s">
        <v>221</v>
      </c>
      <c r="F283" s="7" t="s">
        <v>265</v>
      </c>
      <c r="G283" s="7" t="s">
        <v>1577</v>
      </c>
      <c r="H283" s="7" t="s">
        <v>1362</v>
      </c>
      <c r="I283" s="7" t="s">
        <v>1253</v>
      </c>
      <c r="K283" s="7" t="s">
        <v>277</v>
      </c>
      <c r="L283" s="11">
        <v>84.52</v>
      </c>
      <c r="M283" s="11">
        <v>141459.06</v>
      </c>
      <c r="N283" s="9">
        <f t="shared" si="8"/>
        <v>84.52</v>
      </c>
    </row>
    <row r="284" spans="1:14" ht="12.75" hidden="1" customHeight="1" x14ac:dyDescent="0.2">
      <c r="A284">
        <v>65061</v>
      </c>
      <c r="B284" s="3" t="s">
        <v>1253</v>
      </c>
      <c r="C284" s="7" t="s">
        <v>493</v>
      </c>
      <c r="D284" s="7" t="s">
        <v>221</v>
      </c>
      <c r="F284" s="7" t="s">
        <v>352</v>
      </c>
      <c r="G284" s="7" t="s">
        <v>1577</v>
      </c>
      <c r="H284" s="7" t="s">
        <v>1362</v>
      </c>
      <c r="I284" s="7" t="s">
        <v>1253</v>
      </c>
      <c r="K284" s="7" t="s">
        <v>277</v>
      </c>
      <c r="L284" s="11">
        <v>74.03</v>
      </c>
      <c r="M284" s="11">
        <v>144162.63</v>
      </c>
      <c r="N284" s="9">
        <f t="shared" si="8"/>
        <v>74.03</v>
      </c>
    </row>
    <row r="285" spans="1:14" ht="12.75" hidden="1" customHeight="1" x14ac:dyDescent="0.2">
      <c r="A285">
        <v>65061</v>
      </c>
      <c r="B285" s="3" t="s">
        <v>1253</v>
      </c>
      <c r="C285" s="7" t="s">
        <v>701</v>
      </c>
      <c r="D285" s="7" t="s">
        <v>221</v>
      </c>
      <c r="F285" s="7" t="s">
        <v>352</v>
      </c>
      <c r="G285" s="7" t="s">
        <v>1577</v>
      </c>
      <c r="H285" s="7" t="s">
        <v>1362</v>
      </c>
      <c r="I285" s="7" t="s">
        <v>1253</v>
      </c>
      <c r="K285" s="7" t="s">
        <v>277</v>
      </c>
      <c r="L285" s="11">
        <v>112.43</v>
      </c>
      <c r="M285" s="11">
        <v>144407.78</v>
      </c>
      <c r="N285" s="9">
        <f t="shared" si="8"/>
        <v>112.43</v>
      </c>
    </row>
    <row r="286" spans="1:14" ht="12.75" hidden="1" customHeight="1" x14ac:dyDescent="0.2">
      <c r="A286">
        <v>65061</v>
      </c>
      <c r="B286" s="3" t="s">
        <v>1253</v>
      </c>
      <c r="C286" s="7" t="s">
        <v>698</v>
      </c>
      <c r="D286" s="7" t="s">
        <v>200</v>
      </c>
      <c r="E286" s="7">
        <v>1223</v>
      </c>
      <c r="F286" s="7" t="s">
        <v>700</v>
      </c>
      <c r="G286" s="7" t="s">
        <v>1577</v>
      </c>
      <c r="H286" s="7" t="s">
        <v>1362</v>
      </c>
      <c r="I286" s="7" t="s">
        <v>1253</v>
      </c>
      <c r="K286" s="7" t="s">
        <v>277</v>
      </c>
      <c r="L286" s="11">
        <v>102.68</v>
      </c>
      <c r="M286" s="11">
        <v>144600.20000000001</v>
      </c>
      <c r="N286" s="9">
        <f t="shared" si="8"/>
        <v>102.68</v>
      </c>
    </row>
    <row r="287" spans="1:14" ht="12.75" hidden="1" customHeight="1" x14ac:dyDescent="0.2">
      <c r="A287">
        <v>65061</v>
      </c>
      <c r="B287" s="3" t="s">
        <v>1253</v>
      </c>
      <c r="C287" s="7" t="s">
        <v>442</v>
      </c>
      <c r="D287" s="7" t="s">
        <v>221</v>
      </c>
      <c r="F287" s="7" t="s">
        <v>265</v>
      </c>
      <c r="G287" s="7" t="s">
        <v>1577</v>
      </c>
      <c r="H287" s="7" t="s">
        <v>1362</v>
      </c>
      <c r="I287" s="7" t="s">
        <v>1253</v>
      </c>
      <c r="K287" s="7" t="s">
        <v>277</v>
      </c>
      <c r="L287" s="11">
        <v>38.03</v>
      </c>
      <c r="M287" s="11">
        <v>147213.26999999999</v>
      </c>
      <c r="N287" s="9">
        <f t="shared" si="8"/>
        <v>38.03</v>
      </c>
    </row>
    <row r="288" spans="1:14" ht="12.75" hidden="1" customHeight="1" x14ac:dyDescent="0.2">
      <c r="A288">
        <v>65061</v>
      </c>
      <c r="B288" s="3" t="s">
        <v>1253</v>
      </c>
      <c r="C288" s="7" t="s">
        <v>222</v>
      </c>
      <c r="D288" s="7" t="s">
        <v>200</v>
      </c>
      <c r="E288" s="7">
        <v>1224</v>
      </c>
      <c r="F288" s="7" t="s">
        <v>682</v>
      </c>
      <c r="G288" s="7" t="s">
        <v>1577</v>
      </c>
      <c r="H288" s="7" t="s">
        <v>1362</v>
      </c>
      <c r="I288" s="7" t="s">
        <v>1253</v>
      </c>
      <c r="K288" s="7" t="s">
        <v>277</v>
      </c>
      <c r="L288" s="11">
        <v>38.590000000000003</v>
      </c>
      <c r="M288" s="11">
        <v>149298.56</v>
      </c>
      <c r="N288" s="9">
        <f t="shared" si="8"/>
        <v>38.590000000000003</v>
      </c>
    </row>
    <row r="289" spans="1:14" ht="12.75" hidden="1" customHeight="1" x14ac:dyDescent="0.2">
      <c r="A289">
        <v>65061</v>
      </c>
      <c r="B289" s="3" t="s">
        <v>1253</v>
      </c>
      <c r="C289" s="7" t="s">
        <v>222</v>
      </c>
      <c r="D289" s="7" t="s">
        <v>221</v>
      </c>
      <c r="F289" s="7" t="s">
        <v>355</v>
      </c>
      <c r="G289" s="7" t="s">
        <v>1577</v>
      </c>
      <c r="H289" s="7" t="s">
        <v>1362</v>
      </c>
      <c r="I289" s="7" t="s">
        <v>1253</v>
      </c>
      <c r="K289" s="7" t="s">
        <v>277</v>
      </c>
      <c r="L289" s="11">
        <v>1.79</v>
      </c>
      <c r="M289" s="11">
        <v>149300.35</v>
      </c>
      <c r="N289" s="9">
        <f t="shared" si="8"/>
        <v>1.79</v>
      </c>
    </row>
    <row r="290" spans="1:14" ht="12.75" hidden="1" customHeight="1" x14ac:dyDescent="0.2">
      <c r="A290">
        <v>65061</v>
      </c>
      <c r="B290" s="3" t="s">
        <v>1253</v>
      </c>
      <c r="C290" s="7" t="s">
        <v>222</v>
      </c>
      <c r="D290" s="7" t="s">
        <v>221</v>
      </c>
      <c r="F290" s="7" t="s">
        <v>681</v>
      </c>
      <c r="G290" s="7" t="s">
        <v>1577</v>
      </c>
      <c r="H290" s="7" t="s">
        <v>1362</v>
      </c>
      <c r="I290" s="7" t="s">
        <v>1253</v>
      </c>
      <c r="K290" s="7" t="s">
        <v>277</v>
      </c>
      <c r="L290" s="11">
        <v>424.99</v>
      </c>
      <c r="M290" s="11">
        <v>149725.34</v>
      </c>
      <c r="N290" s="9">
        <f t="shared" si="8"/>
        <v>424.99</v>
      </c>
    </row>
    <row r="291" spans="1:14" ht="12.75" hidden="1" customHeight="1" x14ac:dyDescent="0.2">
      <c r="A291">
        <v>65061</v>
      </c>
      <c r="B291" s="3" t="s">
        <v>1253</v>
      </c>
      <c r="C291" s="7" t="s">
        <v>222</v>
      </c>
      <c r="D291" s="7" t="s">
        <v>221</v>
      </c>
      <c r="F291" s="7" t="s">
        <v>681</v>
      </c>
      <c r="G291" s="7" t="s">
        <v>1577</v>
      </c>
      <c r="H291" s="7" t="s">
        <v>1362</v>
      </c>
      <c r="I291" s="7" t="s">
        <v>1253</v>
      </c>
      <c r="K291" s="7" t="s">
        <v>277</v>
      </c>
      <c r="L291" s="11">
        <v>175</v>
      </c>
      <c r="M291" s="11">
        <v>149900.34</v>
      </c>
      <c r="N291" s="9">
        <f t="shared" si="8"/>
        <v>175</v>
      </c>
    </row>
    <row r="292" spans="1:14" ht="12.75" hidden="1" customHeight="1" x14ac:dyDescent="0.2">
      <c r="A292">
        <v>65061</v>
      </c>
      <c r="B292" s="3" t="s">
        <v>1253</v>
      </c>
      <c r="C292" s="7" t="s">
        <v>222</v>
      </c>
      <c r="D292" s="7" t="s">
        <v>221</v>
      </c>
      <c r="F292" s="7" t="s">
        <v>680</v>
      </c>
      <c r="G292" s="7" t="s">
        <v>1577</v>
      </c>
      <c r="H292" s="7" t="s">
        <v>1362</v>
      </c>
      <c r="I292" s="7" t="s">
        <v>1253</v>
      </c>
      <c r="K292" s="7" t="s">
        <v>277</v>
      </c>
      <c r="L292" s="11">
        <v>468.64</v>
      </c>
      <c r="M292" s="11">
        <v>150368.98000000001</v>
      </c>
      <c r="N292" s="9">
        <f t="shared" si="8"/>
        <v>468.64</v>
      </c>
    </row>
    <row r="293" spans="1:14" ht="12.75" hidden="1" customHeight="1" x14ac:dyDescent="0.2">
      <c r="A293">
        <v>65061</v>
      </c>
      <c r="B293" s="3" t="s">
        <v>1253</v>
      </c>
      <c r="C293" s="7" t="s">
        <v>429</v>
      </c>
      <c r="D293" s="7" t="s">
        <v>221</v>
      </c>
      <c r="F293" s="7" t="s">
        <v>671</v>
      </c>
      <c r="G293" s="7" t="s">
        <v>1577</v>
      </c>
      <c r="H293" s="7" t="s">
        <v>1362</v>
      </c>
      <c r="I293" s="7" t="s">
        <v>1253</v>
      </c>
      <c r="K293" s="7" t="s">
        <v>277</v>
      </c>
      <c r="L293" s="11">
        <v>14.48</v>
      </c>
      <c r="M293" s="11">
        <v>154973.29999999999</v>
      </c>
      <c r="N293" s="9">
        <f t="shared" si="8"/>
        <v>14.48</v>
      </c>
    </row>
    <row r="294" spans="1:14" ht="12.75" hidden="1" customHeight="1" x14ac:dyDescent="0.2">
      <c r="A294">
        <v>65061</v>
      </c>
      <c r="B294" s="3" t="s">
        <v>1253</v>
      </c>
      <c r="C294" s="7" t="s">
        <v>650</v>
      </c>
      <c r="D294" s="7" t="s">
        <v>221</v>
      </c>
      <c r="F294" s="7" t="s">
        <v>548</v>
      </c>
      <c r="G294" s="7" t="s">
        <v>1577</v>
      </c>
      <c r="H294" s="7" t="s">
        <v>1362</v>
      </c>
      <c r="I294" s="7" t="s">
        <v>1253</v>
      </c>
      <c r="K294" s="7" t="s">
        <v>277</v>
      </c>
      <c r="L294" s="11">
        <v>58.96</v>
      </c>
      <c r="M294" s="11">
        <v>164907.97</v>
      </c>
      <c r="N294" s="9">
        <f t="shared" ref="N294:N330" si="9">IF(A294&lt;60000,-L294,+L294)</f>
        <v>58.96</v>
      </c>
    </row>
    <row r="295" spans="1:14" ht="12.75" hidden="1" customHeight="1" x14ac:dyDescent="0.2">
      <c r="A295">
        <v>65061</v>
      </c>
      <c r="B295" s="3" t="s">
        <v>1253</v>
      </c>
      <c r="C295" s="7" t="s">
        <v>650</v>
      </c>
      <c r="D295" s="7" t="s">
        <v>221</v>
      </c>
      <c r="F295" s="7" t="s">
        <v>352</v>
      </c>
      <c r="G295" s="7" t="s">
        <v>1577</v>
      </c>
      <c r="H295" s="7" t="s">
        <v>1362</v>
      </c>
      <c r="I295" s="7" t="s">
        <v>1253</v>
      </c>
      <c r="K295" s="7" t="s">
        <v>277</v>
      </c>
      <c r="L295" s="11">
        <v>6.74</v>
      </c>
      <c r="M295" s="11">
        <v>164914.71</v>
      </c>
      <c r="N295" s="9">
        <f t="shared" si="9"/>
        <v>6.74</v>
      </c>
    </row>
    <row r="296" spans="1:14" ht="12.75" hidden="1" customHeight="1" x14ac:dyDescent="0.2">
      <c r="A296">
        <v>65061</v>
      </c>
      <c r="B296" s="3" t="s">
        <v>1253</v>
      </c>
      <c r="C296" s="7" t="s">
        <v>639</v>
      </c>
      <c r="D296" s="7" t="s">
        <v>200</v>
      </c>
      <c r="E296" s="7">
        <v>1219</v>
      </c>
      <c r="F296" s="7" t="s">
        <v>643</v>
      </c>
      <c r="G296" s="7" t="s">
        <v>1577</v>
      </c>
      <c r="H296" s="7" t="s">
        <v>1362</v>
      </c>
      <c r="I296" s="7" t="s">
        <v>1253</v>
      </c>
      <c r="K296" s="7" t="s">
        <v>277</v>
      </c>
      <c r="L296" s="11">
        <v>27.18</v>
      </c>
      <c r="M296" s="11">
        <v>167593.73000000001</v>
      </c>
      <c r="N296" s="9">
        <f t="shared" si="9"/>
        <v>27.18</v>
      </c>
    </row>
    <row r="297" spans="1:14" ht="12.75" hidden="1" customHeight="1" x14ac:dyDescent="0.2">
      <c r="A297">
        <v>65061</v>
      </c>
      <c r="B297" s="3" t="s">
        <v>1253</v>
      </c>
      <c r="C297" s="7" t="s">
        <v>486</v>
      </c>
      <c r="D297" s="7" t="s">
        <v>221</v>
      </c>
      <c r="F297" s="7" t="s">
        <v>265</v>
      </c>
      <c r="G297" s="7" t="s">
        <v>1577</v>
      </c>
      <c r="H297" s="7" t="s">
        <v>1362</v>
      </c>
      <c r="I297" s="7" t="s">
        <v>1253</v>
      </c>
      <c r="K297" s="7" t="s">
        <v>277</v>
      </c>
      <c r="L297" s="11">
        <v>107.57</v>
      </c>
      <c r="M297" s="11">
        <v>169513.43</v>
      </c>
      <c r="N297" s="9">
        <f t="shared" si="9"/>
        <v>107.57</v>
      </c>
    </row>
    <row r="298" spans="1:14" ht="12.75" hidden="1" customHeight="1" x14ac:dyDescent="0.2">
      <c r="A298">
        <v>65061</v>
      </c>
      <c r="B298" s="3" t="s">
        <v>1253</v>
      </c>
      <c r="C298" s="7" t="s">
        <v>427</v>
      </c>
      <c r="D298" s="7" t="s">
        <v>200</v>
      </c>
      <c r="E298" s="7">
        <v>1225</v>
      </c>
      <c r="F298" s="7" t="s">
        <v>606</v>
      </c>
      <c r="G298" s="7" t="s">
        <v>1577</v>
      </c>
      <c r="H298" s="7" t="s">
        <v>1362</v>
      </c>
      <c r="I298" s="7" t="s">
        <v>1253</v>
      </c>
      <c r="K298" s="7" t="s">
        <v>277</v>
      </c>
      <c r="L298" s="11">
        <v>1709</v>
      </c>
      <c r="M298" s="11">
        <v>174648.71</v>
      </c>
      <c r="N298" s="9">
        <f t="shared" si="9"/>
        <v>1709</v>
      </c>
    </row>
    <row r="299" spans="1:14" ht="12.75" hidden="1" customHeight="1" x14ac:dyDescent="0.2">
      <c r="A299">
        <v>65061</v>
      </c>
      <c r="B299" s="3" t="s">
        <v>1253</v>
      </c>
      <c r="C299" s="7" t="s">
        <v>427</v>
      </c>
      <c r="D299" s="7" t="s">
        <v>221</v>
      </c>
      <c r="F299" s="7" t="s">
        <v>265</v>
      </c>
      <c r="G299" s="7" t="s">
        <v>1577</v>
      </c>
      <c r="H299" s="7" t="s">
        <v>1362</v>
      </c>
      <c r="I299" s="7" t="s">
        <v>1253</v>
      </c>
      <c r="K299" s="7" t="s">
        <v>277</v>
      </c>
      <c r="L299" s="11">
        <v>66.209999999999994</v>
      </c>
      <c r="M299" s="11">
        <v>174829.54</v>
      </c>
      <c r="N299" s="9">
        <f t="shared" si="9"/>
        <v>66.209999999999994</v>
      </c>
    </row>
    <row r="300" spans="1:14" ht="12.75" hidden="1" customHeight="1" x14ac:dyDescent="0.2">
      <c r="A300">
        <v>65061</v>
      </c>
      <c r="B300" s="3" t="s">
        <v>1253</v>
      </c>
      <c r="C300" s="7" t="s">
        <v>427</v>
      </c>
      <c r="D300" s="7" t="s">
        <v>221</v>
      </c>
      <c r="F300" s="7" t="s">
        <v>548</v>
      </c>
      <c r="G300" s="7" t="s">
        <v>1577</v>
      </c>
      <c r="H300" s="7" t="s">
        <v>1362</v>
      </c>
      <c r="I300" s="7" t="s">
        <v>1253</v>
      </c>
      <c r="K300" s="7" t="s">
        <v>277</v>
      </c>
      <c r="L300" s="11">
        <v>74.88</v>
      </c>
      <c r="M300" s="11">
        <v>174904.42</v>
      </c>
      <c r="N300" s="9">
        <f t="shared" si="9"/>
        <v>74.88</v>
      </c>
    </row>
    <row r="301" spans="1:14" ht="12.75" hidden="1" customHeight="1" x14ac:dyDescent="0.2">
      <c r="A301">
        <v>65061</v>
      </c>
      <c r="B301" s="3" t="s">
        <v>1253</v>
      </c>
      <c r="C301" s="7" t="s">
        <v>427</v>
      </c>
      <c r="D301" s="7" t="s">
        <v>221</v>
      </c>
      <c r="F301" s="7" t="s">
        <v>625</v>
      </c>
      <c r="G301" s="7" t="s">
        <v>1577</v>
      </c>
      <c r="H301" s="7" t="s">
        <v>1362</v>
      </c>
      <c r="I301" s="7" t="s">
        <v>1253</v>
      </c>
      <c r="K301" s="7" t="s">
        <v>277</v>
      </c>
      <c r="L301" s="11">
        <v>20.66</v>
      </c>
      <c r="M301" s="11">
        <v>174925.08</v>
      </c>
      <c r="N301" s="9">
        <f t="shared" si="9"/>
        <v>20.66</v>
      </c>
    </row>
    <row r="302" spans="1:14" ht="12.75" hidden="1" customHeight="1" x14ac:dyDescent="0.2">
      <c r="A302">
        <v>65061</v>
      </c>
      <c r="B302" s="3" t="s">
        <v>1253</v>
      </c>
      <c r="C302" s="7" t="s">
        <v>427</v>
      </c>
      <c r="D302" s="7" t="s">
        <v>221</v>
      </c>
      <c r="F302" s="7" t="s">
        <v>352</v>
      </c>
      <c r="G302" s="7" t="s">
        <v>1577</v>
      </c>
      <c r="H302" s="7" t="s">
        <v>1362</v>
      </c>
      <c r="I302" s="7" t="s">
        <v>1253</v>
      </c>
      <c r="K302" s="7" t="s">
        <v>277</v>
      </c>
      <c r="L302" s="11">
        <v>18.600000000000001</v>
      </c>
      <c r="M302" s="11">
        <v>174943.68</v>
      </c>
      <c r="N302" s="9">
        <f t="shared" si="9"/>
        <v>18.600000000000001</v>
      </c>
    </row>
    <row r="303" spans="1:14" ht="12.75" hidden="1" customHeight="1" x14ac:dyDescent="0.2">
      <c r="A303">
        <v>65061</v>
      </c>
      <c r="B303" s="3" t="s">
        <v>1253</v>
      </c>
      <c r="C303" s="7" t="s">
        <v>617</v>
      </c>
      <c r="D303" s="7" t="s">
        <v>221</v>
      </c>
      <c r="F303" s="7" t="s">
        <v>620</v>
      </c>
      <c r="G303" s="7" t="s">
        <v>1577</v>
      </c>
      <c r="H303" s="7" t="s">
        <v>1362</v>
      </c>
      <c r="I303" s="7" t="s">
        <v>1253</v>
      </c>
      <c r="K303" s="7" t="s">
        <v>277</v>
      </c>
      <c r="L303" s="11">
        <v>29.99</v>
      </c>
      <c r="M303" s="11">
        <v>178602.34</v>
      </c>
      <c r="N303" s="9">
        <f t="shared" si="9"/>
        <v>29.99</v>
      </c>
    </row>
    <row r="304" spans="1:14" ht="12.75" hidden="1" customHeight="1" x14ac:dyDescent="0.2">
      <c r="A304">
        <v>65061</v>
      </c>
      <c r="B304" s="3" t="s">
        <v>1253</v>
      </c>
      <c r="C304" s="7" t="s">
        <v>585</v>
      </c>
      <c r="D304" s="7" t="s">
        <v>200</v>
      </c>
      <c r="E304" s="7">
        <v>1229</v>
      </c>
      <c r="F304" s="7" t="s">
        <v>598</v>
      </c>
      <c r="G304" s="7" t="s">
        <v>1577</v>
      </c>
      <c r="H304" s="7" t="s">
        <v>1362</v>
      </c>
      <c r="I304" s="7" t="s">
        <v>1253</v>
      </c>
      <c r="K304" s="7" t="s">
        <v>277</v>
      </c>
      <c r="L304" s="11">
        <v>129.29</v>
      </c>
      <c r="M304" s="11">
        <v>181438.9</v>
      </c>
      <c r="N304" s="9">
        <f t="shared" si="9"/>
        <v>129.29</v>
      </c>
    </row>
    <row r="305" spans="1:14" ht="12.75" hidden="1" customHeight="1" x14ac:dyDescent="0.2">
      <c r="A305">
        <v>65061</v>
      </c>
      <c r="B305" s="3" t="s">
        <v>1253</v>
      </c>
      <c r="C305" s="7" t="s">
        <v>585</v>
      </c>
      <c r="D305" s="7" t="s">
        <v>221</v>
      </c>
      <c r="F305" s="7" t="s">
        <v>241</v>
      </c>
      <c r="G305" s="7" t="s">
        <v>1577</v>
      </c>
      <c r="H305" s="7" t="s">
        <v>1362</v>
      </c>
      <c r="I305" s="7" t="s">
        <v>1253</v>
      </c>
      <c r="K305" s="7" t="s">
        <v>277</v>
      </c>
      <c r="L305" s="11">
        <v>89.98</v>
      </c>
      <c r="M305" s="11">
        <v>181610.08</v>
      </c>
      <c r="N305" s="9">
        <f t="shared" si="9"/>
        <v>89.98</v>
      </c>
    </row>
    <row r="306" spans="1:14" ht="12.75" hidden="1" customHeight="1" x14ac:dyDescent="0.2">
      <c r="A306">
        <v>65061</v>
      </c>
      <c r="B306" s="3" t="s">
        <v>1253</v>
      </c>
      <c r="C306" s="7" t="s">
        <v>585</v>
      </c>
      <c r="D306" s="7" t="s">
        <v>200</v>
      </c>
      <c r="E306" s="7">
        <v>1227</v>
      </c>
      <c r="F306" s="7" t="s">
        <v>586</v>
      </c>
      <c r="G306" s="7" t="s">
        <v>1577</v>
      </c>
      <c r="H306" s="7" t="s">
        <v>1362</v>
      </c>
      <c r="I306" s="7" t="s">
        <v>1253</v>
      </c>
      <c r="K306" s="7" t="s">
        <v>277</v>
      </c>
      <c r="L306" s="11">
        <v>25</v>
      </c>
      <c r="M306" s="11">
        <v>183749.92</v>
      </c>
      <c r="N306" s="9">
        <f t="shared" si="9"/>
        <v>25</v>
      </c>
    </row>
    <row r="307" spans="1:14" ht="12.75" hidden="1" customHeight="1" x14ac:dyDescent="0.2">
      <c r="A307">
        <v>65061</v>
      </c>
      <c r="B307" s="3" t="s">
        <v>1253</v>
      </c>
      <c r="C307" s="7" t="s">
        <v>207</v>
      </c>
      <c r="D307" s="7" t="s">
        <v>200</v>
      </c>
      <c r="E307" s="7">
        <v>1228</v>
      </c>
      <c r="F307" s="7" t="s">
        <v>567</v>
      </c>
      <c r="G307" s="7" t="s">
        <v>1577</v>
      </c>
      <c r="H307" s="7" t="s">
        <v>1362</v>
      </c>
      <c r="I307" s="7" t="s">
        <v>1253</v>
      </c>
      <c r="K307" s="7" t="s">
        <v>277</v>
      </c>
      <c r="L307" s="11">
        <v>326.88</v>
      </c>
      <c r="M307" s="11">
        <v>191034.95</v>
      </c>
      <c r="N307" s="9">
        <f t="shared" si="9"/>
        <v>326.88</v>
      </c>
    </row>
    <row r="308" spans="1:14" ht="12.75" hidden="1" customHeight="1" x14ac:dyDescent="0.2">
      <c r="A308">
        <v>65062</v>
      </c>
      <c r="B308" s="3" t="s">
        <v>1254</v>
      </c>
      <c r="C308" s="7" t="s">
        <v>505</v>
      </c>
      <c r="D308" s="7" t="s">
        <v>183</v>
      </c>
      <c r="E308" s="7">
        <v>573</v>
      </c>
      <c r="G308" s="7" t="s">
        <v>1577</v>
      </c>
      <c r="H308" s="7" t="s">
        <v>1362</v>
      </c>
      <c r="I308" s="7" t="s">
        <v>1254</v>
      </c>
      <c r="J308" s="7" t="s">
        <v>504</v>
      </c>
      <c r="K308" s="7" t="s">
        <v>180</v>
      </c>
      <c r="L308" s="11">
        <v>325</v>
      </c>
      <c r="M308" s="11">
        <v>19696.63</v>
      </c>
      <c r="N308" s="9">
        <f t="shared" si="9"/>
        <v>325</v>
      </c>
    </row>
    <row r="309" spans="1:14" ht="12.75" hidden="1" customHeight="1" x14ac:dyDescent="0.2">
      <c r="A309">
        <v>65062</v>
      </c>
      <c r="B309" s="3" t="s">
        <v>1254</v>
      </c>
      <c r="C309" s="7" t="s">
        <v>505</v>
      </c>
      <c r="D309" s="7" t="s">
        <v>183</v>
      </c>
      <c r="E309" s="7">
        <v>573</v>
      </c>
      <c r="G309" s="7" t="s">
        <v>1577</v>
      </c>
      <c r="H309" s="7" t="s">
        <v>1362</v>
      </c>
      <c r="I309" s="7" t="s">
        <v>1254</v>
      </c>
      <c r="J309" s="7" t="s">
        <v>504</v>
      </c>
      <c r="K309" s="7" t="s">
        <v>180</v>
      </c>
      <c r="L309" s="11">
        <v>150</v>
      </c>
      <c r="M309" s="11">
        <v>19846.63</v>
      </c>
      <c r="N309" s="9">
        <f t="shared" si="9"/>
        <v>150</v>
      </c>
    </row>
    <row r="310" spans="1:14" ht="12.75" hidden="1" customHeight="1" x14ac:dyDescent="0.2">
      <c r="A310">
        <v>65062</v>
      </c>
      <c r="B310" s="3" t="s">
        <v>1254</v>
      </c>
      <c r="C310" s="7" t="s">
        <v>505</v>
      </c>
      <c r="D310" s="7" t="s">
        <v>183</v>
      </c>
      <c r="E310" s="7">
        <v>573</v>
      </c>
      <c r="G310" s="7" t="s">
        <v>1577</v>
      </c>
      <c r="H310" s="7" t="s">
        <v>1362</v>
      </c>
      <c r="I310" s="7" t="s">
        <v>1254</v>
      </c>
      <c r="J310" s="7" t="s">
        <v>504</v>
      </c>
      <c r="K310" s="7" t="s">
        <v>180</v>
      </c>
      <c r="L310" s="11">
        <v>1000</v>
      </c>
      <c r="M310" s="11">
        <v>20846.63</v>
      </c>
      <c r="N310" s="9">
        <f t="shared" si="9"/>
        <v>1000</v>
      </c>
    </row>
    <row r="311" spans="1:14" ht="12.75" hidden="1" customHeight="1" x14ac:dyDescent="0.2">
      <c r="A311">
        <v>65062</v>
      </c>
      <c r="B311" s="3" t="s">
        <v>1254</v>
      </c>
      <c r="C311" s="7" t="s">
        <v>505</v>
      </c>
      <c r="D311" s="7" t="s">
        <v>183</v>
      </c>
      <c r="E311" s="7">
        <v>573</v>
      </c>
      <c r="G311" s="7" t="s">
        <v>1577</v>
      </c>
      <c r="H311" s="7" t="s">
        <v>1362</v>
      </c>
      <c r="I311" s="7" t="s">
        <v>1254</v>
      </c>
      <c r="J311" s="7" t="s">
        <v>504</v>
      </c>
      <c r="K311" s="7" t="s">
        <v>180</v>
      </c>
      <c r="L311" s="11">
        <v>545</v>
      </c>
      <c r="M311" s="11">
        <v>21391.63</v>
      </c>
      <c r="N311" s="9">
        <f t="shared" si="9"/>
        <v>545</v>
      </c>
    </row>
    <row r="312" spans="1:14" ht="12.75" hidden="1" customHeight="1" x14ac:dyDescent="0.2">
      <c r="A312">
        <v>65062</v>
      </c>
      <c r="B312" s="3" t="s">
        <v>1254</v>
      </c>
      <c r="C312" s="7" t="s">
        <v>196</v>
      </c>
      <c r="D312" s="7" t="s">
        <v>183</v>
      </c>
      <c r="E312" s="7">
        <v>572</v>
      </c>
      <c r="G312" s="7" t="s">
        <v>1577</v>
      </c>
      <c r="H312" s="7" t="s">
        <v>1362</v>
      </c>
      <c r="I312" s="7" t="s">
        <v>1254</v>
      </c>
      <c r="J312" s="7" t="s">
        <v>500</v>
      </c>
      <c r="K312" s="7" t="s">
        <v>180</v>
      </c>
      <c r="L312" s="11">
        <v>1500</v>
      </c>
      <c r="M312" s="11">
        <v>23641.63</v>
      </c>
      <c r="N312" s="9">
        <f t="shared" si="9"/>
        <v>1500</v>
      </c>
    </row>
    <row r="313" spans="1:14" ht="12.75" hidden="1" customHeight="1" x14ac:dyDescent="0.2">
      <c r="A313">
        <v>65062</v>
      </c>
      <c r="B313" s="3" t="s">
        <v>1254</v>
      </c>
      <c r="C313" s="7" t="s">
        <v>196</v>
      </c>
      <c r="D313" s="7" t="s">
        <v>183</v>
      </c>
      <c r="E313" s="7">
        <v>572</v>
      </c>
      <c r="G313" s="7" t="s">
        <v>1577</v>
      </c>
      <c r="H313" s="7" t="s">
        <v>1362</v>
      </c>
      <c r="I313" s="7" t="s">
        <v>1254</v>
      </c>
      <c r="J313" s="7" t="s">
        <v>500</v>
      </c>
      <c r="K313" s="7" t="s">
        <v>180</v>
      </c>
      <c r="L313" s="11">
        <v>850</v>
      </c>
      <c r="M313" s="11">
        <v>24491.63</v>
      </c>
      <c r="N313" s="9">
        <f t="shared" si="9"/>
        <v>850</v>
      </c>
    </row>
    <row r="314" spans="1:14" ht="12.75" hidden="1" customHeight="1" x14ac:dyDescent="0.2">
      <c r="A314">
        <v>65062</v>
      </c>
      <c r="B314" s="3" t="s">
        <v>1254</v>
      </c>
      <c r="C314" s="7" t="s">
        <v>455</v>
      </c>
      <c r="D314" s="7" t="s">
        <v>183</v>
      </c>
      <c r="E314" s="7">
        <v>609</v>
      </c>
      <c r="G314" s="7" t="s">
        <v>1577</v>
      </c>
      <c r="H314" s="7" t="s">
        <v>1362</v>
      </c>
      <c r="I314" s="7" t="s">
        <v>1254</v>
      </c>
      <c r="J314" s="7" t="s">
        <v>487</v>
      </c>
      <c r="K314" s="7" t="s">
        <v>180</v>
      </c>
      <c r="L314" s="11">
        <v>33</v>
      </c>
      <c r="M314" s="11">
        <v>28687.48</v>
      </c>
      <c r="N314" s="9">
        <f t="shared" si="9"/>
        <v>33</v>
      </c>
    </row>
    <row r="315" spans="1:14" ht="12.75" hidden="1" customHeight="1" x14ac:dyDescent="0.2">
      <c r="A315">
        <v>65063</v>
      </c>
      <c r="B315" s="3" t="s">
        <v>1255</v>
      </c>
      <c r="C315" s="7" t="s">
        <v>466</v>
      </c>
      <c r="D315" s="7" t="s">
        <v>183</v>
      </c>
      <c r="E315" s="7">
        <v>574</v>
      </c>
      <c r="G315" s="7" t="s">
        <v>1577</v>
      </c>
      <c r="H315" s="7" t="s">
        <v>1362</v>
      </c>
      <c r="I315" s="7" t="s">
        <v>1255</v>
      </c>
      <c r="J315" s="7" t="s">
        <v>465</v>
      </c>
      <c r="K315" s="7" t="s">
        <v>180</v>
      </c>
      <c r="L315" s="11">
        <v>1040</v>
      </c>
      <c r="M315" s="11">
        <v>12367.5</v>
      </c>
      <c r="N315" s="9">
        <f t="shared" si="9"/>
        <v>1040</v>
      </c>
    </row>
    <row r="316" spans="1:14" ht="12.75" hidden="1" customHeight="1" x14ac:dyDescent="0.2">
      <c r="A316">
        <v>65063</v>
      </c>
      <c r="B316" s="3" t="s">
        <v>1255</v>
      </c>
      <c r="C316" s="7" t="s">
        <v>455</v>
      </c>
      <c r="D316" s="7" t="s">
        <v>183</v>
      </c>
      <c r="E316" s="7">
        <v>609</v>
      </c>
      <c r="G316" s="7" t="s">
        <v>1577</v>
      </c>
      <c r="H316" s="7" t="s">
        <v>1362</v>
      </c>
      <c r="I316" s="7" t="s">
        <v>1255</v>
      </c>
      <c r="J316" s="7" t="s">
        <v>456</v>
      </c>
      <c r="K316" s="7" t="s">
        <v>180</v>
      </c>
      <c r="L316" s="11">
        <v>205</v>
      </c>
      <c r="M316" s="11">
        <v>17572.5</v>
      </c>
      <c r="N316" s="9">
        <f t="shared" si="9"/>
        <v>205</v>
      </c>
    </row>
    <row r="317" spans="1:14" ht="12.75" hidden="1" customHeight="1" x14ac:dyDescent="0.2">
      <c r="A317">
        <v>65063</v>
      </c>
      <c r="B317" s="3" t="s">
        <v>1255</v>
      </c>
      <c r="C317" s="7" t="s">
        <v>452</v>
      </c>
      <c r="D317" s="7" t="s">
        <v>183</v>
      </c>
      <c r="E317" s="7">
        <v>610</v>
      </c>
      <c r="G317" s="7" t="s">
        <v>1577</v>
      </c>
      <c r="H317" s="7" t="s">
        <v>1362</v>
      </c>
      <c r="I317" s="7" t="s">
        <v>1255</v>
      </c>
      <c r="J317" s="7" t="s">
        <v>453</v>
      </c>
      <c r="K317" s="7" t="s">
        <v>180</v>
      </c>
      <c r="L317" s="11">
        <v>650</v>
      </c>
      <c r="M317" s="11">
        <v>18522.5</v>
      </c>
      <c r="N317" s="9">
        <f t="shared" si="9"/>
        <v>650</v>
      </c>
    </row>
    <row r="318" spans="1:14" ht="12.75" hidden="1" customHeight="1" x14ac:dyDescent="0.2">
      <c r="A318">
        <v>67001</v>
      </c>
      <c r="B318" s="3" t="s">
        <v>1268</v>
      </c>
      <c r="C318" s="7" t="s">
        <v>374</v>
      </c>
      <c r="D318" s="7" t="s">
        <v>200</v>
      </c>
      <c r="F318" s="7" t="s">
        <v>338</v>
      </c>
      <c r="G318" s="7" t="s">
        <v>1577</v>
      </c>
      <c r="H318" s="70" t="s">
        <v>2129</v>
      </c>
      <c r="I318" s="7" t="s">
        <v>1268</v>
      </c>
      <c r="J318" s="7" t="s">
        <v>373</v>
      </c>
      <c r="K318" s="7" t="s">
        <v>277</v>
      </c>
      <c r="L318" s="11">
        <v>49</v>
      </c>
      <c r="M318" s="11">
        <v>5542.46</v>
      </c>
      <c r="N318" s="9">
        <f t="shared" si="9"/>
        <v>49</v>
      </c>
    </row>
    <row r="319" spans="1:14" ht="12.75" hidden="1" customHeight="1" x14ac:dyDescent="0.2">
      <c r="A319">
        <v>67001</v>
      </c>
      <c r="B319" s="3" t="s">
        <v>1268</v>
      </c>
      <c r="C319" s="7" t="s">
        <v>369</v>
      </c>
      <c r="D319" s="7" t="s">
        <v>200</v>
      </c>
      <c r="F319" s="7" t="s">
        <v>358</v>
      </c>
      <c r="G319" s="7" t="s">
        <v>1577</v>
      </c>
      <c r="H319" s="70" t="s">
        <v>2129</v>
      </c>
      <c r="I319" s="7" t="s">
        <v>1268</v>
      </c>
      <c r="J319" s="7" t="s">
        <v>368</v>
      </c>
      <c r="K319" s="7" t="s">
        <v>277</v>
      </c>
      <c r="L319" s="11">
        <v>219.5</v>
      </c>
      <c r="M319" s="11">
        <v>6126.76</v>
      </c>
      <c r="N319" s="9">
        <f t="shared" si="9"/>
        <v>219.5</v>
      </c>
    </row>
    <row r="320" spans="1:14" ht="12.75" hidden="1" customHeight="1" x14ac:dyDescent="0.2">
      <c r="A320">
        <v>67001</v>
      </c>
      <c r="B320" s="3" t="s">
        <v>1268</v>
      </c>
      <c r="C320" s="7" t="s">
        <v>367</v>
      </c>
      <c r="D320" s="7" t="s">
        <v>200</v>
      </c>
      <c r="E320" s="7">
        <v>1204</v>
      </c>
      <c r="G320" s="7" t="s">
        <v>1577</v>
      </c>
      <c r="H320" s="70" t="s">
        <v>2129</v>
      </c>
      <c r="I320" s="7" t="s">
        <v>1268</v>
      </c>
      <c r="K320" s="7" t="s">
        <v>277</v>
      </c>
      <c r="L320" s="11">
        <v>125</v>
      </c>
      <c r="M320" s="11">
        <v>6251.76</v>
      </c>
      <c r="N320" s="9">
        <f t="shared" si="9"/>
        <v>125</v>
      </c>
    </row>
    <row r="321" spans="1:14" ht="12.75" hidden="1" customHeight="1" x14ac:dyDescent="0.2">
      <c r="A321">
        <v>67001</v>
      </c>
      <c r="B321" s="3" t="s">
        <v>1268</v>
      </c>
      <c r="C321" s="7" t="s">
        <v>367</v>
      </c>
      <c r="D321" s="7" t="s">
        <v>200</v>
      </c>
      <c r="E321" s="7">
        <v>1203</v>
      </c>
      <c r="F321" s="7" t="s">
        <v>281</v>
      </c>
      <c r="G321" s="7" t="s">
        <v>1577</v>
      </c>
      <c r="H321" s="70" t="s">
        <v>2129</v>
      </c>
      <c r="I321" s="7" t="s">
        <v>1268</v>
      </c>
      <c r="K321" s="7" t="s">
        <v>277</v>
      </c>
      <c r="L321" s="11">
        <v>120</v>
      </c>
      <c r="M321" s="11">
        <v>6371.76</v>
      </c>
      <c r="N321" s="9">
        <f t="shared" si="9"/>
        <v>120</v>
      </c>
    </row>
    <row r="322" spans="1:14" ht="12.75" hidden="1" customHeight="1" x14ac:dyDescent="0.2">
      <c r="A322">
        <v>67001</v>
      </c>
      <c r="B322" s="3" t="s">
        <v>1268</v>
      </c>
      <c r="C322" s="7" t="s">
        <v>356</v>
      </c>
      <c r="D322" s="7" t="s">
        <v>200</v>
      </c>
      <c r="F322" s="7" t="s">
        <v>358</v>
      </c>
      <c r="G322" s="7" t="s">
        <v>1577</v>
      </c>
      <c r="H322" s="70" t="s">
        <v>2129</v>
      </c>
      <c r="I322" s="7" t="s">
        <v>1268</v>
      </c>
      <c r="J322" s="7" t="s">
        <v>357</v>
      </c>
      <c r="K322" s="7" t="s">
        <v>277</v>
      </c>
      <c r="L322" s="11">
        <v>167</v>
      </c>
      <c r="M322" s="11">
        <v>8736.4</v>
      </c>
      <c r="N322" s="9">
        <f t="shared" si="9"/>
        <v>167</v>
      </c>
    </row>
    <row r="323" spans="1:14" ht="12.75" hidden="1" customHeight="1" x14ac:dyDescent="0.2">
      <c r="A323">
        <v>67001</v>
      </c>
      <c r="B323" s="3" t="s">
        <v>1268</v>
      </c>
      <c r="C323" s="7" t="s">
        <v>353</v>
      </c>
      <c r="D323" s="7" t="s">
        <v>200</v>
      </c>
      <c r="F323" s="7" t="s">
        <v>355</v>
      </c>
      <c r="G323" s="7" t="s">
        <v>1577</v>
      </c>
      <c r="H323" s="70" t="s">
        <v>2129</v>
      </c>
      <c r="I323" s="7" t="s">
        <v>1268</v>
      </c>
      <c r="J323" s="7" t="s">
        <v>354</v>
      </c>
      <c r="K323" s="7" t="s">
        <v>277</v>
      </c>
      <c r="L323" s="11">
        <v>6.51</v>
      </c>
      <c r="M323" s="11">
        <v>8763.99</v>
      </c>
      <c r="N323" s="9">
        <f t="shared" si="9"/>
        <v>6.51</v>
      </c>
    </row>
    <row r="324" spans="1:14" ht="12.75" hidden="1" customHeight="1" x14ac:dyDescent="0.2">
      <c r="A324">
        <v>67001</v>
      </c>
      <c r="B324" s="3" t="s">
        <v>1268</v>
      </c>
      <c r="C324" s="7" t="s">
        <v>348</v>
      </c>
      <c r="D324" s="7" t="s">
        <v>200</v>
      </c>
      <c r="F324" s="7" t="s">
        <v>338</v>
      </c>
      <c r="G324" s="7" t="s">
        <v>1577</v>
      </c>
      <c r="H324" s="70" t="s">
        <v>2129</v>
      </c>
      <c r="I324" s="7" t="s">
        <v>1268</v>
      </c>
      <c r="J324" s="7" t="s">
        <v>347</v>
      </c>
      <c r="K324" s="7" t="s">
        <v>277</v>
      </c>
      <c r="L324" s="11">
        <v>49.49</v>
      </c>
      <c r="M324" s="11">
        <v>9568.49</v>
      </c>
      <c r="N324" s="9">
        <f t="shared" si="9"/>
        <v>49.49</v>
      </c>
    </row>
    <row r="325" spans="1:14" ht="12.75" hidden="1" customHeight="1" x14ac:dyDescent="0.2">
      <c r="A325">
        <v>67001</v>
      </c>
      <c r="B325" s="3" t="s">
        <v>1268</v>
      </c>
      <c r="C325" s="7" t="s">
        <v>334</v>
      </c>
      <c r="D325" s="7" t="s">
        <v>200</v>
      </c>
      <c r="F325" s="7" t="s">
        <v>338</v>
      </c>
      <c r="G325" s="7" t="s">
        <v>1577</v>
      </c>
      <c r="H325" s="70" t="s">
        <v>2129</v>
      </c>
      <c r="I325" s="7" t="s">
        <v>1268</v>
      </c>
      <c r="J325" s="7" t="s">
        <v>337</v>
      </c>
      <c r="K325" s="7" t="s">
        <v>277</v>
      </c>
      <c r="L325" s="11">
        <v>19.600000000000001</v>
      </c>
      <c r="M325" s="11">
        <v>10558.58</v>
      </c>
      <c r="N325" s="9">
        <f t="shared" si="9"/>
        <v>19.600000000000001</v>
      </c>
    </row>
    <row r="326" spans="1:14" ht="12.75" hidden="1" customHeight="1" x14ac:dyDescent="0.2">
      <c r="A326">
        <v>67001</v>
      </c>
      <c r="B326" s="3" t="s">
        <v>1268</v>
      </c>
      <c r="C326" s="7" t="s">
        <v>319</v>
      </c>
      <c r="D326" s="7" t="s">
        <v>200</v>
      </c>
      <c r="F326" s="7" t="s">
        <v>223</v>
      </c>
      <c r="G326" s="7" t="s">
        <v>1577</v>
      </c>
      <c r="H326" s="70" t="s">
        <v>2129</v>
      </c>
      <c r="I326" s="7" t="s">
        <v>1268</v>
      </c>
      <c r="J326" s="7" t="s">
        <v>318</v>
      </c>
      <c r="K326" s="7" t="s">
        <v>277</v>
      </c>
      <c r="L326" s="11">
        <v>28.28</v>
      </c>
      <c r="M326" s="11">
        <v>23430.75</v>
      </c>
      <c r="N326" s="9">
        <f t="shared" si="9"/>
        <v>28.28</v>
      </c>
    </row>
    <row r="327" spans="1:14" ht="12.75" hidden="1" customHeight="1" x14ac:dyDescent="0.2">
      <c r="A327">
        <v>67001</v>
      </c>
      <c r="B327" s="3" t="s">
        <v>1268</v>
      </c>
      <c r="C327" s="7" t="s">
        <v>290</v>
      </c>
      <c r="D327" s="7" t="s">
        <v>200</v>
      </c>
      <c r="F327" s="7" t="s">
        <v>291</v>
      </c>
      <c r="G327" s="7" t="s">
        <v>1577</v>
      </c>
      <c r="H327" s="70" t="s">
        <v>2129</v>
      </c>
      <c r="I327" s="7" t="s">
        <v>1268</v>
      </c>
      <c r="K327" s="7" t="s">
        <v>277</v>
      </c>
      <c r="L327" s="11">
        <v>120</v>
      </c>
      <c r="M327" s="11">
        <v>46913.120000000003</v>
      </c>
      <c r="N327" s="9">
        <f t="shared" si="9"/>
        <v>120</v>
      </c>
    </row>
    <row r="328" spans="1:14" ht="12.75" hidden="1" customHeight="1" x14ac:dyDescent="0.2">
      <c r="A328">
        <v>67001</v>
      </c>
      <c r="B328" s="3" t="s">
        <v>1268</v>
      </c>
      <c r="C328" s="7" t="s">
        <v>284</v>
      </c>
      <c r="D328" s="7" t="s">
        <v>200</v>
      </c>
      <c r="E328" s="7">
        <v>1214</v>
      </c>
      <c r="F328" s="7" t="s">
        <v>283</v>
      </c>
      <c r="G328" s="7" t="s">
        <v>1577</v>
      </c>
      <c r="H328" s="70" t="s">
        <v>2129</v>
      </c>
      <c r="I328" s="7" t="s">
        <v>1268</v>
      </c>
      <c r="K328" s="7" t="s">
        <v>277</v>
      </c>
      <c r="L328" s="11">
        <v>2825.52</v>
      </c>
      <c r="M328" s="11">
        <v>50391.839999999997</v>
      </c>
      <c r="N328" s="9">
        <f t="shared" si="9"/>
        <v>2825.52</v>
      </c>
    </row>
    <row r="329" spans="1:14" ht="12.75" hidden="1" customHeight="1" x14ac:dyDescent="0.2">
      <c r="A329">
        <v>67001</v>
      </c>
      <c r="B329" s="3" t="s">
        <v>1268</v>
      </c>
      <c r="C329" s="7" t="s">
        <v>282</v>
      </c>
      <c r="D329" s="7" t="s">
        <v>200</v>
      </c>
      <c r="E329" s="7">
        <v>1213</v>
      </c>
      <c r="F329" s="7" t="s">
        <v>281</v>
      </c>
      <c r="G329" s="7" t="s">
        <v>1577</v>
      </c>
      <c r="H329" s="70" t="s">
        <v>2129</v>
      </c>
      <c r="I329" s="7" t="s">
        <v>1268</v>
      </c>
      <c r="K329" s="7" t="s">
        <v>277</v>
      </c>
      <c r="L329" s="11">
        <v>120</v>
      </c>
      <c r="M329" s="11">
        <v>50511.839999999997</v>
      </c>
      <c r="N329" s="9">
        <f t="shared" si="9"/>
        <v>120</v>
      </c>
    </row>
    <row r="330" spans="1:14" ht="12.75" hidden="1" customHeight="1" x14ac:dyDescent="0.2">
      <c r="A330">
        <v>67001</v>
      </c>
      <c r="B330" s="3" t="s">
        <v>1268</v>
      </c>
      <c r="C330" s="7" t="s">
        <v>280</v>
      </c>
      <c r="D330" s="7" t="s">
        <v>200</v>
      </c>
      <c r="E330" s="7">
        <v>1209</v>
      </c>
      <c r="F330" s="7" t="s">
        <v>279</v>
      </c>
      <c r="G330" s="7" t="s">
        <v>1577</v>
      </c>
      <c r="H330" s="70" t="s">
        <v>2129</v>
      </c>
      <c r="I330" s="7" t="s">
        <v>1268</v>
      </c>
      <c r="K330" s="7" t="s">
        <v>277</v>
      </c>
      <c r="L330" s="11">
        <v>100</v>
      </c>
      <c r="M330" s="11">
        <v>50611.839999999997</v>
      </c>
      <c r="N330" s="9">
        <f t="shared" si="9"/>
        <v>100</v>
      </c>
    </row>
    <row r="331" spans="1:14" ht="12.75" hidden="1" customHeight="1" x14ac:dyDescent="0.2">
      <c r="A331">
        <v>65025</v>
      </c>
      <c r="B331" s="3" t="s">
        <v>1246</v>
      </c>
      <c r="C331" s="7" t="s">
        <v>1556</v>
      </c>
      <c r="D331" s="7" t="s">
        <v>221</v>
      </c>
      <c r="F331" s="7" t="s">
        <v>446</v>
      </c>
      <c r="G331" s="7" t="s">
        <v>1801</v>
      </c>
      <c r="H331" s="7" t="s">
        <v>1362</v>
      </c>
      <c r="I331" s="7" t="s">
        <v>1246</v>
      </c>
      <c r="K331" s="39" t="s">
        <v>557</v>
      </c>
      <c r="L331" s="40">
        <v>12</v>
      </c>
      <c r="M331" s="40">
        <v>1718.52</v>
      </c>
      <c r="N331" s="40">
        <f>+L331</f>
        <v>12</v>
      </c>
    </row>
    <row r="332" spans="1:14" ht="12.75" hidden="1" customHeight="1" x14ac:dyDescent="0.2">
      <c r="A332">
        <v>65025</v>
      </c>
      <c r="B332" s="3" t="s">
        <v>1246</v>
      </c>
      <c r="C332" s="7" t="s">
        <v>1803</v>
      </c>
      <c r="D332" s="7" t="s">
        <v>221</v>
      </c>
      <c r="F332" s="7" t="s">
        <v>446</v>
      </c>
      <c r="G332" s="7" t="s">
        <v>1801</v>
      </c>
      <c r="H332" s="7" t="s">
        <v>1362</v>
      </c>
      <c r="I332" s="7" t="s">
        <v>1246</v>
      </c>
      <c r="K332" s="39" t="s">
        <v>557</v>
      </c>
      <c r="L332" s="40">
        <v>12</v>
      </c>
      <c r="M332" s="40">
        <v>1871.22</v>
      </c>
      <c r="N332" s="40">
        <f>+L332</f>
        <v>12</v>
      </c>
    </row>
    <row r="333" spans="1:14" ht="12.75" hidden="1" customHeight="1" x14ac:dyDescent="0.2">
      <c r="A333">
        <v>65025</v>
      </c>
      <c r="B333" s="3" t="s">
        <v>1246</v>
      </c>
      <c r="C333" s="7" t="s">
        <v>1804</v>
      </c>
      <c r="D333" s="7" t="s">
        <v>221</v>
      </c>
      <c r="F333" s="7" t="s">
        <v>446</v>
      </c>
      <c r="G333" s="7" t="s">
        <v>1801</v>
      </c>
      <c r="H333" s="7" t="s">
        <v>1362</v>
      </c>
      <c r="I333" s="7" t="s">
        <v>1246</v>
      </c>
      <c r="K333" s="39" t="s">
        <v>557</v>
      </c>
      <c r="L333" s="40">
        <v>12</v>
      </c>
      <c r="M333" s="40">
        <v>2281.1999999999998</v>
      </c>
      <c r="N333" s="40">
        <f>+L333</f>
        <v>12</v>
      </c>
    </row>
    <row r="334" spans="1:14" ht="12.75" hidden="1" customHeight="1" x14ac:dyDescent="0.2">
      <c r="A334">
        <v>65025</v>
      </c>
      <c r="B334" s="3" t="s">
        <v>1246</v>
      </c>
      <c r="C334" s="7" t="s">
        <v>1619</v>
      </c>
      <c r="D334" s="7" t="s">
        <v>221</v>
      </c>
      <c r="F334" s="7" t="s">
        <v>446</v>
      </c>
      <c r="G334" s="7" t="s">
        <v>1801</v>
      </c>
      <c r="H334" s="7" t="s">
        <v>1362</v>
      </c>
      <c r="I334" s="7" t="s">
        <v>1246</v>
      </c>
      <c r="K334" s="39" t="s">
        <v>557</v>
      </c>
      <c r="L334" s="40">
        <v>12</v>
      </c>
      <c r="M334" s="40">
        <v>2539.1</v>
      </c>
      <c r="N334" s="40">
        <f>+L334</f>
        <v>12</v>
      </c>
    </row>
    <row r="335" spans="1:14" ht="12.75" customHeight="1" x14ac:dyDescent="0.2">
      <c r="A335">
        <v>43400</v>
      </c>
      <c r="B335" s="3" t="s">
        <v>1224</v>
      </c>
      <c r="C335" s="7" t="s">
        <v>429</v>
      </c>
      <c r="D335" s="7" t="s">
        <v>242</v>
      </c>
      <c r="F335" s="7" t="s">
        <v>665</v>
      </c>
      <c r="G335" s="7" t="s">
        <v>1545</v>
      </c>
      <c r="H335" s="7" t="s">
        <v>1359</v>
      </c>
      <c r="I335" s="7" t="s">
        <v>1224</v>
      </c>
      <c r="K335" s="7" t="s">
        <v>1150</v>
      </c>
      <c r="L335" s="11">
        <v>2000</v>
      </c>
      <c r="M335" s="11">
        <v>191886.61</v>
      </c>
      <c r="N335" s="9">
        <f>IF(A335&lt;60000,-L335,+L335)</f>
        <v>-2000</v>
      </c>
    </row>
    <row r="336" spans="1:14" ht="12.75" customHeight="1" x14ac:dyDescent="0.2">
      <c r="A336">
        <v>43400</v>
      </c>
      <c r="B336" s="3" t="s">
        <v>1224</v>
      </c>
      <c r="C336" s="7" t="s">
        <v>427</v>
      </c>
      <c r="D336" s="7" t="s">
        <v>183</v>
      </c>
      <c r="E336" s="7">
        <v>580</v>
      </c>
      <c r="G336" s="7" t="s">
        <v>1545</v>
      </c>
      <c r="H336" s="7" t="s">
        <v>1359</v>
      </c>
      <c r="I336" s="7" t="s">
        <v>1224</v>
      </c>
      <c r="J336" s="7" t="s">
        <v>425</v>
      </c>
      <c r="K336" s="7" t="s">
        <v>180</v>
      </c>
      <c r="L336" s="11">
        <v>3085</v>
      </c>
      <c r="M336" s="11">
        <v>202835.02</v>
      </c>
      <c r="N336" s="9">
        <f>IF(A336&lt;60000,-L336,+L336)</f>
        <v>-3085</v>
      </c>
    </row>
    <row r="337" spans="1:14" ht="12.75" customHeight="1" x14ac:dyDescent="0.2">
      <c r="A337">
        <v>43400</v>
      </c>
      <c r="B337" s="3" t="s">
        <v>1224</v>
      </c>
      <c r="C337" s="7" t="s">
        <v>204</v>
      </c>
      <c r="D337" s="7" t="s">
        <v>242</v>
      </c>
      <c r="F337" s="7" t="s">
        <v>665</v>
      </c>
      <c r="G337" s="7" t="s">
        <v>1545</v>
      </c>
      <c r="H337" s="7" t="s">
        <v>1359</v>
      </c>
      <c r="I337" s="7" t="s">
        <v>1224</v>
      </c>
      <c r="K337" s="7" t="s">
        <v>1150</v>
      </c>
      <c r="L337" s="11">
        <v>3860.5</v>
      </c>
      <c r="M337" s="11">
        <v>211392.57</v>
      </c>
      <c r="N337" s="9">
        <f>IF(A337&lt;60000,-L337,+L337)</f>
        <v>-3860.5</v>
      </c>
    </row>
    <row r="338" spans="1:14" ht="12.75" hidden="1" customHeight="1" x14ac:dyDescent="0.2">
      <c r="A338">
        <v>65025</v>
      </c>
      <c r="B338" s="3" t="s">
        <v>1246</v>
      </c>
      <c r="C338" s="7" t="s">
        <v>1556</v>
      </c>
      <c r="D338" s="7" t="s">
        <v>221</v>
      </c>
      <c r="F338" s="7" t="s">
        <v>446</v>
      </c>
      <c r="G338" s="7" t="s">
        <v>1605</v>
      </c>
      <c r="H338" s="7" t="s">
        <v>1362</v>
      </c>
      <c r="I338" s="7" t="s">
        <v>1246</v>
      </c>
      <c r="K338" s="39" t="s">
        <v>1040</v>
      </c>
      <c r="L338" s="40">
        <v>16</v>
      </c>
      <c r="M338" s="40">
        <v>1791.52</v>
      </c>
      <c r="N338" s="40">
        <f t="shared" ref="N338:N370" si="10">+L338</f>
        <v>16</v>
      </c>
    </row>
    <row r="339" spans="1:14" ht="12.75" hidden="1" customHeight="1" x14ac:dyDescent="0.2">
      <c r="A339">
        <v>65036</v>
      </c>
      <c r="B339" s="3" t="s">
        <v>1249</v>
      </c>
      <c r="C339" s="7" t="s">
        <v>1617</v>
      </c>
      <c r="D339" s="7" t="s">
        <v>221</v>
      </c>
      <c r="F339" s="7" t="s">
        <v>1832</v>
      </c>
      <c r="G339" s="7" t="s">
        <v>1605</v>
      </c>
      <c r="H339" s="7" t="s">
        <v>1362</v>
      </c>
      <c r="I339" s="7" t="s">
        <v>1249</v>
      </c>
      <c r="K339" s="39" t="s">
        <v>1040</v>
      </c>
      <c r="L339" s="40">
        <v>25.97</v>
      </c>
      <c r="M339" s="40">
        <v>6855.7</v>
      </c>
      <c r="N339" s="40">
        <f t="shared" si="10"/>
        <v>25.97</v>
      </c>
    </row>
    <row r="340" spans="1:14" ht="12.75" hidden="1" customHeight="1" x14ac:dyDescent="0.2">
      <c r="A340">
        <v>65061</v>
      </c>
      <c r="B340" s="3" t="s">
        <v>1844</v>
      </c>
      <c r="C340" s="7" t="s">
        <v>1612</v>
      </c>
      <c r="D340" s="7" t="s">
        <v>221</v>
      </c>
      <c r="F340" s="7" t="s">
        <v>548</v>
      </c>
      <c r="G340" s="7" t="s">
        <v>1605</v>
      </c>
      <c r="H340" s="7" t="s">
        <v>1362</v>
      </c>
      <c r="I340" s="7" t="s">
        <v>1253</v>
      </c>
      <c r="K340" s="39" t="s">
        <v>1040</v>
      </c>
      <c r="L340" s="40">
        <v>45.14</v>
      </c>
      <c r="M340" s="40">
        <v>257016.61</v>
      </c>
      <c r="N340" s="40">
        <f t="shared" si="10"/>
        <v>45.14</v>
      </c>
    </row>
    <row r="341" spans="1:14" ht="12.75" hidden="1" customHeight="1" x14ac:dyDescent="0.2">
      <c r="A341">
        <v>65061</v>
      </c>
      <c r="B341" s="3" t="s">
        <v>1844</v>
      </c>
      <c r="C341" s="7" t="s">
        <v>1746</v>
      </c>
      <c r="D341" s="7" t="s">
        <v>221</v>
      </c>
      <c r="F341" s="7" t="s">
        <v>241</v>
      </c>
      <c r="G341" s="7" t="s">
        <v>1605</v>
      </c>
      <c r="H341" s="7" t="s">
        <v>1362</v>
      </c>
      <c r="I341" s="7" t="s">
        <v>1253</v>
      </c>
      <c r="K341" s="39" t="s">
        <v>1040</v>
      </c>
      <c r="L341" s="40">
        <v>56.57</v>
      </c>
      <c r="M341" s="40">
        <v>257710.28</v>
      </c>
      <c r="N341" s="40">
        <f t="shared" si="10"/>
        <v>56.57</v>
      </c>
    </row>
    <row r="342" spans="1:14" ht="12.75" hidden="1" customHeight="1" x14ac:dyDescent="0.2">
      <c r="A342">
        <v>65061</v>
      </c>
      <c r="B342" s="3" t="s">
        <v>1844</v>
      </c>
      <c r="C342" s="7" t="s">
        <v>1786</v>
      </c>
      <c r="D342" s="7" t="s">
        <v>221</v>
      </c>
      <c r="F342" s="7" t="s">
        <v>769</v>
      </c>
      <c r="G342" s="7" t="s">
        <v>1605</v>
      </c>
      <c r="H342" s="7" t="s">
        <v>1362</v>
      </c>
      <c r="I342" s="7" t="s">
        <v>1253</v>
      </c>
      <c r="K342" s="39" t="s">
        <v>1040</v>
      </c>
      <c r="L342" s="40">
        <v>21.59</v>
      </c>
      <c r="M342" s="40">
        <v>257867.61</v>
      </c>
      <c r="N342" s="40">
        <f t="shared" si="10"/>
        <v>21.59</v>
      </c>
    </row>
    <row r="343" spans="1:14" ht="12.75" hidden="1" customHeight="1" x14ac:dyDescent="0.2">
      <c r="A343">
        <v>65061</v>
      </c>
      <c r="B343" s="3" t="s">
        <v>1844</v>
      </c>
      <c r="C343" s="7" t="s">
        <v>1703</v>
      </c>
      <c r="D343" s="7" t="s">
        <v>221</v>
      </c>
      <c r="F343" s="7" t="s">
        <v>446</v>
      </c>
      <c r="G343" s="7" t="s">
        <v>1605</v>
      </c>
      <c r="H343" s="7" t="s">
        <v>1362</v>
      </c>
      <c r="I343" s="7" t="s">
        <v>1253</v>
      </c>
      <c r="K343" s="39" t="s">
        <v>1040</v>
      </c>
      <c r="L343" s="40">
        <v>200</v>
      </c>
      <c r="M343" s="40">
        <v>262869.39</v>
      </c>
      <c r="N343" s="40">
        <f t="shared" si="10"/>
        <v>200</v>
      </c>
    </row>
    <row r="344" spans="1:14" ht="12.75" hidden="1" customHeight="1" x14ac:dyDescent="0.2">
      <c r="A344">
        <v>65061</v>
      </c>
      <c r="B344" s="3" t="s">
        <v>1844</v>
      </c>
      <c r="C344" s="7" t="s">
        <v>1703</v>
      </c>
      <c r="D344" s="7" t="s">
        <v>221</v>
      </c>
      <c r="F344" s="7" t="s">
        <v>446</v>
      </c>
      <c r="G344" s="7" t="s">
        <v>1605</v>
      </c>
      <c r="H344" s="7" t="s">
        <v>1362</v>
      </c>
      <c r="I344" s="7" t="s">
        <v>1253</v>
      </c>
      <c r="K344" s="39" t="s">
        <v>1040</v>
      </c>
      <c r="L344" s="40">
        <v>200</v>
      </c>
      <c r="M344" s="40">
        <v>263069.39</v>
      </c>
      <c r="N344" s="40">
        <f t="shared" si="10"/>
        <v>200</v>
      </c>
    </row>
    <row r="345" spans="1:14" ht="12.75" hidden="1" customHeight="1" x14ac:dyDescent="0.2">
      <c r="A345">
        <v>65061</v>
      </c>
      <c r="B345" s="3" t="s">
        <v>1844</v>
      </c>
      <c r="C345" s="7" t="s">
        <v>1703</v>
      </c>
      <c r="D345" s="7" t="s">
        <v>221</v>
      </c>
      <c r="F345" s="7" t="s">
        <v>595</v>
      </c>
      <c r="G345" s="7" t="s">
        <v>1605</v>
      </c>
      <c r="H345" s="7" t="s">
        <v>1362</v>
      </c>
      <c r="I345" s="7" t="s">
        <v>1253</v>
      </c>
      <c r="K345" s="39" t="s">
        <v>1040</v>
      </c>
      <c r="L345" s="40">
        <v>64.489999999999995</v>
      </c>
      <c r="M345" s="40">
        <v>263133.88</v>
      </c>
      <c r="N345" s="40">
        <f t="shared" si="10"/>
        <v>64.489999999999995</v>
      </c>
    </row>
    <row r="346" spans="1:14" ht="12.75" hidden="1" customHeight="1" x14ac:dyDescent="0.2">
      <c r="A346">
        <v>65061</v>
      </c>
      <c r="B346" s="3" t="s">
        <v>1844</v>
      </c>
      <c r="C346" s="7" t="s">
        <v>1703</v>
      </c>
      <c r="D346" s="7" t="s">
        <v>221</v>
      </c>
      <c r="F346" s="7" t="s">
        <v>570</v>
      </c>
      <c r="G346" s="7" t="s">
        <v>1605</v>
      </c>
      <c r="H346" s="7" t="s">
        <v>1362</v>
      </c>
      <c r="I346" s="7" t="s">
        <v>1253</v>
      </c>
      <c r="K346" s="39" t="s">
        <v>1040</v>
      </c>
      <c r="L346" s="40">
        <v>751.7</v>
      </c>
      <c r="M346" s="40">
        <v>263885.58</v>
      </c>
      <c r="N346" s="40">
        <f t="shared" si="10"/>
        <v>751.7</v>
      </c>
    </row>
    <row r="347" spans="1:14" ht="12.75" hidden="1" customHeight="1" x14ac:dyDescent="0.2">
      <c r="A347">
        <v>65061</v>
      </c>
      <c r="B347" s="3" t="s">
        <v>1844</v>
      </c>
      <c r="C347" s="7" t="s">
        <v>1703</v>
      </c>
      <c r="D347" s="7" t="s">
        <v>221</v>
      </c>
      <c r="F347" s="7" t="s">
        <v>355</v>
      </c>
      <c r="G347" s="7" t="s">
        <v>1605</v>
      </c>
      <c r="H347" s="7" t="s">
        <v>1362</v>
      </c>
      <c r="I347" s="7" t="s">
        <v>1253</v>
      </c>
      <c r="K347" s="39" t="s">
        <v>1040</v>
      </c>
      <c r="L347" s="40">
        <v>26.01</v>
      </c>
      <c r="M347" s="40">
        <v>263911.59000000003</v>
      </c>
      <c r="N347" s="40">
        <f t="shared" si="10"/>
        <v>26.01</v>
      </c>
    </row>
    <row r="348" spans="1:14" ht="12.75" hidden="1" customHeight="1" x14ac:dyDescent="0.2">
      <c r="A348">
        <v>65061</v>
      </c>
      <c r="B348" s="3" t="s">
        <v>1844</v>
      </c>
      <c r="C348" s="7" t="s">
        <v>1703</v>
      </c>
      <c r="D348" s="7" t="s">
        <v>221</v>
      </c>
      <c r="F348" s="7" t="s">
        <v>1944</v>
      </c>
      <c r="G348" s="7" t="s">
        <v>1605</v>
      </c>
      <c r="H348" s="7" t="s">
        <v>1362</v>
      </c>
      <c r="I348" s="7" t="s">
        <v>1253</v>
      </c>
      <c r="K348" s="39" t="s">
        <v>1040</v>
      </c>
      <c r="L348" s="40">
        <v>36</v>
      </c>
      <c r="M348" s="40">
        <v>263947.59000000003</v>
      </c>
      <c r="N348" s="40">
        <f t="shared" si="10"/>
        <v>36</v>
      </c>
    </row>
    <row r="349" spans="1:14" ht="12.75" hidden="1" customHeight="1" x14ac:dyDescent="0.2">
      <c r="A349">
        <v>65061</v>
      </c>
      <c r="B349" s="3" t="s">
        <v>1844</v>
      </c>
      <c r="C349" s="7" t="s">
        <v>1703</v>
      </c>
      <c r="D349" s="7" t="s">
        <v>221</v>
      </c>
      <c r="F349" s="7" t="s">
        <v>241</v>
      </c>
      <c r="G349" s="7" t="s">
        <v>1605</v>
      </c>
      <c r="H349" s="7" t="s">
        <v>1362</v>
      </c>
      <c r="I349" s="7" t="s">
        <v>1253</v>
      </c>
      <c r="K349" s="39" t="s">
        <v>1040</v>
      </c>
      <c r="L349" s="40">
        <v>246.49</v>
      </c>
      <c r="M349" s="40">
        <v>264194.08</v>
      </c>
      <c r="N349" s="40">
        <f t="shared" si="10"/>
        <v>246.49</v>
      </c>
    </row>
    <row r="350" spans="1:14" ht="12.75" hidden="1" customHeight="1" x14ac:dyDescent="0.2">
      <c r="A350">
        <v>65061</v>
      </c>
      <c r="B350" s="3" t="s">
        <v>1844</v>
      </c>
      <c r="C350" s="7" t="s">
        <v>1704</v>
      </c>
      <c r="D350" s="7" t="s">
        <v>221</v>
      </c>
      <c r="F350" s="7" t="s">
        <v>568</v>
      </c>
      <c r="G350" s="7" t="s">
        <v>1605</v>
      </c>
      <c r="H350" s="7" t="s">
        <v>1362</v>
      </c>
      <c r="I350" s="7" t="s">
        <v>1253</v>
      </c>
      <c r="K350" s="39" t="s">
        <v>1040</v>
      </c>
      <c r="L350" s="40">
        <v>21.59</v>
      </c>
      <c r="M350" s="40">
        <v>264406.68</v>
      </c>
      <c r="N350" s="40">
        <f t="shared" si="10"/>
        <v>21.59</v>
      </c>
    </row>
    <row r="351" spans="1:14" ht="12.75" hidden="1" customHeight="1" x14ac:dyDescent="0.2">
      <c r="A351">
        <v>65061</v>
      </c>
      <c r="B351" s="3" t="s">
        <v>1844</v>
      </c>
      <c r="C351" s="7" t="s">
        <v>1613</v>
      </c>
      <c r="D351" s="7" t="s">
        <v>221</v>
      </c>
      <c r="F351" s="7" t="s">
        <v>1865</v>
      </c>
      <c r="G351" s="7" t="s">
        <v>1605</v>
      </c>
      <c r="H351" s="7" t="s">
        <v>1362</v>
      </c>
      <c r="I351" s="7" t="s">
        <v>1253</v>
      </c>
      <c r="K351" s="39" t="s">
        <v>1040</v>
      </c>
      <c r="L351" s="40">
        <v>55.59</v>
      </c>
      <c r="M351" s="40">
        <v>265644.37</v>
      </c>
      <c r="N351" s="40">
        <f t="shared" si="10"/>
        <v>55.59</v>
      </c>
    </row>
    <row r="352" spans="1:14" ht="12.75" hidden="1" customHeight="1" x14ac:dyDescent="0.2">
      <c r="A352">
        <v>65061</v>
      </c>
      <c r="B352" s="3" t="s">
        <v>1844</v>
      </c>
      <c r="C352" s="7" t="s">
        <v>1613</v>
      </c>
      <c r="D352" s="7" t="s">
        <v>242</v>
      </c>
      <c r="F352" s="7" t="s">
        <v>1865</v>
      </c>
      <c r="G352" s="7" t="s">
        <v>1605</v>
      </c>
      <c r="H352" s="7" t="s">
        <v>1362</v>
      </c>
      <c r="I352" s="7" t="s">
        <v>1253</v>
      </c>
      <c r="K352" s="39" t="s">
        <v>1040</v>
      </c>
      <c r="L352" s="40">
        <v>-26.45</v>
      </c>
      <c r="M352" s="40">
        <v>265617.91999999998</v>
      </c>
      <c r="N352" s="40">
        <f t="shared" si="10"/>
        <v>-26.45</v>
      </c>
    </row>
    <row r="353" spans="1:14" ht="12.75" hidden="1" customHeight="1" x14ac:dyDescent="0.2">
      <c r="A353">
        <v>65061</v>
      </c>
      <c r="B353" s="3" t="s">
        <v>1844</v>
      </c>
      <c r="C353" s="7" t="s">
        <v>1613</v>
      </c>
      <c r="D353" s="7" t="s">
        <v>221</v>
      </c>
      <c r="F353" s="7" t="s">
        <v>546</v>
      </c>
      <c r="G353" s="7" t="s">
        <v>1605</v>
      </c>
      <c r="H353" s="7" t="s">
        <v>1362</v>
      </c>
      <c r="I353" s="7" t="s">
        <v>1253</v>
      </c>
      <c r="K353" s="39" t="s">
        <v>1040</v>
      </c>
      <c r="L353" s="40">
        <v>182.41</v>
      </c>
      <c r="M353" s="40">
        <v>265800.33</v>
      </c>
      <c r="N353" s="40">
        <f t="shared" si="10"/>
        <v>182.41</v>
      </c>
    </row>
    <row r="354" spans="1:14" ht="12.75" hidden="1" customHeight="1" x14ac:dyDescent="0.2">
      <c r="A354">
        <v>65061</v>
      </c>
      <c r="B354" s="3" t="s">
        <v>1844</v>
      </c>
      <c r="C354" s="7" t="s">
        <v>1613</v>
      </c>
      <c r="D354" s="7" t="s">
        <v>221</v>
      </c>
      <c r="F354" s="7" t="s">
        <v>770</v>
      </c>
      <c r="G354" s="7" t="s">
        <v>1605</v>
      </c>
      <c r="H354" s="7" t="s">
        <v>1362</v>
      </c>
      <c r="I354" s="7" t="s">
        <v>1253</v>
      </c>
      <c r="K354" s="39" t="s">
        <v>1040</v>
      </c>
      <c r="L354" s="40">
        <v>64.77</v>
      </c>
      <c r="M354" s="40">
        <v>265865.09999999998</v>
      </c>
      <c r="N354" s="40">
        <f t="shared" si="10"/>
        <v>64.77</v>
      </c>
    </row>
    <row r="355" spans="1:14" ht="12.75" hidden="1" customHeight="1" x14ac:dyDescent="0.2">
      <c r="A355">
        <v>65061</v>
      </c>
      <c r="B355" s="3" t="s">
        <v>1844</v>
      </c>
      <c r="C355" s="7" t="s">
        <v>1616</v>
      </c>
      <c r="D355" s="7" t="s">
        <v>221</v>
      </c>
      <c r="F355" s="7" t="s">
        <v>546</v>
      </c>
      <c r="G355" s="7" t="s">
        <v>1605</v>
      </c>
      <c r="H355" s="7" t="s">
        <v>1362</v>
      </c>
      <c r="I355" s="7" t="s">
        <v>1253</v>
      </c>
      <c r="K355" s="39" t="s">
        <v>1040</v>
      </c>
      <c r="L355" s="40">
        <v>352.76</v>
      </c>
      <c r="M355" s="40">
        <v>267707.14</v>
      </c>
      <c r="N355" s="40">
        <f t="shared" si="10"/>
        <v>352.76</v>
      </c>
    </row>
    <row r="356" spans="1:14" ht="12.75" hidden="1" customHeight="1" x14ac:dyDescent="0.2">
      <c r="A356">
        <v>65061</v>
      </c>
      <c r="B356" s="3" t="s">
        <v>1844</v>
      </c>
      <c r="C356" s="7" t="s">
        <v>1805</v>
      </c>
      <c r="D356" s="7" t="s">
        <v>221</v>
      </c>
      <c r="F356" s="7" t="s">
        <v>564</v>
      </c>
      <c r="G356" s="7" t="s">
        <v>1605</v>
      </c>
      <c r="H356" s="7" t="s">
        <v>1362</v>
      </c>
      <c r="I356" s="7" t="s">
        <v>1253</v>
      </c>
      <c r="K356" s="39" t="s">
        <v>1040</v>
      </c>
      <c r="L356" s="40">
        <v>115.69</v>
      </c>
      <c r="M356" s="40">
        <v>268500.59999999998</v>
      </c>
      <c r="N356" s="40">
        <f t="shared" si="10"/>
        <v>115.69</v>
      </c>
    </row>
    <row r="357" spans="1:14" ht="12.75" hidden="1" customHeight="1" x14ac:dyDescent="0.2">
      <c r="A357">
        <v>65061</v>
      </c>
      <c r="B357" s="3" t="s">
        <v>1844</v>
      </c>
      <c r="C357" s="7" t="s">
        <v>1805</v>
      </c>
      <c r="D357" s="7" t="s">
        <v>221</v>
      </c>
      <c r="F357" s="7" t="s">
        <v>355</v>
      </c>
      <c r="G357" s="7" t="s">
        <v>1605</v>
      </c>
      <c r="H357" s="7" t="s">
        <v>1362</v>
      </c>
      <c r="I357" s="7" t="s">
        <v>1253</v>
      </c>
      <c r="K357" s="39" t="s">
        <v>1040</v>
      </c>
      <c r="L357" s="40">
        <v>30.7</v>
      </c>
      <c r="M357" s="40">
        <v>268531.3</v>
      </c>
      <c r="N357" s="40">
        <f t="shared" si="10"/>
        <v>30.7</v>
      </c>
    </row>
    <row r="358" spans="1:14" ht="12.75" hidden="1" customHeight="1" x14ac:dyDescent="0.2">
      <c r="A358">
        <v>65061</v>
      </c>
      <c r="B358" s="3" t="s">
        <v>1844</v>
      </c>
      <c r="C358" s="7" t="s">
        <v>1617</v>
      </c>
      <c r="D358" s="7" t="s">
        <v>221</v>
      </c>
      <c r="F358" s="7" t="s">
        <v>446</v>
      </c>
      <c r="G358" s="7" t="s">
        <v>1605</v>
      </c>
      <c r="H358" s="7" t="s">
        <v>1362</v>
      </c>
      <c r="I358" s="7" t="s">
        <v>1253</v>
      </c>
      <c r="K358" s="39" t="s">
        <v>1040</v>
      </c>
      <c r="L358" s="40">
        <v>300</v>
      </c>
      <c r="M358" s="40">
        <v>271865.99</v>
      </c>
      <c r="N358" s="40">
        <f t="shared" si="10"/>
        <v>300</v>
      </c>
    </row>
    <row r="359" spans="1:14" ht="12.75" hidden="1" customHeight="1" x14ac:dyDescent="0.2">
      <c r="A359">
        <v>65061</v>
      </c>
      <c r="B359" s="3" t="s">
        <v>1844</v>
      </c>
      <c r="C359" s="7" t="s">
        <v>1617</v>
      </c>
      <c r="D359" s="7" t="s">
        <v>221</v>
      </c>
      <c r="F359" s="7" t="s">
        <v>564</v>
      </c>
      <c r="G359" s="7" t="s">
        <v>1605</v>
      </c>
      <c r="H359" s="7" t="s">
        <v>1362</v>
      </c>
      <c r="I359" s="7" t="s">
        <v>1253</v>
      </c>
      <c r="K359" s="39" t="s">
        <v>1040</v>
      </c>
      <c r="L359" s="40">
        <v>51.54</v>
      </c>
      <c r="M359" s="40">
        <v>271917.53000000003</v>
      </c>
      <c r="N359" s="40">
        <f t="shared" si="10"/>
        <v>51.54</v>
      </c>
    </row>
    <row r="360" spans="1:14" ht="12.75" hidden="1" customHeight="1" x14ac:dyDescent="0.2">
      <c r="A360">
        <v>65061</v>
      </c>
      <c r="B360" s="3" t="s">
        <v>1844</v>
      </c>
      <c r="C360" s="7" t="s">
        <v>1617</v>
      </c>
      <c r="D360" s="7" t="s">
        <v>221</v>
      </c>
      <c r="F360" s="7" t="s">
        <v>564</v>
      </c>
      <c r="G360" s="7" t="s">
        <v>1605</v>
      </c>
      <c r="H360" s="7" t="s">
        <v>1362</v>
      </c>
      <c r="I360" s="7" t="s">
        <v>1253</v>
      </c>
      <c r="K360" s="39" t="s">
        <v>1040</v>
      </c>
      <c r="L360" s="40">
        <v>9.7200000000000006</v>
      </c>
      <c r="M360" s="40">
        <v>271927.25</v>
      </c>
      <c r="N360" s="40">
        <f t="shared" si="10"/>
        <v>9.7200000000000006</v>
      </c>
    </row>
    <row r="361" spans="1:14" ht="12.75" hidden="1" customHeight="1" x14ac:dyDescent="0.2">
      <c r="A361">
        <v>65061</v>
      </c>
      <c r="B361" s="3" t="s">
        <v>1844</v>
      </c>
      <c r="C361" s="7" t="s">
        <v>1617</v>
      </c>
      <c r="D361" s="7" t="s">
        <v>221</v>
      </c>
      <c r="F361" s="7" t="s">
        <v>546</v>
      </c>
      <c r="G361" s="7" t="s">
        <v>1605</v>
      </c>
      <c r="H361" s="7" t="s">
        <v>1362</v>
      </c>
      <c r="I361" s="7" t="s">
        <v>1253</v>
      </c>
      <c r="K361" s="39" t="s">
        <v>1040</v>
      </c>
      <c r="L361" s="40">
        <v>89.12</v>
      </c>
      <c r="M361" s="40">
        <v>272016.37</v>
      </c>
      <c r="N361" s="40">
        <f t="shared" si="10"/>
        <v>89.12</v>
      </c>
    </row>
    <row r="362" spans="1:14" ht="12.75" hidden="1" customHeight="1" x14ac:dyDescent="0.2">
      <c r="A362">
        <v>65061</v>
      </c>
      <c r="B362" s="3" t="s">
        <v>1844</v>
      </c>
      <c r="C362" s="7" t="s">
        <v>1617</v>
      </c>
      <c r="D362" s="7" t="s">
        <v>221</v>
      </c>
      <c r="F362" s="7" t="s">
        <v>1951</v>
      </c>
      <c r="G362" s="7" t="s">
        <v>1605</v>
      </c>
      <c r="H362" s="7" t="s">
        <v>1362</v>
      </c>
      <c r="I362" s="7" t="s">
        <v>1253</v>
      </c>
      <c r="K362" s="39" t="s">
        <v>1040</v>
      </c>
      <c r="L362" s="40">
        <v>221.86</v>
      </c>
      <c r="M362" s="40">
        <v>272238.23</v>
      </c>
      <c r="N362" s="40">
        <f t="shared" si="10"/>
        <v>221.86</v>
      </c>
    </row>
    <row r="363" spans="1:14" ht="12.75" hidden="1" customHeight="1" x14ac:dyDescent="0.2">
      <c r="A363">
        <v>65061</v>
      </c>
      <c r="B363" s="3" t="s">
        <v>1844</v>
      </c>
      <c r="C363" s="7" t="s">
        <v>1617</v>
      </c>
      <c r="D363" s="7" t="s">
        <v>221</v>
      </c>
      <c r="F363" s="7" t="s">
        <v>1951</v>
      </c>
      <c r="G363" s="7" t="s">
        <v>1605</v>
      </c>
      <c r="H363" s="7" t="s">
        <v>1362</v>
      </c>
      <c r="I363" s="7" t="s">
        <v>1253</v>
      </c>
      <c r="K363" s="39" t="s">
        <v>1040</v>
      </c>
      <c r="L363" s="40">
        <v>34.869999999999997</v>
      </c>
      <c r="M363" s="40">
        <v>272273.09999999998</v>
      </c>
      <c r="N363" s="40">
        <f t="shared" si="10"/>
        <v>34.869999999999997</v>
      </c>
    </row>
    <row r="364" spans="1:14" ht="12.75" hidden="1" customHeight="1" x14ac:dyDescent="0.2">
      <c r="A364">
        <v>65061</v>
      </c>
      <c r="B364" s="3" t="s">
        <v>1844</v>
      </c>
      <c r="C364" s="7" t="s">
        <v>1617</v>
      </c>
      <c r="D364" s="7" t="s">
        <v>221</v>
      </c>
      <c r="F364" s="7" t="s">
        <v>1860</v>
      </c>
      <c r="G364" s="7" t="s">
        <v>1605</v>
      </c>
      <c r="H364" s="7" t="s">
        <v>1362</v>
      </c>
      <c r="I364" s="7" t="s">
        <v>1253</v>
      </c>
      <c r="K364" s="39" t="s">
        <v>1040</v>
      </c>
      <c r="L364" s="40">
        <v>25.36</v>
      </c>
      <c r="M364" s="40">
        <v>272298.46000000002</v>
      </c>
      <c r="N364" s="40">
        <f t="shared" si="10"/>
        <v>25.36</v>
      </c>
    </row>
    <row r="365" spans="1:14" ht="12.75" hidden="1" customHeight="1" x14ac:dyDescent="0.2">
      <c r="A365">
        <v>65061</v>
      </c>
      <c r="B365" s="3" t="s">
        <v>1844</v>
      </c>
      <c r="C365" s="7" t="s">
        <v>1617</v>
      </c>
      <c r="D365" s="7" t="s">
        <v>221</v>
      </c>
      <c r="F365" s="7" t="s">
        <v>241</v>
      </c>
      <c r="G365" s="7" t="s">
        <v>1605</v>
      </c>
      <c r="H365" s="7" t="s">
        <v>1362</v>
      </c>
      <c r="I365" s="7" t="s">
        <v>1253</v>
      </c>
      <c r="K365" s="39" t="s">
        <v>1040</v>
      </c>
      <c r="L365" s="40">
        <v>270.5</v>
      </c>
      <c r="M365" s="40">
        <v>272568.96000000002</v>
      </c>
      <c r="N365" s="40">
        <f t="shared" si="10"/>
        <v>270.5</v>
      </c>
    </row>
    <row r="366" spans="1:14" ht="12.75" hidden="1" customHeight="1" x14ac:dyDescent="0.2">
      <c r="A366">
        <v>65061</v>
      </c>
      <c r="B366" s="3" t="s">
        <v>1844</v>
      </c>
      <c r="C366" s="7" t="s">
        <v>1617</v>
      </c>
      <c r="D366" s="7" t="s">
        <v>221</v>
      </c>
      <c r="F366" s="7" t="s">
        <v>1952</v>
      </c>
      <c r="G366" s="7" t="s">
        <v>1605</v>
      </c>
      <c r="H366" s="7" t="s">
        <v>1362</v>
      </c>
      <c r="I366" s="7" t="s">
        <v>1253</v>
      </c>
      <c r="K366" s="39" t="s">
        <v>1040</v>
      </c>
      <c r="L366" s="40">
        <v>294.33999999999997</v>
      </c>
      <c r="M366" s="40">
        <v>272863.3</v>
      </c>
      <c r="N366" s="40">
        <f t="shared" si="10"/>
        <v>294.33999999999997</v>
      </c>
    </row>
    <row r="367" spans="1:14" ht="12.75" hidden="1" customHeight="1" x14ac:dyDescent="0.2">
      <c r="A367">
        <v>65061</v>
      </c>
      <c r="B367" s="3" t="s">
        <v>1844</v>
      </c>
      <c r="C367" s="7" t="s">
        <v>1663</v>
      </c>
      <c r="D367" s="7" t="s">
        <v>242</v>
      </c>
      <c r="F367" s="7" t="s">
        <v>241</v>
      </c>
      <c r="G367" s="7" t="s">
        <v>1605</v>
      </c>
      <c r="H367" s="7" t="s">
        <v>1362</v>
      </c>
      <c r="I367" s="7" t="s">
        <v>1253</v>
      </c>
      <c r="K367" s="39" t="s">
        <v>1040</v>
      </c>
      <c r="L367" s="40">
        <v>-21</v>
      </c>
      <c r="M367" s="40">
        <v>274540.13</v>
      </c>
      <c r="N367" s="40">
        <f t="shared" si="10"/>
        <v>-21</v>
      </c>
    </row>
    <row r="368" spans="1:14" ht="12.75" hidden="1" customHeight="1" x14ac:dyDescent="0.2">
      <c r="A368">
        <v>65061</v>
      </c>
      <c r="B368" s="3" t="s">
        <v>1844</v>
      </c>
      <c r="C368" s="7" t="s">
        <v>1619</v>
      </c>
      <c r="D368" s="7" t="s">
        <v>242</v>
      </c>
      <c r="F368" s="7" t="s">
        <v>1850</v>
      </c>
      <c r="G368" s="7" t="s">
        <v>1605</v>
      </c>
      <c r="H368" s="7" t="s">
        <v>1362</v>
      </c>
      <c r="I368" s="7" t="s">
        <v>1253</v>
      </c>
      <c r="K368" s="39" t="s">
        <v>1040</v>
      </c>
      <c r="L368" s="40">
        <v>-53.96</v>
      </c>
      <c r="M368" s="40">
        <v>274648.5</v>
      </c>
      <c r="N368" s="40">
        <f t="shared" si="10"/>
        <v>-53.96</v>
      </c>
    </row>
    <row r="369" spans="1:14" ht="12.75" hidden="1" customHeight="1" x14ac:dyDescent="0.2">
      <c r="A369">
        <v>65061</v>
      </c>
      <c r="B369" s="3" t="s">
        <v>1844</v>
      </c>
      <c r="C369" s="7" t="s">
        <v>1619</v>
      </c>
      <c r="D369" s="7" t="s">
        <v>221</v>
      </c>
      <c r="F369" s="7" t="s">
        <v>446</v>
      </c>
      <c r="G369" s="7" t="s">
        <v>1605</v>
      </c>
      <c r="H369" s="7" t="s">
        <v>1362</v>
      </c>
      <c r="I369" s="7" t="s">
        <v>1253</v>
      </c>
      <c r="K369" s="39" t="s">
        <v>1040</v>
      </c>
      <c r="L369" s="40">
        <v>400</v>
      </c>
      <c r="M369" s="40">
        <v>275048.5</v>
      </c>
      <c r="N369" s="40">
        <f t="shared" si="10"/>
        <v>400</v>
      </c>
    </row>
    <row r="370" spans="1:14" ht="12.75" hidden="1" customHeight="1" x14ac:dyDescent="0.2">
      <c r="A370">
        <v>65061</v>
      </c>
      <c r="B370" s="3" t="s">
        <v>1844</v>
      </c>
      <c r="C370" s="7" t="s">
        <v>1680</v>
      </c>
      <c r="D370" s="7" t="s">
        <v>242</v>
      </c>
      <c r="F370" s="7" t="s">
        <v>770</v>
      </c>
      <c r="G370" s="7" t="s">
        <v>1605</v>
      </c>
      <c r="H370" s="7" t="s">
        <v>1362</v>
      </c>
      <c r="I370" s="7" t="s">
        <v>1253</v>
      </c>
      <c r="K370" s="39" t="s">
        <v>1040</v>
      </c>
      <c r="L370" s="40">
        <v>-21.59</v>
      </c>
      <c r="M370" s="40">
        <v>291485.93</v>
      </c>
      <c r="N370" s="40">
        <f t="shared" si="10"/>
        <v>-21.59</v>
      </c>
    </row>
    <row r="371" spans="1:14" ht="12.75" customHeight="1" x14ac:dyDescent="0.2">
      <c r="A371">
        <v>43400</v>
      </c>
      <c r="B371" s="3" t="s">
        <v>1224</v>
      </c>
      <c r="C371" s="7" t="s">
        <v>545</v>
      </c>
      <c r="D371" s="7" t="s">
        <v>242</v>
      </c>
      <c r="F371" s="7" t="s">
        <v>665</v>
      </c>
      <c r="G371" s="7" t="s">
        <v>1802</v>
      </c>
      <c r="H371" s="7" t="s">
        <v>1359</v>
      </c>
      <c r="I371" s="7" t="s">
        <v>1224</v>
      </c>
      <c r="K371" s="7" t="s">
        <v>1175</v>
      </c>
      <c r="L371" s="11">
        <v>180</v>
      </c>
      <c r="M371" s="11">
        <v>-34206.49</v>
      </c>
      <c r="N371" s="9">
        <f>IF(A371&lt;60000,-L371,+L371)</f>
        <v>-180</v>
      </c>
    </row>
    <row r="372" spans="1:14" ht="12.75" hidden="1" customHeight="1" x14ac:dyDescent="0.2">
      <c r="A372">
        <v>43430</v>
      </c>
      <c r="B372" s="3" t="s">
        <v>1226</v>
      </c>
      <c r="C372" s="7" t="s">
        <v>1649</v>
      </c>
      <c r="D372" s="7" t="s">
        <v>183</v>
      </c>
      <c r="E372" s="7">
        <v>666</v>
      </c>
      <c r="G372" s="7" t="s">
        <v>1568</v>
      </c>
      <c r="H372" s="7" t="s">
        <v>1360</v>
      </c>
      <c r="I372" s="7" t="s">
        <v>1226</v>
      </c>
      <c r="J372" s="39" t="s">
        <v>1650</v>
      </c>
      <c r="K372" s="39" t="s">
        <v>180</v>
      </c>
      <c r="L372" s="40">
        <v>190</v>
      </c>
      <c r="M372" s="40">
        <v>21920.5</v>
      </c>
      <c r="N372" s="41">
        <f>-L372</f>
        <v>-190</v>
      </c>
    </row>
    <row r="373" spans="1:14" ht="12.75" hidden="1" customHeight="1" x14ac:dyDescent="0.2">
      <c r="A373">
        <v>43430</v>
      </c>
      <c r="B373" s="3" t="s">
        <v>1226</v>
      </c>
      <c r="C373" s="7" t="s">
        <v>1649</v>
      </c>
      <c r="D373" s="7" t="s">
        <v>183</v>
      </c>
      <c r="E373" s="7">
        <v>666</v>
      </c>
      <c r="G373" s="7" t="s">
        <v>1568</v>
      </c>
      <c r="H373" s="7" t="s">
        <v>1360</v>
      </c>
      <c r="I373" s="7" t="s">
        <v>1226</v>
      </c>
      <c r="J373" s="39" t="s">
        <v>1651</v>
      </c>
      <c r="K373" s="39" t="s">
        <v>180</v>
      </c>
      <c r="L373" s="40">
        <v>195</v>
      </c>
      <c r="M373" s="40">
        <v>22115.5</v>
      </c>
      <c r="N373" s="41">
        <f>-L373</f>
        <v>-195</v>
      </c>
    </row>
    <row r="374" spans="1:14" ht="12.75" hidden="1" customHeight="1" x14ac:dyDescent="0.2">
      <c r="A374">
        <v>43440</v>
      </c>
      <c r="B374" s="3" t="s">
        <v>1228</v>
      </c>
      <c r="C374" s="7" t="s">
        <v>1649</v>
      </c>
      <c r="D374" s="7" t="s">
        <v>183</v>
      </c>
      <c r="E374" s="7">
        <v>666</v>
      </c>
      <c r="G374" s="7" t="s">
        <v>1568</v>
      </c>
      <c r="H374" s="7" t="s">
        <v>1360</v>
      </c>
      <c r="I374" s="7" t="s">
        <v>1228</v>
      </c>
      <c r="J374" s="39" t="s">
        <v>1666</v>
      </c>
      <c r="K374" s="39" t="s">
        <v>180</v>
      </c>
      <c r="L374" s="40">
        <v>250</v>
      </c>
      <c r="M374" s="40">
        <v>36718.53</v>
      </c>
      <c r="N374" s="41">
        <f>-L374</f>
        <v>-250</v>
      </c>
    </row>
    <row r="375" spans="1:14" ht="12.75" hidden="1" customHeight="1" x14ac:dyDescent="0.2">
      <c r="A375">
        <v>43440</v>
      </c>
      <c r="B375" s="3" t="s">
        <v>1228</v>
      </c>
      <c r="C375" s="7" t="s">
        <v>1649</v>
      </c>
      <c r="D375" s="7" t="s">
        <v>183</v>
      </c>
      <c r="E375" s="7">
        <v>666</v>
      </c>
      <c r="G375" s="7" t="s">
        <v>1568</v>
      </c>
      <c r="H375" s="7" t="s">
        <v>1360</v>
      </c>
      <c r="I375" s="7" t="s">
        <v>1228</v>
      </c>
      <c r="J375" s="39" t="s">
        <v>1667</v>
      </c>
      <c r="K375" s="39" t="s">
        <v>180</v>
      </c>
      <c r="L375" s="40">
        <v>180</v>
      </c>
      <c r="M375" s="40">
        <v>36898.53</v>
      </c>
      <c r="N375" s="41">
        <f>-L375</f>
        <v>-180</v>
      </c>
    </row>
    <row r="376" spans="1:14" ht="12.75" hidden="1" customHeight="1" x14ac:dyDescent="0.2">
      <c r="A376">
        <v>43440</v>
      </c>
      <c r="B376" s="3" t="s">
        <v>1228</v>
      </c>
      <c r="C376" s="7" t="s">
        <v>1649</v>
      </c>
      <c r="D376" s="7" t="s">
        <v>183</v>
      </c>
      <c r="E376" s="7">
        <v>666</v>
      </c>
      <c r="G376" s="7" t="s">
        <v>1568</v>
      </c>
      <c r="H376" s="7" t="s">
        <v>1360</v>
      </c>
      <c r="I376" s="7" t="s">
        <v>1228</v>
      </c>
      <c r="J376" s="39" t="s">
        <v>1668</v>
      </c>
      <c r="K376" s="39" t="s">
        <v>180</v>
      </c>
      <c r="L376" s="40">
        <v>1646</v>
      </c>
      <c r="M376" s="40">
        <v>38544.53</v>
      </c>
      <c r="N376" s="41">
        <f>-L376</f>
        <v>-1646</v>
      </c>
    </row>
    <row r="377" spans="1:14" ht="12.75" customHeight="1" x14ac:dyDescent="0.2">
      <c r="A377">
        <v>43400</v>
      </c>
      <c r="B377" s="3" t="s">
        <v>1224</v>
      </c>
      <c r="C377" s="7" t="s">
        <v>432</v>
      </c>
      <c r="D377" s="7" t="s">
        <v>183</v>
      </c>
      <c r="E377" s="7">
        <v>349</v>
      </c>
      <c r="G377" s="7" t="s">
        <v>1802</v>
      </c>
      <c r="H377" s="7" t="s">
        <v>1359</v>
      </c>
      <c r="I377" s="7" t="s">
        <v>1224</v>
      </c>
      <c r="J377" s="7" t="s">
        <v>425</v>
      </c>
      <c r="K377" s="7" t="s">
        <v>180</v>
      </c>
      <c r="L377" s="11">
        <v>80</v>
      </c>
      <c r="M377" s="11">
        <v>-22429.89</v>
      </c>
      <c r="N377" s="9">
        <f t="shared" ref="N377:N382" si="11">IF(A377&lt;60000,-L377,+L377)</f>
        <v>-80</v>
      </c>
    </row>
    <row r="378" spans="1:14" ht="12.75" customHeight="1" x14ac:dyDescent="0.2">
      <c r="A378">
        <v>43400</v>
      </c>
      <c r="B378" s="3" t="s">
        <v>1224</v>
      </c>
      <c r="C378" s="7" t="s">
        <v>962</v>
      </c>
      <c r="D378" s="7" t="s">
        <v>242</v>
      </c>
      <c r="F378" s="7" t="s">
        <v>665</v>
      </c>
      <c r="G378" s="7" t="s">
        <v>1802</v>
      </c>
      <c r="H378" s="7" t="s">
        <v>1359</v>
      </c>
      <c r="I378" s="7" t="s">
        <v>1224</v>
      </c>
      <c r="K378" s="7" t="s">
        <v>1175</v>
      </c>
      <c r="L378" s="11">
        <v>520</v>
      </c>
      <c r="M378" s="11">
        <v>-15814.89</v>
      </c>
      <c r="N378" s="9">
        <f t="shared" si="11"/>
        <v>-520</v>
      </c>
    </row>
    <row r="379" spans="1:14" ht="12.75" customHeight="1" x14ac:dyDescent="0.2">
      <c r="A379">
        <v>43400</v>
      </c>
      <c r="B379" s="3" t="s">
        <v>1224</v>
      </c>
      <c r="C379" s="7" t="s">
        <v>381</v>
      </c>
      <c r="D379" s="7" t="s">
        <v>242</v>
      </c>
      <c r="F379" s="7" t="s">
        <v>665</v>
      </c>
      <c r="G379" s="7" t="s">
        <v>1802</v>
      </c>
      <c r="H379" s="7" t="s">
        <v>1359</v>
      </c>
      <c r="I379" s="7" t="s">
        <v>1224</v>
      </c>
      <c r="K379" s="7" t="s">
        <v>1175</v>
      </c>
      <c r="L379" s="11">
        <v>460</v>
      </c>
      <c r="M379" s="11">
        <v>5506.09</v>
      </c>
      <c r="N379" s="9">
        <f t="shared" si="11"/>
        <v>-460</v>
      </c>
    </row>
    <row r="380" spans="1:14" ht="12.75" customHeight="1" x14ac:dyDescent="0.2">
      <c r="A380">
        <v>43400</v>
      </c>
      <c r="B380" s="3" t="s">
        <v>1224</v>
      </c>
      <c r="C380" s="7" t="s">
        <v>372</v>
      </c>
      <c r="D380" s="7" t="s">
        <v>242</v>
      </c>
      <c r="F380" s="7" t="s">
        <v>665</v>
      </c>
      <c r="G380" s="7" t="s">
        <v>1802</v>
      </c>
      <c r="H380" s="7" t="s">
        <v>1359</v>
      </c>
      <c r="I380" s="7" t="s">
        <v>1224</v>
      </c>
      <c r="K380" s="7" t="s">
        <v>1175</v>
      </c>
      <c r="L380" s="11">
        <v>80</v>
      </c>
      <c r="M380" s="11">
        <v>38297.25</v>
      </c>
      <c r="N380" s="9">
        <f t="shared" si="11"/>
        <v>-80</v>
      </c>
    </row>
    <row r="381" spans="1:14" ht="12.75" customHeight="1" x14ac:dyDescent="0.2">
      <c r="A381">
        <v>43400</v>
      </c>
      <c r="B381" s="3" t="s">
        <v>1224</v>
      </c>
      <c r="C381" s="7" t="s">
        <v>698</v>
      </c>
      <c r="D381" s="7" t="s">
        <v>242</v>
      </c>
      <c r="F381" s="7" t="s">
        <v>665</v>
      </c>
      <c r="G381" s="7" t="s">
        <v>1802</v>
      </c>
      <c r="H381" s="7" t="s">
        <v>1359</v>
      </c>
      <c r="I381" s="7" t="s">
        <v>1224</v>
      </c>
      <c r="K381" s="7" t="s">
        <v>1175</v>
      </c>
      <c r="L381" s="11">
        <v>273</v>
      </c>
      <c r="M381" s="11">
        <v>161005.95000000001</v>
      </c>
      <c r="N381" s="9">
        <f t="shared" si="11"/>
        <v>-273</v>
      </c>
    </row>
    <row r="382" spans="1:14" ht="12.75" customHeight="1" x14ac:dyDescent="0.2">
      <c r="A382">
        <v>43400</v>
      </c>
      <c r="B382" s="3" t="s">
        <v>1224</v>
      </c>
      <c r="C382" s="7" t="s">
        <v>191</v>
      </c>
      <c r="D382" s="7" t="s">
        <v>242</v>
      </c>
      <c r="F382" s="7" t="s">
        <v>665</v>
      </c>
      <c r="G382" s="7" t="s">
        <v>1802</v>
      </c>
      <c r="H382" s="7" t="s">
        <v>1359</v>
      </c>
      <c r="I382" s="7" t="s">
        <v>1224</v>
      </c>
      <c r="K382" s="7" t="s">
        <v>1175</v>
      </c>
      <c r="L382" s="11">
        <v>80</v>
      </c>
      <c r="M382" s="11">
        <v>175051.57</v>
      </c>
      <c r="N382" s="9">
        <f t="shared" si="11"/>
        <v>-80</v>
      </c>
    </row>
    <row r="383" spans="1:14" ht="12.75" hidden="1" customHeight="1" x14ac:dyDescent="0.2">
      <c r="A383">
        <v>65015</v>
      </c>
      <c r="B383" s="3" t="s">
        <v>1244</v>
      </c>
      <c r="C383" s="7" t="s">
        <v>1567</v>
      </c>
      <c r="D383" s="7" t="s">
        <v>221</v>
      </c>
      <c r="F383" s="7" t="s">
        <v>1049</v>
      </c>
      <c r="G383" s="7" t="s">
        <v>1568</v>
      </c>
      <c r="H383" s="43" t="s">
        <v>1362</v>
      </c>
      <c r="I383" s="7" t="s">
        <v>1244</v>
      </c>
      <c r="K383" s="39" t="s">
        <v>225</v>
      </c>
      <c r="L383" s="40">
        <v>37.200000000000003</v>
      </c>
      <c r="M383" s="40">
        <v>3962.83</v>
      </c>
      <c r="N383" s="40">
        <f t="shared" ref="N383:N414" si="12">+L383</f>
        <v>37.200000000000003</v>
      </c>
    </row>
    <row r="384" spans="1:14" ht="12.75" hidden="1" customHeight="1" x14ac:dyDescent="0.2">
      <c r="A384">
        <v>65015</v>
      </c>
      <c r="B384" s="3" t="s">
        <v>1244</v>
      </c>
      <c r="C384" s="7" t="s">
        <v>1567</v>
      </c>
      <c r="D384" s="7" t="s">
        <v>221</v>
      </c>
      <c r="F384" s="7" t="s">
        <v>1049</v>
      </c>
      <c r="G384" s="7" t="s">
        <v>1568</v>
      </c>
      <c r="H384" s="43" t="s">
        <v>1362</v>
      </c>
      <c r="I384" s="7" t="s">
        <v>1244</v>
      </c>
      <c r="K384" s="39" t="s">
        <v>225</v>
      </c>
      <c r="L384" s="40">
        <v>95</v>
      </c>
      <c r="M384" s="40">
        <v>4057.83</v>
      </c>
      <c r="N384" s="40">
        <f t="shared" si="12"/>
        <v>95</v>
      </c>
    </row>
    <row r="385" spans="1:14" ht="12.75" hidden="1" customHeight="1" x14ac:dyDescent="0.2">
      <c r="A385">
        <v>65025</v>
      </c>
      <c r="B385" s="3" t="s">
        <v>1246</v>
      </c>
      <c r="C385" s="7" t="s">
        <v>1803</v>
      </c>
      <c r="D385" s="7" t="s">
        <v>221</v>
      </c>
      <c r="F385" s="7" t="s">
        <v>446</v>
      </c>
      <c r="G385" s="7" t="s">
        <v>1568</v>
      </c>
      <c r="H385" s="7" t="s">
        <v>1362</v>
      </c>
      <c r="I385" s="7" t="s">
        <v>1246</v>
      </c>
      <c r="K385" s="39" t="s">
        <v>258</v>
      </c>
      <c r="L385" s="40">
        <v>15</v>
      </c>
      <c r="M385" s="40">
        <v>2007.17</v>
      </c>
      <c r="N385" s="40">
        <f t="shared" si="12"/>
        <v>15</v>
      </c>
    </row>
    <row r="386" spans="1:14" ht="12.75" hidden="1" customHeight="1" x14ac:dyDescent="0.2">
      <c r="A386">
        <v>65025</v>
      </c>
      <c r="B386" s="3" t="s">
        <v>1246</v>
      </c>
      <c r="C386" s="7" t="s">
        <v>1804</v>
      </c>
      <c r="D386" s="7" t="s">
        <v>221</v>
      </c>
      <c r="F386" s="7" t="s">
        <v>446</v>
      </c>
      <c r="G386" s="7" t="s">
        <v>1568</v>
      </c>
      <c r="H386" s="7" t="s">
        <v>1362</v>
      </c>
      <c r="I386" s="7" t="s">
        <v>1246</v>
      </c>
      <c r="K386" s="39" t="s">
        <v>258</v>
      </c>
      <c r="L386" s="40">
        <v>15</v>
      </c>
      <c r="M386" s="40">
        <v>2163.1999999999998</v>
      </c>
      <c r="N386" s="40">
        <f t="shared" si="12"/>
        <v>15</v>
      </c>
    </row>
    <row r="387" spans="1:14" ht="12.75" hidden="1" customHeight="1" x14ac:dyDescent="0.2">
      <c r="A387">
        <v>65025</v>
      </c>
      <c r="B387" s="3" t="s">
        <v>1246</v>
      </c>
      <c r="C387" s="7" t="s">
        <v>1619</v>
      </c>
      <c r="D387" s="7" t="s">
        <v>221</v>
      </c>
      <c r="F387" s="7" t="s">
        <v>446</v>
      </c>
      <c r="G387" s="7" t="s">
        <v>1568</v>
      </c>
      <c r="H387" s="7" t="s">
        <v>1362</v>
      </c>
      <c r="I387" s="7" t="s">
        <v>1246</v>
      </c>
      <c r="K387" s="39" t="s">
        <v>258</v>
      </c>
      <c r="L387" s="40">
        <v>15</v>
      </c>
      <c r="M387" s="40">
        <v>2452.1</v>
      </c>
      <c r="N387" s="40">
        <f t="shared" si="12"/>
        <v>15</v>
      </c>
    </row>
    <row r="388" spans="1:14" ht="12.75" hidden="1" customHeight="1" x14ac:dyDescent="0.2">
      <c r="A388">
        <v>65045</v>
      </c>
      <c r="B388" s="3" t="s">
        <v>1840</v>
      </c>
      <c r="C388" s="7" t="s">
        <v>1772</v>
      </c>
      <c r="D388" s="7" t="s">
        <v>221</v>
      </c>
      <c r="F388" s="7" t="s">
        <v>1003</v>
      </c>
      <c r="G388" s="7" t="s">
        <v>1568</v>
      </c>
      <c r="H388" s="7" t="s">
        <v>1362</v>
      </c>
      <c r="I388" s="7" t="s">
        <v>1251</v>
      </c>
      <c r="K388" s="39" t="s">
        <v>225</v>
      </c>
      <c r="L388" s="40">
        <v>437</v>
      </c>
      <c r="M388" s="40">
        <v>4651.3500000000004</v>
      </c>
      <c r="N388" s="40">
        <f t="shared" si="12"/>
        <v>437</v>
      </c>
    </row>
    <row r="389" spans="1:14" ht="12.75" hidden="1" customHeight="1" x14ac:dyDescent="0.2">
      <c r="A389">
        <v>65045</v>
      </c>
      <c r="B389" s="3" t="s">
        <v>1840</v>
      </c>
      <c r="C389" s="7" t="s">
        <v>1583</v>
      </c>
      <c r="D389" s="7" t="s">
        <v>221</v>
      </c>
      <c r="F389" s="7" t="s">
        <v>1003</v>
      </c>
      <c r="G389" s="7" t="s">
        <v>1568</v>
      </c>
      <c r="H389" s="7" t="s">
        <v>1362</v>
      </c>
      <c r="I389" s="7" t="s">
        <v>1251</v>
      </c>
      <c r="K389" s="39" t="s">
        <v>225</v>
      </c>
      <c r="L389" s="40">
        <v>437</v>
      </c>
      <c r="M389" s="40">
        <v>5268.35</v>
      </c>
      <c r="N389" s="40">
        <f t="shared" si="12"/>
        <v>437</v>
      </c>
    </row>
    <row r="390" spans="1:14" ht="12.75" hidden="1" customHeight="1" x14ac:dyDescent="0.2">
      <c r="A390">
        <v>65050</v>
      </c>
      <c r="B390" s="3" t="s">
        <v>1252</v>
      </c>
      <c r="C390" s="7" t="s">
        <v>1571</v>
      </c>
      <c r="D390" s="7" t="s">
        <v>200</v>
      </c>
      <c r="E390" s="7">
        <v>1139</v>
      </c>
      <c r="F390" s="7" t="s">
        <v>999</v>
      </c>
      <c r="G390" s="7" t="s">
        <v>1568</v>
      </c>
      <c r="H390" s="7" t="s">
        <v>1362</v>
      </c>
      <c r="I390" s="7" t="s">
        <v>1252</v>
      </c>
      <c r="K390" s="39" t="s">
        <v>225</v>
      </c>
      <c r="L390" s="40">
        <v>264.18</v>
      </c>
      <c r="M390" s="40">
        <v>790.09</v>
      </c>
      <c r="N390" s="40">
        <f t="shared" si="12"/>
        <v>264.18</v>
      </c>
    </row>
    <row r="391" spans="1:14" ht="12.75" hidden="1" customHeight="1" x14ac:dyDescent="0.2">
      <c r="A391">
        <v>65061</v>
      </c>
      <c r="B391" s="3" t="s">
        <v>1844</v>
      </c>
      <c r="C391" s="7" t="s">
        <v>1556</v>
      </c>
      <c r="D391" s="7" t="s">
        <v>200</v>
      </c>
      <c r="E391" s="7">
        <v>1126</v>
      </c>
      <c r="F391" s="7" t="s">
        <v>1845</v>
      </c>
      <c r="G391" s="7" t="s">
        <v>1568</v>
      </c>
      <c r="H391" s="7" t="s">
        <v>1362</v>
      </c>
      <c r="I391" s="7" t="s">
        <v>1253</v>
      </c>
      <c r="K391" s="39" t="s">
        <v>225</v>
      </c>
      <c r="L391" s="40">
        <v>2284.0500000000002</v>
      </c>
      <c r="M391" s="40">
        <v>198765.6</v>
      </c>
      <c r="N391" s="40">
        <f t="shared" si="12"/>
        <v>2284.0500000000002</v>
      </c>
    </row>
    <row r="392" spans="1:14" ht="12.75" hidden="1" customHeight="1" x14ac:dyDescent="0.2">
      <c r="A392">
        <v>65061</v>
      </c>
      <c r="B392" s="3" t="s">
        <v>1844</v>
      </c>
      <c r="C392" s="7" t="s">
        <v>1737</v>
      </c>
      <c r="D392" s="7" t="s">
        <v>221</v>
      </c>
      <c r="F392" s="7" t="s">
        <v>546</v>
      </c>
      <c r="G392" s="7" t="s">
        <v>1568</v>
      </c>
      <c r="H392" s="7" t="s">
        <v>1362</v>
      </c>
      <c r="I392" s="7" t="s">
        <v>1253</v>
      </c>
      <c r="K392" s="39" t="s">
        <v>225</v>
      </c>
      <c r="L392" s="40">
        <v>92.11</v>
      </c>
      <c r="M392" s="40">
        <v>199491.39</v>
      </c>
      <c r="N392" s="40">
        <f t="shared" si="12"/>
        <v>92.11</v>
      </c>
    </row>
    <row r="393" spans="1:14" ht="12.75" hidden="1" customHeight="1" x14ac:dyDescent="0.2">
      <c r="A393">
        <v>65061</v>
      </c>
      <c r="B393" s="3" t="s">
        <v>1844</v>
      </c>
      <c r="C393" s="7" t="s">
        <v>1737</v>
      </c>
      <c r="D393" s="7" t="s">
        <v>221</v>
      </c>
      <c r="F393" s="7" t="s">
        <v>1848</v>
      </c>
      <c r="G393" s="7" t="s">
        <v>1568</v>
      </c>
      <c r="H393" s="7" t="s">
        <v>1362</v>
      </c>
      <c r="I393" s="7" t="s">
        <v>1253</v>
      </c>
      <c r="K393" s="39" t="s">
        <v>225</v>
      </c>
      <c r="L393" s="40">
        <v>29.65</v>
      </c>
      <c r="M393" s="40">
        <v>200978.79</v>
      </c>
      <c r="N393" s="40">
        <f t="shared" si="12"/>
        <v>29.65</v>
      </c>
    </row>
    <row r="394" spans="1:14" ht="12.75" hidden="1" customHeight="1" x14ac:dyDescent="0.2">
      <c r="A394">
        <v>65061</v>
      </c>
      <c r="B394" s="3" t="s">
        <v>1844</v>
      </c>
      <c r="C394" s="7" t="s">
        <v>1737</v>
      </c>
      <c r="D394" s="7" t="s">
        <v>221</v>
      </c>
      <c r="F394" s="7" t="s">
        <v>1849</v>
      </c>
      <c r="G394" s="7" t="s">
        <v>1568</v>
      </c>
      <c r="H394" s="7" t="s">
        <v>1362</v>
      </c>
      <c r="I394" s="7" t="s">
        <v>1253</v>
      </c>
      <c r="K394" s="39" t="s">
        <v>225</v>
      </c>
      <c r="L394" s="40">
        <v>23.24</v>
      </c>
      <c r="M394" s="40">
        <v>201002.03</v>
      </c>
      <c r="N394" s="40">
        <f t="shared" si="12"/>
        <v>23.24</v>
      </c>
    </row>
    <row r="395" spans="1:14" ht="12.75" hidden="1" customHeight="1" x14ac:dyDescent="0.2">
      <c r="A395">
        <v>65061</v>
      </c>
      <c r="B395" s="3" t="s">
        <v>1844</v>
      </c>
      <c r="C395" s="7" t="s">
        <v>1772</v>
      </c>
      <c r="D395" s="7" t="s">
        <v>242</v>
      </c>
      <c r="F395" s="7" t="s">
        <v>1850</v>
      </c>
      <c r="G395" s="7" t="s">
        <v>1568</v>
      </c>
      <c r="H395" s="7" t="s">
        <v>1362</v>
      </c>
      <c r="I395" s="7" t="s">
        <v>1253</v>
      </c>
      <c r="K395" s="39" t="s">
        <v>225</v>
      </c>
      <c r="L395" s="40">
        <v>-11.12</v>
      </c>
      <c r="M395" s="40">
        <v>201201.91</v>
      </c>
      <c r="N395" s="40">
        <f t="shared" si="12"/>
        <v>-11.12</v>
      </c>
    </row>
    <row r="396" spans="1:14" ht="12.75" hidden="1" customHeight="1" x14ac:dyDescent="0.2">
      <c r="A396">
        <v>65061</v>
      </c>
      <c r="B396" s="3" t="s">
        <v>1844</v>
      </c>
      <c r="C396" s="7" t="s">
        <v>1772</v>
      </c>
      <c r="D396" s="7" t="s">
        <v>221</v>
      </c>
      <c r="F396" s="7" t="s">
        <v>546</v>
      </c>
      <c r="G396" s="7" t="s">
        <v>1568</v>
      </c>
      <c r="H396" s="7" t="s">
        <v>1362</v>
      </c>
      <c r="I396" s="7" t="s">
        <v>1253</v>
      </c>
      <c r="K396" s="39" t="s">
        <v>225</v>
      </c>
      <c r="L396" s="40">
        <v>87.93</v>
      </c>
      <c r="M396" s="40">
        <v>201308.18</v>
      </c>
      <c r="N396" s="40">
        <f t="shared" si="12"/>
        <v>87.93</v>
      </c>
    </row>
    <row r="397" spans="1:14" ht="12.75" hidden="1" customHeight="1" x14ac:dyDescent="0.2">
      <c r="A397">
        <v>65061</v>
      </c>
      <c r="B397" s="3" t="s">
        <v>1844</v>
      </c>
      <c r="C397" s="7" t="s">
        <v>1559</v>
      </c>
      <c r="D397" s="7" t="s">
        <v>221</v>
      </c>
      <c r="F397" s="7" t="s">
        <v>564</v>
      </c>
      <c r="G397" s="7" t="s">
        <v>1568</v>
      </c>
      <c r="H397" s="7" t="s">
        <v>1362</v>
      </c>
      <c r="I397" s="7" t="s">
        <v>1253</v>
      </c>
      <c r="K397" s="39" t="s">
        <v>225</v>
      </c>
      <c r="L397" s="40">
        <v>441.36</v>
      </c>
      <c r="M397" s="40">
        <v>201999.1</v>
      </c>
      <c r="N397" s="40">
        <f t="shared" si="12"/>
        <v>441.36</v>
      </c>
    </row>
    <row r="398" spans="1:14" ht="12.75" hidden="1" customHeight="1" x14ac:dyDescent="0.2">
      <c r="A398">
        <v>65061</v>
      </c>
      <c r="B398" s="3" t="s">
        <v>1844</v>
      </c>
      <c r="C398" s="7" t="s">
        <v>1559</v>
      </c>
      <c r="D398" s="7" t="s">
        <v>221</v>
      </c>
      <c r="F398" s="7" t="s">
        <v>568</v>
      </c>
      <c r="G398" s="7" t="s">
        <v>1568</v>
      </c>
      <c r="H398" s="7" t="s">
        <v>1362</v>
      </c>
      <c r="I398" s="7" t="s">
        <v>1253</v>
      </c>
      <c r="K398" s="39" t="s">
        <v>225</v>
      </c>
      <c r="L398" s="40">
        <v>57.51</v>
      </c>
      <c r="M398" s="40">
        <v>202056.61</v>
      </c>
      <c r="N398" s="40">
        <f t="shared" si="12"/>
        <v>57.51</v>
      </c>
    </row>
    <row r="399" spans="1:14" ht="12.75" hidden="1" customHeight="1" x14ac:dyDescent="0.2">
      <c r="A399">
        <v>65061</v>
      </c>
      <c r="B399" s="3" t="s">
        <v>1844</v>
      </c>
      <c r="C399" s="7" t="s">
        <v>1559</v>
      </c>
      <c r="D399" s="7" t="s">
        <v>221</v>
      </c>
      <c r="F399" s="7" t="s">
        <v>1849</v>
      </c>
      <c r="G399" s="7" t="s">
        <v>1568</v>
      </c>
      <c r="H399" s="7" t="s">
        <v>1362</v>
      </c>
      <c r="I399" s="7" t="s">
        <v>1253</v>
      </c>
      <c r="K399" s="39" t="s">
        <v>225</v>
      </c>
      <c r="L399" s="40">
        <v>26.14</v>
      </c>
      <c r="M399" s="40">
        <v>202082.75</v>
      </c>
      <c r="N399" s="40">
        <f t="shared" si="12"/>
        <v>26.14</v>
      </c>
    </row>
    <row r="400" spans="1:14" ht="12.75" hidden="1" customHeight="1" x14ac:dyDescent="0.2">
      <c r="A400">
        <v>65061</v>
      </c>
      <c r="B400" s="3" t="s">
        <v>1844</v>
      </c>
      <c r="C400" s="7" t="s">
        <v>1559</v>
      </c>
      <c r="D400" s="7" t="s">
        <v>221</v>
      </c>
      <c r="F400" s="7" t="s">
        <v>570</v>
      </c>
      <c r="G400" s="7" t="s">
        <v>1568</v>
      </c>
      <c r="H400" s="7" t="s">
        <v>1362</v>
      </c>
      <c r="I400" s="7" t="s">
        <v>1253</v>
      </c>
      <c r="K400" s="39" t="s">
        <v>225</v>
      </c>
      <c r="L400" s="40">
        <v>309.64</v>
      </c>
      <c r="M400" s="40">
        <v>202392.39</v>
      </c>
      <c r="N400" s="40">
        <f t="shared" si="12"/>
        <v>309.64</v>
      </c>
    </row>
    <row r="401" spans="1:14" ht="12.75" hidden="1" customHeight="1" x14ac:dyDescent="0.2">
      <c r="A401">
        <v>65061</v>
      </c>
      <c r="B401" s="3" t="s">
        <v>1844</v>
      </c>
      <c r="C401" s="7" t="s">
        <v>1559</v>
      </c>
      <c r="D401" s="7" t="s">
        <v>221</v>
      </c>
      <c r="F401" s="7" t="s">
        <v>1849</v>
      </c>
      <c r="G401" s="7" t="s">
        <v>1568</v>
      </c>
      <c r="H401" s="7" t="s">
        <v>1362</v>
      </c>
      <c r="I401" s="7" t="s">
        <v>1253</v>
      </c>
      <c r="K401" s="39" t="s">
        <v>225</v>
      </c>
      <c r="L401" s="40">
        <v>11.74</v>
      </c>
      <c r="M401" s="40">
        <v>202404.13</v>
      </c>
      <c r="N401" s="40">
        <f t="shared" si="12"/>
        <v>11.74</v>
      </c>
    </row>
    <row r="402" spans="1:14" ht="12.75" hidden="1" customHeight="1" x14ac:dyDescent="0.2">
      <c r="A402">
        <v>65061</v>
      </c>
      <c r="B402" s="3" t="s">
        <v>1844</v>
      </c>
      <c r="C402" s="7" t="s">
        <v>1685</v>
      </c>
      <c r="D402" s="7" t="s">
        <v>221</v>
      </c>
      <c r="F402" s="7" t="s">
        <v>1849</v>
      </c>
      <c r="G402" s="7" t="s">
        <v>1568</v>
      </c>
      <c r="H402" s="7" t="s">
        <v>1362</v>
      </c>
      <c r="I402" s="7" t="s">
        <v>1253</v>
      </c>
      <c r="K402" s="39" t="s">
        <v>225</v>
      </c>
      <c r="L402" s="40">
        <v>9.85</v>
      </c>
      <c r="M402" s="40">
        <v>203867.96</v>
      </c>
      <c r="N402" s="40">
        <f t="shared" si="12"/>
        <v>9.85</v>
      </c>
    </row>
    <row r="403" spans="1:14" ht="12.75" hidden="1" customHeight="1" x14ac:dyDescent="0.2">
      <c r="A403">
        <v>65061</v>
      </c>
      <c r="B403" s="3" t="s">
        <v>1844</v>
      </c>
      <c r="C403" s="7" t="s">
        <v>1685</v>
      </c>
      <c r="D403" s="7" t="s">
        <v>242</v>
      </c>
      <c r="F403" s="7" t="s">
        <v>1853</v>
      </c>
      <c r="G403" s="7" t="s">
        <v>1568</v>
      </c>
      <c r="H403" s="7" t="s">
        <v>1362</v>
      </c>
      <c r="I403" s="7" t="s">
        <v>1253</v>
      </c>
      <c r="K403" s="39" t="s">
        <v>225</v>
      </c>
      <c r="L403" s="40">
        <v>-66.97</v>
      </c>
      <c r="M403" s="40">
        <v>203800.99</v>
      </c>
      <c r="N403" s="40">
        <f t="shared" si="12"/>
        <v>-66.97</v>
      </c>
    </row>
    <row r="404" spans="1:14" ht="12.75" hidden="1" customHeight="1" x14ac:dyDescent="0.2">
      <c r="A404">
        <v>65061</v>
      </c>
      <c r="B404" s="3" t="s">
        <v>1844</v>
      </c>
      <c r="C404" s="7" t="s">
        <v>1685</v>
      </c>
      <c r="D404" s="7" t="s">
        <v>221</v>
      </c>
      <c r="F404" s="7" t="s">
        <v>1849</v>
      </c>
      <c r="G404" s="7" t="s">
        <v>1568</v>
      </c>
      <c r="H404" s="7" t="s">
        <v>1362</v>
      </c>
      <c r="I404" s="7" t="s">
        <v>1253</v>
      </c>
      <c r="K404" s="39" t="s">
        <v>225</v>
      </c>
      <c r="L404" s="40">
        <v>13.39</v>
      </c>
      <c r="M404" s="40">
        <v>203814.38</v>
      </c>
      <c r="N404" s="40">
        <f t="shared" si="12"/>
        <v>13.39</v>
      </c>
    </row>
    <row r="405" spans="1:14" ht="12.75" hidden="1" customHeight="1" x14ac:dyDescent="0.2">
      <c r="A405">
        <v>65061</v>
      </c>
      <c r="B405" s="3" t="s">
        <v>1844</v>
      </c>
      <c r="C405" s="7" t="s">
        <v>1685</v>
      </c>
      <c r="D405" s="7" t="s">
        <v>200</v>
      </c>
      <c r="E405" s="7">
        <v>1122</v>
      </c>
      <c r="F405" s="7" t="s">
        <v>1854</v>
      </c>
      <c r="G405" s="7" t="s">
        <v>1568</v>
      </c>
      <c r="H405" s="7" t="s">
        <v>1362</v>
      </c>
      <c r="I405" s="7" t="s">
        <v>1253</v>
      </c>
      <c r="K405" s="39" t="s">
        <v>225</v>
      </c>
      <c r="L405" s="40">
        <v>32.42</v>
      </c>
      <c r="M405" s="40">
        <v>203846.8</v>
      </c>
      <c r="N405" s="40">
        <f t="shared" si="12"/>
        <v>32.42</v>
      </c>
    </row>
    <row r="406" spans="1:14" ht="12.75" hidden="1" customHeight="1" x14ac:dyDescent="0.2">
      <c r="A406">
        <v>65061</v>
      </c>
      <c r="B406" s="3" t="s">
        <v>1844</v>
      </c>
      <c r="C406" s="7" t="s">
        <v>1685</v>
      </c>
      <c r="D406" s="7" t="s">
        <v>221</v>
      </c>
      <c r="F406" s="7" t="s">
        <v>564</v>
      </c>
      <c r="G406" s="7" t="s">
        <v>1568</v>
      </c>
      <c r="H406" s="7" t="s">
        <v>1362</v>
      </c>
      <c r="I406" s="7" t="s">
        <v>1253</v>
      </c>
      <c r="K406" s="39" t="s">
        <v>225</v>
      </c>
      <c r="L406" s="40">
        <v>20.36</v>
      </c>
      <c r="M406" s="40">
        <v>203895.94</v>
      </c>
      <c r="N406" s="40">
        <f t="shared" si="12"/>
        <v>20.36</v>
      </c>
    </row>
    <row r="407" spans="1:14" ht="12.75" hidden="1" customHeight="1" x14ac:dyDescent="0.2">
      <c r="A407">
        <v>65061</v>
      </c>
      <c r="B407" s="3" t="s">
        <v>1844</v>
      </c>
      <c r="C407" s="7" t="s">
        <v>1686</v>
      </c>
      <c r="D407" s="7" t="s">
        <v>200</v>
      </c>
      <c r="E407" s="7">
        <v>1129</v>
      </c>
      <c r="F407" s="7" t="s">
        <v>564</v>
      </c>
      <c r="G407" s="7" t="s">
        <v>1568</v>
      </c>
      <c r="H407" s="7" t="s">
        <v>1362</v>
      </c>
      <c r="I407" s="7" t="s">
        <v>1253</v>
      </c>
      <c r="K407" s="39" t="s">
        <v>225</v>
      </c>
      <c r="L407" s="40">
        <v>1345.68</v>
      </c>
      <c r="M407" s="40">
        <v>205722.78</v>
      </c>
      <c r="N407" s="40">
        <f t="shared" si="12"/>
        <v>1345.68</v>
      </c>
    </row>
    <row r="408" spans="1:14" ht="12.75" hidden="1" customHeight="1" x14ac:dyDescent="0.2">
      <c r="A408">
        <v>65061</v>
      </c>
      <c r="B408" s="3" t="s">
        <v>1844</v>
      </c>
      <c r="C408" s="7" t="s">
        <v>1686</v>
      </c>
      <c r="D408" s="7" t="s">
        <v>221</v>
      </c>
      <c r="F408" s="7" t="s">
        <v>822</v>
      </c>
      <c r="G408" s="7" t="s">
        <v>1568</v>
      </c>
      <c r="H408" s="7" t="s">
        <v>1362</v>
      </c>
      <c r="I408" s="7" t="s">
        <v>1253</v>
      </c>
      <c r="K408" s="39" t="s">
        <v>225</v>
      </c>
      <c r="L408" s="40">
        <v>134.07</v>
      </c>
      <c r="M408" s="40">
        <v>205856.85</v>
      </c>
      <c r="N408" s="40">
        <f t="shared" si="12"/>
        <v>134.07</v>
      </c>
    </row>
    <row r="409" spans="1:14" ht="12.75" hidden="1" customHeight="1" x14ac:dyDescent="0.2">
      <c r="A409">
        <v>65061</v>
      </c>
      <c r="B409" s="3" t="s">
        <v>1844</v>
      </c>
      <c r="C409" s="7" t="s">
        <v>1686</v>
      </c>
      <c r="D409" s="7" t="s">
        <v>221</v>
      </c>
      <c r="F409" s="7" t="s">
        <v>570</v>
      </c>
      <c r="G409" s="7" t="s">
        <v>1568</v>
      </c>
      <c r="H409" s="7" t="s">
        <v>1362</v>
      </c>
      <c r="I409" s="7" t="s">
        <v>1253</v>
      </c>
      <c r="K409" s="39" t="s">
        <v>225</v>
      </c>
      <c r="L409" s="40">
        <v>73.62</v>
      </c>
      <c r="M409" s="40">
        <v>205930.47</v>
      </c>
      <c r="N409" s="40">
        <f t="shared" si="12"/>
        <v>73.62</v>
      </c>
    </row>
    <row r="410" spans="1:14" ht="12.75" hidden="1" customHeight="1" x14ac:dyDescent="0.2">
      <c r="A410">
        <v>65061</v>
      </c>
      <c r="B410" s="3" t="s">
        <v>1844</v>
      </c>
      <c r="C410" s="7" t="s">
        <v>1649</v>
      </c>
      <c r="D410" s="7" t="s">
        <v>221</v>
      </c>
      <c r="F410" s="7" t="s">
        <v>1849</v>
      </c>
      <c r="G410" s="7" t="s">
        <v>1568</v>
      </c>
      <c r="H410" s="7" t="s">
        <v>1362</v>
      </c>
      <c r="I410" s="7" t="s">
        <v>1253</v>
      </c>
      <c r="K410" s="39" t="s">
        <v>225</v>
      </c>
      <c r="L410" s="40">
        <v>14.09</v>
      </c>
      <c r="M410" s="40">
        <v>208259.24</v>
      </c>
      <c r="N410" s="40">
        <f t="shared" si="12"/>
        <v>14.09</v>
      </c>
    </row>
    <row r="411" spans="1:14" ht="12.75" hidden="1" customHeight="1" x14ac:dyDescent="0.2">
      <c r="A411">
        <v>65061</v>
      </c>
      <c r="B411" s="3" t="s">
        <v>1844</v>
      </c>
      <c r="C411" s="7" t="s">
        <v>1649</v>
      </c>
      <c r="D411" s="7" t="s">
        <v>221</v>
      </c>
      <c r="F411" s="7" t="s">
        <v>626</v>
      </c>
      <c r="G411" s="7" t="s">
        <v>1568</v>
      </c>
      <c r="H411" s="7" t="s">
        <v>1362</v>
      </c>
      <c r="I411" s="7" t="s">
        <v>1253</v>
      </c>
      <c r="K411" s="39" t="s">
        <v>225</v>
      </c>
      <c r="L411" s="40">
        <v>161.19</v>
      </c>
      <c r="M411" s="40">
        <v>208420.43</v>
      </c>
      <c r="N411" s="40">
        <f t="shared" si="12"/>
        <v>161.19</v>
      </c>
    </row>
    <row r="412" spans="1:14" ht="12.75" hidden="1" customHeight="1" x14ac:dyDescent="0.2">
      <c r="A412">
        <v>65061</v>
      </c>
      <c r="B412" s="3" t="s">
        <v>1844</v>
      </c>
      <c r="C412" s="7" t="s">
        <v>1649</v>
      </c>
      <c r="D412" s="7" t="s">
        <v>221</v>
      </c>
      <c r="F412" s="7" t="s">
        <v>626</v>
      </c>
      <c r="G412" s="7" t="s">
        <v>1568</v>
      </c>
      <c r="H412" s="7" t="s">
        <v>1362</v>
      </c>
      <c r="I412" s="7" t="s">
        <v>1253</v>
      </c>
      <c r="K412" s="39" t="s">
        <v>225</v>
      </c>
      <c r="L412" s="40">
        <v>56.94</v>
      </c>
      <c r="M412" s="40">
        <v>208477.37</v>
      </c>
      <c r="N412" s="40">
        <f t="shared" si="12"/>
        <v>56.94</v>
      </c>
    </row>
    <row r="413" spans="1:14" ht="12.75" hidden="1" customHeight="1" x14ac:dyDescent="0.2">
      <c r="A413">
        <v>65061</v>
      </c>
      <c r="B413" s="3" t="s">
        <v>1844</v>
      </c>
      <c r="C413" s="7" t="s">
        <v>1649</v>
      </c>
      <c r="D413" s="7" t="s">
        <v>221</v>
      </c>
      <c r="F413" s="7" t="s">
        <v>1849</v>
      </c>
      <c r="G413" s="7" t="s">
        <v>1568</v>
      </c>
      <c r="H413" s="7" t="s">
        <v>1362</v>
      </c>
      <c r="I413" s="7" t="s">
        <v>1253</v>
      </c>
      <c r="K413" s="39" t="s">
        <v>225</v>
      </c>
      <c r="L413" s="40">
        <v>9.2899999999999991</v>
      </c>
      <c r="M413" s="40">
        <v>208486.66</v>
      </c>
      <c r="N413" s="40">
        <f t="shared" si="12"/>
        <v>9.2899999999999991</v>
      </c>
    </row>
    <row r="414" spans="1:14" ht="12.75" hidden="1" customHeight="1" x14ac:dyDescent="0.2">
      <c r="A414">
        <v>65061</v>
      </c>
      <c r="B414" s="3" t="s">
        <v>1844</v>
      </c>
      <c r="C414" s="7" t="s">
        <v>1649</v>
      </c>
      <c r="D414" s="7" t="s">
        <v>221</v>
      </c>
      <c r="F414" s="7" t="s">
        <v>689</v>
      </c>
      <c r="G414" s="7" t="s">
        <v>1568</v>
      </c>
      <c r="H414" s="7" t="s">
        <v>1362</v>
      </c>
      <c r="I414" s="7" t="s">
        <v>1253</v>
      </c>
      <c r="K414" s="39" t="s">
        <v>225</v>
      </c>
      <c r="L414" s="40">
        <v>24.52</v>
      </c>
      <c r="M414" s="40">
        <v>208511.18</v>
      </c>
      <c r="N414" s="40">
        <f t="shared" si="12"/>
        <v>24.52</v>
      </c>
    </row>
    <row r="415" spans="1:14" ht="12.75" hidden="1" customHeight="1" x14ac:dyDescent="0.2">
      <c r="A415">
        <v>65061</v>
      </c>
      <c r="B415" s="3" t="s">
        <v>1844</v>
      </c>
      <c r="C415" s="7" t="s">
        <v>1856</v>
      </c>
      <c r="D415" s="7" t="s">
        <v>221</v>
      </c>
      <c r="F415" s="7" t="s">
        <v>548</v>
      </c>
      <c r="G415" s="7" t="s">
        <v>1568</v>
      </c>
      <c r="H415" s="7" t="s">
        <v>1362</v>
      </c>
      <c r="I415" s="7" t="s">
        <v>1253</v>
      </c>
      <c r="K415" s="39" t="s">
        <v>225</v>
      </c>
      <c r="L415" s="40">
        <v>24.87</v>
      </c>
      <c r="M415" s="40">
        <v>209552.27</v>
      </c>
      <c r="N415" s="40">
        <f t="shared" ref="N415:N446" si="13">+L415</f>
        <v>24.87</v>
      </c>
    </row>
    <row r="416" spans="1:14" ht="12.75" hidden="1" customHeight="1" x14ac:dyDescent="0.2">
      <c r="A416">
        <v>65061</v>
      </c>
      <c r="B416" s="3" t="s">
        <v>1844</v>
      </c>
      <c r="C416" s="7" t="s">
        <v>1856</v>
      </c>
      <c r="D416" s="7" t="s">
        <v>221</v>
      </c>
      <c r="F416" s="7" t="s">
        <v>1849</v>
      </c>
      <c r="G416" s="7" t="s">
        <v>1568</v>
      </c>
      <c r="H416" s="7" t="s">
        <v>1362</v>
      </c>
      <c r="I416" s="7" t="s">
        <v>1253</v>
      </c>
      <c r="K416" s="39" t="s">
        <v>225</v>
      </c>
      <c r="L416" s="40">
        <v>37.4</v>
      </c>
      <c r="M416" s="40">
        <v>209535.56</v>
      </c>
      <c r="N416" s="40">
        <f t="shared" si="13"/>
        <v>37.4</v>
      </c>
    </row>
    <row r="417" spans="1:14" ht="12.75" hidden="1" customHeight="1" x14ac:dyDescent="0.2">
      <c r="A417">
        <v>65061</v>
      </c>
      <c r="B417" s="3" t="s">
        <v>1844</v>
      </c>
      <c r="C417" s="7" t="s">
        <v>1856</v>
      </c>
      <c r="D417" s="7" t="s">
        <v>221</v>
      </c>
      <c r="F417" s="7" t="s">
        <v>564</v>
      </c>
      <c r="G417" s="7" t="s">
        <v>1568</v>
      </c>
      <c r="H417" s="7" t="s">
        <v>1362</v>
      </c>
      <c r="I417" s="7" t="s">
        <v>1253</v>
      </c>
      <c r="K417" s="39" t="s">
        <v>225</v>
      </c>
      <c r="L417" s="40">
        <v>44</v>
      </c>
      <c r="M417" s="40">
        <v>209579.56</v>
      </c>
      <c r="N417" s="40">
        <f t="shared" si="13"/>
        <v>44</v>
      </c>
    </row>
    <row r="418" spans="1:14" ht="12.75" hidden="1" customHeight="1" x14ac:dyDescent="0.2">
      <c r="A418">
        <v>65061</v>
      </c>
      <c r="B418" s="3" t="s">
        <v>1844</v>
      </c>
      <c r="C418" s="7" t="s">
        <v>1856</v>
      </c>
      <c r="D418" s="7" t="s">
        <v>221</v>
      </c>
      <c r="F418" s="7" t="s">
        <v>827</v>
      </c>
      <c r="G418" s="7" t="s">
        <v>1568</v>
      </c>
      <c r="H418" s="7" t="s">
        <v>1362</v>
      </c>
      <c r="I418" s="7" t="s">
        <v>1253</v>
      </c>
      <c r="K418" s="39" t="s">
        <v>225</v>
      </c>
      <c r="L418" s="40">
        <v>34.53</v>
      </c>
      <c r="M418" s="40">
        <v>209614.09</v>
      </c>
      <c r="N418" s="40">
        <f t="shared" si="13"/>
        <v>34.53</v>
      </c>
    </row>
    <row r="419" spans="1:14" ht="12.75" hidden="1" customHeight="1" x14ac:dyDescent="0.2">
      <c r="A419">
        <v>65061</v>
      </c>
      <c r="B419" s="3" t="s">
        <v>1844</v>
      </c>
      <c r="C419" s="7" t="s">
        <v>1856</v>
      </c>
      <c r="D419" s="7" t="s">
        <v>221</v>
      </c>
      <c r="F419" s="7" t="s">
        <v>241</v>
      </c>
      <c r="G419" s="7" t="s">
        <v>1568</v>
      </c>
      <c r="H419" s="7" t="s">
        <v>1362</v>
      </c>
      <c r="I419" s="7" t="s">
        <v>1253</v>
      </c>
      <c r="K419" s="39" t="s">
        <v>225</v>
      </c>
      <c r="L419" s="40">
        <v>73.459999999999994</v>
      </c>
      <c r="M419" s="40">
        <v>209687.55</v>
      </c>
      <c r="N419" s="40">
        <f t="shared" si="13"/>
        <v>73.459999999999994</v>
      </c>
    </row>
    <row r="420" spans="1:14" ht="12.75" hidden="1" customHeight="1" x14ac:dyDescent="0.2">
      <c r="A420">
        <v>65061</v>
      </c>
      <c r="B420" s="3" t="s">
        <v>1844</v>
      </c>
      <c r="C420" s="7" t="s">
        <v>1562</v>
      </c>
      <c r="D420" s="7" t="s">
        <v>200</v>
      </c>
      <c r="E420" s="7">
        <v>1130</v>
      </c>
      <c r="F420" s="7" t="s">
        <v>1857</v>
      </c>
      <c r="G420" s="7" t="s">
        <v>1568</v>
      </c>
      <c r="H420" s="7" t="s">
        <v>1362</v>
      </c>
      <c r="I420" s="7" t="s">
        <v>1253</v>
      </c>
      <c r="K420" s="39" t="s">
        <v>225</v>
      </c>
      <c r="L420" s="40">
        <v>111.17</v>
      </c>
      <c r="M420" s="40">
        <v>212506.44</v>
      </c>
      <c r="N420" s="40">
        <f t="shared" si="13"/>
        <v>111.17</v>
      </c>
    </row>
    <row r="421" spans="1:14" ht="12.75" hidden="1" customHeight="1" x14ac:dyDescent="0.2">
      <c r="A421">
        <v>65061</v>
      </c>
      <c r="B421" s="3" t="s">
        <v>1844</v>
      </c>
      <c r="C421" s="7" t="s">
        <v>1562</v>
      </c>
      <c r="D421" s="7" t="s">
        <v>221</v>
      </c>
      <c r="F421" s="7" t="s">
        <v>546</v>
      </c>
      <c r="G421" s="7" t="s">
        <v>1568</v>
      </c>
      <c r="H421" s="7" t="s">
        <v>1362</v>
      </c>
      <c r="I421" s="7" t="s">
        <v>1253</v>
      </c>
      <c r="K421" s="39" t="s">
        <v>225</v>
      </c>
      <c r="L421" s="40">
        <v>25.05</v>
      </c>
      <c r="M421" s="40">
        <v>212531.49</v>
      </c>
      <c r="N421" s="40">
        <f t="shared" si="13"/>
        <v>25.05</v>
      </c>
    </row>
    <row r="422" spans="1:14" ht="12.75" hidden="1" customHeight="1" x14ac:dyDescent="0.2">
      <c r="A422">
        <v>65061</v>
      </c>
      <c r="B422" s="3" t="s">
        <v>1844</v>
      </c>
      <c r="C422" s="7" t="s">
        <v>1562</v>
      </c>
      <c r="D422" s="7" t="s">
        <v>221</v>
      </c>
      <c r="F422" s="7" t="s">
        <v>595</v>
      </c>
      <c r="G422" s="7" t="s">
        <v>1568</v>
      </c>
      <c r="H422" s="7" t="s">
        <v>1362</v>
      </c>
      <c r="I422" s="7" t="s">
        <v>1253</v>
      </c>
      <c r="K422" s="39" t="s">
        <v>225</v>
      </c>
      <c r="L422" s="40">
        <v>36.869999999999997</v>
      </c>
      <c r="M422" s="40">
        <v>212568.36</v>
      </c>
      <c r="N422" s="40">
        <f t="shared" si="13"/>
        <v>36.869999999999997</v>
      </c>
    </row>
    <row r="423" spans="1:14" ht="12.75" hidden="1" customHeight="1" x14ac:dyDescent="0.2">
      <c r="A423">
        <v>65061</v>
      </c>
      <c r="B423" s="3" t="s">
        <v>1844</v>
      </c>
      <c r="C423" s="7" t="s">
        <v>1562</v>
      </c>
      <c r="D423" s="7" t="s">
        <v>221</v>
      </c>
      <c r="F423" s="7" t="s">
        <v>634</v>
      </c>
      <c r="G423" s="7" t="s">
        <v>1568</v>
      </c>
      <c r="H423" s="7" t="s">
        <v>1362</v>
      </c>
      <c r="I423" s="7" t="s">
        <v>1253</v>
      </c>
      <c r="K423" s="39" t="s">
        <v>225</v>
      </c>
      <c r="L423" s="40">
        <v>22.85</v>
      </c>
      <c r="M423" s="40">
        <v>212591.21</v>
      </c>
      <c r="N423" s="40">
        <f t="shared" si="13"/>
        <v>22.85</v>
      </c>
    </row>
    <row r="424" spans="1:14" ht="12.75" hidden="1" customHeight="1" x14ac:dyDescent="0.2">
      <c r="A424">
        <v>65061</v>
      </c>
      <c r="B424" s="3" t="s">
        <v>1844</v>
      </c>
      <c r="C424" s="7" t="s">
        <v>1562</v>
      </c>
      <c r="D424" s="7" t="s">
        <v>221</v>
      </c>
      <c r="F424" s="7" t="s">
        <v>1858</v>
      </c>
      <c r="G424" s="7" t="s">
        <v>1568</v>
      </c>
      <c r="H424" s="7" t="s">
        <v>1362</v>
      </c>
      <c r="I424" s="7" t="s">
        <v>1253</v>
      </c>
      <c r="K424" s="39" t="s">
        <v>225</v>
      </c>
      <c r="L424" s="40">
        <v>91.25</v>
      </c>
      <c r="M424" s="40">
        <v>212682.46</v>
      </c>
      <c r="N424" s="40">
        <f t="shared" si="13"/>
        <v>91.25</v>
      </c>
    </row>
    <row r="425" spans="1:14" ht="12.75" hidden="1" customHeight="1" x14ac:dyDescent="0.2">
      <c r="A425">
        <v>65061</v>
      </c>
      <c r="B425" s="3" t="s">
        <v>1844</v>
      </c>
      <c r="C425" s="7" t="s">
        <v>1562</v>
      </c>
      <c r="D425" s="7" t="s">
        <v>221</v>
      </c>
      <c r="F425" s="7" t="s">
        <v>1859</v>
      </c>
      <c r="G425" s="7" t="s">
        <v>1568</v>
      </c>
      <c r="H425" s="7" t="s">
        <v>1362</v>
      </c>
      <c r="I425" s="7" t="s">
        <v>1253</v>
      </c>
      <c r="K425" s="39" t="s">
        <v>225</v>
      </c>
      <c r="L425" s="40">
        <v>43.9</v>
      </c>
      <c r="M425" s="40">
        <v>212726.36</v>
      </c>
      <c r="N425" s="40">
        <f t="shared" si="13"/>
        <v>43.9</v>
      </c>
    </row>
    <row r="426" spans="1:14" ht="12.75" hidden="1" customHeight="1" x14ac:dyDescent="0.2">
      <c r="A426">
        <v>65061</v>
      </c>
      <c r="B426" s="3" t="s">
        <v>1844</v>
      </c>
      <c r="C426" s="7" t="s">
        <v>1562</v>
      </c>
      <c r="D426" s="7" t="s">
        <v>221</v>
      </c>
      <c r="F426" s="7" t="s">
        <v>1860</v>
      </c>
      <c r="G426" s="7" t="s">
        <v>1568</v>
      </c>
      <c r="H426" s="7" t="s">
        <v>1362</v>
      </c>
      <c r="I426" s="7" t="s">
        <v>1253</v>
      </c>
      <c r="K426" s="39" t="s">
        <v>225</v>
      </c>
      <c r="L426" s="40">
        <v>76.3</v>
      </c>
      <c r="M426" s="40">
        <v>212802.66</v>
      </c>
      <c r="N426" s="40">
        <f t="shared" si="13"/>
        <v>76.3</v>
      </c>
    </row>
    <row r="427" spans="1:14" ht="12.75" hidden="1" customHeight="1" x14ac:dyDescent="0.2">
      <c r="A427">
        <v>65061</v>
      </c>
      <c r="B427" s="3" t="s">
        <v>1844</v>
      </c>
      <c r="C427" s="7" t="s">
        <v>1562</v>
      </c>
      <c r="D427" s="7" t="s">
        <v>221</v>
      </c>
      <c r="F427" s="7" t="s">
        <v>726</v>
      </c>
      <c r="G427" s="7" t="s">
        <v>1568</v>
      </c>
      <c r="H427" s="7" t="s">
        <v>1362</v>
      </c>
      <c r="I427" s="7" t="s">
        <v>1253</v>
      </c>
      <c r="K427" s="39" t="s">
        <v>225</v>
      </c>
      <c r="L427" s="40">
        <v>68.78</v>
      </c>
      <c r="M427" s="40">
        <v>212871.44</v>
      </c>
      <c r="N427" s="40">
        <f t="shared" si="13"/>
        <v>68.78</v>
      </c>
    </row>
    <row r="428" spans="1:14" ht="12.75" hidden="1" customHeight="1" x14ac:dyDescent="0.2">
      <c r="A428">
        <v>65061</v>
      </c>
      <c r="B428" s="3" t="s">
        <v>1844</v>
      </c>
      <c r="C428" s="7" t="s">
        <v>1562</v>
      </c>
      <c r="D428" s="7" t="s">
        <v>221</v>
      </c>
      <c r="F428" s="7" t="s">
        <v>626</v>
      </c>
      <c r="G428" s="7" t="s">
        <v>1568</v>
      </c>
      <c r="H428" s="7" t="s">
        <v>1362</v>
      </c>
      <c r="I428" s="7" t="s">
        <v>1253</v>
      </c>
      <c r="K428" s="39" t="s">
        <v>225</v>
      </c>
      <c r="L428" s="40">
        <v>145.38999999999999</v>
      </c>
      <c r="M428" s="40">
        <v>213016.83</v>
      </c>
      <c r="N428" s="40">
        <f t="shared" si="13"/>
        <v>145.38999999999999</v>
      </c>
    </row>
    <row r="429" spans="1:14" ht="12.75" hidden="1" customHeight="1" x14ac:dyDescent="0.2">
      <c r="A429">
        <v>65061</v>
      </c>
      <c r="B429" s="3" t="s">
        <v>1844</v>
      </c>
      <c r="C429" s="7" t="s">
        <v>1562</v>
      </c>
      <c r="D429" s="7" t="s">
        <v>221</v>
      </c>
      <c r="F429" s="7" t="s">
        <v>241</v>
      </c>
      <c r="G429" s="7" t="s">
        <v>1568</v>
      </c>
      <c r="H429" s="7" t="s">
        <v>1362</v>
      </c>
      <c r="I429" s="7" t="s">
        <v>1253</v>
      </c>
      <c r="K429" s="39" t="s">
        <v>225</v>
      </c>
      <c r="L429" s="40">
        <v>187.03</v>
      </c>
      <c r="M429" s="40">
        <v>213203.86</v>
      </c>
      <c r="N429" s="40">
        <f t="shared" si="13"/>
        <v>187.03</v>
      </c>
    </row>
    <row r="430" spans="1:14" ht="12.75" hidden="1" customHeight="1" x14ac:dyDescent="0.2">
      <c r="A430">
        <v>65061</v>
      </c>
      <c r="B430" s="3" t="s">
        <v>1844</v>
      </c>
      <c r="C430" s="7" t="s">
        <v>1562</v>
      </c>
      <c r="D430" s="7" t="s">
        <v>221</v>
      </c>
      <c r="F430" s="7" t="s">
        <v>564</v>
      </c>
      <c r="G430" s="7" t="s">
        <v>1568</v>
      </c>
      <c r="H430" s="7" t="s">
        <v>1362</v>
      </c>
      <c r="I430" s="7" t="s">
        <v>1253</v>
      </c>
      <c r="K430" s="39" t="s">
        <v>225</v>
      </c>
      <c r="L430" s="40">
        <v>71.92</v>
      </c>
      <c r="M430" s="40">
        <v>213275.78</v>
      </c>
      <c r="N430" s="40">
        <f t="shared" si="13"/>
        <v>71.92</v>
      </c>
    </row>
    <row r="431" spans="1:14" ht="12.75" hidden="1" customHeight="1" x14ac:dyDescent="0.2">
      <c r="A431">
        <v>65061</v>
      </c>
      <c r="B431" s="3" t="s">
        <v>1844</v>
      </c>
      <c r="C431" s="7" t="s">
        <v>1562</v>
      </c>
      <c r="D431" s="7" t="s">
        <v>221</v>
      </c>
      <c r="F431" s="7" t="s">
        <v>564</v>
      </c>
      <c r="G431" s="7" t="s">
        <v>1568</v>
      </c>
      <c r="H431" s="7" t="s">
        <v>1362</v>
      </c>
      <c r="I431" s="7" t="s">
        <v>1253</v>
      </c>
      <c r="K431" s="39" t="s">
        <v>225</v>
      </c>
      <c r="L431" s="40">
        <v>28.5</v>
      </c>
      <c r="M431" s="40">
        <v>213304.28</v>
      </c>
      <c r="N431" s="40">
        <f t="shared" si="13"/>
        <v>28.5</v>
      </c>
    </row>
    <row r="432" spans="1:14" ht="12.75" hidden="1" customHeight="1" x14ac:dyDescent="0.2">
      <c r="A432">
        <v>65061</v>
      </c>
      <c r="B432" s="3" t="s">
        <v>1844</v>
      </c>
      <c r="C432" s="7" t="s">
        <v>1562</v>
      </c>
      <c r="D432" s="7" t="s">
        <v>221</v>
      </c>
      <c r="F432" s="7" t="s">
        <v>352</v>
      </c>
      <c r="G432" s="7" t="s">
        <v>1568</v>
      </c>
      <c r="H432" s="7" t="s">
        <v>1362</v>
      </c>
      <c r="I432" s="7" t="s">
        <v>1253</v>
      </c>
      <c r="K432" s="39" t="s">
        <v>225</v>
      </c>
      <c r="L432" s="40">
        <v>30.01</v>
      </c>
      <c r="M432" s="40">
        <v>213334.29</v>
      </c>
      <c r="N432" s="40">
        <f t="shared" si="13"/>
        <v>30.01</v>
      </c>
    </row>
    <row r="433" spans="1:14" ht="12.75" hidden="1" customHeight="1" x14ac:dyDescent="0.2">
      <c r="A433">
        <v>65061</v>
      </c>
      <c r="B433" s="3" t="s">
        <v>1844</v>
      </c>
      <c r="C433" s="7" t="s">
        <v>1562</v>
      </c>
      <c r="D433" s="7" t="s">
        <v>221</v>
      </c>
      <c r="F433" s="7" t="s">
        <v>648</v>
      </c>
      <c r="G433" s="7" t="s">
        <v>1568</v>
      </c>
      <c r="H433" s="7" t="s">
        <v>1362</v>
      </c>
      <c r="I433" s="7" t="s">
        <v>1253</v>
      </c>
      <c r="K433" s="39" t="s">
        <v>225</v>
      </c>
      <c r="L433" s="40">
        <v>21.69</v>
      </c>
      <c r="M433" s="40">
        <v>213355.98</v>
      </c>
      <c r="N433" s="40">
        <f t="shared" si="13"/>
        <v>21.69</v>
      </c>
    </row>
    <row r="434" spans="1:14" ht="12.75" hidden="1" customHeight="1" x14ac:dyDescent="0.2">
      <c r="A434">
        <v>65061</v>
      </c>
      <c r="B434" s="3" t="s">
        <v>1844</v>
      </c>
      <c r="C434" s="7" t="s">
        <v>1562</v>
      </c>
      <c r="D434" s="7" t="s">
        <v>221</v>
      </c>
      <c r="F434" s="7" t="s">
        <v>634</v>
      </c>
      <c r="G434" s="7" t="s">
        <v>1568</v>
      </c>
      <c r="H434" s="7" t="s">
        <v>1362</v>
      </c>
      <c r="I434" s="7" t="s">
        <v>1253</v>
      </c>
      <c r="K434" s="39" t="s">
        <v>225</v>
      </c>
      <c r="L434" s="40">
        <v>37.04</v>
      </c>
      <c r="M434" s="40">
        <v>213393.02</v>
      </c>
      <c r="N434" s="40">
        <f t="shared" si="13"/>
        <v>37.04</v>
      </c>
    </row>
    <row r="435" spans="1:14" ht="12.75" hidden="1" customHeight="1" x14ac:dyDescent="0.2">
      <c r="A435">
        <v>65061</v>
      </c>
      <c r="B435" s="3" t="s">
        <v>1844</v>
      </c>
      <c r="C435" s="7" t="s">
        <v>1562</v>
      </c>
      <c r="D435" s="7" t="s">
        <v>221</v>
      </c>
      <c r="F435" s="7" t="s">
        <v>595</v>
      </c>
      <c r="G435" s="7" t="s">
        <v>1568</v>
      </c>
      <c r="H435" s="7" t="s">
        <v>1362</v>
      </c>
      <c r="I435" s="7" t="s">
        <v>1253</v>
      </c>
      <c r="K435" s="39" t="s">
        <v>225</v>
      </c>
      <c r="L435" s="40">
        <v>32.53</v>
      </c>
      <c r="M435" s="40">
        <v>213425.55</v>
      </c>
      <c r="N435" s="40">
        <f t="shared" si="13"/>
        <v>32.53</v>
      </c>
    </row>
    <row r="436" spans="1:14" ht="12.75" hidden="1" customHeight="1" x14ac:dyDescent="0.2">
      <c r="A436">
        <v>65061</v>
      </c>
      <c r="B436" s="3" t="s">
        <v>1844</v>
      </c>
      <c r="C436" s="7" t="s">
        <v>1562</v>
      </c>
      <c r="D436" s="7" t="s">
        <v>221</v>
      </c>
      <c r="F436" s="7" t="s">
        <v>564</v>
      </c>
      <c r="G436" s="7" t="s">
        <v>1568</v>
      </c>
      <c r="H436" s="7" t="s">
        <v>1362</v>
      </c>
      <c r="I436" s="7" t="s">
        <v>1253</v>
      </c>
      <c r="K436" s="39" t="s">
        <v>225</v>
      </c>
      <c r="L436" s="40">
        <v>21.85</v>
      </c>
      <c r="M436" s="40">
        <v>213447.4</v>
      </c>
      <c r="N436" s="40">
        <f t="shared" si="13"/>
        <v>21.85</v>
      </c>
    </row>
    <row r="437" spans="1:14" ht="12.75" hidden="1" customHeight="1" x14ac:dyDescent="0.2">
      <c r="A437">
        <v>65061</v>
      </c>
      <c r="B437" s="3" t="s">
        <v>1844</v>
      </c>
      <c r="C437" s="7" t="s">
        <v>1562</v>
      </c>
      <c r="D437" s="7" t="s">
        <v>221</v>
      </c>
      <c r="F437" s="7" t="s">
        <v>634</v>
      </c>
      <c r="G437" s="7" t="s">
        <v>1568</v>
      </c>
      <c r="H437" s="7" t="s">
        <v>1362</v>
      </c>
      <c r="I437" s="7" t="s">
        <v>1253</v>
      </c>
      <c r="K437" s="39" t="s">
        <v>225</v>
      </c>
      <c r="L437" s="40">
        <v>18.52</v>
      </c>
      <c r="M437" s="40">
        <v>213465.92</v>
      </c>
      <c r="N437" s="40">
        <f t="shared" si="13"/>
        <v>18.52</v>
      </c>
    </row>
    <row r="438" spans="1:14" ht="12.75" hidden="1" customHeight="1" x14ac:dyDescent="0.2">
      <c r="A438">
        <v>65061</v>
      </c>
      <c r="B438" s="3" t="s">
        <v>1844</v>
      </c>
      <c r="C438" s="7" t="s">
        <v>1562</v>
      </c>
      <c r="D438" s="7" t="s">
        <v>221</v>
      </c>
      <c r="F438" s="7" t="s">
        <v>1859</v>
      </c>
      <c r="G438" s="7" t="s">
        <v>1568</v>
      </c>
      <c r="H438" s="7" t="s">
        <v>1362</v>
      </c>
      <c r="I438" s="7" t="s">
        <v>1253</v>
      </c>
      <c r="K438" s="39" t="s">
        <v>225</v>
      </c>
      <c r="L438" s="40">
        <v>52.05</v>
      </c>
      <c r="M438" s="40">
        <v>213517.97</v>
      </c>
      <c r="N438" s="40">
        <f t="shared" si="13"/>
        <v>52.05</v>
      </c>
    </row>
    <row r="439" spans="1:14" ht="12.75" hidden="1" customHeight="1" x14ac:dyDescent="0.2">
      <c r="A439">
        <v>65061</v>
      </c>
      <c r="B439" s="3" t="s">
        <v>1844</v>
      </c>
      <c r="C439" s="7" t="s">
        <v>1562</v>
      </c>
      <c r="D439" s="7" t="s">
        <v>221</v>
      </c>
      <c r="F439" s="7" t="s">
        <v>564</v>
      </c>
      <c r="G439" s="7" t="s">
        <v>1568</v>
      </c>
      <c r="H439" s="7" t="s">
        <v>1362</v>
      </c>
      <c r="I439" s="7" t="s">
        <v>1253</v>
      </c>
      <c r="K439" s="39" t="s">
        <v>225</v>
      </c>
      <c r="L439" s="40">
        <v>11.88</v>
      </c>
      <c r="M439" s="40">
        <v>213529.85</v>
      </c>
      <c r="N439" s="40">
        <f t="shared" si="13"/>
        <v>11.88</v>
      </c>
    </row>
    <row r="440" spans="1:14" ht="12.75" hidden="1" customHeight="1" x14ac:dyDescent="0.2">
      <c r="A440">
        <v>65061</v>
      </c>
      <c r="B440" s="3" t="s">
        <v>1844</v>
      </c>
      <c r="C440" s="7" t="s">
        <v>1562</v>
      </c>
      <c r="D440" s="7" t="s">
        <v>221</v>
      </c>
      <c r="F440" s="7" t="s">
        <v>564</v>
      </c>
      <c r="G440" s="7" t="s">
        <v>1568</v>
      </c>
      <c r="H440" s="7" t="s">
        <v>1362</v>
      </c>
      <c r="I440" s="7" t="s">
        <v>1253</v>
      </c>
      <c r="K440" s="39" t="s">
        <v>225</v>
      </c>
      <c r="L440" s="40">
        <v>35.54</v>
      </c>
      <c r="M440" s="40">
        <v>213565.39</v>
      </c>
      <c r="N440" s="40">
        <f t="shared" si="13"/>
        <v>35.54</v>
      </c>
    </row>
    <row r="441" spans="1:14" ht="12.75" hidden="1" customHeight="1" x14ac:dyDescent="0.2">
      <c r="A441">
        <v>65061</v>
      </c>
      <c r="B441" s="3" t="s">
        <v>1844</v>
      </c>
      <c r="C441" s="7" t="s">
        <v>1562</v>
      </c>
      <c r="D441" s="7" t="s">
        <v>221</v>
      </c>
      <c r="F441" s="7" t="s">
        <v>1861</v>
      </c>
      <c r="G441" s="7" t="s">
        <v>1568</v>
      </c>
      <c r="H441" s="7" t="s">
        <v>1362</v>
      </c>
      <c r="I441" s="7" t="s">
        <v>1253</v>
      </c>
      <c r="K441" s="39" t="s">
        <v>225</v>
      </c>
      <c r="L441" s="40">
        <v>64.5</v>
      </c>
      <c r="M441" s="40">
        <v>213629.89</v>
      </c>
      <c r="N441" s="40">
        <f t="shared" si="13"/>
        <v>64.5</v>
      </c>
    </row>
    <row r="442" spans="1:14" ht="12.75" hidden="1" customHeight="1" x14ac:dyDescent="0.2">
      <c r="A442">
        <v>65061</v>
      </c>
      <c r="B442" s="3" t="s">
        <v>1844</v>
      </c>
      <c r="C442" s="7" t="s">
        <v>1565</v>
      </c>
      <c r="D442" s="7" t="s">
        <v>200</v>
      </c>
      <c r="E442" s="7">
        <v>1127</v>
      </c>
      <c r="F442" s="7" t="s">
        <v>1864</v>
      </c>
      <c r="G442" s="7" t="s">
        <v>1568</v>
      </c>
      <c r="H442" s="7" t="s">
        <v>1362</v>
      </c>
      <c r="I442" s="7" t="s">
        <v>1253</v>
      </c>
      <c r="K442" s="39" t="s">
        <v>225</v>
      </c>
      <c r="L442" s="40">
        <v>85.7</v>
      </c>
      <c r="M442" s="40">
        <v>214669.03</v>
      </c>
      <c r="N442" s="40">
        <f t="shared" si="13"/>
        <v>85.7</v>
      </c>
    </row>
    <row r="443" spans="1:14" ht="12.75" hidden="1" customHeight="1" x14ac:dyDescent="0.2">
      <c r="A443">
        <v>65061</v>
      </c>
      <c r="B443" s="3" t="s">
        <v>1844</v>
      </c>
      <c r="C443" s="7" t="s">
        <v>1565</v>
      </c>
      <c r="D443" s="7" t="s">
        <v>242</v>
      </c>
      <c r="F443" s="7" t="s">
        <v>241</v>
      </c>
      <c r="G443" s="7" t="s">
        <v>1568</v>
      </c>
      <c r="H443" s="7" t="s">
        <v>1362</v>
      </c>
      <c r="I443" s="7" t="s">
        <v>1253</v>
      </c>
      <c r="K443" s="39" t="s">
        <v>225</v>
      </c>
      <c r="L443" s="40">
        <v>-86.79</v>
      </c>
      <c r="M443" s="40">
        <v>214690.18</v>
      </c>
      <c r="N443" s="40">
        <f t="shared" si="13"/>
        <v>-86.79</v>
      </c>
    </row>
    <row r="444" spans="1:14" ht="12.75" hidden="1" customHeight="1" x14ac:dyDescent="0.2">
      <c r="A444">
        <v>65061</v>
      </c>
      <c r="B444" s="3" t="s">
        <v>1844</v>
      </c>
      <c r="C444" s="7" t="s">
        <v>1565</v>
      </c>
      <c r="D444" s="7" t="s">
        <v>221</v>
      </c>
      <c r="F444" s="7" t="s">
        <v>1849</v>
      </c>
      <c r="G444" s="7" t="s">
        <v>1568</v>
      </c>
      <c r="H444" s="7" t="s">
        <v>1362</v>
      </c>
      <c r="I444" s="7" t="s">
        <v>1253</v>
      </c>
      <c r="K444" s="39" t="s">
        <v>225</v>
      </c>
      <c r="L444" s="40">
        <v>48.81</v>
      </c>
      <c r="M444" s="40">
        <v>214738.99</v>
      </c>
      <c r="N444" s="40">
        <f t="shared" si="13"/>
        <v>48.81</v>
      </c>
    </row>
    <row r="445" spans="1:14" ht="12.75" hidden="1" customHeight="1" x14ac:dyDescent="0.2">
      <c r="A445">
        <v>65061</v>
      </c>
      <c r="B445" s="3" t="s">
        <v>1844</v>
      </c>
      <c r="C445" s="7" t="s">
        <v>1565</v>
      </c>
      <c r="D445" s="7" t="s">
        <v>221</v>
      </c>
      <c r="F445" s="7" t="s">
        <v>241</v>
      </c>
      <c r="G445" s="7" t="s">
        <v>1568</v>
      </c>
      <c r="H445" s="7" t="s">
        <v>1362</v>
      </c>
      <c r="I445" s="7" t="s">
        <v>1253</v>
      </c>
      <c r="K445" s="39" t="s">
        <v>225</v>
      </c>
      <c r="L445" s="40">
        <v>315.7</v>
      </c>
      <c r="M445" s="40">
        <v>215054.69</v>
      </c>
      <c r="N445" s="40">
        <f t="shared" si="13"/>
        <v>315.7</v>
      </c>
    </row>
    <row r="446" spans="1:14" ht="12.75" hidden="1" customHeight="1" x14ac:dyDescent="0.2">
      <c r="A446">
        <v>65061</v>
      </c>
      <c r="B446" s="3" t="s">
        <v>1844</v>
      </c>
      <c r="C446" s="7" t="s">
        <v>1565</v>
      </c>
      <c r="D446" s="7" t="s">
        <v>221</v>
      </c>
      <c r="F446" s="7" t="s">
        <v>1849</v>
      </c>
      <c r="G446" s="7" t="s">
        <v>1568</v>
      </c>
      <c r="H446" s="7" t="s">
        <v>1362</v>
      </c>
      <c r="I446" s="7" t="s">
        <v>1253</v>
      </c>
      <c r="K446" s="39" t="s">
        <v>225</v>
      </c>
      <c r="L446" s="40">
        <v>54.41</v>
      </c>
      <c r="M446" s="40">
        <v>215109.1</v>
      </c>
      <c r="N446" s="40">
        <f t="shared" si="13"/>
        <v>54.41</v>
      </c>
    </row>
    <row r="447" spans="1:14" ht="12.75" hidden="1" customHeight="1" x14ac:dyDescent="0.2">
      <c r="A447">
        <v>65061</v>
      </c>
      <c r="B447" s="3" t="s">
        <v>1844</v>
      </c>
      <c r="C447" s="7" t="s">
        <v>1565</v>
      </c>
      <c r="D447" s="7" t="s">
        <v>242</v>
      </c>
      <c r="F447" s="7" t="s">
        <v>241</v>
      </c>
      <c r="G447" s="7" t="s">
        <v>1568</v>
      </c>
      <c r="H447" s="7" t="s">
        <v>1362</v>
      </c>
      <c r="I447" s="7" t="s">
        <v>1253</v>
      </c>
      <c r="K447" s="39" t="s">
        <v>225</v>
      </c>
      <c r="L447" s="40">
        <v>-100.89</v>
      </c>
      <c r="M447" s="40">
        <v>215008.21</v>
      </c>
      <c r="N447" s="40">
        <f t="shared" ref="N447:N473" si="14">+L447</f>
        <v>-100.89</v>
      </c>
    </row>
    <row r="448" spans="1:14" ht="12.75" hidden="1" customHeight="1" x14ac:dyDescent="0.2">
      <c r="A448">
        <v>65061</v>
      </c>
      <c r="B448" s="3" t="s">
        <v>1844</v>
      </c>
      <c r="C448" s="7" t="s">
        <v>1793</v>
      </c>
      <c r="D448" s="7" t="s">
        <v>221</v>
      </c>
      <c r="F448" s="7" t="s">
        <v>241</v>
      </c>
      <c r="G448" s="7" t="s">
        <v>1568</v>
      </c>
      <c r="H448" s="7" t="s">
        <v>1362</v>
      </c>
      <c r="I448" s="7" t="s">
        <v>1253</v>
      </c>
      <c r="K448" s="39" t="s">
        <v>225</v>
      </c>
      <c r="L448" s="40">
        <v>247.94</v>
      </c>
      <c r="M448" s="40">
        <v>215275.94</v>
      </c>
      <c r="N448" s="40">
        <f t="shared" si="14"/>
        <v>247.94</v>
      </c>
    </row>
    <row r="449" spans="1:14" ht="12.75" hidden="1" customHeight="1" x14ac:dyDescent="0.2">
      <c r="A449">
        <v>65061</v>
      </c>
      <c r="B449" s="3" t="s">
        <v>1844</v>
      </c>
      <c r="C449" s="7" t="s">
        <v>1793</v>
      </c>
      <c r="D449" s="7" t="s">
        <v>221</v>
      </c>
      <c r="F449" s="7" t="s">
        <v>1865</v>
      </c>
      <c r="G449" s="7" t="s">
        <v>1568</v>
      </c>
      <c r="H449" s="7" t="s">
        <v>1362</v>
      </c>
      <c r="I449" s="7" t="s">
        <v>1253</v>
      </c>
      <c r="K449" s="39" t="s">
        <v>225</v>
      </c>
      <c r="L449" s="40">
        <v>30.38</v>
      </c>
      <c r="M449" s="40">
        <v>216015.39</v>
      </c>
      <c r="N449" s="40">
        <f t="shared" si="14"/>
        <v>30.38</v>
      </c>
    </row>
    <row r="450" spans="1:14" ht="12.75" hidden="1" customHeight="1" x14ac:dyDescent="0.2">
      <c r="A450">
        <v>65061</v>
      </c>
      <c r="B450" s="3" t="s">
        <v>1844</v>
      </c>
      <c r="C450" s="7" t="s">
        <v>1793</v>
      </c>
      <c r="D450" s="7" t="s">
        <v>221</v>
      </c>
      <c r="F450" s="7" t="s">
        <v>241</v>
      </c>
      <c r="G450" s="7" t="s">
        <v>1568</v>
      </c>
      <c r="H450" s="7" t="s">
        <v>1362</v>
      </c>
      <c r="I450" s="7" t="s">
        <v>1253</v>
      </c>
      <c r="K450" s="39" t="s">
        <v>225</v>
      </c>
      <c r="L450" s="40">
        <v>5.96</v>
      </c>
      <c r="M450" s="40">
        <v>216021.35</v>
      </c>
      <c r="N450" s="40">
        <f t="shared" si="14"/>
        <v>5.96</v>
      </c>
    </row>
    <row r="451" spans="1:14" ht="12.75" hidden="1" customHeight="1" x14ac:dyDescent="0.2">
      <c r="A451">
        <v>65061</v>
      </c>
      <c r="B451" s="3" t="s">
        <v>1844</v>
      </c>
      <c r="C451" s="7" t="s">
        <v>1567</v>
      </c>
      <c r="D451" s="7" t="s">
        <v>200</v>
      </c>
      <c r="E451" s="7">
        <v>1135</v>
      </c>
      <c r="F451" s="7" t="s">
        <v>844</v>
      </c>
      <c r="G451" s="7" t="s">
        <v>1568</v>
      </c>
      <c r="H451" s="7" t="s">
        <v>1362</v>
      </c>
      <c r="I451" s="7" t="s">
        <v>1253</v>
      </c>
      <c r="K451" s="39" t="s">
        <v>225</v>
      </c>
      <c r="L451" s="40">
        <v>253.46</v>
      </c>
      <c r="M451" s="40">
        <v>217063.97</v>
      </c>
      <c r="N451" s="40">
        <f t="shared" si="14"/>
        <v>253.46</v>
      </c>
    </row>
    <row r="452" spans="1:14" ht="12.75" hidden="1" customHeight="1" x14ac:dyDescent="0.2">
      <c r="A452">
        <v>65061</v>
      </c>
      <c r="B452" s="3" t="s">
        <v>1844</v>
      </c>
      <c r="C452" s="7" t="s">
        <v>1567</v>
      </c>
      <c r="D452" s="7" t="s">
        <v>221</v>
      </c>
      <c r="F452" s="7" t="s">
        <v>690</v>
      </c>
      <c r="G452" s="7" t="s">
        <v>1568</v>
      </c>
      <c r="H452" s="7" t="s">
        <v>1362</v>
      </c>
      <c r="I452" s="7" t="s">
        <v>1253</v>
      </c>
      <c r="K452" s="39" t="s">
        <v>225</v>
      </c>
      <c r="L452" s="40">
        <v>78.010000000000005</v>
      </c>
      <c r="M452" s="40">
        <v>217141.98</v>
      </c>
      <c r="N452" s="40">
        <f t="shared" si="14"/>
        <v>78.010000000000005</v>
      </c>
    </row>
    <row r="453" spans="1:14" ht="12.75" hidden="1" customHeight="1" x14ac:dyDescent="0.2">
      <c r="A453">
        <v>65061</v>
      </c>
      <c r="B453" s="3" t="s">
        <v>1844</v>
      </c>
      <c r="C453" s="7" t="s">
        <v>1567</v>
      </c>
      <c r="D453" s="7" t="s">
        <v>221</v>
      </c>
      <c r="F453" s="7" t="s">
        <v>265</v>
      </c>
      <c r="G453" s="7" t="s">
        <v>1568</v>
      </c>
      <c r="H453" s="7" t="s">
        <v>1362</v>
      </c>
      <c r="I453" s="7" t="s">
        <v>1253</v>
      </c>
      <c r="K453" s="39" t="s">
        <v>225</v>
      </c>
      <c r="L453" s="40">
        <v>29.99</v>
      </c>
      <c r="M453" s="40">
        <v>217171.97</v>
      </c>
      <c r="N453" s="40">
        <f t="shared" si="14"/>
        <v>29.99</v>
      </c>
    </row>
    <row r="454" spans="1:14" ht="12.75" hidden="1" customHeight="1" x14ac:dyDescent="0.2">
      <c r="A454">
        <v>65061</v>
      </c>
      <c r="B454" s="3" t="s">
        <v>1844</v>
      </c>
      <c r="C454" s="7" t="s">
        <v>1567</v>
      </c>
      <c r="D454" s="7" t="s">
        <v>200</v>
      </c>
      <c r="E454" s="7">
        <v>1138</v>
      </c>
      <c r="F454" s="7" t="s">
        <v>723</v>
      </c>
      <c r="G454" s="7" t="s">
        <v>1568</v>
      </c>
      <c r="H454" s="7" t="s">
        <v>1362</v>
      </c>
      <c r="I454" s="7" t="s">
        <v>1253</v>
      </c>
      <c r="K454" s="39" t="s">
        <v>225</v>
      </c>
      <c r="L454" s="40">
        <v>749.75</v>
      </c>
      <c r="M454" s="40">
        <v>218000.54</v>
      </c>
      <c r="N454" s="40">
        <f t="shared" si="14"/>
        <v>749.75</v>
      </c>
    </row>
    <row r="455" spans="1:14" ht="12.75" hidden="1" customHeight="1" x14ac:dyDescent="0.2">
      <c r="A455">
        <v>65061</v>
      </c>
      <c r="B455" s="3" t="s">
        <v>1844</v>
      </c>
      <c r="C455" s="7" t="s">
        <v>1567</v>
      </c>
      <c r="D455" s="7" t="s">
        <v>200</v>
      </c>
      <c r="E455" s="7">
        <v>1136</v>
      </c>
      <c r="F455" s="7" t="s">
        <v>1868</v>
      </c>
      <c r="G455" s="7" t="s">
        <v>1568</v>
      </c>
      <c r="H455" s="7" t="s">
        <v>1362</v>
      </c>
      <c r="I455" s="7" t="s">
        <v>1253</v>
      </c>
      <c r="K455" s="39" t="s">
        <v>225</v>
      </c>
      <c r="L455" s="40">
        <v>1250.8699999999999</v>
      </c>
      <c r="M455" s="40">
        <v>219272.72</v>
      </c>
      <c r="N455" s="40">
        <f t="shared" si="14"/>
        <v>1250.8699999999999</v>
      </c>
    </row>
    <row r="456" spans="1:14" ht="12.75" hidden="1" customHeight="1" x14ac:dyDescent="0.2">
      <c r="A456">
        <v>65061</v>
      </c>
      <c r="B456" s="3" t="s">
        <v>1844</v>
      </c>
      <c r="C456" s="7" t="s">
        <v>1569</v>
      </c>
      <c r="D456" s="7" t="s">
        <v>200</v>
      </c>
      <c r="E456" s="7">
        <v>1128</v>
      </c>
      <c r="F456" s="7" t="s">
        <v>1870</v>
      </c>
      <c r="G456" s="7" t="s">
        <v>1568</v>
      </c>
      <c r="H456" s="7" t="s">
        <v>1362</v>
      </c>
      <c r="I456" s="7" t="s">
        <v>1253</v>
      </c>
      <c r="K456" s="39" t="s">
        <v>225</v>
      </c>
      <c r="L456" s="40">
        <v>346.26</v>
      </c>
      <c r="M456" s="40">
        <v>220082.92</v>
      </c>
      <c r="N456" s="40">
        <f t="shared" si="14"/>
        <v>346.26</v>
      </c>
    </row>
    <row r="457" spans="1:14" ht="12.75" hidden="1" customHeight="1" x14ac:dyDescent="0.2">
      <c r="A457">
        <v>65061</v>
      </c>
      <c r="B457" s="3" t="s">
        <v>1844</v>
      </c>
      <c r="C457" s="7" t="s">
        <v>1569</v>
      </c>
      <c r="D457" s="7" t="s">
        <v>200</v>
      </c>
      <c r="E457" s="7">
        <v>1134</v>
      </c>
      <c r="F457" s="7" t="s">
        <v>1872</v>
      </c>
      <c r="G457" s="7" t="s">
        <v>1568</v>
      </c>
      <c r="H457" s="7" t="s">
        <v>1362</v>
      </c>
      <c r="I457" s="7" t="s">
        <v>1253</v>
      </c>
      <c r="K457" s="39" t="s">
        <v>225</v>
      </c>
      <c r="L457" s="40">
        <v>651.98</v>
      </c>
      <c r="M457" s="40">
        <v>220935.04000000001</v>
      </c>
      <c r="N457" s="40">
        <f t="shared" si="14"/>
        <v>651.98</v>
      </c>
    </row>
    <row r="458" spans="1:14" ht="12.75" hidden="1" customHeight="1" x14ac:dyDescent="0.2">
      <c r="A458">
        <v>65061</v>
      </c>
      <c r="B458" s="3" t="s">
        <v>1844</v>
      </c>
      <c r="C458" s="7" t="s">
        <v>1570</v>
      </c>
      <c r="D458" s="7" t="s">
        <v>221</v>
      </c>
      <c r="F458" s="7" t="s">
        <v>1873</v>
      </c>
      <c r="G458" s="7" t="s">
        <v>1568</v>
      </c>
      <c r="H458" s="7" t="s">
        <v>1362</v>
      </c>
      <c r="I458" s="7" t="s">
        <v>1253</v>
      </c>
      <c r="K458" s="39" t="s">
        <v>225</v>
      </c>
      <c r="L458" s="40">
        <v>49.98</v>
      </c>
      <c r="M458" s="40">
        <v>220857.06</v>
      </c>
      <c r="N458" s="40">
        <f t="shared" si="14"/>
        <v>49.98</v>
      </c>
    </row>
    <row r="459" spans="1:14" ht="12.75" hidden="1" customHeight="1" x14ac:dyDescent="0.2">
      <c r="A459">
        <v>65061</v>
      </c>
      <c r="B459" s="3" t="s">
        <v>1844</v>
      </c>
      <c r="C459" s="7" t="s">
        <v>1570</v>
      </c>
      <c r="D459" s="7" t="s">
        <v>200</v>
      </c>
      <c r="E459" s="7">
        <v>1133</v>
      </c>
      <c r="F459" s="7" t="s">
        <v>1874</v>
      </c>
      <c r="G459" s="7" t="s">
        <v>1568</v>
      </c>
      <c r="H459" s="7" t="s">
        <v>1362</v>
      </c>
      <c r="I459" s="7" t="s">
        <v>1253</v>
      </c>
      <c r="K459" s="39" t="s">
        <v>225</v>
      </c>
      <c r="L459" s="40">
        <v>48.19</v>
      </c>
      <c r="M459" s="40">
        <v>220905.25</v>
      </c>
      <c r="N459" s="40">
        <f t="shared" si="14"/>
        <v>48.19</v>
      </c>
    </row>
    <row r="460" spans="1:14" ht="12.75" hidden="1" customHeight="1" x14ac:dyDescent="0.2">
      <c r="A460">
        <v>65061</v>
      </c>
      <c r="B460" s="3" t="s">
        <v>1844</v>
      </c>
      <c r="C460" s="7" t="s">
        <v>1803</v>
      </c>
      <c r="D460" s="7" t="s">
        <v>200</v>
      </c>
      <c r="E460" s="7">
        <v>1131</v>
      </c>
      <c r="F460" s="7" t="s">
        <v>1888</v>
      </c>
      <c r="G460" s="7" t="s">
        <v>1568</v>
      </c>
      <c r="H460" s="7" t="s">
        <v>1362</v>
      </c>
      <c r="I460" s="7" t="s">
        <v>1253</v>
      </c>
      <c r="K460" s="39" t="s">
        <v>225</v>
      </c>
      <c r="L460" s="40">
        <v>80.680000000000007</v>
      </c>
      <c r="M460" s="40">
        <v>234380.17</v>
      </c>
      <c r="N460" s="40">
        <f t="shared" si="14"/>
        <v>80.680000000000007</v>
      </c>
    </row>
    <row r="461" spans="1:14" ht="12.75" hidden="1" customHeight="1" x14ac:dyDescent="0.2">
      <c r="A461">
        <v>65061</v>
      </c>
      <c r="B461" s="3" t="s">
        <v>1844</v>
      </c>
      <c r="C461" s="7" t="s">
        <v>1821</v>
      </c>
      <c r="D461" s="7" t="s">
        <v>200</v>
      </c>
      <c r="E461" s="7" t="s">
        <v>447</v>
      </c>
      <c r="F461" s="7" t="s">
        <v>265</v>
      </c>
      <c r="G461" s="7" t="s">
        <v>1568</v>
      </c>
      <c r="H461" s="7" t="s">
        <v>1362</v>
      </c>
      <c r="I461" s="7" t="s">
        <v>1253</v>
      </c>
      <c r="K461" s="39" t="s">
        <v>225</v>
      </c>
      <c r="L461" s="40">
        <v>54.49</v>
      </c>
      <c r="M461" s="40">
        <v>237546.57</v>
      </c>
      <c r="N461" s="40">
        <f t="shared" si="14"/>
        <v>54.49</v>
      </c>
    </row>
    <row r="462" spans="1:14" ht="12.75" hidden="1" customHeight="1" x14ac:dyDescent="0.2">
      <c r="A462">
        <v>65061</v>
      </c>
      <c r="B462" s="3" t="s">
        <v>1844</v>
      </c>
      <c r="C462" s="7" t="s">
        <v>1821</v>
      </c>
      <c r="D462" s="7" t="s">
        <v>200</v>
      </c>
      <c r="E462" s="7" t="s">
        <v>447</v>
      </c>
      <c r="F462" s="7" t="s">
        <v>265</v>
      </c>
      <c r="G462" s="7" t="s">
        <v>1568</v>
      </c>
      <c r="H462" s="7" t="s">
        <v>1362</v>
      </c>
      <c r="I462" s="7" t="s">
        <v>1253</v>
      </c>
      <c r="K462" s="39" t="s">
        <v>225</v>
      </c>
      <c r="L462" s="40">
        <v>150.34</v>
      </c>
      <c r="M462" s="40">
        <v>237855.31</v>
      </c>
      <c r="N462" s="40">
        <f t="shared" si="14"/>
        <v>150.34</v>
      </c>
    </row>
    <row r="463" spans="1:14" ht="12.75" hidden="1" customHeight="1" x14ac:dyDescent="0.2">
      <c r="A463">
        <v>65061</v>
      </c>
      <c r="B463" s="3" t="s">
        <v>1844</v>
      </c>
      <c r="C463" s="7" t="s">
        <v>1821</v>
      </c>
      <c r="D463" s="7" t="s">
        <v>200</v>
      </c>
      <c r="E463" s="7" t="s">
        <v>447</v>
      </c>
      <c r="F463" s="7" t="s">
        <v>265</v>
      </c>
      <c r="G463" s="7" t="s">
        <v>1568</v>
      </c>
      <c r="H463" s="7" t="s">
        <v>1362</v>
      </c>
      <c r="I463" s="7" t="s">
        <v>1253</v>
      </c>
      <c r="K463" s="39" t="s">
        <v>225</v>
      </c>
      <c r="L463" s="40">
        <v>87.19</v>
      </c>
      <c r="M463" s="40">
        <v>237942.5</v>
      </c>
      <c r="N463" s="40">
        <f t="shared" si="14"/>
        <v>87.19</v>
      </c>
    </row>
    <row r="464" spans="1:14" ht="12.75" hidden="1" customHeight="1" x14ac:dyDescent="0.2">
      <c r="A464">
        <v>65061</v>
      </c>
      <c r="B464" s="3" t="s">
        <v>1844</v>
      </c>
      <c r="C464" s="7" t="s">
        <v>1821</v>
      </c>
      <c r="D464" s="7" t="s">
        <v>200</v>
      </c>
      <c r="E464" s="7" t="s">
        <v>447</v>
      </c>
      <c r="F464" s="7" t="s">
        <v>265</v>
      </c>
      <c r="G464" s="7" t="s">
        <v>1568</v>
      </c>
      <c r="H464" s="7" t="s">
        <v>1362</v>
      </c>
      <c r="I464" s="7" t="s">
        <v>1253</v>
      </c>
      <c r="K464" s="39" t="s">
        <v>225</v>
      </c>
      <c r="L464" s="40">
        <v>80.98</v>
      </c>
      <c r="M464" s="40">
        <v>238023.48</v>
      </c>
      <c r="N464" s="40">
        <f t="shared" si="14"/>
        <v>80.98</v>
      </c>
    </row>
    <row r="465" spans="1:14" ht="12.75" hidden="1" customHeight="1" x14ac:dyDescent="0.2">
      <c r="A465">
        <v>65061</v>
      </c>
      <c r="B465" s="3" t="s">
        <v>1844</v>
      </c>
      <c r="C465" s="7" t="s">
        <v>1821</v>
      </c>
      <c r="D465" s="7" t="s">
        <v>200</v>
      </c>
      <c r="E465" s="7" t="s">
        <v>447</v>
      </c>
      <c r="F465" s="7" t="s">
        <v>265</v>
      </c>
      <c r="G465" s="7" t="s">
        <v>1568</v>
      </c>
      <c r="H465" s="7" t="s">
        <v>1362</v>
      </c>
      <c r="I465" s="7" t="s">
        <v>1253</v>
      </c>
      <c r="K465" s="39" t="s">
        <v>225</v>
      </c>
      <c r="L465" s="40">
        <v>27.98</v>
      </c>
      <c r="M465" s="40">
        <v>238051.46</v>
      </c>
      <c r="N465" s="40">
        <f t="shared" si="14"/>
        <v>27.98</v>
      </c>
    </row>
    <row r="466" spans="1:14" ht="12.75" hidden="1" customHeight="1" x14ac:dyDescent="0.2">
      <c r="A466">
        <v>65061</v>
      </c>
      <c r="B466" s="3" t="s">
        <v>1844</v>
      </c>
      <c r="C466" s="7" t="s">
        <v>1821</v>
      </c>
      <c r="D466" s="7" t="s">
        <v>200</v>
      </c>
      <c r="E466" s="7">
        <v>1132</v>
      </c>
      <c r="F466" s="7" t="s">
        <v>265</v>
      </c>
      <c r="G466" s="7" t="s">
        <v>1568</v>
      </c>
      <c r="H466" s="7" t="s">
        <v>1362</v>
      </c>
      <c r="I466" s="7" t="s">
        <v>1253</v>
      </c>
      <c r="K466" s="39" t="s">
        <v>225</v>
      </c>
      <c r="L466" s="40">
        <v>19.62</v>
      </c>
      <c r="M466" s="40">
        <v>238222.97</v>
      </c>
      <c r="N466" s="40">
        <f t="shared" si="14"/>
        <v>19.62</v>
      </c>
    </row>
    <row r="467" spans="1:14" ht="12.75" hidden="1" customHeight="1" x14ac:dyDescent="0.2">
      <c r="A467">
        <v>65061</v>
      </c>
      <c r="B467" s="3" t="s">
        <v>1844</v>
      </c>
      <c r="C467" s="7" t="s">
        <v>1555</v>
      </c>
      <c r="D467" s="7" t="s">
        <v>200</v>
      </c>
      <c r="E467" s="7" t="s">
        <v>447</v>
      </c>
      <c r="F467" s="7" t="s">
        <v>265</v>
      </c>
      <c r="G467" s="7" t="s">
        <v>1568</v>
      </c>
      <c r="H467" s="7" t="s">
        <v>1362</v>
      </c>
      <c r="I467" s="7" t="s">
        <v>1253</v>
      </c>
      <c r="K467" s="39" t="s">
        <v>225</v>
      </c>
      <c r="L467" s="40">
        <v>64.78</v>
      </c>
      <c r="M467" s="40">
        <v>238287.75</v>
      </c>
      <c r="N467" s="40">
        <f t="shared" si="14"/>
        <v>64.78</v>
      </c>
    </row>
    <row r="468" spans="1:14" ht="12.75" hidden="1" customHeight="1" x14ac:dyDescent="0.2">
      <c r="A468">
        <v>65061</v>
      </c>
      <c r="B468" s="3" t="s">
        <v>1844</v>
      </c>
      <c r="C468" s="7" t="s">
        <v>1555</v>
      </c>
      <c r="D468" s="7" t="s">
        <v>200</v>
      </c>
      <c r="E468" s="7" t="s">
        <v>447</v>
      </c>
      <c r="F468" s="7" t="s">
        <v>265</v>
      </c>
      <c r="G468" s="7" t="s">
        <v>1568</v>
      </c>
      <c r="H468" s="7" t="s">
        <v>1362</v>
      </c>
      <c r="I468" s="7" t="s">
        <v>1253</v>
      </c>
      <c r="K468" s="39" t="s">
        <v>225</v>
      </c>
      <c r="L468" s="40">
        <v>29.99</v>
      </c>
      <c r="M468" s="40">
        <v>239464.63</v>
      </c>
      <c r="N468" s="40">
        <f t="shared" si="14"/>
        <v>29.99</v>
      </c>
    </row>
    <row r="469" spans="1:14" ht="12.75" hidden="1" customHeight="1" x14ac:dyDescent="0.2">
      <c r="A469">
        <v>65062</v>
      </c>
      <c r="B469" s="3" t="s">
        <v>1254</v>
      </c>
      <c r="C469" s="7" t="s">
        <v>1649</v>
      </c>
      <c r="D469" s="7" t="s">
        <v>183</v>
      </c>
      <c r="E469" s="7">
        <v>666</v>
      </c>
      <c r="G469" s="7" t="s">
        <v>1568</v>
      </c>
      <c r="H469" s="7" t="s">
        <v>1362</v>
      </c>
      <c r="I469" s="7" t="s">
        <v>1254</v>
      </c>
      <c r="J469" s="39" t="s">
        <v>1668</v>
      </c>
      <c r="K469" s="39" t="s">
        <v>180</v>
      </c>
      <c r="L469" s="40">
        <v>1646</v>
      </c>
      <c r="M469" s="40">
        <v>38114.53</v>
      </c>
      <c r="N469" s="40">
        <f t="shared" si="14"/>
        <v>1646</v>
      </c>
    </row>
    <row r="470" spans="1:14" ht="12.75" hidden="1" customHeight="1" x14ac:dyDescent="0.2">
      <c r="A470">
        <v>65062</v>
      </c>
      <c r="B470" s="3" t="s">
        <v>1254</v>
      </c>
      <c r="C470" s="7" t="s">
        <v>1649</v>
      </c>
      <c r="D470" s="7" t="s">
        <v>183</v>
      </c>
      <c r="E470" s="7">
        <v>666</v>
      </c>
      <c r="G470" s="7" t="s">
        <v>1568</v>
      </c>
      <c r="H470" s="7" t="s">
        <v>1362</v>
      </c>
      <c r="I470" s="7" t="s">
        <v>1254</v>
      </c>
      <c r="J470" s="39" t="s">
        <v>1667</v>
      </c>
      <c r="K470" s="39" t="s">
        <v>180</v>
      </c>
      <c r="L470" s="40">
        <v>180</v>
      </c>
      <c r="M470" s="40">
        <v>38294.53</v>
      </c>
      <c r="N470" s="40">
        <f t="shared" si="14"/>
        <v>180</v>
      </c>
    </row>
    <row r="471" spans="1:14" ht="12.75" hidden="1" customHeight="1" x14ac:dyDescent="0.2">
      <c r="A471">
        <v>65062</v>
      </c>
      <c r="B471" s="3" t="s">
        <v>1254</v>
      </c>
      <c r="C471" s="7" t="s">
        <v>1649</v>
      </c>
      <c r="D471" s="7" t="s">
        <v>183</v>
      </c>
      <c r="E471" s="7">
        <v>666</v>
      </c>
      <c r="G471" s="7" t="s">
        <v>1568</v>
      </c>
      <c r="H471" s="7" t="s">
        <v>1362</v>
      </c>
      <c r="I471" s="7" t="s">
        <v>1254</v>
      </c>
      <c r="J471" s="39" t="s">
        <v>1991</v>
      </c>
      <c r="K471" s="39" t="s">
        <v>180</v>
      </c>
      <c r="L471" s="40">
        <v>250</v>
      </c>
      <c r="M471" s="40">
        <v>38544.53</v>
      </c>
      <c r="N471" s="40">
        <f t="shared" si="14"/>
        <v>250</v>
      </c>
    </row>
    <row r="472" spans="1:14" ht="12.75" hidden="1" customHeight="1" x14ac:dyDescent="0.2">
      <c r="A472">
        <v>65062</v>
      </c>
      <c r="B472" s="3" t="s">
        <v>1254</v>
      </c>
      <c r="C472" s="7" t="s">
        <v>1649</v>
      </c>
      <c r="D472" s="7" t="s">
        <v>183</v>
      </c>
      <c r="E472" s="7">
        <v>666</v>
      </c>
      <c r="G472" s="7" t="s">
        <v>1568</v>
      </c>
      <c r="H472" s="7" t="s">
        <v>1362</v>
      </c>
      <c r="I472" s="7" t="s">
        <v>1254</v>
      </c>
      <c r="J472" s="39" t="s">
        <v>1651</v>
      </c>
      <c r="K472" s="39" t="s">
        <v>180</v>
      </c>
      <c r="L472" s="40">
        <v>195</v>
      </c>
      <c r="M472" s="40">
        <v>21925.5</v>
      </c>
      <c r="N472" s="40">
        <f t="shared" si="14"/>
        <v>195</v>
      </c>
    </row>
    <row r="473" spans="1:14" ht="12.75" hidden="1" customHeight="1" x14ac:dyDescent="0.2">
      <c r="A473">
        <v>65062</v>
      </c>
      <c r="B473" s="3" t="s">
        <v>1254</v>
      </c>
      <c r="C473" s="7" t="s">
        <v>1649</v>
      </c>
      <c r="D473" s="7" t="s">
        <v>183</v>
      </c>
      <c r="E473" s="7">
        <v>666</v>
      </c>
      <c r="G473" s="7" t="s">
        <v>1568</v>
      </c>
      <c r="H473" s="7" t="s">
        <v>1362</v>
      </c>
      <c r="I473" s="7" t="s">
        <v>1254</v>
      </c>
      <c r="J473" s="39" t="s">
        <v>1650</v>
      </c>
      <c r="K473" s="39" t="s">
        <v>180</v>
      </c>
      <c r="L473" s="40">
        <v>190</v>
      </c>
      <c r="M473" s="40">
        <v>22115.5</v>
      </c>
      <c r="N473" s="40">
        <f t="shared" si="14"/>
        <v>190</v>
      </c>
    </row>
    <row r="474" spans="1:14" ht="12.75" customHeight="1" x14ac:dyDescent="0.2">
      <c r="A474">
        <v>43400</v>
      </c>
      <c r="B474" s="3" t="s">
        <v>1224</v>
      </c>
      <c r="C474" s="7" t="s">
        <v>298</v>
      </c>
      <c r="D474" s="7" t="s">
        <v>242</v>
      </c>
      <c r="F474" s="7" t="s">
        <v>665</v>
      </c>
      <c r="G474" s="7" t="s">
        <v>1579</v>
      </c>
      <c r="H474" s="7" t="s">
        <v>1359</v>
      </c>
      <c r="I474" s="7" t="s">
        <v>1224</v>
      </c>
      <c r="K474" s="7" t="s">
        <v>1187</v>
      </c>
      <c r="L474" s="11">
        <v>46.19</v>
      </c>
      <c r="M474" s="11">
        <v>106526.64</v>
      </c>
      <c r="N474" s="9">
        <f t="shared" ref="N474:N537" si="15">IF(A474&lt;60000,-L474,+L474)</f>
        <v>-46.19</v>
      </c>
    </row>
    <row r="475" spans="1:14" ht="12.75" customHeight="1" x14ac:dyDescent="0.2">
      <c r="A475">
        <v>43400</v>
      </c>
      <c r="B475" s="3" t="s">
        <v>1224</v>
      </c>
      <c r="C475" s="7" t="s">
        <v>267</v>
      </c>
      <c r="D475" s="7" t="s">
        <v>242</v>
      </c>
      <c r="F475" s="7" t="s">
        <v>665</v>
      </c>
      <c r="G475" s="7" t="s">
        <v>1579</v>
      </c>
      <c r="H475" s="7" t="s">
        <v>1359</v>
      </c>
      <c r="I475" s="7" t="s">
        <v>1224</v>
      </c>
      <c r="K475" s="7" t="s">
        <v>1187</v>
      </c>
      <c r="L475" s="11">
        <v>1739.75</v>
      </c>
      <c r="M475" s="11">
        <v>117757.97</v>
      </c>
      <c r="N475" s="9">
        <f t="shared" si="15"/>
        <v>-1739.75</v>
      </c>
    </row>
    <row r="476" spans="1:14" ht="12.75" hidden="1" customHeight="1" x14ac:dyDescent="0.2">
      <c r="A476">
        <v>43430</v>
      </c>
      <c r="B476" s="3" t="s">
        <v>1226</v>
      </c>
      <c r="C476" s="7" t="s">
        <v>470</v>
      </c>
      <c r="D476" s="7" t="s">
        <v>183</v>
      </c>
      <c r="E476" s="7">
        <v>478</v>
      </c>
      <c r="G476" s="7" t="s">
        <v>1564</v>
      </c>
      <c r="H476" s="7" t="s">
        <v>1360</v>
      </c>
      <c r="I476" s="7" t="s">
        <v>1226</v>
      </c>
      <c r="J476" s="7" t="s">
        <v>1163</v>
      </c>
      <c r="K476" s="7" t="s">
        <v>180</v>
      </c>
      <c r="L476" s="11">
        <v>200</v>
      </c>
      <c r="M476" s="11">
        <v>10827</v>
      </c>
      <c r="N476" s="9">
        <f t="shared" si="15"/>
        <v>-200</v>
      </c>
    </row>
    <row r="477" spans="1:14" ht="12.75" hidden="1" customHeight="1" x14ac:dyDescent="0.2">
      <c r="A477">
        <v>43430</v>
      </c>
      <c r="B477" s="3" t="s">
        <v>1226</v>
      </c>
      <c r="C477" s="7" t="s">
        <v>470</v>
      </c>
      <c r="D477" s="7" t="s">
        <v>183</v>
      </c>
      <c r="E477" s="7">
        <v>478</v>
      </c>
      <c r="G477" s="7" t="s">
        <v>1564</v>
      </c>
      <c r="H477" s="7" t="s">
        <v>1360</v>
      </c>
      <c r="I477" s="7" t="s">
        <v>1226</v>
      </c>
      <c r="J477" s="7" t="s">
        <v>1162</v>
      </c>
      <c r="K477" s="7" t="s">
        <v>180</v>
      </c>
      <c r="L477" s="11">
        <v>400</v>
      </c>
      <c r="M477" s="11">
        <v>11227</v>
      </c>
      <c r="N477" s="9">
        <f t="shared" si="15"/>
        <v>-400</v>
      </c>
    </row>
    <row r="478" spans="1:14" ht="12.75" hidden="1" customHeight="1" x14ac:dyDescent="0.2">
      <c r="A478">
        <v>43440</v>
      </c>
      <c r="B478" s="3" t="s">
        <v>1228</v>
      </c>
      <c r="C478" s="7" t="s">
        <v>470</v>
      </c>
      <c r="D478" s="7" t="s">
        <v>183</v>
      </c>
      <c r="E478" s="7">
        <v>478</v>
      </c>
      <c r="G478" s="7" t="s">
        <v>1564</v>
      </c>
      <c r="H478" s="7" t="s">
        <v>1360</v>
      </c>
      <c r="I478" s="7" t="s">
        <v>1228</v>
      </c>
      <c r="J478" s="7" t="s">
        <v>1153</v>
      </c>
      <c r="K478" s="7" t="s">
        <v>180</v>
      </c>
      <c r="L478" s="11">
        <v>350</v>
      </c>
      <c r="M478" s="11">
        <v>13688.56</v>
      </c>
      <c r="N478" s="9">
        <f t="shared" si="15"/>
        <v>-350</v>
      </c>
    </row>
    <row r="479" spans="1:14" ht="12.75" hidden="1" customHeight="1" x14ac:dyDescent="0.2">
      <c r="A479">
        <v>65025</v>
      </c>
      <c r="B479" s="3" t="s">
        <v>1246</v>
      </c>
      <c r="C479" s="7" t="s">
        <v>379</v>
      </c>
      <c r="D479" s="7" t="s">
        <v>200</v>
      </c>
      <c r="F479" s="7" t="s">
        <v>446</v>
      </c>
      <c r="G479" s="7" t="s">
        <v>1564</v>
      </c>
      <c r="H479" s="7" t="s">
        <v>1362</v>
      </c>
      <c r="I479" s="7" t="s">
        <v>1246</v>
      </c>
      <c r="K479" s="7" t="s">
        <v>572</v>
      </c>
      <c r="L479" s="11">
        <v>15</v>
      </c>
      <c r="M479" s="11">
        <v>358.2</v>
      </c>
      <c r="N479" s="9">
        <f t="shared" si="15"/>
        <v>15</v>
      </c>
    </row>
    <row r="480" spans="1:14" ht="12.75" hidden="1" customHeight="1" x14ac:dyDescent="0.2">
      <c r="A480">
        <v>65040</v>
      </c>
      <c r="B480" s="3" t="s">
        <v>1250</v>
      </c>
      <c r="C480" s="7" t="s">
        <v>868</v>
      </c>
      <c r="D480" s="7" t="s">
        <v>200</v>
      </c>
      <c r="F480" s="7" t="s">
        <v>234</v>
      </c>
      <c r="G480" s="7" t="s">
        <v>1564</v>
      </c>
      <c r="H480" s="7" t="s">
        <v>1362</v>
      </c>
      <c r="I480" s="7" t="s">
        <v>1250</v>
      </c>
      <c r="K480" s="7" t="s">
        <v>572</v>
      </c>
      <c r="L480" s="11">
        <v>36.590000000000003</v>
      </c>
      <c r="M480" s="11">
        <v>912.37</v>
      </c>
      <c r="N480" s="9">
        <f t="shared" si="15"/>
        <v>36.590000000000003</v>
      </c>
    </row>
    <row r="481" spans="1:14" ht="12.75" hidden="1" customHeight="1" x14ac:dyDescent="0.2">
      <c r="A481">
        <v>65061</v>
      </c>
      <c r="B481" s="3" t="s">
        <v>1253</v>
      </c>
      <c r="C481" s="7" t="s">
        <v>374</v>
      </c>
      <c r="D481" s="7" t="s">
        <v>200</v>
      </c>
      <c r="F481" s="7" t="s">
        <v>600</v>
      </c>
      <c r="G481" s="7" t="s">
        <v>1564</v>
      </c>
      <c r="H481" s="7" t="s">
        <v>1362</v>
      </c>
      <c r="I481" s="7" t="s">
        <v>1253</v>
      </c>
      <c r="K481" s="7" t="s">
        <v>572</v>
      </c>
      <c r="L481" s="11">
        <v>69.959999999999994</v>
      </c>
      <c r="M481" s="11">
        <v>32678.06</v>
      </c>
      <c r="N481" s="9">
        <f t="shared" si="15"/>
        <v>69.959999999999994</v>
      </c>
    </row>
    <row r="482" spans="1:14" ht="12.75" hidden="1" customHeight="1" x14ac:dyDescent="0.2">
      <c r="A482">
        <v>65061</v>
      </c>
      <c r="B482" s="3" t="s">
        <v>1253</v>
      </c>
      <c r="C482" s="7" t="s">
        <v>348</v>
      </c>
      <c r="D482" s="7" t="s">
        <v>200</v>
      </c>
      <c r="F482" s="7" t="s">
        <v>880</v>
      </c>
      <c r="G482" s="7" t="s">
        <v>1564</v>
      </c>
      <c r="H482" s="7" t="s">
        <v>1362</v>
      </c>
      <c r="I482" s="7" t="s">
        <v>1253</v>
      </c>
      <c r="K482" s="7" t="s">
        <v>572</v>
      </c>
      <c r="L482" s="11">
        <v>218.5</v>
      </c>
      <c r="M482" s="11">
        <v>54917.83</v>
      </c>
      <c r="N482" s="9">
        <f t="shared" si="15"/>
        <v>218.5</v>
      </c>
    </row>
    <row r="483" spans="1:14" ht="12.75" hidden="1" customHeight="1" x14ac:dyDescent="0.2">
      <c r="A483">
        <v>65061</v>
      </c>
      <c r="B483" s="3" t="s">
        <v>1253</v>
      </c>
      <c r="C483" s="7" t="s">
        <v>344</v>
      </c>
      <c r="D483" s="7" t="s">
        <v>200</v>
      </c>
      <c r="F483" s="7" t="s">
        <v>241</v>
      </c>
      <c r="G483" s="7" t="s">
        <v>1564</v>
      </c>
      <c r="H483" s="7" t="s">
        <v>1362</v>
      </c>
      <c r="I483" s="7" t="s">
        <v>1253</v>
      </c>
      <c r="K483" s="7" t="s">
        <v>572</v>
      </c>
      <c r="L483" s="11">
        <v>38.49</v>
      </c>
      <c r="M483" s="11">
        <v>56455.17</v>
      </c>
      <c r="N483" s="9">
        <f t="shared" si="15"/>
        <v>38.49</v>
      </c>
    </row>
    <row r="484" spans="1:14" ht="12.75" hidden="1" customHeight="1" x14ac:dyDescent="0.2">
      <c r="A484">
        <v>65061</v>
      </c>
      <c r="B484" s="3" t="s">
        <v>1253</v>
      </c>
      <c r="C484" s="7" t="s">
        <v>334</v>
      </c>
      <c r="D484" s="7" t="s">
        <v>200</v>
      </c>
      <c r="F484" s="7" t="s">
        <v>548</v>
      </c>
      <c r="G484" s="7" t="s">
        <v>1564</v>
      </c>
      <c r="H484" s="7" t="s">
        <v>1362</v>
      </c>
      <c r="I484" s="7" t="s">
        <v>1253</v>
      </c>
      <c r="K484" s="7" t="s">
        <v>572</v>
      </c>
      <c r="L484" s="11">
        <v>27.83</v>
      </c>
      <c r="M484" s="11">
        <v>61123.19</v>
      </c>
      <c r="N484" s="9">
        <f t="shared" si="15"/>
        <v>27.83</v>
      </c>
    </row>
    <row r="485" spans="1:14" ht="12.75" hidden="1" customHeight="1" x14ac:dyDescent="0.2">
      <c r="A485">
        <v>65061</v>
      </c>
      <c r="B485" s="3" t="s">
        <v>1253</v>
      </c>
      <c r="C485" s="7" t="s">
        <v>330</v>
      </c>
      <c r="D485" s="7" t="s">
        <v>200</v>
      </c>
      <c r="F485" s="7" t="s">
        <v>600</v>
      </c>
      <c r="G485" s="7" t="s">
        <v>1564</v>
      </c>
      <c r="H485" s="7" t="s">
        <v>1362</v>
      </c>
      <c r="I485" s="7" t="s">
        <v>1253</v>
      </c>
      <c r="K485" s="7" t="s">
        <v>572</v>
      </c>
      <c r="L485" s="11">
        <v>53.38</v>
      </c>
      <c r="M485" s="11">
        <v>61414.31</v>
      </c>
      <c r="N485" s="9">
        <f t="shared" si="15"/>
        <v>53.38</v>
      </c>
    </row>
    <row r="486" spans="1:14" ht="12.75" hidden="1" customHeight="1" x14ac:dyDescent="0.2">
      <c r="A486">
        <v>65061</v>
      </c>
      <c r="B486" s="3" t="s">
        <v>1253</v>
      </c>
      <c r="C486" s="7" t="s">
        <v>330</v>
      </c>
      <c r="D486" s="7" t="s">
        <v>200</v>
      </c>
      <c r="F486" s="7" t="s">
        <v>872</v>
      </c>
      <c r="G486" s="7" t="s">
        <v>1564</v>
      </c>
      <c r="H486" s="7" t="s">
        <v>1362</v>
      </c>
      <c r="I486" s="7" t="s">
        <v>1253</v>
      </c>
      <c r="K486" s="7" t="s">
        <v>572</v>
      </c>
      <c r="L486" s="11">
        <v>199.99</v>
      </c>
      <c r="M486" s="11">
        <v>61763.7</v>
      </c>
      <c r="N486" s="9">
        <f t="shared" si="15"/>
        <v>199.99</v>
      </c>
    </row>
    <row r="487" spans="1:14" ht="12.75" hidden="1" customHeight="1" x14ac:dyDescent="0.2">
      <c r="A487">
        <v>65061</v>
      </c>
      <c r="B487" s="3" t="s">
        <v>1253</v>
      </c>
      <c r="C487" s="7" t="s">
        <v>330</v>
      </c>
      <c r="D487" s="7" t="s">
        <v>200</v>
      </c>
      <c r="F487" s="7" t="s">
        <v>548</v>
      </c>
      <c r="G487" s="7" t="s">
        <v>1564</v>
      </c>
      <c r="H487" s="7" t="s">
        <v>1362</v>
      </c>
      <c r="I487" s="7" t="s">
        <v>1253</v>
      </c>
      <c r="K487" s="7" t="s">
        <v>572</v>
      </c>
      <c r="L487" s="11">
        <v>92.74</v>
      </c>
      <c r="M487" s="11">
        <v>61856.44</v>
      </c>
      <c r="N487" s="9">
        <f t="shared" si="15"/>
        <v>92.74</v>
      </c>
    </row>
    <row r="488" spans="1:14" ht="12.75" hidden="1" customHeight="1" x14ac:dyDescent="0.2">
      <c r="A488">
        <v>65061</v>
      </c>
      <c r="B488" s="3" t="s">
        <v>1253</v>
      </c>
      <c r="C488" s="7" t="s">
        <v>330</v>
      </c>
      <c r="D488" s="7" t="s">
        <v>200</v>
      </c>
      <c r="F488" s="7" t="s">
        <v>546</v>
      </c>
      <c r="G488" s="7" t="s">
        <v>1564</v>
      </c>
      <c r="H488" s="7" t="s">
        <v>1362</v>
      </c>
      <c r="I488" s="7" t="s">
        <v>1253</v>
      </c>
      <c r="K488" s="7" t="s">
        <v>572</v>
      </c>
      <c r="L488" s="11">
        <v>22.88</v>
      </c>
      <c r="M488" s="11">
        <v>61879.32</v>
      </c>
      <c r="N488" s="9">
        <f t="shared" si="15"/>
        <v>22.88</v>
      </c>
    </row>
    <row r="489" spans="1:14" ht="12.75" hidden="1" customHeight="1" x14ac:dyDescent="0.2">
      <c r="A489">
        <v>65061</v>
      </c>
      <c r="B489" s="3" t="s">
        <v>1253</v>
      </c>
      <c r="C489" s="7" t="s">
        <v>868</v>
      </c>
      <c r="D489" s="7" t="s">
        <v>200</v>
      </c>
      <c r="F489" s="7" t="s">
        <v>548</v>
      </c>
      <c r="G489" s="7" t="s">
        <v>1564</v>
      </c>
      <c r="H489" s="7" t="s">
        <v>1362</v>
      </c>
      <c r="I489" s="7" t="s">
        <v>1253</v>
      </c>
      <c r="K489" s="7" t="s">
        <v>572</v>
      </c>
      <c r="L489" s="11">
        <v>35.76</v>
      </c>
      <c r="M489" s="11">
        <v>64928.76</v>
      </c>
      <c r="N489" s="9">
        <f t="shared" si="15"/>
        <v>35.76</v>
      </c>
    </row>
    <row r="490" spans="1:14" ht="12.75" hidden="1" customHeight="1" x14ac:dyDescent="0.2">
      <c r="A490">
        <v>65061</v>
      </c>
      <c r="B490" s="3" t="s">
        <v>1253</v>
      </c>
      <c r="C490" s="7" t="s">
        <v>323</v>
      </c>
      <c r="D490" s="7" t="s">
        <v>200</v>
      </c>
      <c r="F490" s="7" t="s">
        <v>546</v>
      </c>
      <c r="G490" s="7" t="s">
        <v>1564</v>
      </c>
      <c r="H490" s="7" t="s">
        <v>1362</v>
      </c>
      <c r="I490" s="7" t="s">
        <v>1253</v>
      </c>
      <c r="K490" s="7" t="s">
        <v>572</v>
      </c>
      <c r="L490" s="11">
        <v>36.99</v>
      </c>
      <c r="M490" s="11">
        <v>65203.98</v>
      </c>
      <c r="N490" s="9">
        <f t="shared" si="15"/>
        <v>36.99</v>
      </c>
    </row>
    <row r="491" spans="1:14" ht="12.75" hidden="1" customHeight="1" x14ac:dyDescent="0.2">
      <c r="A491">
        <v>65061</v>
      </c>
      <c r="B491" s="3" t="s">
        <v>1253</v>
      </c>
      <c r="C491" s="7" t="s">
        <v>323</v>
      </c>
      <c r="D491" s="7" t="s">
        <v>200</v>
      </c>
      <c r="F491" s="7" t="s">
        <v>548</v>
      </c>
      <c r="G491" s="7" t="s">
        <v>1564</v>
      </c>
      <c r="H491" s="7" t="s">
        <v>1362</v>
      </c>
      <c r="I491" s="7" t="s">
        <v>1253</v>
      </c>
      <c r="K491" s="7" t="s">
        <v>572</v>
      </c>
      <c r="L491" s="11">
        <v>76.41</v>
      </c>
      <c r="M491" s="11">
        <v>65438.19</v>
      </c>
      <c r="N491" s="9">
        <f t="shared" si="15"/>
        <v>76.41</v>
      </c>
    </row>
    <row r="492" spans="1:14" ht="12.75" hidden="1" customHeight="1" x14ac:dyDescent="0.2">
      <c r="A492">
        <v>65061</v>
      </c>
      <c r="B492" s="3" t="s">
        <v>1253</v>
      </c>
      <c r="C492" s="7" t="s">
        <v>323</v>
      </c>
      <c r="D492" s="7" t="s">
        <v>200</v>
      </c>
      <c r="F492" s="7" t="s">
        <v>241</v>
      </c>
      <c r="G492" s="7" t="s">
        <v>1564</v>
      </c>
      <c r="H492" s="7" t="s">
        <v>1362</v>
      </c>
      <c r="I492" s="7" t="s">
        <v>1253</v>
      </c>
      <c r="K492" s="7" t="s">
        <v>572</v>
      </c>
      <c r="L492" s="11">
        <v>195.74</v>
      </c>
      <c r="M492" s="11">
        <v>65633.929999999993</v>
      </c>
      <c r="N492" s="9">
        <f t="shared" si="15"/>
        <v>195.74</v>
      </c>
    </row>
    <row r="493" spans="1:14" ht="12.75" hidden="1" customHeight="1" x14ac:dyDescent="0.2">
      <c r="A493">
        <v>65061</v>
      </c>
      <c r="B493" s="3" t="s">
        <v>1253</v>
      </c>
      <c r="C493" s="7" t="s">
        <v>319</v>
      </c>
      <c r="D493" s="7" t="s">
        <v>200</v>
      </c>
      <c r="F493" s="7" t="s">
        <v>793</v>
      </c>
      <c r="G493" s="7" t="s">
        <v>1564</v>
      </c>
      <c r="H493" s="7" t="s">
        <v>1362</v>
      </c>
      <c r="I493" s="7" t="s">
        <v>1253</v>
      </c>
      <c r="K493" s="7" t="s">
        <v>572</v>
      </c>
      <c r="L493" s="11">
        <v>45.41</v>
      </c>
      <c r="M493" s="11">
        <v>67013.47</v>
      </c>
      <c r="N493" s="9">
        <f t="shared" si="15"/>
        <v>45.41</v>
      </c>
    </row>
    <row r="494" spans="1:14" ht="12.75" hidden="1" customHeight="1" x14ac:dyDescent="0.2">
      <c r="A494">
        <v>65061</v>
      </c>
      <c r="B494" s="3" t="s">
        <v>1253</v>
      </c>
      <c r="C494" s="7" t="s">
        <v>319</v>
      </c>
      <c r="D494" s="7" t="s">
        <v>200</v>
      </c>
      <c r="F494" s="7" t="s">
        <v>241</v>
      </c>
      <c r="G494" s="7" t="s">
        <v>1564</v>
      </c>
      <c r="H494" s="7" t="s">
        <v>1362</v>
      </c>
      <c r="I494" s="7" t="s">
        <v>1253</v>
      </c>
      <c r="K494" s="7" t="s">
        <v>572</v>
      </c>
      <c r="L494" s="11">
        <v>115.86</v>
      </c>
      <c r="M494" s="11">
        <v>67096.67</v>
      </c>
      <c r="N494" s="9">
        <f t="shared" si="15"/>
        <v>115.86</v>
      </c>
    </row>
    <row r="495" spans="1:14" ht="12.75" hidden="1" customHeight="1" x14ac:dyDescent="0.2">
      <c r="A495">
        <v>65061</v>
      </c>
      <c r="B495" s="3" t="s">
        <v>1253</v>
      </c>
      <c r="C495" s="7" t="s">
        <v>319</v>
      </c>
      <c r="D495" s="7" t="s">
        <v>200</v>
      </c>
      <c r="F495" s="7" t="s">
        <v>241</v>
      </c>
      <c r="G495" s="7" t="s">
        <v>1564</v>
      </c>
      <c r="H495" s="7" t="s">
        <v>1362</v>
      </c>
      <c r="I495" s="7" t="s">
        <v>1253</v>
      </c>
      <c r="K495" s="7" t="s">
        <v>572</v>
      </c>
      <c r="L495" s="11">
        <v>211.34</v>
      </c>
      <c r="M495" s="11">
        <v>67308.009999999995</v>
      </c>
      <c r="N495" s="9">
        <f t="shared" si="15"/>
        <v>211.34</v>
      </c>
    </row>
    <row r="496" spans="1:14" ht="12.75" hidden="1" customHeight="1" x14ac:dyDescent="0.2">
      <c r="A496">
        <v>65061</v>
      </c>
      <c r="B496" s="3" t="s">
        <v>1253</v>
      </c>
      <c r="C496" s="7" t="s">
        <v>319</v>
      </c>
      <c r="D496" s="7" t="s">
        <v>200</v>
      </c>
      <c r="F496" s="7" t="s">
        <v>860</v>
      </c>
      <c r="G496" s="7" t="s">
        <v>1564</v>
      </c>
      <c r="H496" s="7" t="s">
        <v>1362</v>
      </c>
      <c r="I496" s="7" t="s">
        <v>1253</v>
      </c>
      <c r="K496" s="7" t="s">
        <v>572</v>
      </c>
      <c r="L496" s="11">
        <v>36.22</v>
      </c>
      <c r="M496" s="11">
        <v>67725.13</v>
      </c>
      <c r="N496" s="9">
        <f t="shared" si="15"/>
        <v>36.22</v>
      </c>
    </row>
    <row r="497" spans="1:14" ht="12.75" hidden="1" customHeight="1" x14ac:dyDescent="0.2">
      <c r="A497">
        <v>65061</v>
      </c>
      <c r="B497" s="3" t="s">
        <v>1253</v>
      </c>
      <c r="C497" s="7" t="s">
        <v>849</v>
      </c>
      <c r="D497" s="7" t="s">
        <v>242</v>
      </c>
      <c r="F497" s="7" t="s">
        <v>600</v>
      </c>
      <c r="G497" s="7" t="s">
        <v>1564</v>
      </c>
      <c r="H497" s="7" t="s">
        <v>1362</v>
      </c>
      <c r="I497" s="7" t="s">
        <v>1253</v>
      </c>
      <c r="K497" s="7" t="s">
        <v>572</v>
      </c>
      <c r="L497" s="11">
        <v>-17.98</v>
      </c>
      <c r="M497" s="11">
        <v>73001.289999999994</v>
      </c>
      <c r="N497" s="9">
        <f t="shared" si="15"/>
        <v>-17.98</v>
      </c>
    </row>
    <row r="498" spans="1:14" ht="12.75" hidden="1" customHeight="1" x14ac:dyDescent="0.2">
      <c r="A498">
        <v>65061</v>
      </c>
      <c r="B498" s="3" t="s">
        <v>1253</v>
      </c>
      <c r="C498" s="7" t="s">
        <v>849</v>
      </c>
      <c r="D498" s="7" t="s">
        <v>242</v>
      </c>
      <c r="F498" s="7" t="s">
        <v>548</v>
      </c>
      <c r="G498" s="7" t="s">
        <v>1564</v>
      </c>
      <c r="H498" s="7" t="s">
        <v>1362</v>
      </c>
      <c r="I498" s="7" t="s">
        <v>1253</v>
      </c>
      <c r="K498" s="7" t="s">
        <v>572</v>
      </c>
      <c r="L498" s="11">
        <v>-38.200000000000003</v>
      </c>
      <c r="M498" s="11">
        <v>72963.09</v>
      </c>
      <c r="N498" s="9">
        <f t="shared" si="15"/>
        <v>-38.200000000000003</v>
      </c>
    </row>
    <row r="499" spans="1:14" ht="12.75" hidden="1" customHeight="1" x14ac:dyDescent="0.2">
      <c r="A499">
        <v>65061</v>
      </c>
      <c r="B499" s="3" t="s">
        <v>1253</v>
      </c>
      <c r="C499" s="7" t="s">
        <v>845</v>
      </c>
      <c r="D499" s="7" t="s">
        <v>242</v>
      </c>
      <c r="F499" s="7" t="s">
        <v>546</v>
      </c>
      <c r="G499" s="7" t="s">
        <v>1564</v>
      </c>
      <c r="H499" s="7" t="s">
        <v>1362</v>
      </c>
      <c r="I499" s="7" t="s">
        <v>1253</v>
      </c>
      <c r="K499" s="7" t="s">
        <v>572</v>
      </c>
      <c r="L499" s="11">
        <v>-23.97</v>
      </c>
      <c r="M499" s="11">
        <v>74262.759999999995</v>
      </c>
      <c r="N499" s="9">
        <f t="shared" si="15"/>
        <v>-23.97</v>
      </c>
    </row>
    <row r="500" spans="1:14" ht="12.75" hidden="1" customHeight="1" x14ac:dyDescent="0.2">
      <c r="A500">
        <v>65061</v>
      </c>
      <c r="B500" s="3" t="s">
        <v>1253</v>
      </c>
      <c r="C500" s="7" t="s">
        <v>843</v>
      </c>
      <c r="D500" s="7" t="s">
        <v>242</v>
      </c>
      <c r="F500" s="7" t="s">
        <v>241</v>
      </c>
      <c r="G500" s="7" t="s">
        <v>1564</v>
      </c>
      <c r="H500" s="7" t="s">
        <v>1362</v>
      </c>
      <c r="I500" s="7" t="s">
        <v>1253</v>
      </c>
      <c r="K500" s="7" t="s">
        <v>572</v>
      </c>
      <c r="L500" s="11">
        <v>-103.77</v>
      </c>
      <c r="M500" s="11">
        <v>74908.84</v>
      </c>
      <c r="N500" s="9">
        <f t="shared" si="15"/>
        <v>-103.77</v>
      </c>
    </row>
    <row r="501" spans="1:14" ht="12.75" hidden="1" customHeight="1" x14ac:dyDescent="0.2">
      <c r="A501">
        <v>65061</v>
      </c>
      <c r="B501" s="3" t="s">
        <v>1253</v>
      </c>
      <c r="C501" s="7" t="s">
        <v>843</v>
      </c>
      <c r="D501" s="7" t="s">
        <v>242</v>
      </c>
      <c r="F501" s="7" t="s">
        <v>634</v>
      </c>
      <c r="G501" s="7" t="s">
        <v>1564</v>
      </c>
      <c r="H501" s="7" t="s">
        <v>1362</v>
      </c>
      <c r="I501" s="7" t="s">
        <v>1253</v>
      </c>
      <c r="K501" s="7" t="s">
        <v>572</v>
      </c>
      <c r="L501" s="11">
        <v>-32.76</v>
      </c>
      <c r="M501" s="11">
        <v>74876.08</v>
      </c>
      <c r="N501" s="9">
        <f t="shared" si="15"/>
        <v>-32.76</v>
      </c>
    </row>
    <row r="502" spans="1:14" ht="12.75" hidden="1" customHeight="1" x14ac:dyDescent="0.2">
      <c r="A502">
        <v>65061</v>
      </c>
      <c r="B502" s="3" t="s">
        <v>1253</v>
      </c>
      <c r="C502" s="7" t="s">
        <v>406</v>
      </c>
      <c r="D502" s="7" t="s">
        <v>200</v>
      </c>
      <c r="F502" s="7" t="s">
        <v>597</v>
      </c>
      <c r="G502" s="7" t="s">
        <v>1564</v>
      </c>
      <c r="H502" s="7" t="s">
        <v>1362</v>
      </c>
      <c r="I502" s="7" t="s">
        <v>1253</v>
      </c>
      <c r="K502" s="7" t="s">
        <v>572</v>
      </c>
      <c r="L502" s="11">
        <v>504.95</v>
      </c>
      <c r="M502" s="11">
        <v>83158.490000000005</v>
      </c>
      <c r="N502" s="9">
        <f t="shared" si="15"/>
        <v>504.95</v>
      </c>
    </row>
    <row r="503" spans="1:14" ht="12.75" hidden="1" customHeight="1" x14ac:dyDescent="0.2">
      <c r="A503">
        <v>65061</v>
      </c>
      <c r="B503" s="3" t="s">
        <v>1253</v>
      </c>
      <c r="C503" s="7" t="s">
        <v>406</v>
      </c>
      <c r="D503" s="7" t="s">
        <v>200</v>
      </c>
      <c r="F503" s="7" t="s">
        <v>597</v>
      </c>
      <c r="G503" s="7" t="s">
        <v>1564</v>
      </c>
      <c r="H503" s="7" t="s">
        <v>1362</v>
      </c>
      <c r="I503" s="7" t="s">
        <v>1253</v>
      </c>
      <c r="K503" s="7" t="s">
        <v>572</v>
      </c>
      <c r="L503" s="11">
        <v>504.95</v>
      </c>
      <c r="M503" s="11">
        <v>84095.66</v>
      </c>
      <c r="N503" s="9">
        <f t="shared" si="15"/>
        <v>504.95</v>
      </c>
    </row>
    <row r="504" spans="1:14" ht="12.75" hidden="1" customHeight="1" x14ac:dyDescent="0.2">
      <c r="A504">
        <v>65061</v>
      </c>
      <c r="B504" s="3" t="s">
        <v>1253</v>
      </c>
      <c r="C504" s="7" t="s">
        <v>814</v>
      </c>
      <c r="D504" s="7" t="s">
        <v>200</v>
      </c>
      <c r="F504" s="7" t="s">
        <v>597</v>
      </c>
      <c r="G504" s="7" t="s">
        <v>1564</v>
      </c>
      <c r="H504" s="7" t="s">
        <v>1362</v>
      </c>
      <c r="I504" s="7" t="s">
        <v>1253</v>
      </c>
      <c r="K504" s="7" t="s">
        <v>572</v>
      </c>
      <c r="L504" s="11">
        <v>504.95</v>
      </c>
      <c r="M504" s="11">
        <v>84781.58</v>
      </c>
      <c r="N504" s="9">
        <f t="shared" si="15"/>
        <v>504.95</v>
      </c>
    </row>
    <row r="505" spans="1:14" ht="12.75" hidden="1" customHeight="1" x14ac:dyDescent="0.2">
      <c r="A505">
        <v>65061</v>
      </c>
      <c r="B505" s="3" t="s">
        <v>1253</v>
      </c>
      <c r="C505" s="7" t="s">
        <v>290</v>
      </c>
      <c r="D505" s="7" t="s">
        <v>200</v>
      </c>
      <c r="E505" s="7">
        <v>1010</v>
      </c>
      <c r="F505" s="7" t="s">
        <v>811</v>
      </c>
      <c r="G505" s="7" t="s">
        <v>1564</v>
      </c>
      <c r="H505" s="7" t="s">
        <v>1362</v>
      </c>
      <c r="I505" s="7" t="s">
        <v>1253</v>
      </c>
      <c r="K505" s="7" t="s">
        <v>572</v>
      </c>
      <c r="L505" s="11">
        <v>175.41</v>
      </c>
      <c r="M505" s="11">
        <v>86931.14</v>
      </c>
      <c r="N505" s="9">
        <f t="shared" si="15"/>
        <v>175.41</v>
      </c>
    </row>
    <row r="506" spans="1:14" ht="12.75" hidden="1" customHeight="1" x14ac:dyDescent="0.2">
      <c r="A506">
        <v>65061</v>
      </c>
      <c r="B506" s="3" t="s">
        <v>1253</v>
      </c>
      <c r="C506" s="7" t="s">
        <v>290</v>
      </c>
      <c r="D506" s="7" t="s">
        <v>200</v>
      </c>
      <c r="E506" s="7">
        <v>1011</v>
      </c>
      <c r="F506" s="7" t="s">
        <v>811</v>
      </c>
      <c r="G506" s="7" t="s">
        <v>1564</v>
      </c>
      <c r="H506" s="7" t="s">
        <v>1362</v>
      </c>
      <c r="I506" s="7" t="s">
        <v>1253</v>
      </c>
      <c r="K506" s="7" t="s">
        <v>572</v>
      </c>
      <c r="L506" s="11">
        <v>259.68</v>
      </c>
      <c r="M506" s="11">
        <v>87190.82</v>
      </c>
      <c r="N506" s="9">
        <f t="shared" si="15"/>
        <v>259.68</v>
      </c>
    </row>
    <row r="507" spans="1:14" ht="12.75" hidden="1" customHeight="1" x14ac:dyDescent="0.2">
      <c r="A507">
        <v>65061</v>
      </c>
      <c r="B507" s="3" t="s">
        <v>1253</v>
      </c>
      <c r="C507" s="7" t="s">
        <v>290</v>
      </c>
      <c r="D507" s="7" t="s">
        <v>200</v>
      </c>
      <c r="E507" s="7">
        <v>1012</v>
      </c>
      <c r="F507" s="7" t="s">
        <v>811</v>
      </c>
      <c r="G507" s="7" t="s">
        <v>1564</v>
      </c>
      <c r="H507" s="7" t="s">
        <v>1362</v>
      </c>
      <c r="I507" s="7" t="s">
        <v>1253</v>
      </c>
      <c r="K507" s="7" t="s">
        <v>572</v>
      </c>
      <c r="L507" s="11">
        <v>192.91</v>
      </c>
      <c r="M507" s="11">
        <v>87383.73</v>
      </c>
      <c r="N507" s="9">
        <f t="shared" si="15"/>
        <v>192.91</v>
      </c>
    </row>
    <row r="508" spans="1:14" ht="12.75" hidden="1" customHeight="1" x14ac:dyDescent="0.2">
      <c r="A508">
        <v>65061</v>
      </c>
      <c r="B508" s="3" t="s">
        <v>1253</v>
      </c>
      <c r="C508" s="7" t="s">
        <v>287</v>
      </c>
      <c r="D508" s="7" t="s">
        <v>200</v>
      </c>
      <c r="F508" s="7" t="s">
        <v>808</v>
      </c>
      <c r="G508" s="7" t="s">
        <v>1564</v>
      </c>
      <c r="H508" s="7" t="s">
        <v>1362</v>
      </c>
      <c r="I508" s="7" t="s">
        <v>1253</v>
      </c>
      <c r="K508" s="7" t="s">
        <v>572</v>
      </c>
      <c r="L508" s="11">
        <v>21.8</v>
      </c>
      <c r="M508" s="11">
        <v>89481.03</v>
      </c>
      <c r="N508" s="9">
        <f t="shared" si="15"/>
        <v>21.8</v>
      </c>
    </row>
    <row r="509" spans="1:14" ht="12.75" hidden="1" customHeight="1" x14ac:dyDescent="0.2">
      <c r="A509">
        <v>65061</v>
      </c>
      <c r="B509" s="3" t="s">
        <v>1253</v>
      </c>
      <c r="C509" s="7" t="s">
        <v>287</v>
      </c>
      <c r="D509" s="7" t="s">
        <v>200</v>
      </c>
      <c r="F509" s="7" t="s">
        <v>595</v>
      </c>
      <c r="G509" s="7" t="s">
        <v>1564</v>
      </c>
      <c r="H509" s="7" t="s">
        <v>1362</v>
      </c>
      <c r="I509" s="7" t="s">
        <v>1253</v>
      </c>
      <c r="K509" s="7" t="s">
        <v>572</v>
      </c>
      <c r="L509" s="11">
        <v>27.3</v>
      </c>
      <c r="M509" s="11">
        <v>89508.33</v>
      </c>
      <c r="N509" s="9">
        <f t="shared" si="15"/>
        <v>27.3</v>
      </c>
    </row>
    <row r="510" spans="1:14" ht="12.75" hidden="1" customHeight="1" x14ac:dyDescent="0.2">
      <c r="A510">
        <v>65061</v>
      </c>
      <c r="B510" s="3" t="s">
        <v>1253</v>
      </c>
      <c r="C510" s="7" t="s">
        <v>802</v>
      </c>
      <c r="D510" s="7" t="s">
        <v>200</v>
      </c>
      <c r="F510" s="7" t="s">
        <v>265</v>
      </c>
      <c r="G510" s="7" t="s">
        <v>1564</v>
      </c>
      <c r="H510" s="7" t="s">
        <v>1362</v>
      </c>
      <c r="I510" s="7" t="s">
        <v>1253</v>
      </c>
      <c r="K510" s="7" t="s">
        <v>572</v>
      </c>
      <c r="L510" s="11">
        <v>88.48</v>
      </c>
      <c r="M510" s="11">
        <v>90773.54</v>
      </c>
      <c r="N510" s="9">
        <f t="shared" si="15"/>
        <v>88.48</v>
      </c>
    </row>
    <row r="511" spans="1:14" ht="12.75" hidden="1" customHeight="1" x14ac:dyDescent="0.2">
      <c r="A511">
        <v>65061</v>
      </c>
      <c r="B511" s="3" t="s">
        <v>1253</v>
      </c>
      <c r="C511" s="7" t="s">
        <v>282</v>
      </c>
      <c r="D511" s="7" t="s">
        <v>200</v>
      </c>
      <c r="F511" s="7" t="s">
        <v>265</v>
      </c>
      <c r="G511" s="7" t="s">
        <v>1564</v>
      </c>
      <c r="H511" s="7" t="s">
        <v>1362</v>
      </c>
      <c r="I511" s="7" t="s">
        <v>1253</v>
      </c>
      <c r="K511" s="7" t="s">
        <v>572</v>
      </c>
      <c r="L511" s="11">
        <v>33.1</v>
      </c>
      <c r="M511" s="11">
        <v>92621.92</v>
      </c>
      <c r="N511" s="9">
        <f t="shared" si="15"/>
        <v>33.1</v>
      </c>
    </row>
    <row r="512" spans="1:14" ht="12.75" hidden="1" customHeight="1" x14ac:dyDescent="0.2">
      <c r="A512">
        <v>65061</v>
      </c>
      <c r="B512" s="3" t="s">
        <v>1253</v>
      </c>
      <c r="C512" s="7" t="s">
        <v>788</v>
      </c>
      <c r="D512" s="7" t="s">
        <v>200</v>
      </c>
      <c r="F512" s="7" t="s">
        <v>792</v>
      </c>
      <c r="G512" s="7" t="s">
        <v>1564</v>
      </c>
      <c r="H512" s="7" t="s">
        <v>1362</v>
      </c>
      <c r="I512" s="7" t="s">
        <v>1253</v>
      </c>
      <c r="K512" s="7" t="s">
        <v>572</v>
      </c>
      <c r="L512" s="11">
        <v>134.97999999999999</v>
      </c>
      <c r="M512" s="11">
        <v>98640.54</v>
      </c>
      <c r="N512" s="9">
        <f t="shared" si="15"/>
        <v>134.97999999999999</v>
      </c>
    </row>
    <row r="513" spans="1:14" ht="12.75" hidden="1" customHeight="1" x14ac:dyDescent="0.2">
      <c r="A513">
        <v>65061</v>
      </c>
      <c r="B513" s="3" t="s">
        <v>1253</v>
      </c>
      <c r="C513" s="7" t="s">
        <v>788</v>
      </c>
      <c r="D513" s="7" t="s">
        <v>200</v>
      </c>
      <c r="F513" s="7" t="s">
        <v>265</v>
      </c>
      <c r="G513" s="7" t="s">
        <v>1564</v>
      </c>
      <c r="H513" s="7" t="s">
        <v>1362</v>
      </c>
      <c r="I513" s="7" t="s">
        <v>1253</v>
      </c>
      <c r="K513" s="7" t="s">
        <v>572</v>
      </c>
      <c r="L513" s="11">
        <v>111.98</v>
      </c>
      <c r="M513" s="11">
        <v>98752.52</v>
      </c>
      <c r="N513" s="9">
        <f t="shared" si="15"/>
        <v>111.98</v>
      </c>
    </row>
    <row r="514" spans="1:14" ht="12.75" hidden="1" customHeight="1" x14ac:dyDescent="0.2">
      <c r="A514">
        <v>65061</v>
      </c>
      <c r="B514" s="3" t="s">
        <v>1253</v>
      </c>
      <c r="C514" s="7" t="s">
        <v>788</v>
      </c>
      <c r="D514" s="7" t="s">
        <v>200</v>
      </c>
      <c r="F514" s="7" t="s">
        <v>569</v>
      </c>
      <c r="G514" s="7" t="s">
        <v>1564</v>
      </c>
      <c r="H514" s="7" t="s">
        <v>1362</v>
      </c>
      <c r="I514" s="7" t="s">
        <v>1253</v>
      </c>
      <c r="K514" s="7" t="s">
        <v>572</v>
      </c>
      <c r="L514" s="11">
        <v>300</v>
      </c>
      <c r="M514" s="11">
        <v>99397.22</v>
      </c>
      <c r="N514" s="9">
        <f t="shared" si="15"/>
        <v>300</v>
      </c>
    </row>
    <row r="515" spans="1:14" ht="12.75" hidden="1" customHeight="1" x14ac:dyDescent="0.2">
      <c r="A515">
        <v>65061</v>
      </c>
      <c r="B515" s="3" t="s">
        <v>1253</v>
      </c>
      <c r="C515" s="7" t="s">
        <v>270</v>
      </c>
      <c r="D515" s="7" t="s">
        <v>200</v>
      </c>
      <c r="F515" s="7" t="s">
        <v>352</v>
      </c>
      <c r="G515" s="7" t="s">
        <v>1564</v>
      </c>
      <c r="H515" s="7" t="s">
        <v>1362</v>
      </c>
      <c r="I515" s="7" t="s">
        <v>1253</v>
      </c>
      <c r="K515" s="7" t="s">
        <v>572</v>
      </c>
      <c r="L515" s="11">
        <v>147.85</v>
      </c>
      <c r="M515" s="11">
        <v>101841.79</v>
      </c>
      <c r="N515" s="9">
        <f t="shared" si="15"/>
        <v>147.85</v>
      </c>
    </row>
    <row r="516" spans="1:14" ht="12.75" hidden="1" customHeight="1" x14ac:dyDescent="0.2">
      <c r="A516">
        <v>65061</v>
      </c>
      <c r="B516" s="3" t="s">
        <v>1253</v>
      </c>
      <c r="C516" s="7" t="s">
        <v>253</v>
      </c>
      <c r="D516" s="7" t="s">
        <v>200</v>
      </c>
      <c r="F516" s="7" t="s">
        <v>352</v>
      </c>
      <c r="G516" s="7" t="s">
        <v>1564</v>
      </c>
      <c r="H516" s="7" t="s">
        <v>1362</v>
      </c>
      <c r="I516" s="7" t="s">
        <v>1253</v>
      </c>
      <c r="K516" s="7" t="s">
        <v>572</v>
      </c>
      <c r="L516" s="11">
        <v>22.93</v>
      </c>
      <c r="M516" s="11">
        <v>108652.37</v>
      </c>
      <c r="N516" s="9">
        <f t="shared" si="15"/>
        <v>22.93</v>
      </c>
    </row>
    <row r="517" spans="1:14" ht="12.75" hidden="1" customHeight="1" x14ac:dyDescent="0.2">
      <c r="A517">
        <v>65061</v>
      </c>
      <c r="B517" s="3" t="s">
        <v>1253</v>
      </c>
      <c r="C517" s="7" t="s">
        <v>249</v>
      </c>
      <c r="D517" s="7" t="s">
        <v>221</v>
      </c>
      <c r="F517" s="7" t="s">
        <v>571</v>
      </c>
      <c r="G517" s="7" t="s">
        <v>1564</v>
      </c>
      <c r="H517" s="7" t="s">
        <v>1362</v>
      </c>
      <c r="I517" s="7" t="s">
        <v>1253</v>
      </c>
      <c r="K517" s="7" t="s">
        <v>572</v>
      </c>
      <c r="L517" s="11">
        <v>459.98</v>
      </c>
      <c r="M517" s="11">
        <v>115869.71</v>
      </c>
      <c r="N517" s="9">
        <f t="shared" si="15"/>
        <v>459.98</v>
      </c>
    </row>
    <row r="518" spans="1:14" ht="12.75" hidden="1" customHeight="1" x14ac:dyDescent="0.2">
      <c r="A518">
        <v>65061</v>
      </c>
      <c r="B518" s="3" t="s">
        <v>1253</v>
      </c>
      <c r="C518" s="7" t="s">
        <v>496</v>
      </c>
      <c r="D518" s="7" t="s">
        <v>221</v>
      </c>
      <c r="F518" s="7" t="s">
        <v>748</v>
      </c>
      <c r="G518" s="7" t="s">
        <v>1564</v>
      </c>
      <c r="H518" s="7" t="s">
        <v>1362</v>
      </c>
      <c r="I518" s="7" t="s">
        <v>1253</v>
      </c>
      <c r="K518" s="7" t="s">
        <v>572</v>
      </c>
      <c r="L518" s="11">
        <v>166.94</v>
      </c>
      <c r="M518" s="11">
        <v>125646.89</v>
      </c>
      <c r="N518" s="9">
        <f t="shared" si="15"/>
        <v>166.94</v>
      </c>
    </row>
    <row r="519" spans="1:14" ht="12.75" hidden="1" customHeight="1" x14ac:dyDescent="0.2">
      <c r="A519">
        <v>65061</v>
      </c>
      <c r="B519" s="3" t="s">
        <v>1253</v>
      </c>
      <c r="C519" s="7" t="s">
        <v>238</v>
      </c>
      <c r="D519" s="7" t="s">
        <v>221</v>
      </c>
      <c r="F519" s="7" t="s">
        <v>600</v>
      </c>
      <c r="G519" s="7" t="s">
        <v>1564</v>
      </c>
      <c r="H519" s="7" t="s">
        <v>1362</v>
      </c>
      <c r="I519" s="7" t="s">
        <v>1253</v>
      </c>
      <c r="K519" s="7" t="s">
        <v>572</v>
      </c>
      <c r="L519" s="11">
        <v>99.68</v>
      </c>
      <c r="M519" s="11">
        <v>129488.59</v>
      </c>
      <c r="N519" s="9">
        <f t="shared" si="15"/>
        <v>99.68</v>
      </c>
    </row>
    <row r="520" spans="1:14" ht="12.75" hidden="1" customHeight="1" x14ac:dyDescent="0.2">
      <c r="A520">
        <v>65061</v>
      </c>
      <c r="B520" s="3" t="s">
        <v>1253</v>
      </c>
      <c r="C520" s="7" t="s">
        <v>238</v>
      </c>
      <c r="D520" s="7" t="s">
        <v>221</v>
      </c>
      <c r="F520" s="7" t="s">
        <v>579</v>
      </c>
      <c r="G520" s="7" t="s">
        <v>1564</v>
      </c>
      <c r="H520" s="7" t="s">
        <v>1362</v>
      </c>
      <c r="I520" s="7" t="s">
        <v>1253</v>
      </c>
      <c r="K520" s="7" t="s">
        <v>572</v>
      </c>
      <c r="L520" s="11">
        <v>38.229999999999997</v>
      </c>
      <c r="M520" s="11">
        <v>129526.82</v>
      </c>
      <c r="N520" s="9">
        <f t="shared" si="15"/>
        <v>38.229999999999997</v>
      </c>
    </row>
    <row r="521" spans="1:14" ht="12.75" hidden="1" customHeight="1" x14ac:dyDescent="0.2">
      <c r="A521">
        <v>65061</v>
      </c>
      <c r="B521" s="3" t="s">
        <v>1253</v>
      </c>
      <c r="C521" s="7" t="s">
        <v>431</v>
      </c>
      <c r="D521" s="7" t="s">
        <v>221</v>
      </c>
      <c r="F521" s="7" t="s">
        <v>736</v>
      </c>
      <c r="G521" s="7" t="s">
        <v>1564</v>
      </c>
      <c r="H521" s="7" t="s">
        <v>1362</v>
      </c>
      <c r="I521" s="7" t="s">
        <v>1253</v>
      </c>
      <c r="K521" s="7" t="s">
        <v>572</v>
      </c>
      <c r="L521" s="11">
        <v>15.26</v>
      </c>
      <c r="M521" s="11">
        <v>132216.6</v>
      </c>
      <c r="N521" s="9">
        <f t="shared" si="15"/>
        <v>15.26</v>
      </c>
    </row>
    <row r="522" spans="1:14" ht="12.75" hidden="1" customHeight="1" x14ac:dyDescent="0.2">
      <c r="A522">
        <v>65061</v>
      </c>
      <c r="B522" s="3" t="s">
        <v>1253</v>
      </c>
      <c r="C522" s="7" t="s">
        <v>235</v>
      </c>
      <c r="D522" s="7" t="s">
        <v>221</v>
      </c>
      <c r="F522" s="7" t="s">
        <v>265</v>
      </c>
      <c r="G522" s="7" t="s">
        <v>1564</v>
      </c>
      <c r="H522" s="7" t="s">
        <v>1362</v>
      </c>
      <c r="I522" s="7" t="s">
        <v>1253</v>
      </c>
      <c r="K522" s="7" t="s">
        <v>572</v>
      </c>
      <c r="L522" s="11">
        <v>30.74</v>
      </c>
      <c r="M522" s="11">
        <v>132350.99</v>
      </c>
      <c r="N522" s="9">
        <f t="shared" si="15"/>
        <v>30.74</v>
      </c>
    </row>
    <row r="523" spans="1:14" ht="12.75" hidden="1" customHeight="1" x14ac:dyDescent="0.2">
      <c r="A523">
        <v>65061</v>
      </c>
      <c r="B523" s="3" t="s">
        <v>1253</v>
      </c>
      <c r="C523" s="7" t="s">
        <v>193</v>
      </c>
      <c r="D523" s="7" t="s">
        <v>221</v>
      </c>
      <c r="F523" s="7" t="s">
        <v>546</v>
      </c>
      <c r="G523" s="7" t="s">
        <v>1564</v>
      </c>
      <c r="H523" s="7" t="s">
        <v>1362</v>
      </c>
      <c r="I523" s="7" t="s">
        <v>1253</v>
      </c>
      <c r="K523" s="7" t="s">
        <v>572</v>
      </c>
      <c r="L523" s="11">
        <v>32.82</v>
      </c>
      <c r="M523" s="11">
        <v>136145.62</v>
      </c>
      <c r="N523" s="9">
        <f t="shared" si="15"/>
        <v>32.82</v>
      </c>
    </row>
    <row r="524" spans="1:14" ht="12.75" hidden="1" customHeight="1" x14ac:dyDescent="0.2">
      <c r="A524">
        <v>65061</v>
      </c>
      <c r="B524" s="3" t="s">
        <v>1253</v>
      </c>
      <c r="C524" s="7" t="s">
        <v>193</v>
      </c>
      <c r="D524" s="7" t="s">
        <v>221</v>
      </c>
      <c r="F524" s="7" t="s">
        <v>600</v>
      </c>
      <c r="G524" s="7" t="s">
        <v>1564</v>
      </c>
      <c r="H524" s="7" t="s">
        <v>1362</v>
      </c>
      <c r="I524" s="7" t="s">
        <v>1253</v>
      </c>
      <c r="K524" s="7" t="s">
        <v>572</v>
      </c>
      <c r="L524" s="11">
        <v>23.3</v>
      </c>
      <c r="M524" s="11">
        <v>136168.92000000001</v>
      </c>
      <c r="N524" s="9">
        <f t="shared" si="15"/>
        <v>23.3</v>
      </c>
    </row>
    <row r="525" spans="1:14" ht="12.75" hidden="1" customHeight="1" x14ac:dyDescent="0.2">
      <c r="A525">
        <v>65061</v>
      </c>
      <c r="B525" s="3" t="s">
        <v>1253</v>
      </c>
      <c r="C525" s="7" t="s">
        <v>193</v>
      </c>
      <c r="D525" s="7" t="s">
        <v>221</v>
      </c>
      <c r="F525" s="7" t="s">
        <v>548</v>
      </c>
      <c r="G525" s="7" t="s">
        <v>1564</v>
      </c>
      <c r="H525" s="7" t="s">
        <v>1362</v>
      </c>
      <c r="I525" s="7" t="s">
        <v>1253</v>
      </c>
      <c r="K525" s="7" t="s">
        <v>572</v>
      </c>
      <c r="L525" s="11">
        <v>30.05</v>
      </c>
      <c r="M525" s="11">
        <v>136198.97</v>
      </c>
      <c r="N525" s="9">
        <f t="shared" si="15"/>
        <v>30.05</v>
      </c>
    </row>
    <row r="526" spans="1:14" ht="12.75" hidden="1" customHeight="1" x14ac:dyDescent="0.2">
      <c r="A526">
        <v>65061</v>
      </c>
      <c r="B526" s="3" t="s">
        <v>1253</v>
      </c>
      <c r="C526" s="7" t="s">
        <v>710</v>
      </c>
      <c r="D526" s="7" t="s">
        <v>221</v>
      </c>
      <c r="F526" s="7" t="s">
        <v>241</v>
      </c>
      <c r="G526" s="7" t="s">
        <v>1564</v>
      </c>
      <c r="H526" s="7" t="s">
        <v>1362</v>
      </c>
      <c r="I526" s="7" t="s">
        <v>1253</v>
      </c>
      <c r="K526" s="7" t="s">
        <v>572</v>
      </c>
      <c r="L526" s="11">
        <v>49.17</v>
      </c>
      <c r="M526" s="11">
        <v>136892.71</v>
      </c>
      <c r="N526" s="9">
        <f t="shared" si="15"/>
        <v>49.17</v>
      </c>
    </row>
    <row r="527" spans="1:14" ht="12.75" hidden="1" customHeight="1" x14ac:dyDescent="0.2">
      <c r="A527">
        <v>65061</v>
      </c>
      <c r="B527" s="3" t="s">
        <v>1253</v>
      </c>
      <c r="C527" s="7" t="s">
        <v>710</v>
      </c>
      <c r="D527" s="7" t="s">
        <v>242</v>
      </c>
      <c r="F527" s="7" t="s">
        <v>600</v>
      </c>
      <c r="G527" s="7" t="s">
        <v>1564</v>
      </c>
      <c r="H527" s="7" t="s">
        <v>1362</v>
      </c>
      <c r="I527" s="7" t="s">
        <v>1253</v>
      </c>
      <c r="K527" s="7" t="s">
        <v>572</v>
      </c>
      <c r="L527" s="11">
        <v>-20.98</v>
      </c>
      <c r="M527" s="11">
        <v>141044.46</v>
      </c>
      <c r="N527" s="9">
        <f t="shared" si="15"/>
        <v>-20.98</v>
      </c>
    </row>
    <row r="528" spans="1:14" ht="12.75" hidden="1" customHeight="1" x14ac:dyDescent="0.2">
      <c r="A528">
        <v>65061</v>
      </c>
      <c r="B528" s="3" t="s">
        <v>1253</v>
      </c>
      <c r="C528" s="7" t="s">
        <v>430</v>
      </c>
      <c r="D528" s="7" t="s">
        <v>221</v>
      </c>
      <c r="F528" s="7" t="s">
        <v>595</v>
      </c>
      <c r="G528" s="7" t="s">
        <v>1564</v>
      </c>
      <c r="H528" s="7" t="s">
        <v>1362</v>
      </c>
      <c r="I528" s="7" t="s">
        <v>1253</v>
      </c>
      <c r="K528" s="7" t="s">
        <v>572</v>
      </c>
      <c r="L528" s="11">
        <v>28.38</v>
      </c>
      <c r="M528" s="11">
        <v>145916.32999999999</v>
      </c>
      <c r="N528" s="9">
        <f t="shared" si="15"/>
        <v>28.38</v>
      </c>
    </row>
    <row r="529" spans="1:14" ht="12.75" hidden="1" customHeight="1" x14ac:dyDescent="0.2">
      <c r="A529">
        <v>65061</v>
      </c>
      <c r="B529" s="3" t="s">
        <v>1253</v>
      </c>
      <c r="C529" s="7" t="s">
        <v>430</v>
      </c>
      <c r="D529" s="7" t="s">
        <v>221</v>
      </c>
      <c r="F529" s="7" t="s">
        <v>546</v>
      </c>
      <c r="G529" s="7" t="s">
        <v>1564</v>
      </c>
      <c r="H529" s="7" t="s">
        <v>1362</v>
      </c>
      <c r="I529" s="7" t="s">
        <v>1253</v>
      </c>
      <c r="K529" s="7" t="s">
        <v>572</v>
      </c>
      <c r="L529" s="11">
        <v>38.200000000000003</v>
      </c>
      <c r="M529" s="11">
        <v>146091.59</v>
      </c>
      <c r="N529" s="9">
        <f t="shared" si="15"/>
        <v>38.200000000000003</v>
      </c>
    </row>
    <row r="530" spans="1:14" ht="12.75" hidden="1" customHeight="1" x14ac:dyDescent="0.2">
      <c r="A530">
        <v>65061</v>
      </c>
      <c r="B530" s="3" t="s">
        <v>1253</v>
      </c>
      <c r="C530" s="7" t="s">
        <v>222</v>
      </c>
      <c r="D530" s="7" t="s">
        <v>221</v>
      </c>
      <c r="F530" s="7" t="s">
        <v>683</v>
      </c>
      <c r="G530" s="7" t="s">
        <v>1564</v>
      </c>
      <c r="H530" s="7" t="s">
        <v>1362</v>
      </c>
      <c r="I530" s="7" t="s">
        <v>1253</v>
      </c>
      <c r="K530" s="7" t="s">
        <v>572</v>
      </c>
      <c r="L530" s="11">
        <v>131.07</v>
      </c>
      <c r="M530" s="11">
        <v>149145.31</v>
      </c>
      <c r="N530" s="9">
        <f t="shared" si="15"/>
        <v>131.07</v>
      </c>
    </row>
    <row r="531" spans="1:14" ht="12.75" hidden="1" customHeight="1" x14ac:dyDescent="0.2">
      <c r="A531">
        <v>65061</v>
      </c>
      <c r="B531" s="3" t="s">
        <v>1253</v>
      </c>
      <c r="C531" s="7" t="s">
        <v>222</v>
      </c>
      <c r="D531" s="7" t="s">
        <v>221</v>
      </c>
      <c r="F531" s="7" t="s">
        <v>568</v>
      </c>
      <c r="G531" s="7" t="s">
        <v>1564</v>
      </c>
      <c r="H531" s="7" t="s">
        <v>1362</v>
      </c>
      <c r="I531" s="7" t="s">
        <v>1253</v>
      </c>
      <c r="K531" s="7" t="s">
        <v>572</v>
      </c>
      <c r="L531" s="11">
        <v>65.52</v>
      </c>
      <c r="M531" s="11">
        <v>149210.82999999999</v>
      </c>
      <c r="N531" s="9">
        <f t="shared" si="15"/>
        <v>65.52</v>
      </c>
    </row>
    <row r="532" spans="1:14" ht="12.75" hidden="1" customHeight="1" x14ac:dyDescent="0.2">
      <c r="A532">
        <v>65061</v>
      </c>
      <c r="B532" s="3" t="s">
        <v>1253</v>
      </c>
      <c r="C532" s="7" t="s">
        <v>222</v>
      </c>
      <c r="D532" s="7" t="s">
        <v>221</v>
      </c>
      <c r="F532" s="7" t="s">
        <v>595</v>
      </c>
      <c r="G532" s="7" t="s">
        <v>1564</v>
      </c>
      <c r="H532" s="7" t="s">
        <v>1362</v>
      </c>
      <c r="I532" s="7" t="s">
        <v>1253</v>
      </c>
      <c r="K532" s="7" t="s">
        <v>572</v>
      </c>
      <c r="L532" s="11">
        <v>49.14</v>
      </c>
      <c r="M532" s="11">
        <v>149259.97</v>
      </c>
      <c r="N532" s="9">
        <f t="shared" si="15"/>
        <v>49.14</v>
      </c>
    </row>
    <row r="533" spans="1:14" ht="12.75" hidden="1" customHeight="1" x14ac:dyDescent="0.2">
      <c r="A533">
        <v>65061</v>
      </c>
      <c r="B533" s="3" t="s">
        <v>1253</v>
      </c>
      <c r="C533" s="7" t="s">
        <v>676</v>
      </c>
      <c r="D533" s="7" t="s">
        <v>221</v>
      </c>
      <c r="F533" s="7" t="s">
        <v>546</v>
      </c>
      <c r="G533" s="7" t="s">
        <v>1564</v>
      </c>
      <c r="H533" s="7" t="s">
        <v>1362</v>
      </c>
      <c r="I533" s="7" t="s">
        <v>1253</v>
      </c>
      <c r="K533" s="7" t="s">
        <v>572</v>
      </c>
      <c r="L533" s="11">
        <v>46.42</v>
      </c>
      <c r="M533" s="11">
        <v>151249.66</v>
      </c>
      <c r="N533" s="9">
        <f t="shared" si="15"/>
        <v>46.42</v>
      </c>
    </row>
    <row r="534" spans="1:14" ht="12.75" hidden="1" customHeight="1" x14ac:dyDescent="0.2">
      <c r="A534">
        <v>65061</v>
      </c>
      <c r="B534" s="3" t="s">
        <v>1253</v>
      </c>
      <c r="C534" s="7" t="s">
        <v>218</v>
      </c>
      <c r="D534" s="7" t="s">
        <v>221</v>
      </c>
      <c r="F534" s="7" t="s">
        <v>600</v>
      </c>
      <c r="G534" s="7" t="s">
        <v>1564</v>
      </c>
      <c r="H534" s="7" t="s">
        <v>1362</v>
      </c>
      <c r="I534" s="7" t="s">
        <v>1253</v>
      </c>
      <c r="K534" s="7" t="s">
        <v>572</v>
      </c>
      <c r="L534" s="11">
        <v>105.64</v>
      </c>
      <c r="M534" s="11">
        <v>152468.24</v>
      </c>
      <c r="N534" s="9">
        <f t="shared" si="15"/>
        <v>105.64</v>
      </c>
    </row>
    <row r="535" spans="1:14" ht="12.75" hidden="1" customHeight="1" x14ac:dyDescent="0.2">
      <c r="A535">
        <v>65061</v>
      </c>
      <c r="B535" s="3" t="s">
        <v>1253</v>
      </c>
      <c r="C535" s="7" t="s">
        <v>218</v>
      </c>
      <c r="D535" s="7" t="s">
        <v>221</v>
      </c>
      <c r="F535" s="7" t="s">
        <v>594</v>
      </c>
      <c r="G535" s="7" t="s">
        <v>1564</v>
      </c>
      <c r="H535" s="7" t="s">
        <v>1362</v>
      </c>
      <c r="I535" s="7" t="s">
        <v>1253</v>
      </c>
      <c r="K535" s="7" t="s">
        <v>572</v>
      </c>
      <c r="L535" s="11">
        <v>65.510000000000005</v>
      </c>
      <c r="M535" s="11">
        <v>152533.75</v>
      </c>
      <c r="N535" s="9">
        <f t="shared" si="15"/>
        <v>65.510000000000005</v>
      </c>
    </row>
    <row r="536" spans="1:14" ht="12.75" hidden="1" customHeight="1" x14ac:dyDescent="0.2">
      <c r="A536">
        <v>65061</v>
      </c>
      <c r="B536" s="3" t="s">
        <v>1253</v>
      </c>
      <c r="C536" s="7" t="s">
        <v>218</v>
      </c>
      <c r="D536" s="7" t="s">
        <v>221</v>
      </c>
      <c r="F536" s="7" t="s">
        <v>579</v>
      </c>
      <c r="G536" s="7" t="s">
        <v>1564</v>
      </c>
      <c r="H536" s="7" t="s">
        <v>1362</v>
      </c>
      <c r="I536" s="7" t="s">
        <v>1253</v>
      </c>
      <c r="K536" s="7" t="s">
        <v>572</v>
      </c>
      <c r="L536" s="11">
        <v>194.41</v>
      </c>
      <c r="M536" s="11">
        <v>154273.21</v>
      </c>
      <c r="N536" s="9">
        <f t="shared" si="15"/>
        <v>194.41</v>
      </c>
    </row>
    <row r="537" spans="1:14" ht="12.75" hidden="1" customHeight="1" x14ac:dyDescent="0.2">
      <c r="A537">
        <v>65061</v>
      </c>
      <c r="B537" s="3" t="s">
        <v>1253</v>
      </c>
      <c r="C537" s="7" t="s">
        <v>218</v>
      </c>
      <c r="D537" s="7" t="s">
        <v>221</v>
      </c>
      <c r="F537" s="7" t="s">
        <v>241</v>
      </c>
      <c r="G537" s="7" t="s">
        <v>1564</v>
      </c>
      <c r="H537" s="7" t="s">
        <v>1362</v>
      </c>
      <c r="I537" s="7" t="s">
        <v>1253</v>
      </c>
      <c r="K537" s="7" t="s">
        <v>572</v>
      </c>
      <c r="L537" s="11">
        <v>363.98</v>
      </c>
      <c r="M537" s="11">
        <v>154637.19</v>
      </c>
      <c r="N537" s="9">
        <f t="shared" si="15"/>
        <v>363.98</v>
      </c>
    </row>
    <row r="538" spans="1:14" ht="12.75" hidden="1" customHeight="1" x14ac:dyDescent="0.2">
      <c r="A538">
        <v>65061</v>
      </c>
      <c r="B538" s="3" t="s">
        <v>1253</v>
      </c>
      <c r="C538" s="7" t="s">
        <v>429</v>
      </c>
      <c r="D538" s="7" t="s">
        <v>221</v>
      </c>
      <c r="F538" s="7" t="s">
        <v>669</v>
      </c>
      <c r="G538" s="7" t="s">
        <v>1564</v>
      </c>
      <c r="H538" s="7" t="s">
        <v>1362</v>
      </c>
      <c r="I538" s="7" t="s">
        <v>1253</v>
      </c>
      <c r="K538" s="7" t="s">
        <v>572</v>
      </c>
      <c r="L538" s="11">
        <v>238</v>
      </c>
      <c r="M538" s="11">
        <v>155302.76999999999</v>
      </c>
      <c r="N538" s="9">
        <f t="shared" ref="N538:N601" si="16">IF(A538&lt;60000,-L538,+L538)</f>
        <v>238</v>
      </c>
    </row>
    <row r="539" spans="1:14" ht="12.75" hidden="1" customHeight="1" x14ac:dyDescent="0.2">
      <c r="A539">
        <v>65061</v>
      </c>
      <c r="B539" s="3" t="s">
        <v>1253</v>
      </c>
      <c r="C539" s="7" t="s">
        <v>429</v>
      </c>
      <c r="D539" s="7" t="s">
        <v>221</v>
      </c>
      <c r="F539" s="7" t="s">
        <v>241</v>
      </c>
      <c r="G539" s="7" t="s">
        <v>1564</v>
      </c>
      <c r="H539" s="7" t="s">
        <v>1362</v>
      </c>
      <c r="I539" s="7" t="s">
        <v>1253</v>
      </c>
      <c r="K539" s="7" t="s">
        <v>572</v>
      </c>
      <c r="L539" s="11">
        <v>36.31</v>
      </c>
      <c r="M539" s="11">
        <v>155339.07999999999</v>
      </c>
      <c r="N539" s="9">
        <f t="shared" si="16"/>
        <v>36.31</v>
      </c>
    </row>
    <row r="540" spans="1:14" ht="12.75" hidden="1" customHeight="1" x14ac:dyDescent="0.2">
      <c r="A540">
        <v>65061</v>
      </c>
      <c r="B540" s="3" t="s">
        <v>1253</v>
      </c>
      <c r="C540" s="7" t="s">
        <v>429</v>
      </c>
      <c r="D540" s="7" t="s">
        <v>221</v>
      </c>
      <c r="F540" s="7" t="s">
        <v>548</v>
      </c>
      <c r="G540" s="7" t="s">
        <v>1564</v>
      </c>
      <c r="H540" s="7" t="s">
        <v>1362</v>
      </c>
      <c r="I540" s="7" t="s">
        <v>1253</v>
      </c>
      <c r="K540" s="7" t="s">
        <v>572</v>
      </c>
      <c r="L540" s="11">
        <v>162.66999999999999</v>
      </c>
      <c r="M540" s="11">
        <v>155501.75</v>
      </c>
      <c r="N540" s="9">
        <f t="shared" si="16"/>
        <v>162.66999999999999</v>
      </c>
    </row>
    <row r="541" spans="1:14" ht="12.75" hidden="1" customHeight="1" x14ac:dyDescent="0.2">
      <c r="A541">
        <v>65061</v>
      </c>
      <c r="B541" s="3" t="s">
        <v>1253</v>
      </c>
      <c r="C541" s="7" t="s">
        <v>659</v>
      </c>
      <c r="D541" s="7" t="s">
        <v>221</v>
      </c>
      <c r="F541" s="7" t="s">
        <v>546</v>
      </c>
      <c r="G541" s="7" t="s">
        <v>1564</v>
      </c>
      <c r="H541" s="7" t="s">
        <v>1362</v>
      </c>
      <c r="I541" s="7" t="s">
        <v>1253</v>
      </c>
      <c r="K541" s="7" t="s">
        <v>572</v>
      </c>
      <c r="L541" s="11">
        <v>25.45</v>
      </c>
      <c r="M541" s="11">
        <v>156169.78</v>
      </c>
      <c r="N541" s="9">
        <f t="shared" si="16"/>
        <v>25.45</v>
      </c>
    </row>
    <row r="542" spans="1:14" ht="12.75" hidden="1" customHeight="1" x14ac:dyDescent="0.2">
      <c r="A542">
        <v>65061</v>
      </c>
      <c r="B542" s="3" t="s">
        <v>1253</v>
      </c>
      <c r="C542" s="7" t="s">
        <v>650</v>
      </c>
      <c r="D542" s="7" t="s">
        <v>221</v>
      </c>
      <c r="F542" s="7" t="s">
        <v>548</v>
      </c>
      <c r="G542" s="7" t="s">
        <v>1564</v>
      </c>
      <c r="H542" s="7" t="s">
        <v>1362</v>
      </c>
      <c r="I542" s="7" t="s">
        <v>1253</v>
      </c>
      <c r="K542" s="7" t="s">
        <v>572</v>
      </c>
      <c r="L542" s="11">
        <v>73.16</v>
      </c>
      <c r="M542" s="11">
        <v>164987.87</v>
      </c>
      <c r="N542" s="9">
        <f t="shared" si="16"/>
        <v>73.16</v>
      </c>
    </row>
    <row r="543" spans="1:14" ht="12.75" hidden="1" customHeight="1" x14ac:dyDescent="0.2">
      <c r="A543">
        <v>65061</v>
      </c>
      <c r="B543" s="3" t="s">
        <v>1253</v>
      </c>
      <c r="C543" s="7" t="s">
        <v>434</v>
      </c>
      <c r="D543" s="7" t="s">
        <v>221</v>
      </c>
      <c r="F543" s="7" t="s">
        <v>600</v>
      </c>
      <c r="G543" s="7" t="s">
        <v>1564</v>
      </c>
      <c r="H543" s="7" t="s">
        <v>1362</v>
      </c>
      <c r="I543" s="7" t="s">
        <v>1253</v>
      </c>
      <c r="K543" s="7" t="s">
        <v>572</v>
      </c>
      <c r="L543" s="11">
        <v>95.35</v>
      </c>
      <c r="M543" s="11">
        <v>181210.63</v>
      </c>
      <c r="N543" s="9">
        <f t="shared" si="16"/>
        <v>95.35</v>
      </c>
    </row>
    <row r="544" spans="1:14" ht="12.75" hidden="1" customHeight="1" x14ac:dyDescent="0.2">
      <c r="A544">
        <v>65061</v>
      </c>
      <c r="B544" s="3" t="s">
        <v>1253</v>
      </c>
      <c r="C544" s="7" t="s">
        <v>585</v>
      </c>
      <c r="D544" s="7" t="s">
        <v>242</v>
      </c>
      <c r="F544" s="7" t="s">
        <v>595</v>
      </c>
      <c r="G544" s="7" t="s">
        <v>1564</v>
      </c>
      <c r="H544" s="7" t="s">
        <v>1362</v>
      </c>
      <c r="I544" s="7" t="s">
        <v>1253</v>
      </c>
      <c r="K544" s="7" t="s">
        <v>572</v>
      </c>
      <c r="L544" s="11">
        <v>-14.19</v>
      </c>
      <c r="M544" s="11">
        <v>181795.89</v>
      </c>
      <c r="N544" s="9">
        <f t="shared" si="16"/>
        <v>-14.19</v>
      </c>
    </row>
    <row r="545" spans="1:14" ht="12.75" hidden="1" customHeight="1" x14ac:dyDescent="0.2">
      <c r="A545">
        <v>65061</v>
      </c>
      <c r="B545" s="3" t="s">
        <v>1253</v>
      </c>
      <c r="C545" s="7" t="s">
        <v>576</v>
      </c>
      <c r="D545" s="7" t="s">
        <v>242</v>
      </c>
      <c r="F545" s="7" t="s">
        <v>548</v>
      </c>
      <c r="G545" s="7" t="s">
        <v>1564</v>
      </c>
      <c r="H545" s="7" t="s">
        <v>1362</v>
      </c>
      <c r="I545" s="7" t="s">
        <v>1253</v>
      </c>
      <c r="K545" s="7" t="s">
        <v>572</v>
      </c>
      <c r="L545" s="11">
        <v>-43.62</v>
      </c>
      <c r="M545" s="11">
        <v>184933.26</v>
      </c>
      <c r="N545" s="9">
        <f t="shared" si="16"/>
        <v>-43.62</v>
      </c>
    </row>
    <row r="546" spans="1:14" ht="12.75" hidden="1" customHeight="1" x14ac:dyDescent="0.2">
      <c r="A546">
        <v>65061</v>
      </c>
      <c r="B546" s="3" t="s">
        <v>1253</v>
      </c>
      <c r="C546" s="7" t="s">
        <v>576</v>
      </c>
      <c r="D546" s="7" t="s">
        <v>242</v>
      </c>
      <c r="F546" s="7" t="s">
        <v>579</v>
      </c>
      <c r="G546" s="7" t="s">
        <v>1564</v>
      </c>
      <c r="H546" s="7" t="s">
        <v>1362</v>
      </c>
      <c r="I546" s="7" t="s">
        <v>1253</v>
      </c>
      <c r="K546" s="7" t="s">
        <v>572</v>
      </c>
      <c r="L546" s="11">
        <v>-65.540000000000006</v>
      </c>
      <c r="M546" s="11">
        <v>184867.72</v>
      </c>
      <c r="N546" s="9">
        <f t="shared" si="16"/>
        <v>-65.540000000000006</v>
      </c>
    </row>
    <row r="547" spans="1:14" ht="12.75" hidden="1" customHeight="1" x14ac:dyDescent="0.2">
      <c r="A547">
        <v>65061</v>
      </c>
      <c r="B547" s="3" t="s">
        <v>1253</v>
      </c>
      <c r="C547" s="7" t="s">
        <v>426</v>
      </c>
      <c r="D547" s="7" t="s">
        <v>242</v>
      </c>
      <c r="F547" s="7" t="s">
        <v>241</v>
      </c>
      <c r="G547" s="7" t="s">
        <v>1564</v>
      </c>
      <c r="H547" s="7" t="s">
        <v>1362</v>
      </c>
      <c r="I547" s="7" t="s">
        <v>1253</v>
      </c>
      <c r="K547" s="7" t="s">
        <v>572</v>
      </c>
      <c r="L547" s="11">
        <v>-36.31</v>
      </c>
      <c r="M547" s="11">
        <v>188292.53</v>
      </c>
      <c r="N547" s="9">
        <f t="shared" si="16"/>
        <v>-36.31</v>
      </c>
    </row>
    <row r="548" spans="1:14" ht="12.75" hidden="1" customHeight="1" x14ac:dyDescent="0.2">
      <c r="A548">
        <v>65061</v>
      </c>
      <c r="B548" s="3" t="s">
        <v>1253</v>
      </c>
      <c r="C548" s="7" t="s">
        <v>426</v>
      </c>
      <c r="D548" s="7" t="s">
        <v>242</v>
      </c>
      <c r="F548" s="7" t="s">
        <v>241</v>
      </c>
      <c r="G548" s="7" t="s">
        <v>1564</v>
      </c>
      <c r="H548" s="7" t="s">
        <v>1362</v>
      </c>
      <c r="I548" s="7" t="s">
        <v>1253</v>
      </c>
      <c r="K548" s="7" t="s">
        <v>572</v>
      </c>
      <c r="L548" s="11">
        <v>-36.31</v>
      </c>
      <c r="M548" s="11">
        <v>188256.22</v>
      </c>
      <c r="N548" s="9">
        <f t="shared" si="16"/>
        <v>-36.31</v>
      </c>
    </row>
    <row r="549" spans="1:14" ht="12.75" hidden="1" customHeight="1" x14ac:dyDescent="0.2">
      <c r="A549">
        <v>65062</v>
      </c>
      <c r="B549" s="3" t="s">
        <v>1254</v>
      </c>
      <c r="C549" s="7" t="s">
        <v>470</v>
      </c>
      <c r="D549" s="7" t="s">
        <v>183</v>
      </c>
      <c r="E549" s="7">
        <v>478</v>
      </c>
      <c r="G549" s="7" t="s">
        <v>1564</v>
      </c>
      <c r="H549" s="7" t="s">
        <v>1362</v>
      </c>
      <c r="I549" s="7" t="s">
        <v>1254</v>
      </c>
      <c r="J549" s="7" t="s">
        <v>512</v>
      </c>
      <c r="K549" s="7" t="s">
        <v>180</v>
      </c>
      <c r="L549" s="11">
        <v>350</v>
      </c>
      <c r="M549" s="11">
        <v>13688.56</v>
      </c>
      <c r="N549" s="9">
        <f t="shared" si="16"/>
        <v>350</v>
      </c>
    </row>
    <row r="550" spans="1:14" ht="12.75" hidden="1" customHeight="1" x14ac:dyDescent="0.2">
      <c r="A550">
        <v>65063</v>
      </c>
      <c r="B550" s="3" t="s">
        <v>1255</v>
      </c>
      <c r="C550" s="7" t="s">
        <v>470</v>
      </c>
      <c r="D550" s="7" t="s">
        <v>183</v>
      </c>
      <c r="E550" s="7">
        <v>478</v>
      </c>
      <c r="G550" s="7" t="s">
        <v>1564</v>
      </c>
      <c r="H550" s="7" t="s">
        <v>1362</v>
      </c>
      <c r="I550" s="7" t="s">
        <v>1255</v>
      </c>
      <c r="J550" s="7" t="s">
        <v>471</v>
      </c>
      <c r="K550" s="7" t="s">
        <v>180</v>
      </c>
      <c r="L550" s="11">
        <v>400</v>
      </c>
      <c r="M550" s="11">
        <v>11027</v>
      </c>
      <c r="N550" s="9">
        <f t="shared" si="16"/>
        <v>400</v>
      </c>
    </row>
    <row r="551" spans="1:14" ht="12.75" hidden="1" customHeight="1" x14ac:dyDescent="0.2">
      <c r="A551">
        <v>65063</v>
      </c>
      <c r="B551" s="3" t="s">
        <v>1255</v>
      </c>
      <c r="C551" s="7" t="s">
        <v>470</v>
      </c>
      <c r="D551" s="7" t="s">
        <v>183</v>
      </c>
      <c r="E551" s="7">
        <v>478</v>
      </c>
      <c r="G551" s="7" t="s">
        <v>1564</v>
      </c>
      <c r="H551" s="7" t="s">
        <v>1362</v>
      </c>
      <c r="I551" s="7" t="s">
        <v>1255</v>
      </c>
      <c r="J551" s="7" t="s">
        <v>468</v>
      </c>
      <c r="K551" s="7" t="s">
        <v>180</v>
      </c>
      <c r="L551" s="11">
        <v>200</v>
      </c>
      <c r="M551" s="11">
        <v>11227</v>
      </c>
      <c r="N551" s="9">
        <f t="shared" si="16"/>
        <v>200</v>
      </c>
    </row>
    <row r="552" spans="1:14" ht="12.75" customHeight="1" x14ac:dyDescent="0.2">
      <c r="A552">
        <v>43400</v>
      </c>
      <c r="B552" s="3" t="s">
        <v>1224</v>
      </c>
      <c r="C552" s="7" t="s">
        <v>981</v>
      </c>
      <c r="D552" s="7" t="s">
        <v>242</v>
      </c>
      <c r="F552" s="7" t="s">
        <v>665</v>
      </c>
      <c r="G552" s="7" t="s">
        <v>1548</v>
      </c>
      <c r="H552" s="7" t="s">
        <v>1359</v>
      </c>
      <c r="I552" s="7" t="s">
        <v>1224</v>
      </c>
      <c r="K552" s="7" t="s">
        <v>1142</v>
      </c>
      <c r="L552" s="11">
        <v>1051.5999999999999</v>
      </c>
      <c r="M552" s="11">
        <v>-33154.89</v>
      </c>
      <c r="N552" s="9">
        <f t="shared" si="16"/>
        <v>-1051.5999999999999</v>
      </c>
    </row>
    <row r="553" spans="1:14" ht="12.75" customHeight="1" x14ac:dyDescent="0.2">
      <c r="A553">
        <v>43400</v>
      </c>
      <c r="B553" s="3" t="s">
        <v>1224</v>
      </c>
      <c r="C553" s="7" t="s">
        <v>981</v>
      </c>
      <c r="D553" s="7" t="s">
        <v>183</v>
      </c>
      <c r="E553" s="7">
        <v>364</v>
      </c>
      <c r="G553" s="7" t="s">
        <v>1548</v>
      </c>
      <c r="H553" s="7" t="s">
        <v>1359</v>
      </c>
      <c r="I553" s="7" t="s">
        <v>1224</v>
      </c>
      <c r="J553" s="7" t="s">
        <v>1210</v>
      </c>
      <c r="K553" s="7" t="s">
        <v>180</v>
      </c>
      <c r="L553" s="11">
        <v>100</v>
      </c>
      <c r="M553" s="11">
        <v>-33054.89</v>
      </c>
      <c r="N553" s="9">
        <f t="shared" si="16"/>
        <v>-100</v>
      </c>
    </row>
    <row r="554" spans="1:14" ht="12.75" customHeight="1" x14ac:dyDescent="0.2">
      <c r="A554">
        <v>43400</v>
      </c>
      <c r="B554" s="3" t="s">
        <v>1224</v>
      </c>
      <c r="C554" s="7" t="s">
        <v>315</v>
      </c>
      <c r="D554" s="7" t="s">
        <v>242</v>
      </c>
      <c r="F554" s="7" t="s">
        <v>665</v>
      </c>
      <c r="G554" s="7" t="s">
        <v>1548</v>
      </c>
      <c r="H554" s="7" t="s">
        <v>1359</v>
      </c>
      <c r="I554" s="7" t="s">
        <v>1224</v>
      </c>
      <c r="K554" s="7" t="s">
        <v>1142</v>
      </c>
      <c r="L554" s="11">
        <v>742.04</v>
      </c>
      <c r="M554" s="11">
        <v>89971.25</v>
      </c>
      <c r="N554" s="9">
        <f t="shared" si="16"/>
        <v>-742.04</v>
      </c>
    </row>
    <row r="555" spans="1:14" ht="12.75" customHeight="1" x14ac:dyDescent="0.2">
      <c r="A555">
        <v>43400</v>
      </c>
      <c r="B555" s="3" t="s">
        <v>1224</v>
      </c>
      <c r="C555" s="7" t="s">
        <v>201</v>
      </c>
      <c r="D555" s="7" t="s">
        <v>183</v>
      </c>
      <c r="E555" s="7">
        <v>508</v>
      </c>
      <c r="G555" s="7" t="s">
        <v>1548</v>
      </c>
      <c r="H555" s="7" t="s">
        <v>1359</v>
      </c>
      <c r="I555" s="7" t="s">
        <v>1224</v>
      </c>
      <c r="J555" s="7" t="s">
        <v>428</v>
      </c>
      <c r="K555" s="7" t="s">
        <v>180</v>
      </c>
      <c r="L555" s="11">
        <v>100</v>
      </c>
      <c r="M555" s="11">
        <v>115239.26</v>
      </c>
      <c r="N555" s="9">
        <f t="shared" si="16"/>
        <v>-100</v>
      </c>
    </row>
    <row r="556" spans="1:14" ht="12.75" customHeight="1" x14ac:dyDescent="0.2">
      <c r="A556">
        <v>43400</v>
      </c>
      <c r="B556" s="3" t="s">
        <v>1224</v>
      </c>
      <c r="C556" s="7" t="s">
        <v>431</v>
      </c>
      <c r="D556" s="7" t="s">
        <v>183</v>
      </c>
      <c r="E556" s="7">
        <v>524</v>
      </c>
      <c r="G556" s="7" t="s">
        <v>1548</v>
      </c>
      <c r="H556" s="7" t="s">
        <v>1359</v>
      </c>
      <c r="I556" s="7" t="s">
        <v>1224</v>
      </c>
      <c r="J556" s="7" t="s">
        <v>425</v>
      </c>
      <c r="K556" s="7" t="s">
        <v>180</v>
      </c>
      <c r="L556" s="11">
        <v>705</v>
      </c>
      <c r="M556" s="11">
        <v>158633.07999999999</v>
      </c>
      <c r="N556" s="9">
        <f t="shared" si="16"/>
        <v>-705</v>
      </c>
    </row>
    <row r="557" spans="1:14" ht="12.75" customHeight="1" x14ac:dyDescent="0.2">
      <c r="A557">
        <v>43400</v>
      </c>
      <c r="B557" s="3" t="s">
        <v>1224</v>
      </c>
      <c r="C557" s="7" t="s">
        <v>429</v>
      </c>
      <c r="D557" s="7" t="s">
        <v>183</v>
      </c>
      <c r="E557" s="7">
        <v>564</v>
      </c>
      <c r="G557" s="7" t="s">
        <v>1548</v>
      </c>
      <c r="H557" s="7" t="s">
        <v>1359</v>
      </c>
      <c r="I557" s="7" t="s">
        <v>1224</v>
      </c>
      <c r="J557" s="7" t="s">
        <v>425</v>
      </c>
      <c r="K557" s="7" t="s">
        <v>180</v>
      </c>
      <c r="L557" s="11">
        <v>785</v>
      </c>
      <c r="M557" s="11">
        <v>189548.61</v>
      </c>
      <c r="N557" s="9">
        <f t="shared" si="16"/>
        <v>-785</v>
      </c>
    </row>
    <row r="558" spans="1:14" ht="12.75" customHeight="1" x14ac:dyDescent="0.2">
      <c r="A558">
        <v>43400</v>
      </c>
      <c r="B558" s="3" t="s">
        <v>1224</v>
      </c>
      <c r="C558" s="7" t="s">
        <v>204</v>
      </c>
      <c r="D558" s="7" t="s">
        <v>242</v>
      </c>
      <c r="F558" s="7" t="s">
        <v>665</v>
      </c>
      <c r="G558" s="7" t="s">
        <v>1548</v>
      </c>
      <c r="H558" s="7" t="s">
        <v>1359</v>
      </c>
      <c r="I558" s="7" t="s">
        <v>1224</v>
      </c>
      <c r="K558" s="7" t="s">
        <v>1142</v>
      </c>
      <c r="L558" s="11">
        <v>485</v>
      </c>
      <c r="M558" s="11">
        <v>206182.07</v>
      </c>
      <c r="N558" s="9">
        <f t="shared" si="16"/>
        <v>-485</v>
      </c>
    </row>
    <row r="559" spans="1:14" ht="12.75" customHeight="1" x14ac:dyDescent="0.2">
      <c r="A559">
        <v>43400</v>
      </c>
      <c r="B559" s="3" t="s">
        <v>1224</v>
      </c>
      <c r="C559" s="7" t="s">
        <v>980</v>
      </c>
      <c r="D559" s="7" t="s">
        <v>242</v>
      </c>
      <c r="F559" s="7" t="s">
        <v>665</v>
      </c>
      <c r="G559" s="7" t="s">
        <v>1573</v>
      </c>
      <c r="H559" s="7" t="s">
        <v>1359</v>
      </c>
      <c r="I559" s="7" t="s">
        <v>1224</v>
      </c>
      <c r="K559" s="7" t="s">
        <v>1179</v>
      </c>
      <c r="L559" s="11">
        <v>1500</v>
      </c>
      <c r="M559" s="11">
        <v>-31554.89</v>
      </c>
      <c r="N559" s="9">
        <f t="shared" si="16"/>
        <v>-1500</v>
      </c>
    </row>
    <row r="560" spans="1:14" ht="12.75" customHeight="1" x14ac:dyDescent="0.2">
      <c r="A560">
        <v>43400</v>
      </c>
      <c r="B560" s="3" t="s">
        <v>1224</v>
      </c>
      <c r="C560" s="7" t="s">
        <v>393</v>
      </c>
      <c r="D560" s="7" t="s">
        <v>242</v>
      </c>
      <c r="F560" s="7" t="s">
        <v>1200</v>
      </c>
      <c r="G560" s="7" t="s">
        <v>1573</v>
      </c>
      <c r="H560" s="7" t="s">
        <v>1359</v>
      </c>
      <c r="I560" s="7" t="s">
        <v>1224</v>
      </c>
      <c r="K560" s="7" t="s">
        <v>1179</v>
      </c>
      <c r="L560" s="11">
        <v>250</v>
      </c>
      <c r="M560" s="11">
        <v>-10087.89</v>
      </c>
      <c r="N560" s="9">
        <f t="shared" si="16"/>
        <v>-250</v>
      </c>
    </row>
    <row r="561" spans="1:14" ht="12.75" customHeight="1" x14ac:dyDescent="0.2">
      <c r="A561">
        <v>43400</v>
      </c>
      <c r="B561" s="3" t="s">
        <v>1224</v>
      </c>
      <c r="C561" s="7" t="s">
        <v>367</v>
      </c>
      <c r="D561" s="7" t="s">
        <v>1168</v>
      </c>
      <c r="E561" s="7">
        <v>1002</v>
      </c>
      <c r="F561" s="7" t="s">
        <v>1167</v>
      </c>
      <c r="G561" s="7" t="s">
        <v>1573</v>
      </c>
      <c r="H561" s="7" t="s">
        <v>1359</v>
      </c>
      <c r="I561" s="7" t="s">
        <v>1224</v>
      </c>
      <c r="J561" s="7" t="s">
        <v>1195</v>
      </c>
      <c r="K561" s="7" t="s">
        <v>1165</v>
      </c>
      <c r="L561" s="11">
        <v>3500</v>
      </c>
      <c r="M561" s="11">
        <v>54273.8</v>
      </c>
      <c r="N561" s="9">
        <f t="shared" si="16"/>
        <v>-3500</v>
      </c>
    </row>
    <row r="562" spans="1:14" ht="12.75" customHeight="1" x14ac:dyDescent="0.2">
      <c r="A562">
        <v>43400</v>
      </c>
      <c r="B562" s="3" t="s">
        <v>1224</v>
      </c>
      <c r="C562" s="7" t="s">
        <v>340</v>
      </c>
      <c r="D562" s="7" t="s">
        <v>242</v>
      </c>
      <c r="F562" s="7" t="s">
        <v>665</v>
      </c>
      <c r="G562" s="7" t="s">
        <v>1573</v>
      </c>
      <c r="H562" s="7" t="s">
        <v>1359</v>
      </c>
      <c r="I562" s="7" t="s">
        <v>1224</v>
      </c>
      <c r="K562" s="7" t="s">
        <v>1179</v>
      </c>
      <c r="L562" s="11">
        <v>550</v>
      </c>
      <c r="M562" s="11">
        <v>77254.399999999994</v>
      </c>
      <c r="N562" s="9">
        <f t="shared" si="16"/>
        <v>-550</v>
      </c>
    </row>
    <row r="563" spans="1:14" ht="12.75" customHeight="1" x14ac:dyDescent="0.2">
      <c r="A563">
        <v>43400</v>
      </c>
      <c r="B563" s="3" t="s">
        <v>1224</v>
      </c>
      <c r="C563" s="7" t="s">
        <v>330</v>
      </c>
      <c r="D563" s="7" t="s">
        <v>242</v>
      </c>
      <c r="F563" s="7" t="s">
        <v>665</v>
      </c>
      <c r="G563" s="7" t="s">
        <v>1573</v>
      </c>
      <c r="H563" s="7" t="s">
        <v>1359</v>
      </c>
      <c r="I563" s="7" t="s">
        <v>1224</v>
      </c>
      <c r="K563" s="7" t="s">
        <v>1179</v>
      </c>
      <c r="L563" s="11">
        <v>400</v>
      </c>
      <c r="M563" s="11">
        <v>82469.55</v>
      </c>
      <c r="N563" s="9">
        <f t="shared" si="16"/>
        <v>-400</v>
      </c>
    </row>
    <row r="564" spans="1:14" ht="12.75" customHeight="1" x14ac:dyDescent="0.2">
      <c r="A564">
        <v>43400</v>
      </c>
      <c r="B564" s="3" t="s">
        <v>1224</v>
      </c>
      <c r="C564" s="7" t="s">
        <v>845</v>
      </c>
      <c r="D564" s="7" t="s">
        <v>242</v>
      </c>
      <c r="F564" s="7" t="s">
        <v>665</v>
      </c>
      <c r="G564" s="7" t="s">
        <v>1573</v>
      </c>
      <c r="H564" s="7" t="s">
        <v>1359</v>
      </c>
      <c r="I564" s="7" t="s">
        <v>1224</v>
      </c>
      <c r="K564" s="7" t="s">
        <v>1179</v>
      </c>
      <c r="L564" s="11">
        <v>100</v>
      </c>
      <c r="M564" s="11">
        <v>94108.97</v>
      </c>
      <c r="N564" s="9">
        <f t="shared" si="16"/>
        <v>-100</v>
      </c>
    </row>
    <row r="565" spans="1:14" ht="12.75" customHeight="1" x14ac:dyDescent="0.2">
      <c r="A565">
        <v>43400</v>
      </c>
      <c r="B565" s="3" t="s">
        <v>1224</v>
      </c>
      <c r="C565" s="7" t="s">
        <v>845</v>
      </c>
      <c r="D565" s="7" t="s">
        <v>242</v>
      </c>
      <c r="F565" s="7" t="s">
        <v>665</v>
      </c>
      <c r="G565" s="7" t="s">
        <v>1573</v>
      </c>
      <c r="H565" s="7" t="s">
        <v>1359</v>
      </c>
      <c r="I565" s="7" t="s">
        <v>1224</v>
      </c>
      <c r="K565" s="7" t="s">
        <v>1179</v>
      </c>
      <c r="L565" s="11">
        <v>750</v>
      </c>
      <c r="M565" s="11">
        <v>94858.97</v>
      </c>
      <c r="N565" s="9">
        <f t="shared" si="16"/>
        <v>-750</v>
      </c>
    </row>
    <row r="566" spans="1:14" ht="12.75" hidden="1" customHeight="1" x14ac:dyDescent="0.2">
      <c r="A566">
        <v>43430</v>
      </c>
      <c r="B566" s="3" t="s">
        <v>1226</v>
      </c>
      <c r="C566" s="7" t="s">
        <v>372</v>
      </c>
      <c r="D566" s="7" t="s">
        <v>183</v>
      </c>
      <c r="E566" s="7">
        <v>442</v>
      </c>
      <c r="G566" s="7" t="s">
        <v>1545</v>
      </c>
      <c r="H566" s="7" t="s">
        <v>1360</v>
      </c>
      <c r="I566" s="7" t="s">
        <v>1226</v>
      </c>
      <c r="J566" s="7" t="s">
        <v>528</v>
      </c>
      <c r="K566" s="7" t="s">
        <v>180</v>
      </c>
      <c r="L566" s="11">
        <v>600</v>
      </c>
      <c r="M566" s="11">
        <v>7997</v>
      </c>
      <c r="N566" s="9">
        <f t="shared" si="16"/>
        <v>-600</v>
      </c>
    </row>
    <row r="567" spans="1:14" ht="12.75" hidden="1" customHeight="1" x14ac:dyDescent="0.2">
      <c r="A567">
        <v>43430</v>
      </c>
      <c r="B567" s="3" t="s">
        <v>1226</v>
      </c>
      <c r="C567" s="7" t="s">
        <v>330</v>
      </c>
      <c r="D567" s="7" t="s">
        <v>183</v>
      </c>
      <c r="E567" s="7">
        <v>494</v>
      </c>
      <c r="G567" s="7" t="s">
        <v>1545</v>
      </c>
      <c r="H567" s="7" t="s">
        <v>1360</v>
      </c>
      <c r="I567" s="7" t="s">
        <v>1226</v>
      </c>
      <c r="J567" s="7" t="s">
        <v>472</v>
      </c>
      <c r="K567" s="7" t="s">
        <v>180</v>
      </c>
      <c r="L567" s="11">
        <v>350</v>
      </c>
      <c r="M567" s="11">
        <v>9227</v>
      </c>
      <c r="N567" s="9">
        <f t="shared" si="16"/>
        <v>-350</v>
      </c>
    </row>
    <row r="568" spans="1:14" ht="12.75" hidden="1" customHeight="1" x14ac:dyDescent="0.2">
      <c r="A568">
        <v>43430</v>
      </c>
      <c r="B568" s="3" t="s">
        <v>1226</v>
      </c>
      <c r="C568" s="7" t="s">
        <v>330</v>
      </c>
      <c r="D568" s="7" t="s">
        <v>183</v>
      </c>
      <c r="E568" s="7">
        <v>494</v>
      </c>
      <c r="G568" s="7" t="s">
        <v>1545</v>
      </c>
      <c r="H568" s="7" t="s">
        <v>1360</v>
      </c>
      <c r="I568" s="7" t="s">
        <v>1226</v>
      </c>
      <c r="J568" s="7" t="s">
        <v>472</v>
      </c>
      <c r="K568" s="7" t="s">
        <v>180</v>
      </c>
      <c r="L568" s="11">
        <v>700</v>
      </c>
      <c r="M568" s="11">
        <v>9927</v>
      </c>
      <c r="N568" s="9">
        <f t="shared" si="16"/>
        <v>-700</v>
      </c>
    </row>
    <row r="569" spans="1:14" ht="12.75" hidden="1" customHeight="1" x14ac:dyDescent="0.2">
      <c r="A569">
        <v>43430</v>
      </c>
      <c r="B569" s="3" t="s">
        <v>1226</v>
      </c>
      <c r="C569" s="7" t="s">
        <v>330</v>
      </c>
      <c r="D569" s="7" t="s">
        <v>183</v>
      </c>
      <c r="E569" s="7">
        <v>494</v>
      </c>
      <c r="G569" s="7" t="s">
        <v>1545</v>
      </c>
      <c r="H569" s="7" t="s">
        <v>1360</v>
      </c>
      <c r="I569" s="7" t="s">
        <v>1226</v>
      </c>
      <c r="J569" s="7" t="s">
        <v>472</v>
      </c>
      <c r="K569" s="7" t="s">
        <v>180</v>
      </c>
      <c r="L569" s="11">
        <v>700</v>
      </c>
      <c r="M569" s="11">
        <v>10627</v>
      </c>
      <c r="N569" s="9">
        <f t="shared" si="16"/>
        <v>-700</v>
      </c>
    </row>
    <row r="570" spans="1:14" ht="12.75" hidden="1" customHeight="1" x14ac:dyDescent="0.2">
      <c r="A570">
        <v>43430</v>
      </c>
      <c r="B570" s="3" t="s">
        <v>1226</v>
      </c>
      <c r="C570" s="7" t="s">
        <v>415</v>
      </c>
      <c r="D570" s="7" t="s">
        <v>183</v>
      </c>
      <c r="E570" s="7">
        <v>493</v>
      </c>
      <c r="G570" s="7" t="s">
        <v>1545</v>
      </c>
      <c r="H570" s="7" t="s">
        <v>1360</v>
      </c>
      <c r="I570" s="7" t="s">
        <v>1226</v>
      </c>
      <c r="J570" s="7" t="s">
        <v>467</v>
      </c>
      <c r="K570" s="7" t="s">
        <v>180</v>
      </c>
      <c r="L570" s="11">
        <v>100.5</v>
      </c>
      <c r="M570" s="11">
        <v>11327.5</v>
      </c>
      <c r="N570" s="9">
        <f t="shared" si="16"/>
        <v>-100.5</v>
      </c>
    </row>
    <row r="571" spans="1:14" ht="12.75" hidden="1" customHeight="1" x14ac:dyDescent="0.2">
      <c r="A571">
        <v>43440</v>
      </c>
      <c r="B571" s="3" t="s">
        <v>1228</v>
      </c>
      <c r="C571" s="7" t="s">
        <v>545</v>
      </c>
      <c r="D571" s="7" t="s">
        <v>183</v>
      </c>
      <c r="E571" s="7">
        <v>444</v>
      </c>
      <c r="G571" s="7" t="s">
        <v>1545</v>
      </c>
      <c r="H571" s="7" t="s">
        <v>1360</v>
      </c>
      <c r="I571" s="7" t="s">
        <v>1228</v>
      </c>
      <c r="J571" s="7" t="s">
        <v>544</v>
      </c>
      <c r="K571" s="7" t="s">
        <v>180</v>
      </c>
      <c r="L571" s="11">
        <v>625</v>
      </c>
      <c r="M571" s="11">
        <v>625</v>
      </c>
      <c r="N571" s="9">
        <f t="shared" si="16"/>
        <v>-625</v>
      </c>
    </row>
    <row r="572" spans="1:14" ht="12.75" hidden="1" customHeight="1" x14ac:dyDescent="0.2">
      <c r="A572">
        <v>43440</v>
      </c>
      <c r="B572" s="3" t="s">
        <v>1228</v>
      </c>
      <c r="C572" s="7" t="s">
        <v>437</v>
      </c>
      <c r="D572" s="7" t="s">
        <v>183</v>
      </c>
      <c r="E572" s="7">
        <v>445</v>
      </c>
      <c r="G572" s="7" t="s">
        <v>1545</v>
      </c>
      <c r="H572" s="7" t="s">
        <v>1360</v>
      </c>
      <c r="I572" s="7" t="s">
        <v>1228</v>
      </c>
      <c r="K572" s="7" t="s">
        <v>180</v>
      </c>
      <c r="L572" s="11">
        <v>422.5</v>
      </c>
      <c r="M572" s="11">
        <v>4657.42</v>
      </c>
      <c r="N572" s="9">
        <f t="shared" si="16"/>
        <v>-422.5</v>
      </c>
    </row>
    <row r="573" spans="1:14" ht="12.75" hidden="1" customHeight="1" x14ac:dyDescent="0.2">
      <c r="A573">
        <v>43440</v>
      </c>
      <c r="B573" s="3" t="s">
        <v>1228</v>
      </c>
      <c r="C573" s="7" t="s">
        <v>372</v>
      </c>
      <c r="D573" s="7" t="s">
        <v>183</v>
      </c>
      <c r="E573" s="7">
        <v>442</v>
      </c>
      <c r="G573" s="7" t="s">
        <v>1545</v>
      </c>
      <c r="H573" s="7" t="s">
        <v>1360</v>
      </c>
      <c r="I573" s="7" t="s">
        <v>1228</v>
      </c>
      <c r="J573" s="7" t="s">
        <v>528</v>
      </c>
      <c r="K573" s="7" t="s">
        <v>180</v>
      </c>
      <c r="L573" s="11">
        <v>287.08</v>
      </c>
      <c r="M573" s="11">
        <v>7235.21</v>
      </c>
      <c r="N573" s="9">
        <f t="shared" si="16"/>
        <v>-287.08</v>
      </c>
    </row>
    <row r="574" spans="1:14" ht="12.75" hidden="1" customHeight="1" x14ac:dyDescent="0.2">
      <c r="A574">
        <v>43440</v>
      </c>
      <c r="B574" s="3" t="s">
        <v>1228</v>
      </c>
      <c r="C574" s="7" t="s">
        <v>518</v>
      </c>
      <c r="D574" s="7" t="s">
        <v>183</v>
      </c>
      <c r="E574" s="7">
        <v>443</v>
      </c>
      <c r="G574" s="7" t="s">
        <v>1545</v>
      </c>
      <c r="H574" s="7" t="s">
        <v>1360</v>
      </c>
      <c r="I574" s="7" t="s">
        <v>1228</v>
      </c>
      <c r="J574" s="7" t="s">
        <v>517</v>
      </c>
      <c r="K574" s="7" t="s">
        <v>180</v>
      </c>
      <c r="L574" s="11">
        <v>676.87</v>
      </c>
      <c r="M574" s="11">
        <v>10458.82</v>
      </c>
      <c r="N574" s="9">
        <f t="shared" si="16"/>
        <v>-676.87</v>
      </c>
    </row>
    <row r="575" spans="1:14" ht="12.75" hidden="1" customHeight="1" x14ac:dyDescent="0.2">
      <c r="A575">
        <v>43440</v>
      </c>
      <c r="B575" s="3" t="s">
        <v>1228</v>
      </c>
      <c r="C575" s="7" t="s">
        <v>518</v>
      </c>
      <c r="D575" s="7" t="s">
        <v>183</v>
      </c>
      <c r="E575" s="7">
        <v>443</v>
      </c>
      <c r="G575" s="7" t="s">
        <v>1545</v>
      </c>
      <c r="H575" s="7" t="s">
        <v>1360</v>
      </c>
      <c r="I575" s="7" t="s">
        <v>1228</v>
      </c>
      <c r="J575" s="7" t="s">
        <v>519</v>
      </c>
      <c r="K575" s="7" t="s">
        <v>180</v>
      </c>
      <c r="L575" s="11">
        <v>401</v>
      </c>
      <c r="M575" s="11">
        <v>10859.82</v>
      </c>
      <c r="N575" s="9">
        <f t="shared" si="16"/>
        <v>-401</v>
      </c>
    </row>
    <row r="576" spans="1:14" ht="12.75" hidden="1" customHeight="1" x14ac:dyDescent="0.2">
      <c r="A576">
        <v>43440</v>
      </c>
      <c r="B576" s="3" t="s">
        <v>1228</v>
      </c>
      <c r="C576" s="7" t="s">
        <v>518</v>
      </c>
      <c r="D576" s="7" t="s">
        <v>183</v>
      </c>
      <c r="E576" s="7">
        <v>443</v>
      </c>
      <c r="G576" s="7" t="s">
        <v>1545</v>
      </c>
      <c r="H576" s="7" t="s">
        <v>1360</v>
      </c>
      <c r="I576" s="7" t="s">
        <v>1228</v>
      </c>
      <c r="J576" s="7" t="s">
        <v>517</v>
      </c>
      <c r="K576" s="7" t="s">
        <v>180</v>
      </c>
      <c r="L576" s="11">
        <v>929.54</v>
      </c>
      <c r="M576" s="11">
        <v>11789.36</v>
      </c>
      <c r="N576" s="9">
        <f t="shared" si="16"/>
        <v>-929.54</v>
      </c>
    </row>
    <row r="577" spans="1:14" ht="12.75" hidden="1" customHeight="1" x14ac:dyDescent="0.2">
      <c r="A577">
        <v>43440</v>
      </c>
      <c r="B577" s="3" t="s">
        <v>1228</v>
      </c>
      <c r="C577" s="7" t="s">
        <v>334</v>
      </c>
      <c r="D577" s="7" t="s">
        <v>183</v>
      </c>
      <c r="E577" s="7">
        <v>491</v>
      </c>
      <c r="G577" s="7" t="s">
        <v>1545</v>
      </c>
      <c r="H577" s="7" t="s">
        <v>1360</v>
      </c>
      <c r="I577" s="7" t="s">
        <v>1228</v>
      </c>
      <c r="J577" s="7" t="s">
        <v>513</v>
      </c>
      <c r="K577" s="7" t="s">
        <v>180</v>
      </c>
      <c r="L577" s="11">
        <v>918.76</v>
      </c>
      <c r="M577" s="11">
        <v>13338.56</v>
      </c>
      <c r="N577" s="9">
        <f t="shared" si="16"/>
        <v>-918.76</v>
      </c>
    </row>
    <row r="578" spans="1:14" ht="12.75" hidden="1" customHeight="1" x14ac:dyDescent="0.2">
      <c r="A578">
        <v>43440</v>
      </c>
      <c r="B578" s="3" t="s">
        <v>1228</v>
      </c>
      <c r="C578" s="7" t="s">
        <v>511</v>
      </c>
      <c r="D578" s="7" t="s">
        <v>183</v>
      </c>
      <c r="E578" s="7">
        <v>492</v>
      </c>
      <c r="G578" s="7" t="s">
        <v>1545</v>
      </c>
      <c r="H578" s="7" t="s">
        <v>1360</v>
      </c>
      <c r="I578" s="7" t="s">
        <v>1228</v>
      </c>
      <c r="J578" s="7" t="s">
        <v>510</v>
      </c>
      <c r="K578" s="7" t="s">
        <v>180</v>
      </c>
      <c r="L578" s="11">
        <v>284.39</v>
      </c>
      <c r="M578" s="11">
        <v>13972.95</v>
      </c>
      <c r="N578" s="9">
        <f t="shared" si="16"/>
        <v>-284.39</v>
      </c>
    </row>
    <row r="579" spans="1:14" ht="12.75" customHeight="1" x14ac:dyDescent="0.2">
      <c r="A579">
        <v>43400</v>
      </c>
      <c r="B579" s="3" t="s">
        <v>1224</v>
      </c>
      <c r="C579" s="7" t="s">
        <v>238</v>
      </c>
      <c r="D579" s="7" t="s">
        <v>242</v>
      </c>
      <c r="F579" s="7" t="s">
        <v>665</v>
      </c>
      <c r="G579" s="7" t="s">
        <v>1573</v>
      </c>
      <c r="H579" s="7" t="s">
        <v>1359</v>
      </c>
      <c r="I579" s="7" t="s">
        <v>1224</v>
      </c>
      <c r="J579" s="7" t="s">
        <v>1183</v>
      </c>
      <c r="K579" s="7" t="s">
        <v>1179</v>
      </c>
      <c r="L579" s="11">
        <v>1200</v>
      </c>
      <c r="M579" s="11">
        <v>146305.26</v>
      </c>
      <c r="N579" s="9">
        <f t="shared" si="16"/>
        <v>-1200</v>
      </c>
    </row>
    <row r="580" spans="1:14" ht="12.75" customHeight="1" x14ac:dyDescent="0.2">
      <c r="A580">
        <v>43400</v>
      </c>
      <c r="B580" s="3" t="s">
        <v>1224</v>
      </c>
      <c r="C580" s="7" t="s">
        <v>698</v>
      </c>
      <c r="D580" s="7" t="s">
        <v>242</v>
      </c>
      <c r="F580" s="7" t="s">
        <v>665</v>
      </c>
      <c r="G580" s="7" t="s">
        <v>1573</v>
      </c>
      <c r="H580" s="7" t="s">
        <v>1359</v>
      </c>
      <c r="I580" s="7" t="s">
        <v>1224</v>
      </c>
      <c r="K580" s="7" t="s">
        <v>1179</v>
      </c>
      <c r="L580" s="11">
        <v>5000</v>
      </c>
      <c r="M580" s="11">
        <v>170732.95</v>
      </c>
      <c r="N580" s="9">
        <f t="shared" si="16"/>
        <v>-5000</v>
      </c>
    </row>
    <row r="581" spans="1:14" ht="12.75" customHeight="1" x14ac:dyDescent="0.2">
      <c r="A581">
        <v>43400</v>
      </c>
      <c r="B581" s="3" t="s">
        <v>1224</v>
      </c>
      <c r="C581" s="7" t="s">
        <v>430</v>
      </c>
      <c r="D581" s="7" t="s">
        <v>183</v>
      </c>
      <c r="E581" s="7">
        <v>536</v>
      </c>
      <c r="G581" s="7" t="s">
        <v>1573</v>
      </c>
      <c r="H581" s="7" t="s">
        <v>1359</v>
      </c>
      <c r="I581" s="7" t="s">
        <v>1224</v>
      </c>
      <c r="J581" s="7" t="s">
        <v>425</v>
      </c>
      <c r="K581" s="7" t="s">
        <v>180</v>
      </c>
      <c r="L581" s="11">
        <v>200</v>
      </c>
      <c r="M581" s="11">
        <v>163971.57</v>
      </c>
      <c r="N581" s="9">
        <f t="shared" si="16"/>
        <v>-200</v>
      </c>
    </row>
    <row r="582" spans="1:14" ht="12.75" customHeight="1" x14ac:dyDescent="0.2">
      <c r="A582">
        <v>43400</v>
      </c>
      <c r="B582" s="3" t="s">
        <v>1224</v>
      </c>
      <c r="C582" s="7" t="s">
        <v>427</v>
      </c>
      <c r="D582" s="7" t="s">
        <v>183</v>
      </c>
      <c r="E582" s="7">
        <v>580</v>
      </c>
      <c r="G582" s="7" t="s">
        <v>1573</v>
      </c>
      <c r="H582" s="7" t="s">
        <v>1359</v>
      </c>
      <c r="I582" s="7" t="s">
        <v>1224</v>
      </c>
      <c r="J582" s="7" t="s">
        <v>425</v>
      </c>
      <c r="K582" s="7" t="s">
        <v>180</v>
      </c>
      <c r="L582" s="11">
        <v>150</v>
      </c>
      <c r="M582" s="11">
        <v>199550.02</v>
      </c>
      <c r="N582" s="9">
        <f t="shared" si="16"/>
        <v>-150</v>
      </c>
    </row>
    <row r="583" spans="1:14" ht="12.75" hidden="1" customHeight="1" x14ac:dyDescent="0.2">
      <c r="A583">
        <v>62145</v>
      </c>
      <c r="B583" s="3" t="s">
        <v>1237</v>
      </c>
      <c r="C583" s="7" t="s">
        <v>207</v>
      </c>
      <c r="D583" s="7" t="s">
        <v>221</v>
      </c>
      <c r="F583" s="7" t="s">
        <v>1086</v>
      </c>
      <c r="G583" s="7" t="s">
        <v>1545</v>
      </c>
      <c r="H583" s="7" t="s">
        <v>1362</v>
      </c>
      <c r="I583" s="7" t="s">
        <v>1237</v>
      </c>
      <c r="K583" s="7" t="s">
        <v>198</v>
      </c>
      <c r="L583" s="11">
        <v>14.99</v>
      </c>
      <c r="M583" s="11">
        <v>1339.06</v>
      </c>
      <c r="N583" s="9">
        <f t="shared" si="16"/>
        <v>14.99</v>
      </c>
    </row>
    <row r="584" spans="1:14" ht="12.75" hidden="1" customHeight="1" x14ac:dyDescent="0.2">
      <c r="A584">
        <v>65015</v>
      </c>
      <c r="B584" s="3" t="s">
        <v>1244</v>
      </c>
      <c r="C584" s="7" t="s">
        <v>204</v>
      </c>
      <c r="D584" s="7" t="s">
        <v>221</v>
      </c>
      <c r="F584" s="7" t="s">
        <v>1049</v>
      </c>
      <c r="G584" s="7" t="s">
        <v>1545</v>
      </c>
      <c r="H584" s="7" t="s">
        <v>1362</v>
      </c>
      <c r="I584" s="7" t="s">
        <v>1244</v>
      </c>
      <c r="K584" s="7" t="s">
        <v>260</v>
      </c>
      <c r="L584" s="11">
        <v>16.579999999999998</v>
      </c>
      <c r="M584" s="11">
        <v>3781.79</v>
      </c>
      <c r="N584" s="9">
        <f t="shared" si="16"/>
        <v>16.579999999999998</v>
      </c>
    </row>
    <row r="585" spans="1:14" ht="12.75" hidden="1" customHeight="1" x14ac:dyDescent="0.2">
      <c r="A585">
        <v>65020</v>
      </c>
      <c r="B585" s="3" t="s">
        <v>1245</v>
      </c>
      <c r="C585" s="7" t="s">
        <v>449</v>
      </c>
      <c r="D585" s="7" t="s">
        <v>200</v>
      </c>
      <c r="F585" s="7" t="s">
        <v>338</v>
      </c>
      <c r="G585" s="7" t="s">
        <v>1545</v>
      </c>
      <c r="H585" s="7" t="s">
        <v>1362</v>
      </c>
      <c r="I585" s="7" t="s">
        <v>1245</v>
      </c>
      <c r="K585" s="7" t="s">
        <v>260</v>
      </c>
      <c r="L585" s="11">
        <v>49.68</v>
      </c>
      <c r="M585" s="11">
        <v>49.68</v>
      </c>
      <c r="N585" s="9">
        <f t="shared" si="16"/>
        <v>49.68</v>
      </c>
    </row>
    <row r="586" spans="1:14" ht="12.75" hidden="1" customHeight="1" x14ac:dyDescent="0.2">
      <c r="A586">
        <v>65020</v>
      </c>
      <c r="B586" s="3" t="s">
        <v>1245</v>
      </c>
      <c r="C586" s="7" t="s">
        <v>965</v>
      </c>
      <c r="D586" s="7" t="s">
        <v>200</v>
      </c>
      <c r="F586" s="7" t="s">
        <v>1036</v>
      </c>
      <c r="G586" s="7" t="s">
        <v>1545</v>
      </c>
      <c r="H586" s="7" t="s">
        <v>1362</v>
      </c>
      <c r="I586" s="7" t="s">
        <v>1245</v>
      </c>
      <c r="K586" s="7" t="s">
        <v>260</v>
      </c>
      <c r="L586" s="11">
        <v>102.75</v>
      </c>
      <c r="M586" s="11">
        <v>291.45999999999998</v>
      </c>
      <c r="N586" s="9">
        <f t="shared" si="16"/>
        <v>102.75</v>
      </c>
    </row>
    <row r="587" spans="1:14" ht="12.75" hidden="1" customHeight="1" x14ac:dyDescent="0.2">
      <c r="A587">
        <v>65020</v>
      </c>
      <c r="B587" s="3" t="s">
        <v>1245</v>
      </c>
      <c r="C587" s="7" t="s">
        <v>812</v>
      </c>
      <c r="D587" s="7" t="s">
        <v>200</v>
      </c>
      <c r="F587" s="7" t="s">
        <v>300</v>
      </c>
      <c r="G587" s="7" t="s">
        <v>1545</v>
      </c>
      <c r="H587" s="7" t="s">
        <v>1362</v>
      </c>
      <c r="I587" s="7" t="s">
        <v>1245</v>
      </c>
      <c r="K587" s="7" t="s">
        <v>260</v>
      </c>
      <c r="L587" s="11">
        <v>8.99</v>
      </c>
      <c r="M587" s="11">
        <v>941.44</v>
      </c>
      <c r="N587" s="9">
        <f t="shared" si="16"/>
        <v>8.99</v>
      </c>
    </row>
    <row r="588" spans="1:14" ht="12.75" hidden="1" customHeight="1" x14ac:dyDescent="0.2">
      <c r="A588">
        <v>65020</v>
      </c>
      <c r="B588" s="3" t="s">
        <v>1245</v>
      </c>
      <c r="C588" s="7" t="s">
        <v>812</v>
      </c>
      <c r="D588" s="7" t="s">
        <v>200</v>
      </c>
      <c r="F588" s="7" t="s">
        <v>300</v>
      </c>
      <c r="G588" s="7" t="s">
        <v>1545</v>
      </c>
      <c r="H588" s="7" t="s">
        <v>1362</v>
      </c>
      <c r="I588" s="7" t="s">
        <v>1245</v>
      </c>
      <c r="K588" s="7" t="s">
        <v>260</v>
      </c>
      <c r="L588" s="11">
        <v>26.49</v>
      </c>
      <c r="M588" s="11">
        <v>967.93</v>
      </c>
      <c r="N588" s="9">
        <f t="shared" si="16"/>
        <v>26.49</v>
      </c>
    </row>
    <row r="589" spans="1:14" ht="12.75" hidden="1" customHeight="1" x14ac:dyDescent="0.2">
      <c r="A589">
        <v>65025</v>
      </c>
      <c r="B589" s="3" t="s">
        <v>1246</v>
      </c>
      <c r="C589" s="7" t="s">
        <v>701</v>
      </c>
      <c r="D589" s="7" t="s">
        <v>221</v>
      </c>
      <c r="F589" s="7" t="s">
        <v>446</v>
      </c>
      <c r="G589" s="7" t="s">
        <v>1545</v>
      </c>
      <c r="H589" s="7" t="s">
        <v>1362</v>
      </c>
      <c r="I589" s="7" t="s">
        <v>1246</v>
      </c>
      <c r="K589" s="7" t="s">
        <v>260</v>
      </c>
      <c r="L589" s="11">
        <v>15</v>
      </c>
      <c r="M589" s="11">
        <v>1336.23</v>
      </c>
      <c r="N589" s="9">
        <f t="shared" si="16"/>
        <v>15</v>
      </c>
    </row>
    <row r="590" spans="1:14" ht="12.75" hidden="1" customHeight="1" x14ac:dyDescent="0.2">
      <c r="A590">
        <v>65025</v>
      </c>
      <c r="B590" s="3" t="s">
        <v>1246</v>
      </c>
      <c r="C590" s="7" t="s">
        <v>698</v>
      </c>
      <c r="D590" s="7" t="s">
        <v>242</v>
      </c>
      <c r="F590" s="7" t="s">
        <v>446</v>
      </c>
      <c r="G590" s="7" t="s">
        <v>1545</v>
      </c>
      <c r="H590" s="7" t="s">
        <v>1362</v>
      </c>
      <c r="I590" s="7" t="s">
        <v>1246</v>
      </c>
      <c r="K590" s="7" t="s">
        <v>260</v>
      </c>
      <c r="L590" s="11">
        <v>-15</v>
      </c>
      <c r="M590" s="11">
        <v>1321.23</v>
      </c>
      <c r="N590" s="9">
        <f t="shared" si="16"/>
        <v>-15</v>
      </c>
    </row>
    <row r="591" spans="1:14" ht="12.75" hidden="1" customHeight="1" x14ac:dyDescent="0.2">
      <c r="A591">
        <v>65036</v>
      </c>
      <c r="B591" s="3" t="s">
        <v>1249</v>
      </c>
      <c r="C591" s="7" t="s">
        <v>379</v>
      </c>
      <c r="D591" s="7" t="s">
        <v>200</v>
      </c>
      <c r="F591" s="7" t="s">
        <v>591</v>
      </c>
      <c r="G591" s="7" t="s">
        <v>1545</v>
      </c>
      <c r="H591" s="7" t="s">
        <v>1362</v>
      </c>
      <c r="I591" s="7" t="s">
        <v>1249</v>
      </c>
      <c r="K591" s="7" t="s">
        <v>260</v>
      </c>
      <c r="L591" s="11">
        <v>211.09</v>
      </c>
      <c r="M591" s="11">
        <v>548.98</v>
      </c>
      <c r="N591" s="9">
        <f t="shared" si="16"/>
        <v>211.09</v>
      </c>
    </row>
    <row r="592" spans="1:14" ht="12.75" hidden="1" customHeight="1" x14ac:dyDescent="0.2">
      <c r="A592">
        <v>65036</v>
      </c>
      <c r="B592" s="3" t="s">
        <v>1249</v>
      </c>
      <c r="C592" s="7" t="s">
        <v>334</v>
      </c>
      <c r="D592" s="7" t="s">
        <v>200</v>
      </c>
      <c r="F592" s="7" t="s">
        <v>1017</v>
      </c>
      <c r="G592" s="7" t="s">
        <v>1545</v>
      </c>
      <c r="H592" s="7" t="s">
        <v>1362</v>
      </c>
      <c r="I592" s="7" t="s">
        <v>1249</v>
      </c>
      <c r="K592" s="7" t="s">
        <v>260</v>
      </c>
      <c r="L592" s="11">
        <v>6.91</v>
      </c>
      <c r="M592" s="11">
        <v>957.78</v>
      </c>
      <c r="N592" s="9">
        <f t="shared" si="16"/>
        <v>6.91</v>
      </c>
    </row>
    <row r="593" spans="1:14" ht="12.75" hidden="1" customHeight="1" x14ac:dyDescent="0.2">
      <c r="A593">
        <v>65036</v>
      </c>
      <c r="B593" s="3" t="s">
        <v>1249</v>
      </c>
      <c r="C593" s="7" t="s">
        <v>319</v>
      </c>
      <c r="D593" s="7" t="s">
        <v>200</v>
      </c>
      <c r="E593" s="7">
        <v>1097</v>
      </c>
      <c r="F593" s="7" t="s">
        <v>863</v>
      </c>
      <c r="G593" s="7" t="s">
        <v>1545</v>
      </c>
      <c r="H593" s="7" t="s">
        <v>1362</v>
      </c>
      <c r="I593" s="7" t="s">
        <v>1249</v>
      </c>
      <c r="K593" s="7" t="s">
        <v>260</v>
      </c>
      <c r="L593" s="11">
        <v>77.98</v>
      </c>
      <c r="M593" s="11">
        <v>3563.12</v>
      </c>
      <c r="N593" s="9">
        <f t="shared" si="16"/>
        <v>77.98</v>
      </c>
    </row>
    <row r="594" spans="1:14" ht="12.75" hidden="1" customHeight="1" x14ac:dyDescent="0.2">
      <c r="A594">
        <v>65036</v>
      </c>
      <c r="B594" s="3" t="s">
        <v>1249</v>
      </c>
      <c r="C594" s="7" t="s">
        <v>312</v>
      </c>
      <c r="D594" s="7" t="s">
        <v>200</v>
      </c>
      <c r="F594" s="7" t="s">
        <v>1022</v>
      </c>
      <c r="G594" s="7" t="s">
        <v>1545</v>
      </c>
      <c r="H594" s="7" t="s">
        <v>1362</v>
      </c>
      <c r="I594" s="7" t="s">
        <v>1249</v>
      </c>
      <c r="K594" s="7" t="s">
        <v>260</v>
      </c>
      <c r="L594" s="11">
        <v>90.67</v>
      </c>
      <c r="M594" s="11">
        <v>3653.79</v>
      </c>
      <c r="N594" s="9">
        <f t="shared" si="16"/>
        <v>90.67</v>
      </c>
    </row>
    <row r="595" spans="1:14" ht="12.75" hidden="1" customHeight="1" x14ac:dyDescent="0.2">
      <c r="A595">
        <v>65036</v>
      </c>
      <c r="B595" s="3" t="s">
        <v>1249</v>
      </c>
      <c r="C595" s="7" t="s">
        <v>825</v>
      </c>
      <c r="D595" s="7" t="s">
        <v>200</v>
      </c>
      <c r="F595" s="7" t="s">
        <v>1012</v>
      </c>
      <c r="G595" s="7" t="s">
        <v>1545</v>
      </c>
      <c r="H595" s="7" t="s">
        <v>1362</v>
      </c>
      <c r="I595" s="7" t="s">
        <v>1249</v>
      </c>
      <c r="K595" s="7" t="s">
        <v>260</v>
      </c>
      <c r="L595" s="11">
        <v>9.19</v>
      </c>
      <c r="M595" s="11">
        <v>3741.31</v>
      </c>
      <c r="N595" s="9">
        <f t="shared" si="16"/>
        <v>9.19</v>
      </c>
    </row>
    <row r="596" spans="1:14" ht="12.75" hidden="1" customHeight="1" x14ac:dyDescent="0.2">
      <c r="A596">
        <v>65036</v>
      </c>
      <c r="B596" s="3" t="s">
        <v>1249</v>
      </c>
      <c r="C596" s="7" t="s">
        <v>825</v>
      </c>
      <c r="D596" s="7" t="s">
        <v>200</v>
      </c>
      <c r="F596" s="7" t="s">
        <v>1020</v>
      </c>
      <c r="G596" s="7" t="s">
        <v>1545</v>
      </c>
      <c r="H596" s="7" t="s">
        <v>1362</v>
      </c>
      <c r="I596" s="7" t="s">
        <v>1249</v>
      </c>
      <c r="K596" s="7" t="s">
        <v>260</v>
      </c>
      <c r="L596" s="11">
        <v>53.59</v>
      </c>
      <c r="M596" s="11">
        <v>3794.9</v>
      </c>
      <c r="N596" s="9">
        <f t="shared" si="16"/>
        <v>53.59</v>
      </c>
    </row>
    <row r="597" spans="1:14" ht="12.75" hidden="1" customHeight="1" x14ac:dyDescent="0.2">
      <c r="A597">
        <v>65036</v>
      </c>
      <c r="B597" s="3" t="s">
        <v>1249</v>
      </c>
      <c r="C597" s="7" t="s">
        <v>802</v>
      </c>
      <c r="D597" s="7" t="s">
        <v>200</v>
      </c>
      <c r="F597" s="7" t="s">
        <v>1010</v>
      </c>
      <c r="G597" s="7" t="s">
        <v>1545</v>
      </c>
      <c r="H597" s="7" t="s">
        <v>1362</v>
      </c>
      <c r="I597" s="7" t="s">
        <v>1249</v>
      </c>
      <c r="K597" s="7" t="s">
        <v>260</v>
      </c>
      <c r="L597" s="11">
        <v>22.06</v>
      </c>
      <c r="M597" s="11">
        <v>3843.24</v>
      </c>
      <c r="N597" s="9">
        <f t="shared" si="16"/>
        <v>22.06</v>
      </c>
    </row>
    <row r="598" spans="1:14" ht="12.75" hidden="1" customHeight="1" x14ac:dyDescent="0.2">
      <c r="A598">
        <v>65036</v>
      </c>
      <c r="B598" s="3" t="s">
        <v>1249</v>
      </c>
      <c r="C598" s="7" t="s">
        <v>802</v>
      </c>
      <c r="D598" s="7" t="s">
        <v>200</v>
      </c>
      <c r="F598" s="7" t="s">
        <v>1010</v>
      </c>
      <c r="G598" s="7" t="s">
        <v>1545</v>
      </c>
      <c r="H598" s="7" t="s">
        <v>1362</v>
      </c>
      <c r="I598" s="7" t="s">
        <v>1249</v>
      </c>
      <c r="K598" s="7" t="s">
        <v>260</v>
      </c>
      <c r="L598" s="11">
        <v>4.16</v>
      </c>
      <c r="M598" s="11">
        <v>3847.4</v>
      </c>
      <c r="N598" s="9">
        <f t="shared" si="16"/>
        <v>4.16</v>
      </c>
    </row>
    <row r="599" spans="1:14" ht="12.75" hidden="1" customHeight="1" x14ac:dyDescent="0.2">
      <c r="A599">
        <v>65036</v>
      </c>
      <c r="B599" s="3" t="s">
        <v>1249</v>
      </c>
      <c r="C599" s="7" t="s">
        <v>802</v>
      </c>
      <c r="D599" s="7" t="s">
        <v>200</v>
      </c>
      <c r="F599" s="7" t="s">
        <v>1010</v>
      </c>
      <c r="G599" s="7" t="s">
        <v>1545</v>
      </c>
      <c r="H599" s="7" t="s">
        <v>1362</v>
      </c>
      <c r="I599" s="7" t="s">
        <v>1249</v>
      </c>
      <c r="K599" s="7" t="s">
        <v>260</v>
      </c>
      <c r="L599" s="11">
        <v>16.04</v>
      </c>
      <c r="M599" s="11">
        <v>3863.44</v>
      </c>
      <c r="N599" s="9">
        <f t="shared" si="16"/>
        <v>16.04</v>
      </c>
    </row>
    <row r="600" spans="1:14" ht="12.75" hidden="1" customHeight="1" x14ac:dyDescent="0.2">
      <c r="A600">
        <v>65036</v>
      </c>
      <c r="B600" s="3" t="s">
        <v>1249</v>
      </c>
      <c r="C600" s="7" t="s">
        <v>238</v>
      </c>
      <c r="D600" s="7" t="s">
        <v>221</v>
      </c>
      <c r="F600" s="7" t="s">
        <v>1016</v>
      </c>
      <c r="G600" s="7" t="s">
        <v>1545</v>
      </c>
      <c r="H600" s="7" t="s">
        <v>1362</v>
      </c>
      <c r="I600" s="7" t="s">
        <v>1249</v>
      </c>
      <c r="K600" s="7" t="s">
        <v>260</v>
      </c>
      <c r="L600" s="11">
        <v>62.94</v>
      </c>
      <c r="M600" s="11">
        <v>4640.09</v>
      </c>
      <c r="N600" s="9">
        <f t="shared" si="16"/>
        <v>62.94</v>
      </c>
    </row>
    <row r="601" spans="1:14" ht="12.75" hidden="1" customHeight="1" x14ac:dyDescent="0.2">
      <c r="A601">
        <v>65036</v>
      </c>
      <c r="B601" s="3" t="s">
        <v>1249</v>
      </c>
      <c r="C601" s="7" t="s">
        <v>493</v>
      </c>
      <c r="D601" s="7" t="s">
        <v>221</v>
      </c>
      <c r="F601" s="7" t="s">
        <v>1014</v>
      </c>
      <c r="G601" s="7" t="s">
        <v>1545</v>
      </c>
      <c r="H601" s="7" t="s">
        <v>1362</v>
      </c>
      <c r="I601" s="7" t="s">
        <v>1249</v>
      </c>
      <c r="K601" s="7" t="s">
        <v>260</v>
      </c>
      <c r="L601" s="11">
        <v>122.29</v>
      </c>
      <c r="M601" s="11">
        <v>4852.38</v>
      </c>
      <c r="N601" s="9">
        <f t="shared" si="16"/>
        <v>122.29</v>
      </c>
    </row>
    <row r="602" spans="1:14" ht="12.75" hidden="1" customHeight="1" x14ac:dyDescent="0.2">
      <c r="A602">
        <v>65036</v>
      </c>
      <c r="B602" s="3" t="s">
        <v>1249</v>
      </c>
      <c r="C602" s="7" t="s">
        <v>429</v>
      </c>
      <c r="D602" s="7" t="s">
        <v>221</v>
      </c>
      <c r="F602" s="7" t="s">
        <v>1012</v>
      </c>
      <c r="G602" s="7" t="s">
        <v>1545</v>
      </c>
      <c r="H602" s="7" t="s">
        <v>1362</v>
      </c>
      <c r="I602" s="7" t="s">
        <v>1249</v>
      </c>
      <c r="K602" s="7" t="s">
        <v>260</v>
      </c>
      <c r="L602" s="11">
        <v>12.31</v>
      </c>
      <c r="M602" s="11">
        <v>5025.57</v>
      </c>
      <c r="N602" s="9">
        <f t="shared" ref="N602:N665" si="17">IF(A602&lt;60000,-L602,+L602)</f>
        <v>12.31</v>
      </c>
    </row>
    <row r="603" spans="1:14" ht="12.75" hidden="1" customHeight="1" x14ac:dyDescent="0.2">
      <c r="A603">
        <v>65040</v>
      </c>
      <c r="B603" s="3" t="s">
        <v>1250</v>
      </c>
      <c r="C603" s="7" t="s">
        <v>379</v>
      </c>
      <c r="D603" s="7" t="s">
        <v>200</v>
      </c>
      <c r="F603" s="7" t="s">
        <v>243</v>
      </c>
      <c r="G603" s="7" t="s">
        <v>1545</v>
      </c>
      <c r="H603" s="7" t="s">
        <v>1362</v>
      </c>
      <c r="I603" s="7" t="s">
        <v>1250</v>
      </c>
      <c r="K603" s="7" t="s">
        <v>260</v>
      </c>
      <c r="L603" s="11">
        <v>7.04</v>
      </c>
      <c r="M603" s="11">
        <v>687.35</v>
      </c>
      <c r="N603" s="9">
        <f t="shared" si="17"/>
        <v>7.04</v>
      </c>
    </row>
    <row r="604" spans="1:14" ht="12.75" hidden="1" customHeight="1" x14ac:dyDescent="0.2">
      <c r="A604">
        <v>65060</v>
      </c>
      <c r="B604" s="3" t="s">
        <v>1253</v>
      </c>
      <c r="C604" s="7" t="s">
        <v>224</v>
      </c>
      <c r="D604" s="7" t="s">
        <v>221</v>
      </c>
      <c r="F604" s="7" t="s">
        <v>997</v>
      </c>
      <c r="G604" s="7" t="s">
        <v>1545</v>
      </c>
      <c r="H604" s="7" t="s">
        <v>1362</v>
      </c>
      <c r="I604" s="7" t="s">
        <v>1253</v>
      </c>
      <c r="K604" s="7" t="s">
        <v>260</v>
      </c>
      <c r="L604" s="11">
        <v>13.99</v>
      </c>
      <c r="M604" s="11">
        <v>-23.45</v>
      </c>
      <c r="N604" s="9">
        <f t="shared" si="17"/>
        <v>13.99</v>
      </c>
    </row>
    <row r="605" spans="1:14" ht="12.75" hidden="1" customHeight="1" x14ac:dyDescent="0.2">
      <c r="A605">
        <v>65060</v>
      </c>
      <c r="B605" s="3" t="s">
        <v>1253</v>
      </c>
      <c r="C605" s="7" t="s">
        <v>224</v>
      </c>
      <c r="D605" s="7" t="s">
        <v>221</v>
      </c>
      <c r="F605" s="7" t="s">
        <v>220</v>
      </c>
      <c r="G605" s="7" t="s">
        <v>1545</v>
      </c>
      <c r="H605" s="7" t="s">
        <v>1362</v>
      </c>
      <c r="I605" s="7" t="s">
        <v>1253</v>
      </c>
      <c r="K605" s="7" t="s">
        <v>260</v>
      </c>
      <c r="L605" s="11">
        <v>18.34</v>
      </c>
      <c r="M605" s="11">
        <v>-26.5</v>
      </c>
      <c r="N605" s="9">
        <f t="shared" si="17"/>
        <v>18.34</v>
      </c>
    </row>
    <row r="606" spans="1:14" ht="12.75" hidden="1" customHeight="1" x14ac:dyDescent="0.2">
      <c r="A606">
        <v>65060</v>
      </c>
      <c r="B606" s="3" t="s">
        <v>1253</v>
      </c>
      <c r="C606" s="7" t="s">
        <v>701</v>
      </c>
      <c r="D606" s="7" t="s">
        <v>200</v>
      </c>
      <c r="E606" s="7">
        <v>1014</v>
      </c>
      <c r="F606" s="7" t="s">
        <v>995</v>
      </c>
      <c r="G606" s="7" t="s">
        <v>1545</v>
      </c>
      <c r="H606" s="7" t="s">
        <v>1362</v>
      </c>
      <c r="I606" s="7" t="s">
        <v>1253</v>
      </c>
      <c r="K606" s="7" t="s">
        <v>260</v>
      </c>
      <c r="L606" s="11">
        <v>224.53</v>
      </c>
      <c r="M606" s="11">
        <v>1176.31</v>
      </c>
      <c r="N606" s="9">
        <f t="shared" si="17"/>
        <v>224.53</v>
      </c>
    </row>
    <row r="607" spans="1:14" ht="12.75" hidden="1" customHeight="1" x14ac:dyDescent="0.2">
      <c r="A607">
        <v>65060</v>
      </c>
      <c r="B607" s="3" t="s">
        <v>1253</v>
      </c>
      <c r="C607" s="7" t="s">
        <v>701</v>
      </c>
      <c r="D607" s="7" t="s">
        <v>200</v>
      </c>
      <c r="E607" s="7">
        <v>1012</v>
      </c>
      <c r="F607" s="7" t="s">
        <v>994</v>
      </c>
      <c r="G607" s="7" t="s">
        <v>1545</v>
      </c>
      <c r="H607" s="7" t="s">
        <v>1362</v>
      </c>
      <c r="I607" s="7" t="s">
        <v>1253</v>
      </c>
      <c r="K607" s="7" t="s">
        <v>260</v>
      </c>
      <c r="L607" s="11">
        <v>43.89</v>
      </c>
      <c r="M607" s="11">
        <v>1220.2</v>
      </c>
      <c r="N607" s="9">
        <f t="shared" si="17"/>
        <v>43.89</v>
      </c>
    </row>
    <row r="608" spans="1:14" ht="12.75" hidden="1" customHeight="1" x14ac:dyDescent="0.2">
      <c r="A608">
        <v>65061</v>
      </c>
      <c r="B608" s="3" t="s">
        <v>1253</v>
      </c>
      <c r="C608" s="7" t="s">
        <v>449</v>
      </c>
      <c r="D608" s="7" t="s">
        <v>200</v>
      </c>
      <c r="F608" s="7" t="s">
        <v>562</v>
      </c>
      <c r="G608" s="7" t="s">
        <v>1545</v>
      </c>
      <c r="H608" s="7" t="s">
        <v>1362</v>
      </c>
      <c r="I608" s="7" t="s">
        <v>1253</v>
      </c>
      <c r="K608" s="7" t="s">
        <v>260</v>
      </c>
      <c r="L608" s="11">
        <v>100</v>
      </c>
      <c r="M608" s="11">
        <v>-8869.94</v>
      </c>
      <c r="N608" s="9">
        <f t="shared" si="17"/>
        <v>100</v>
      </c>
    </row>
    <row r="609" spans="1:14" ht="12.75" hidden="1" customHeight="1" x14ac:dyDescent="0.2">
      <c r="A609">
        <v>65061</v>
      </c>
      <c r="B609" s="3" t="s">
        <v>1253</v>
      </c>
      <c r="C609" s="7" t="s">
        <v>981</v>
      </c>
      <c r="D609" s="7" t="s">
        <v>200</v>
      </c>
      <c r="F609" s="7" t="s">
        <v>573</v>
      </c>
      <c r="G609" s="7" t="s">
        <v>1545</v>
      </c>
      <c r="H609" s="7" t="s">
        <v>1362</v>
      </c>
      <c r="I609" s="7" t="s">
        <v>1253</v>
      </c>
      <c r="K609" s="7" t="s">
        <v>260</v>
      </c>
      <c r="L609" s="11">
        <v>11.97</v>
      </c>
      <c r="M609" s="11">
        <v>-6639.17</v>
      </c>
      <c r="N609" s="9">
        <f t="shared" si="17"/>
        <v>11.97</v>
      </c>
    </row>
    <row r="610" spans="1:14" ht="12.75" hidden="1" customHeight="1" x14ac:dyDescent="0.2">
      <c r="A610">
        <v>65061</v>
      </c>
      <c r="B610" s="3" t="s">
        <v>1253</v>
      </c>
      <c r="C610" s="7" t="s">
        <v>981</v>
      </c>
      <c r="D610" s="7" t="s">
        <v>200</v>
      </c>
      <c r="F610" s="7" t="s">
        <v>578</v>
      </c>
      <c r="G610" s="7" t="s">
        <v>1545</v>
      </c>
      <c r="H610" s="7" t="s">
        <v>1362</v>
      </c>
      <c r="I610" s="7" t="s">
        <v>1253</v>
      </c>
      <c r="K610" s="7" t="s">
        <v>260</v>
      </c>
      <c r="L610" s="11">
        <v>78.64</v>
      </c>
      <c r="M610" s="11">
        <v>-6560.53</v>
      </c>
      <c r="N610" s="9">
        <f t="shared" si="17"/>
        <v>78.64</v>
      </c>
    </row>
    <row r="611" spans="1:14" ht="12.75" hidden="1" customHeight="1" x14ac:dyDescent="0.2">
      <c r="A611">
        <v>65061</v>
      </c>
      <c r="B611" s="3" t="s">
        <v>1253</v>
      </c>
      <c r="C611" s="7" t="s">
        <v>976</v>
      </c>
      <c r="D611" s="7" t="s">
        <v>200</v>
      </c>
      <c r="F611" s="7" t="s">
        <v>241</v>
      </c>
      <c r="G611" s="7" t="s">
        <v>1545</v>
      </c>
      <c r="H611" s="7" t="s">
        <v>1362</v>
      </c>
      <c r="I611" s="7" t="s">
        <v>1253</v>
      </c>
      <c r="K611" s="7" t="s">
        <v>260</v>
      </c>
      <c r="L611" s="11">
        <v>76.290000000000006</v>
      </c>
      <c r="M611" s="11">
        <v>-3605.28</v>
      </c>
      <c r="N611" s="9">
        <f t="shared" si="17"/>
        <v>76.290000000000006</v>
      </c>
    </row>
    <row r="612" spans="1:14" ht="12.75" hidden="1" customHeight="1" x14ac:dyDescent="0.2">
      <c r="A612">
        <v>65061</v>
      </c>
      <c r="B612" s="3" t="s">
        <v>1253</v>
      </c>
      <c r="C612" s="7" t="s">
        <v>976</v>
      </c>
      <c r="D612" s="7" t="s">
        <v>200</v>
      </c>
      <c r="F612" s="7" t="s">
        <v>563</v>
      </c>
      <c r="G612" s="7" t="s">
        <v>1545</v>
      </c>
      <c r="H612" s="7" t="s">
        <v>1362</v>
      </c>
      <c r="I612" s="7" t="s">
        <v>1253</v>
      </c>
      <c r="K612" s="7" t="s">
        <v>260</v>
      </c>
      <c r="L612" s="11">
        <v>262.99</v>
      </c>
      <c r="M612" s="11">
        <v>-383.76</v>
      </c>
      <c r="N612" s="9">
        <f t="shared" si="17"/>
        <v>262.99</v>
      </c>
    </row>
    <row r="613" spans="1:14" ht="12.75" hidden="1" customHeight="1" x14ac:dyDescent="0.2">
      <c r="A613">
        <v>65061</v>
      </c>
      <c r="B613" s="3" t="s">
        <v>1253</v>
      </c>
      <c r="C613" s="7" t="s">
        <v>388</v>
      </c>
      <c r="D613" s="7" t="s">
        <v>200</v>
      </c>
      <c r="F613" s="7" t="s">
        <v>641</v>
      </c>
      <c r="G613" s="7" t="s">
        <v>1545</v>
      </c>
      <c r="H613" s="7" t="s">
        <v>1362</v>
      </c>
      <c r="I613" s="7" t="s">
        <v>1253</v>
      </c>
      <c r="K613" s="7" t="s">
        <v>260</v>
      </c>
      <c r="L613" s="11">
        <v>8.69</v>
      </c>
      <c r="M613" s="11">
        <v>599.74</v>
      </c>
      <c r="N613" s="9">
        <f t="shared" si="17"/>
        <v>8.69</v>
      </c>
    </row>
    <row r="614" spans="1:14" ht="12.75" hidden="1" customHeight="1" x14ac:dyDescent="0.2">
      <c r="A614">
        <v>65061</v>
      </c>
      <c r="B614" s="3" t="s">
        <v>1253</v>
      </c>
      <c r="C614" s="7" t="s">
        <v>388</v>
      </c>
      <c r="D614" s="7" t="s">
        <v>200</v>
      </c>
      <c r="F614" s="7" t="s">
        <v>573</v>
      </c>
      <c r="G614" s="7" t="s">
        <v>1545</v>
      </c>
      <c r="H614" s="7" t="s">
        <v>1362</v>
      </c>
      <c r="I614" s="7" t="s">
        <v>1253</v>
      </c>
      <c r="K614" s="7" t="s">
        <v>260</v>
      </c>
      <c r="L614" s="11">
        <v>122.23</v>
      </c>
      <c r="M614" s="11">
        <v>1591.77</v>
      </c>
      <c r="N614" s="9">
        <f t="shared" si="17"/>
        <v>122.23</v>
      </c>
    </row>
    <row r="615" spans="1:14" ht="12.75" hidden="1" customHeight="1" x14ac:dyDescent="0.2">
      <c r="A615">
        <v>65061</v>
      </c>
      <c r="B615" s="3" t="s">
        <v>1253</v>
      </c>
      <c r="C615" s="7" t="s">
        <v>965</v>
      </c>
      <c r="D615" s="7" t="s">
        <v>200</v>
      </c>
      <c r="F615" s="7" t="s">
        <v>352</v>
      </c>
      <c r="G615" s="7" t="s">
        <v>1545</v>
      </c>
      <c r="H615" s="7" t="s">
        <v>1362</v>
      </c>
      <c r="I615" s="7" t="s">
        <v>1253</v>
      </c>
      <c r="K615" s="7" t="s">
        <v>260</v>
      </c>
      <c r="L615" s="11">
        <v>9.7899999999999991</v>
      </c>
      <c r="M615" s="11">
        <v>3819.77</v>
      </c>
      <c r="N615" s="9">
        <f t="shared" si="17"/>
        <v>9.7899999999999991</v>
      </c>
    </row>
    <row r="616" spans="1:14" ht="12.75" hidden="1" customHeight="1" x14ac:dyDescent="0.2">
      <c r="A616">
        <v>65061</v>
      </c>
      <c r="B616" s="3" t="s">
        <v>1253</v>
      </c>
      <c r="C616" s="7" t="s">
        <v>965</v>
      </c>
      <c r="D616" s="7" t="s">
        <v>200</v>
      </c>
      <c r="F616" s="7" t="s">
        <v>966</v>
      </c>
      <c r="G616" s="7" t="s">
        <v>1545</v>
      </c>
      <c r="H616" s="7" t="s">
        <v>1362</v>
      </c>
      <c r="I616" s="7" t="s">
        <v>1253</v>
      </c>
      <c r="K616" s="7" t="s">
        <v>260</v>
      </c>
      <c r="L616" s="11">
        <v>149.43</v>
      </c>
      <c r="M616" s="11">
        <v>4336.47</v>
      </c>
      <c r="N616" s="9">
        <f t="shared" si="17"/>
        <v>149.43</v>
      </c>
    </row>
    <row r="617" spans="1:14" ht="12.75" hidden="1" customHeight="1" x14ac:dyDescent="0.2">
      <c r="A617">
        <v>65061</v>
      </c>
      <c r="B617" s="3" t="s">
        <v>1253</v>
      </c>
      <c r="C617" s="7" t="s">
        <v>962</v>
      </c>
      <c r="D617" s="7" t="s">
        <v>200</v>
      </c>
      <c r="F617" s="7" t="s">
        <v>684</v>
      </c>
      <c r="G617" s="7" t="s">
        <v>1545</v>
      </c>
      <c r="H617" s="7" t="s">
        <v>1362</v>
      </c>
      <c r="I617" s="7" t="s">
        <v>1253</v>
      </c>
      <c r="K617" s="7" t="s">
        <v>260</v>
      </c>
      <c r="L617" s="11">
        <v>47.31</v>
      </c>
      <c r="M617" s="11">
        <v>5617.79</v>
      </c>
      <c r="N617" s="9">
        <f t="shared" si="17"/>
        <v>47.31</v>
      </c>
    </row>
    <row r="618" spans="1:14" ht="12.75" hidden="1" customHeight="1" x14ac:dyDescent="0.2">
      <c r="A618">
        <v>65061</v>
      </c>
      <c r="B618" s="3" t="s">
        <v>1253</v>
      </c>
      <c r="C618" s="7" t="s">
        <v>962</v>
      </c>
      <c r="D618" s="7" t="s">
        <v>200</v>
      </c>
      <c r="F618" s="7" t="s">
        <v>963</v>
      </c>
      <c r="G618" s="7" t="s">
        <v>1545</v>
      </c>
      <c r="H618" s="7" t="s">
        <v>1362</v>
      </c>
      <c r="I618" s="7" t="s">
        <v>1253</v>
      </c>
      <c r="K618" s="7" t="s">
        <v>260</v>
      </c>
      <c r="L618" s="11">
        <v>22.51</v>
      </c>
      <c r="M618" s="11">
        <v>5640.3</v>
      </c>
      <c r="N618" s="9">
        <f t="shared" si="17"/>
        <v>22.51</v>
      </c>
    </row>
    <row r="619" spans="1:14" ht="12.75" hidden="1" customHeight="1" x14ac:dyDescent="0.2">
      <c r="A619">
        <v>65061</v>
      </c>
      <c r="B619" s="3" t="s">
        <v>1253</v>
      </c>
      <c r="C619" s="7" t="s">
        <v>962</v>
      </c>
      <c r="D619" s="7" t="s">
        <v>200</v>
      </c>
      <c r="F619" s="7" t="s">
        <v>241</v>
      </c>
      <c r="G619" s="7" t="s">
        <v>1545</v>
      </c>
      <c r="H619" s="7" t="s">
        <v>1362</v>
      </c>
      <c r="I619" s="7" t="s">
        <v>1253</v>
      </c>
      <c r="K619" s="7" t="s">
        <v>260</v>
      </c>
      <c r="L619" s="11">
        <v>51.74</v>
      </c>
      <c r="M619" s="11">
        <v>5692.04</v>
      </c>
      <c r="N619" s="9">
        <f t="shared" si="17"/>
        <v>51.74</v>
      </c>
    </row>
    <row r="620" spans="1:14" ht="12.75" hidden="1" customHeight="1" x14ac:dyDescent="0.2">
      <c r="A620">
        <v>65061</v>
      </c>
      <c r="B620" s="3" t="s">
        <v>1253</v>
      </c>
      <c r="C620" s="7" t="s">
        <v>393</v>
      </c>
      <c r="D620" s="7" t="s">
        <v>200</v>
      </c>
      <c r="F620" s="7" t="s">
        <v>352</v>
      </c>
      <c r="G620" s="7" t="s">
        <v>1545</v>
      </c>
      <c r="H620" s="7" t="s">
        <v>1362</v>
      </c>
      <c r="I620" s="7" t="s">
        <v>1253</v>
      </c>
      <c r="K620" s="7" t="s">
        <v>260</v>
      </c>
      <c r="L620" s="11">
        <v>18.12</v>
      </c>
      <c r="M620" s="11">
        <v>5830.79</v>
      </c>
      <c r="N620" s="9">
        <f t="shared" si="17"/>
        <v>18.12</v>
      </c>
    </row>
    <row r="621" spans="1:14" ht="12.75" hidden="1" customHeight="1" x14ac:dyDescent="0.2">
      <c r="A621">
        <v>65061</v>
      </c>
      <c r="B621" s="3" t="s">
        <v>1253</v>
      </c>
      <c r="C621" s="7" t="s">
        <v>393</v>
      </c>
      <c r="D621" s="7" t="s">
        <v>200</v>
      </c>
      <c r="F621" s="7" t="s">
        <v>602</v>
      </c>
      <c r="G621" s="7" t="s">
        <v>1545</v>
      </c>
      <c r="H621" s="7" t="s">
        <v>1362</v>
      </c>
      <c r="I621" s="7" t="s">
        <v>1253</v>
      </c>
      <c r="K621" s="7" t="s">
        <v>260</v>
      </c>
      <c r="L621" s="11">
        <v>3.21</v>
      </c>
      <c r="M621" s="11">
        <v>5834</v>
      </c>
      <c r="N621" s="9">
        <f t="shared" si="17"/>
        <v>3.21</v>
      </c>
    </row>
    <row r="622" spans="1:14" ht="12.75" hidden="1" customHeight="1" x14ac:dyDescent="0.2">
      <c r="A622">
        <v>65061</v>
      </c>
      <c r="B622" s="3" t="s">
        <v>1253</v>
      </c>
      <c r="C622" s="7" t="s">
        <v>393</v>
      </c>
      <c r="D622" s="7" t="s">
        <v>200</v>
      </c>
      <c r="F622" s="7" t="s">
        <v>355</v>
      </c>
      <c r="G622" s="7" t="s">
        <v>1545</v>
      </c>
      <c r="H622" s="7" t="s">
        <v>1362</v>
      </c>
      <c r="I622" s="7" t="s">
        <v>1253</v>
      </c>
      <c r="K622" s="7" t="s">
        <v>260</v>
      </c>
      <c r="L622" s="11">
        <v>48.44</v>
      </c>
      <c r="M622" s="11">
        <v>5882.44</v>
      </c>
      <c r="N622" s="9">
        <f t="shared" si="17"/>
        <v>48.44</v>
      </c>
    </row>
    <row r="623" spans="1:14" ht="12.75" hidden="1" customHeight="1" x14ac:dyDescent="0.2">
      <c r="A623">
        <v>65061</v>
      </c>
      <c r="B623" s="3" t="s">
        <v>1253</v>
      </c>
      <c r="C623" s="7" t="s">
        <v>392</v>
      </c>
      <c r="D623" s="7" t="s">
        <v>200</v>
      </c>
      <c r="F623" s="7" t="s">
        <v>589</v>
      </c>
      <c r="G623" s="7" t="s">
        <v>1545</v>
      </c>
      <c r="H623" s="7" t="s">
        <v>1362</v>
      </c>
      <c r="I623" s="7" t="s">
        <v>1253</v>
      </c>
      <c r="K623" s="7" t="s">
        <v>260</v>
      </c>
      <c r="L623" s="11">
        <v>12.92</v>
      </c>
      <c r="M623" s="11">
        <v>9758.41</v>
      </c>
      <c r="N623" s="9">
        <f t="shared" si="17"/>
        <v>12.92</v>
      </c>
    </row>
    <row r="624" spans="1:14" ht="12.75" hidden="1" customHeight="1" x14ac:dyDescent="0.2">
      <c r="A624">
        <v>65061</v>
      </c>
      <c r="B624" s="3" t="s">
        <v>1253</v>
      </c>
      <c r="C624" s="7" t="s">
        <v>384</v>
      </c>
      <c r="D624" s="7" t="s">
        <v>200</v>
      </c>
      <c r="F624" s="7" t="s">
        <v>223</v>
      </c>
      <c r="G624" s="7" t="s">
        <v>1545</v>
      </c>
      <c r="H624" s="7" t="s">
        <v>1362</v>
      </c>
      <c r="I624" s="7" t="s">
        <v>1253</v>
      </c>
      <c r="K624" s="7" t="s">
        <v>260</v>
      </c>
      <c r="L624" s="11">
        <v>2.16</v>
      </c>
      <c r="M624" s="11">
        <v>11580.64</v>
      </c>
      <c r="N624" s="9">
        <f t="shared" si="17"/>
        <v>2.16</v>
      </c>
    </row>
    <row r="625" spans="1:14" ht="12.75" hidden="1" customHeight="1" x14ac:dyDescent="0.2">
      <c r="A625">
        <v>65061</v>
      </c>
      <c r="B625" s="3" t="s">
        <v>1253</v>
      </c>
      <c r="C625" s="7" t="s">
        <v>952</v>
      </c>
      <c r="D625" s="7" t="s">
        <v>200</v>
      </c>
      <c r="E625" s="7">
        <v>1093</v>
      </c>
      <c r="F625" s="7" t="s">
        <v>953</v>
      </c>
      <c r="G625" s="7" t="s">
        <v>1545</v>
      </c>
      <c r="H625" s="7" t="s">
        <v>1362</v>
      </c>
      <c r="I625" s="7" t="s">
        <v>1253</v>
      </c>
      <c r="K625" s="7" t="s">
        <v>260</v>
      </c>
      <c r="L625" s="11">
        <v>88.32</v>
      </c>
      <c r="M625" s="11">
        <v>14791.32</v>
      </c>
      <c r="N625" s="9">
        <f t="shared" si="17"/>
        <v>88.32</v>
      </c>
    </row>
    <row r="626" spans="1:14" ht="12.75" hidden="1" customHeight="1" x14ac:dyDescent="0.2">
      <c r="A626">
        <v>65061</v>
      </c>
      <c r="B626" s="3" t="s">
        <v>1253</v>
      </c>
      <c r="C626" s="7" t="s">
        <v>952</v>
      </c>
      <c r="D626" s="7" t="s">
        <v>200</v>
      </c>
      <c r="E626" s="7">
        <v>1103</v>
      </c>
      <c r="F626" s="7" t="s">
        <v>953</v>
      </c>
      <c r="G626" s="7" t="s">
        <v>1545</v>
      </c>
      <c r="H626" s="7" t="s">
        <v>1362</v>
      </c>
      <c r="I626" s="7" t="s">
        <v>1253</v>
      </c>
      <c r="K626" s="7" t="s">
        <v>260</v>
      </c>
      <c r="L626" s="11">
        <v>37.380000000000003</v>
      </c>
      <c r="M626" s="11">
        <v>15105.14</v>
      </c>
      <c r="N626" s="9">
        <f t="shared" si="17"/>
        <v>37.380000000000003</v>
      </c>
    </row>
    <row r="627" spans="1:14" ht="12.75" hidden="1" customHeight="1" x14ac:dyDescent="0.2">
      <c r="A627">
        <v>65061</v>
      </c>
      <c r="B627" s="3" t="s">
        <v>1253</v>
      </c>
      <c r="C627" s="7" t="s">
        <v>952</v>
      </c>
      <c r="D627" s="7" t="s">
        <v>200</v>
      </c>
      <c r="F627" s="7" t="s">
        <v>738</v>
      </c>
      <c r="G627" s="7" t="s">
        <v>1545</v>
      </c>
      <c r="H627" s="7" t="s">
        <v>1362</v>
      </c>
      <c r="I627" s="7" t="s">
        <v>1253</v>
      </c>
      <c r="K627" s="7" t="s">
        <v>260</v>
      </c>
      <c r="L627" s="11">
        <v>27.87</v>
      </c>
      <c r="M627" s="11">
        <v>15476.6</v>
      </c>
      <c r="N627" s="9">
        <f t="shared" si="17"/>
        <v>27.87</v>
      </c>
    </row>
    <row r="628" spans="1:14" ht="12.75" hidden="1" customHeight="1" x14ac:dyDescent="0.2">
      <c r="A628">
        <v>65061</v>
      </c>
      <c r="B628" s="3" t="s">
        <v>1253</v>
      </c>
      <c r="C628" s="7" t="s">
        <v>437</v>
      </c>
      <c r="D628" s="7" t="s">
        <v>200</v>
      </c>
      <c r="F628" s="7" t="s">
        <v>570</v>
      </c>
      <c r="G628" s="7" t="s">
        <v>1545</v>
      </c>
      <c r="H628" s="7" t="s">
        <v>1362</v>
      </c>
      <c r="I628" s="7" t="s">
        <v>1253</v>
      </c>
      <c r="K628" s="7" t="s">
        <v>260</v>
      </c>
      <c r="L628" s="11">
        <v>563.1</v>
      </c>
      <c r="M628" s="11">
        <v>16627.39</v>
      </c>
      <c r="N628" s="9">
        <f t="shared" si="17"/>
        <v>563.1</v>
      </c>
    </row>
    <row r="629" spans="1:14" ht="12.75" hidden="1" customHeight="1" x14ac:dyDescent="0.2">
      <c r="A629">
        <v>65061</v>
      </c>
      <c r="B629" s="3" t="s">
        <v>1253</v>
      </c>
      <c r="C629" s="7" t="s">
        <v>437</v>
      </c>
      <c r="D629" s="7" t="s">
        <v>200</v>
      </c>
      <c r="F629" s="7" t="s">
        <v>951</v>
      </c>
      <c r="G629" s="7" t="s">
        <v>1545</v>
      </c>
      <c r="H629" s="7" t="s">
        <v>1362</v>
      </c>
      <c r="I629" s="7" t="s">
        <v>1253</v>
      </c>
      <c r="K629" s="7" t="s">
        <v>260</v>
      </c>
      <c r="L629" s="11">
        <v>43.19</v>
      </c>
      <c r="M629" s="11">
        <v>16670.580000000002</v>
      </c>
      <c r="N629" s="9">
        <f t="shared" si="17"/>
        <v>43.19</v>
      </c>
    </row>
    <row r="630" spans="1:14" ht="12.75" hidden="1" customHeight="1" x14ac:dyDescent="0.2">
      <c r="A630">
        <v>65061</v>
      </c>
      <c r="B630" s="3" t="s">
        <v>1253</v>
      </c>
      <c r="C630" s="7" t="s">
        <v>437</v>
      </c>
      <c r="D630" s="7" t="s">
        <v>200</v>
      </c>
      <c r="F630" s="7" t="s">
        <v>718</v>
      </c>
      <c r="G630" s="7" t="s">
        <v>1545</v>
      </c>
      <c r="H630" s="7" t="s">
        <v>1362</v>
      </c>
      <c r="I630" s="7" t="s">
        <v>1253</v>
      </c>
      <c r="K630" s="7" t="s">
        <v>260</v>
      </c>
      <c r="L630" s="11">
        <v>10.78</v>
      </c>
      <c r="M630" s="11">
        <v>16681.36</v>
      </c>
      <c r="N630" s="9">
        <f t="shared" si="17"/>
        <v>10.78</v>
      </c>
    </row>
    <row r="631" spans="1:14" ht="12.75" hidden="1" customHeight="1" x14ac:dyDescent="0.2">
      <c r="A631">
        <v>65061</v>
      </c>
      <c r="B631" s="3" t="s">
        <v>1253</v>
      </c>
      <c r="C631" s="7" t="s">
        <v>437</v>
      </c>
      <c r="D631" s="7" t="s">
        <v>200</v>
      </c>
      <c r="F631" s="7" t="s">
        <v>950</v>
      </c>
      <c r="G631" s="7" t="s">
        <v>1545</v>
      </c>
      <c r="H631" s="7" t="s">
        <v>1362</v>
      </c>
      <c r="I631" s="7" t="s">
        <v>1253</v>
      </c>
      <c r="K631" s="7" t="s">
        <v>260</v>
      </c>
      <c r="L631" s="11">
        <v>12.95</v>
      </c>
      <c r="M631" s="11">
        <v>16694.310000000001</v>
      </c>
      <c r="N631" s="9">
        <f t="shared" si="17"/>
        <v>12.95</v>
      </c>
    </row>
    <row r="632" spans="1:14" ht="12.75" hidden="1" customHeight="1" x14ac:dyDescent="0.2">
      <c r="A632">
        <v>65061</v>
      </c>
      <c r="B632" s="3" t="s">
        <v>1253</v>
      </c>
      <c r="C632" s="7" t="s">
        <v>437</v>
      </c>
      <c r="D632" s="7" t="s">
        <v>200</v>
      </c>
      <c r="E632" s="7">
        <v>1108</v>
      </c>
      <c r="F632" s="7" t="s">
        <v>949</v>
      </c>
      <c r="G632" s="7" t="s">
        <v>1545</v>
      </c>
      <c r="H632" s="7" t="s">
        <v>1362</v>
      </c>
      <c r="I632" s="7" t="s">
        <v>1253</v>
      </c>
      <c r="K632" s="7" t="s">
        <v>260</v>
      </c>
      <c r="L632" s="11">
        <v>150</v>
      </c>
      <c r="M632" s="11">
        <v>16844.310000000001</v>
      </c>
      <c r="N632" s="9">
        <f t="shared" si="17"/>
        <v>150</v>
      </c>
    </row>
    <row r="633" spans="1:14" ht="12.75" hidden="1" customHeight="1" x14ac:dyDescent="0.2">
      <c r="A633">
        <v>65061</v>
      </c>
      <c r="B633" s="3" t="s">
        <v>1253</v>
      </c>
      <c r="C633" s="7" t="s">
        <v>437</v>
      </c>
      <c r="D633" s="7" t="s">
        <v>200</v>
      </c>
      <c r="F633" s="7" t="s">
        <v>241</v>
      </c>
      <c r="G633" s="7" t="s">
        <v>1545</v>
      </c>
      <c r="H633" s="7" t="s">
        <v>1362</v>
      </c>
      <c r="I633" s="7" t="s">
        <v>1253</v>
      </c>
      <c r="K633" s="7" t="s">
        <v>260</v>
      </c>
      <c r="L633" s="11">
        <v>14.85</v>
      </c>
      <c r="M633" s="11">
        <v>16840.87</v>
      </c>
      <c r="N633" s="9">
        <f t="shared" si="17"/>
        <v>14.85</v>
      </c>
    </row>
    <row r="634" spans="1:14" ht="12.75" hidden="1" customHeight="1" x14ac:dyDescent="0.2">
      <c r="A634">
        <v>65061</v>
      </c>
      <c r="B634" s="3" t="s">
        <v>1253</v>
      </c>
      <c r="C634" s="7" t="s">
        <v>437</v>
      </c>
      <c r="D634" s="7" t="s">
        <v>200</v>
      </c>
      <c r="F634" s="7" t="s">
        <v>352</v>
      </c>
      <c r="G634" s="7" t="s">
        <v>1545</v>
      </c>
      <c r="H634" s="7" t="s">
        <v>1362</v>
      </c>
      <c r="I634" s="7" t="s">
        <v>1253</v>
      </c>
      <c r="K634" s="7" t="s">
        <v>260</v>
      </c>
      <c r="L634" s="11">
        <v>17.739999999999998</v>
      </c>
      <c r="M634" s="11">
        <v>16858.61</v>
      </c>
      <c r="N634" s="9">
        <f t="shared" si="17"/>
        <v>17.739999999999998</v>
      </c>
    </row>
    <row r="635" spans="1:14" ht="12.75" hidden="1" customHeight="1" x14ac:dyDescent="0.2">
      <c r="A635">
        <v>65061</v>
      </c>
      <c r="B635" s="3" t="s">
        <v>1253</v>
      </c>
      <c r="C635" s="7" t="s">
        <v>383</v>
      </c>
      <c r="D635" s="7" t="s">
        <v>200</v>
      </c>
      <c r="E635" s="7">
        <v>1092</v>
      </c>
      <c r="F635" s="7" t="s">
        <v>902</v>
      </c>
      <c r="G635" s="7" t="s">
        <v>1545</v>
      </c>
      <c r="H635" s="7" t="s">
        <v>1362</v>
      </c>
      <c r="I635" s="7" t="s">
        <v>1253</v>
      </c>
      <c r="K635" s="7" t="s">
        <v>260</v>
      </c>
      <c r="L635" s="11">
        <v>733.82</v>
      </c>
      <c r="M635" s="11">
        <v>18149.53</v>
      </c>
      <c r="N635" s="9">
        <f t="shared" si="17"/>
        <v>733.82</v>
      </c>
    </row>
    <row r="636" spans="1:14" ht="12.75" hidden="1" customHeight="1" x14ac:dyDescent="0.2">
      <c r="A636">
        <v>65061</v>
      </c>
      <c r="B636" s="3" t="s">
        <v>1253</v>
      </c>
      <c r="C636" s="7" t="s">
        <v>383</v>
      </c>
      <c r="D636" s="7" t="s">
        <v>200</v>
      </c>
      <c r="E636" s="7">
        <v>1096</v>
      </c>
      <c r="F636" s="7" t="s">
        <v>902</v>
      </c>
      <c r="G636" s="7" t="s">
        <v>1545</v>
      </c>
      <c r="H636" s="7" t="s">
        <v>1362</v>
      </c>
      <c r="I636" s="7" t="s">
        <v>1253</v>
      </c>
      <c r="K636" s="7" t="s">
        <v>260</v>
      </c>
      <c r="L636" s="11">
        <v>620.83000000000004</v>
      </c>
      <c r="M636" s="11">
        <v>19440.490000000002</v>
      </c>
      <c r="N636" s="9">
        <f t="shared" si="17"/>
        <v>620.83000000000004</v>
      </c>
    </row>
    <row r="637" spans="1:14" ht="12.75" hidden="1" customHeight="1" x14ac:dyDescent="0.2">
      <c r="A637">
        <v>65061</v>
      </c>
      <c r="B637" s="3" t="s">
        <v>1253</v>
      </c>
      <c r="C637" s="7" t="s">
        <v>383</v>
      </c>
      <c r="D637" s="7" t="s">
        <v>200</v>
      </c>
      <c r="E637" s="7">
        <v>1100</v>
      </c>
      <c r="F637" s="7" t="s">
        <v>902</v>
      </c>
      <c r="G637" s="7" t="s">
        <v>1545</v>
      </c>
      <c r="H637" s="7" t="s">
        <v>1362</v>
      </c>
      <c r="I637" s="7" t="s">
        <v>1253</v>
      </c>
      <c r="K637" s="7" t="s">
        <v>260</v>
      </c>
      <c r="L637" s="11">
        <v>658.04</v>
      </c>
      <c r="M637" s="11">
        <v>20098.53</v>
      </c>
      <c r="N637" s="9">
        <f t="shared" si="17"/>
        <v>658.04</v>
      </c>
    </row>
    <row r="638" spans="1:14" ht="12.75" hidden="1" customHeight="1" x14ac:dyDescent="0.2">
      <c r="A638">
        <v>65061</v>
      </c>
      <c r="B638" s="3" t="s">
        <v>1253</v>
      </c>
      <c r="C638" s="7" t="s">
        <v>383</v>
      </c>
      <c r="D638" s="7" t="s">
        <v>200</v>
      </c>
      <c r="E638" s="7">
        <v>1102</v>
      </c>
      <c r="F638" s="7" t="s">
        <v>902</v>
      </c>
      <c r="G638" s="7" t="s">
        <v>1545</v>
      </c>
      <c r="H638" s="7" t="s">
        <v>1362</v>
      </c>
      <c r="I638" s="7" t="s">
        <v>1253</v>
      </c>
      <c r="K638" s="7" t="s">
        <v>260</v>
      </c>
      <c r="L638" s="11">
        <v>253.31</v>
      </c>
      <c r="M638" s="11">
        <v>20351.84</v>
      </c>
      <c r="N638" s="9">
        <f t="shared" si="17"/>
        <v>253.31</v>
      </c>
    </row>
    <row r="639" spans="1:14" ht="12.75" hidden="1" customHeight="1" x14ac:dyDescent="0.2">
      <c r="A639">
        <v>65061</v>
      </c>
      <c r="B639" s="3" t="s">
        <v>1253</v>
      </c>
      <c r="C639" s="7" t="s">
        <v>383</v>
      </c>
      <c r="D639" s="7" t="s">
        <v>200</v>
      </c>
      <c r="E639" s="7">
        <v>1106</v>
      </c>
      <c r="F639" s="7" t="s">
        <v>902</v>
      </c>
      <c r="G639" s="7" t="s">
        <v>1545</v>
      </c>
      <c r="H639" s="7" t="s">
        <v>1362</v>
      </c>
      <c r="I639" s="7" t="s">
        <v>1253</v>
      </c>
      <c r="K639" s="7" t="s">
        <v>260</v>
      </c>
      <c r="L639" s="11">
        <v>396.08</v>
      </c>
      <c r="M639" s="11">
        <v>20747.919999999998</v>
      </c>
      <c r="N639" s="9">
        <f t="shared" si="17"/>
        <v>396.08</v>
      </c>
    </row>
    <row r="640" spans="1:14" ht="12.75" hidden="1" customHeight="1" x14ac:dyDescent="0.2">
      <c r="A640">
        <v>65061</v>
      </c>
      <c r="B640" s="3" t="s">
        <v>1253</v>
      </c>
      <c r="C640" s="7" t="s">
        <v>383</v>
      </c>
      <c r="D640" s="7" t="s">
        <v>200</v>
      </c>
      <c r="F640" s="7" t="s">
        <v>602</v>
      </c>
      <c r="G640" s="7" t="s">
        <v>1545</v>
      </c>
      <c r="H640" s="7" t="s">
        <v>1362</v>
      </c>
      <c r="I640" s="7" t="s">
        <v>1253</v>
      </c>
      <c r="K640" s="7" t="s">
        <v>260</v>
      </c>
      <c r="L640" s="11">
        <v>7.57</v>
      </c>
      <c r="M640" s="11">
        <v>21193.25</v>
      </c>
      <c r="N640" s="9">
        <f t="shared" si="17"/>
        <v>7.57</v>
      </c>
    </row>
    <row r="641" spans="1:14" ht="12.75" hidden="1" customHeight="1" x14ac:dyDescent="0.2">
      <c r="A641">
        <v>65061</v>
      </c>
      <c r="B641" s="3" t="s">
        <v>1253</v>
      </c>
      <c r="C641" s="7" t="s">
        <v>383</v>
      </c>
      <c r="D641" s="7" t="s">
        <v>200</v>
      </c>
      <c r="F641" s="7" t="s">
        <v>589</v>
      </c>
      <c r="G641" s="7" t="s">
        <v>1545</v>
      </c>
      <c r="H641" s="7" t="s">
        <v>1362</v>
      </c>
      <c r="I641" s="7" t="s">
        <v>1253</v>
      </c>
      <c r="K641" s="7" t="s">
        <v>260</v>
      </c>
      <c r="L641" s="11">
        <v>106.54</v>
      </c>
      <c r="M641" s="11">
        <v>21299.79</v>
      </c>
      <c r="N641" s="9">
        <f t="shared" si="17"/>
        <v>106.54</v>
      </c>
    </row>
    <row r="642" spans="1:14" ht="12.75" hidden="1" customHeight="1" x14ac:dyDescent="0.2">
      <c r="A642">
        <v>65061</v>
      </c>
      <c r="B642" s="3" t="s">
        <v>1253</v>
      </c>
      <c r="C642" s="7" t="s">
        <v>383</v>
      </c>
      <c r="D642" s="7" t="s">
        <v>200</v>
      </c>
      <c r="F642" s="7" t="s">
        <v>241</v>
      </c>
      <c r="G642" s="7" t="s">
        <v>1545</v>
      </c>
      <c r="H642" s="7" t="s">
        <v>1362</v>
      </c>
      <c r="I642" s="7" t="s">
        <v>1253</v>
      </c>
      <c r="K642" s="7" t="s">
        <v>260</v>
      </c>
      <c r="L642" s="11">
        <v>19.940000000000001</v>
      </c>
      <c r="M642" s="11">
        <v>20284.61</v>
      </c>
      <c r="N642" s="9">
        <f t="shared" si="17"/>
        <v>19.940000000000001</v>
      </c>
    </row>
    <row r="643" spans="1:14" ht="12.75" hidden="1" customHeight="1" x14ac:dyDescent="0.2">
      <c r="A643">
        <v>65061</v>
      </c>
      <c r="B643" s="3" t="s">
        <v>1253</v>
      </c>
      <c r="C643" s="7" t="s">
        <v>381</v>
      </c>
      <c r="D643" s="7" t="s">
        <v>242</v>
      </c>
      <c r="F643" s="7" t="s">
        <v>574</v>
      </c>
      <c r="G643" s="7" t="s">
        <v>1545</v>
      </c>
      <c r="H643" s="7" t="s">
        <v>1362</v>
      </c>
      <c r="I643" s="7" t="s">
        <v>1253</v>
      </c>
      <c r="K643" s="7" t="s">
        <v>260</v>
      </c>
      <c r="L643" s="11">
        <v>-43.19</v>
      </c>
      <c r="M643" s="11">
        <v>20314.89</v>
      </c>
      <c r="N643" s="9">
        <f t="shared" si="17"/>
        <v>-43.19</v>
      </c>
    </row>
    <row r="644" spans="1:14" ht="12.75" hidden="1" customHeight="1" x14ac:dyDescent="0.2">
      <c r="A644">
        <v>65061</v>
      </c>
      <c r="B644" s="3" t="s">
        <v>1253</v>
      </c>
      <c r="C644" s="7" t="s">
        <v>939</v>
      </c>
      <c r="D644" s="7" t="s">
        <v>200</v>
      </c>
      <c r="F644" s="7" t="s">
        <v>771</v>
      </c>
      <c r="G644" s="7" t="s">
        <v>1545</v>
      </c>
      <c r="H644" s="7" t="s">
        <v>1362</v>
      </c>
      <c r="I644" s="7" t="s">
        <v>1253</v>
      </c>
      <c r="K644" s="7" t="s">
        <v>260</v>
      </c>
      <c r="L644" s="11">
        <v>582.63</v>
      </c>
      <c r="M644" s="11">
        <v>21787.439999999999</v>
      </c>
      <c r="N644" s="9">
        <f t="shared" si="17"/>
        <v>582.63</v>
      </c>
    </row>
    <row r="645" spans="1:14" ht="12.75" hidden="1" customHeight="1" x14ac:dyDescent="0.2">
      <c r="A645">
        <v>65061</v>
      </c>
      <c r="B645" s="3" t="s">
        <v>1253</v>
      </c>
      <c r="C645" s="7" t="s">
        <v>932</v>
      </c>
      <c r="D645" s="7" t="s">
        <v>200</v>
      </c>
      <c r="F645" s="7" t="s">
        <v>573</v>
      </c>
      <c r="G645" s="7" t="s">
        <v>1545</v>
      </c>
      <c r="H645" s="7" t="s">
        <v>1362</v>
      </c>
      <c r="I645" s="7" t="s">
        <v>1253</v>
      </c>
      <c r="K645" s="7" t="s">
        <v>260</v>
      </c>
      <c r="L645" s="11">
        <v>264.27</v>
      </c>
      <c r="M645" s="11">
        <v>23536.3</v>
      </c>
      <c r="N645" s="9">
        <f t="shared" si="17"/>
        <v>264.27</v>
      </c>
    </row>
    <row r="646" spans="1:14" ht="12.75" hidden="1" customHeight="1" x14ac:dyDescent="0.2">
      <c r="A646">
        <v>65061</v>
      </c>
      <c r="B646" s="3" t="s">
        <v>1253</v>
      </c>
      <c r="C646" s="7" t="s">
        <v>932</v>
      </c>
      <c r="D646" s="7" t="s">
        <v>200</v>
      </c>
      <c r="F646" s="7" t="s">
        <v>597</v>
      </c>
      <c r="G646" s="7" t="s">
        <v>1545</v>
      </c>
      <c r="H646" s="7" t="s">
        <v>1362</v>
      </c>
      <c r="I646" s="7" t="s">
        <v>1253</v>
      </c>
      <c r="K646" s="7" t="s">
        <v>260</v>
      </c>
      <c r="L646" s="11">
        <v>33.1</v>
      </c>
      <c r="M646" s="11">
        <v>24022.94</v>
      </c>
      <c r="N646" s="9">
        <f t="shared" si="17"/>
        <v>33.1</v>
      </c>
    </row>
    <row r="647" spans="1:14" ht="12.75" hidden="1" customHeight="1" x14ac:dyDescent="0.2">
      <c r="A647">
        <v>65061</v>
      </c>
      <c r="B647" s="3" t="s">
        <v>1253</v>
      </c>
      <c r="C647" s="7" t="s">
        <v>448</v>
      </c>
      <c r="D647" s="7" t="s">
        <v>200</v>
      </c>
      <c r="F647" s="7" t="s">
        <v>602</v>
      </c>
      <c r="G647" s="7" t="s">
        <v>1545</v>
      </c>
      <c r="H647" s="7" t="s">
        <v>1362</v>
      </c>
      <c r="I647" s="7" t="s">
        <v>1253</v>
      </c>
      <c r="K647" s="7" t="s">
        <v>260</v>
      </c>
      <c r="L647" s="11">
        <v>14.99</v>
      </c>
      <c r="M647" s="11">
        <v>25563.62</v>
      </c>
      <c r="N647" s="9">
        <f t="shared" si="17"/>
        <v>14.99</v>
      </c>
    </row>
    <row r="648" spans="1:14" ht="12.75" hidden="1" customHeight="1" x14ac:dyDescent="0.2">
      <c r="A648">
        <v>65061</v>
      </c>
      <c r="B648" s="3" t="s">
        <v>1253</v>
      </c>
      <c r="C648" s="7" t="s">
        <v>379</v>
      </c>
      <c r="D648" s="7" t="s">
        <v>200</v>
      </c>
      <c r="F648" s="7" t="s">
        <v>548</v>
      </c>
      <c r="G648" s="7" t="s">
        <v>1545</v>
      </c>
      <c r="H648" s="7" t="s">
        <v>1362</v>
      </c>
      <c r="I648" s="7" t="s">
        <v>1253</v>
      </c>
      <c r="K648" s="7" t="s">
        <v>260</v>
      </c>
      <c r="L648" s="11">
        <v>13.31</v>
      </c>
      <c r="M648" s="11">
        <v>25866.14</v>
      </c>
      <c r="N648" s="9">
        <f t="shared" si="17"/>
        <v>13.31</v>
      </c>
    </row>
    <row r="649" spans="1:14" ht="12.75" hidden="1" customHeight="1" x14ac:dyDescent="0.2">
      <c r="A649">
        <v>65061</v>
      </c>
      <c r="B649" s="3" t="s">
        <v>1253</v>
      </c>
      <c r="C649" s="7" t="s">
        <v>379</v>
      </c>
      <c r="D649" s="7" t="s">
        <v>200</v>
      </c>
      <c r="F649" s="7" t="s">
        <v>241</v>
      </c>
      <c r="G649" s="7" t="s">
        <v>1545</v>
      </c>
      <c r="H649" s="7" t="s">
        <v>1362</v>
      </c>
      <c r="I649" s="7" t="s">
        <v>1253</v>
      </c>
      <c r="K649" s="7" t="s">
        <v>260</v>
      </c>
      <c r="L649" s="11">
        <v>35.78</v>
      </c>
      <c r="M649" s="11">
        <v>25981.38</v>
      </c>
      <c r="N649" s="9">
        <f t="shared" si="17"/>
        <v>35.78</v>
      </c>
    </row>
    <row r="650" spans="1:14" ht="12.75" hidden="1" customHeight="1" x14ac:dyDescent="0.2">
      <c r="A650">
        <v>65061</v>
      </c>
      <c r="B650" s="3" t="s">
        <v>1253</v>
      </c>
      <c r="C650" s="7" t="s">
        <v>379</v>
      </c>
      <c r="D650" s="7" t="s">
        <v>200</v>
      </c>
      <c r="F650" s="7" t="s">
        <v>624</v>
      </c>
      <c r="G650" s="7" t="s">
        <v>1545</v>
      </c>
      <c r="H650" s="7" t="s">
        <v>1362</v>
      </c>
      <c r="I650" s="7" t="s">
        <v>1253</v>
      </c>
      <c r="K650" s="7" t="s">
        <v>260</v>
      </c>
      <c r="L650" s="11">
        <v>148.69999999999999</v>
      </c>
      <c r="M650" s="11">
        <v>26113.62</v>
      </c>
      <c r="N650" s="9">
        <f t="shared" si="17"/>
        <v>148.69999999999999</v>
      </c>
    </row>
    <row r="651" spans="1:14" ht="12.75" hidden="1" customHeight="1" x14ac:dyDescent="0.2">
      <c r="A651">
        <v>65061</v>
      </c>
      <c r="B651" s="3" t="s">
        <v>1253</v>
      </c>
      <c r="C651" s="7" t="s">
        <v>379</v>
      </c>
      <c r="D651" s="7" t="s">
        <v>200</v>
      </c>
      <c r="F651" s="7" t="s">
        <v>589</v>
      </c>
      <c r="G651" s="7" t="s">
        <v>1545</v>
      </c>
      <c r="H651" s="7" t="s">
        <v>1362</v>
      </c>
      <c r="I651" s="7" t="s">
        <v>1253</v>
      </c>
      <c r="K651" s="7" t="s">
        <v>260</v>
      </c>
      <c r="L651" s="11">
        <v>177.7</v>
      </c>
      <c r="M651" s="11">
        <v>26688.47</v>
      </c>
      <c r="N651" s="9">
        <f t="shared" si="17"/>
        <v>177.7</v>
      </c>
    </row>
    <row r="652" spans="1:14" ht="12.75" hidden="1" customHeight="1" x14ac:dyDescent="0.2">
      <c r="A652">
        <v>65061</v>
      </c>
      <c r="B652" s="3" t="s">
        <v>1253</v>
      </c>
      <c r="C652" s="7" t="s">
        <v>379</v>
      </c>
      <c r="D652" s="7" t="s">
        <v>200</v>
      </c>
      <c r="F652" s="7" t="s">
        <v>602</v>
      </c>
      <c r="G652" s="7" t="s">
        <v>1545</v>
      </c>
      <c r="H652" s="7" t="s">
        <v>1362</v>
      </c>
      <c r="I652" s="7" t="s">
        <v>1253</v>
      </c>
      <c r="K652" s="7" t="s">
        <v>260</v>
      </c>
      <c r="L652" s="11">
        <v>12.99</v>
      </c>
      <c r="M652" s="11">
        <v>26863.38</v>
      </c>
      <c r="N652" s="9">
        <f t="shared" si="17"/>
        <v>12.99</v>
      </c>
    </row>
    <row r="653" spans="1:14" ht="12.75" hidden="1" customHeight="1" x14ac:dyDescent="0.2">
      <c r="A653">
        <v>65061</v>
      </c>
      <c r="B653" s="3" t="s">
        <v>1253</v>
      </c>
      <c r="C653" s="7" t="s">
        <v>926</v>
      </c>
      <c r="D653" s="7" t="s">
        <v>200</v>
      </c>
      <c r="F653" s="7" t="s">
        <v>595</v>
      </c>
      <c r="G653" s="7" t="s">
        <v>1545</v>
      </c>
      <c r="H653" s="7" t="s">
        <v>1362</v>
      </c>
      <c r="I653" s="7" t="s">
        <v>1253</v>
      </c>
      <c r="K653" s="7" t="s">
        <v>260</v>
      </c>
      <c r="L653" s="11">
        <v>139.41</v>
      </c>
      <c r="M653" s="11">
        <v>29788.79</v>
      </c>
      <c r="N653" s="9">
        <f t="shared" si="17"/>
        <v>139.41</v>
      </c>
    </row>
    <row r="654" spans="1:14" ht="12.75" hidden="1" customHeight="1" x14ac:dyDescent="0.2">
      <c r="A654">
        <v>65061</v>
      </c>
      <c r="B654" s="3" t="s">
        <v>1253</v>
      </c>
      <c r="C654" s="7" t="s">
        <v>926</v>
      </c>
      <c r="D654" s="7" t="s">
        <v>200</v>
      </c>
      <c r="F654" s="7" t="s">
        <v>352</v>
      </c>
      <c r="G654" s="7" t="s">
        <v>1545</v>
      </c>
      <c r="H654" s="7" t="s">
        <v>1362</v>
      </c>
      <c r="I654" s="7" t="s">
        <v>1253</v>
      </c>
      <c r="K654" s="7" t="s">
        <v>260</v>
      </c>
      <c r="L654" s="11">
        <v>63.83</v>
      </c>
      <c r="M654" s="11">
        <v>29852.62</v>
      </c>
      <c r="N654" s="9">
        <f t="shared" si="17"/>
        <v>63.83</v>
      </c>
    </row>
    <row r="655" spans="1:14" ht="12.75" hidden="1" customHeight="1" x14ac:dyDescent="0.2">
      <c r="A655">
        <v>65061</v>
      </c>
      <c r="B655" s="3" t="s">
        <v>1253</v>
      </c>
      <c r="C655" s="7" t="s">
        <v>376</v>
      </c>
      <c r="D655" s="7" t="s">
        <v>200</v>
      </c>
      <c r="F655" s="7" t="s">
        <v>589</v>
      </c>
      <c r="G655" s="7" t="s">
        <v>1545</v>
      </c>
      <c r="H655" s="7" t="s">
        <v>1362</v>
      </c>
      <c r="I655" s="7" t="s">
        <v>1253</v>
      </c>
      <c r="K655" s="7" t="s">
        <v>260</v>
      </c>
      <c r="L655" s="11">
        <v>232.61</v>
      </c>
      <c r="M655" s="11">
        <v>31091.35</v>
      </c>
      <c r="N655" s="9">
        <f t="shared" si="17"/>
        <v>232.61</v>
      </c>
    </row>
    <row r="656" spans="1:14" ht="12.75" hidden="1" customHeight="1" x14ac:dyDescent="0.2">
      <c r="A656">
        <v>65061</v>
      </c>
      <c r="B656" s="3" t="s">
        <v>1253</v>
      </c>
      <c r="C656" s="7" t="s">
        <v>376</v>
      </c>
      <c r="D656" s="7" t="s">
        <v>200</v>
      </c>
      <c r="F656" s="7" t="s">
        <v>589</v>
      </c>
      <c r="G656" s="7" t="s">
        <v>1545</v>
      </c>
      <c r="H656" s="7" t="s">
        <v>1362</v>
      </c>
      <c r="I656" s="7" t="s">
        <v>1253</v>
      </c>
      <c r="K656" s="7" t="s">
        <v>260</v>
      </c>
      <c r="L656" s="11">
        <v>146.1</v>
      </c>
      <c r="M656" s="11">
        <v>31237.45</v>
      </c>
      <c r="N656" s="9">
        <f t="shared" si="17"/>
        <v>146.1</v>
      </c>
    </row>
    <row r="657" spans="1:14" ht="12.75" hidden="1" customHeight="1" x14ac:dyDescent="0.2">
      <c r="A657">
        <v>65061</v>
      </c>
      <c r="B657" s="3" t="s">
        <v>1253</v>
      </c>
      <c r="C657" s="7" t="s">
        <v>374</v>
      </c>
      <c r="D657" s="7" t="s">
        <v>200</v>
      </c>
      <c r="E657" s="7">
        <v>1094</v>
      </c>
      <c r="F657" s="7" t="s">
        <v>902</v>
      </c>
      <c r="G657" s="7" t="s">
        <v>1545</v>
      </c>
      <c r="H657" s="7" t="s">
        <v>1362</v>
      </c>
      <c r="I657" s="7" t="s">
        <v>1253</v>
      </c>
      <c r="K657" s="7" t="s">
        <v>260</v>
      </c>
      <c r="L657" s="11">
        <v>216.36</v>
      </c>
      <c r="M657" s="11">
        <v>32270.37</v>
      </c>
      <c r="N657" s="9">
        <f t="shared" si="17"/>
        <v>216.36</v>
      </c>
    </row>
    <row r="658" spans="1:14" ht="12.75" hidden="1" customHeight="1" x14ac:dyDescent="0.2">
      <c r="A658">
        <v>65061</v>
      </c>
      <c r="B658" s="3" t="s">
        <v>1253</v>
      </c>
      <c r="C658" s="7" t="s">
        <v>372</v>
      </c>
      <c r="D658" s="7" t="s">
        <v>200</v>
      </c>
      <c r="F658" s="7" t="s">
        <v>563</v>
      </c>
      <c r="G658" s="7" t="s">
        <v>1545</v>
      </c>
      <c r="H658" s="7" t="s">
        <v>1362</v>
      </c>
      <c r="I658" s="7" t="s">
        <v>1253</v>
      </c>
      <c r="K658" s="7" t="s">
        <v>260</v>
      </c>
      <c r="L658" s="11">
        <v>196.15</v>
      </c>
      <c r="M658" s="11">
        <v>36606.01</v>
      </c>
      <c r="N658" s="9">
        <f t="shared" si="17"/>
        <v>196.15</v>
      </c>
    </row>
    <row r="659" spans="1:14" ht="12.75" hidden="1" customHeight="1" x14ac:dyDescent="0.2">
      <c r="A659">
        <v>65061</v>
      </c>
      <c r="B659" s="3" t="s">
        <v>1253</v>
      </c>
      <c r="C659" s="7" t="s">
        <v>369</v>
      </c>
      <c r="D659" s="7" t="s">
        <v>200</v>
      </c>
      <c r="F659" s="7" t="s">
        <v>595</v>
      </c>
      <c r="G659" s="7" t="s">
        <v>1545</v>
      </c>
      <c r="H659" s="7" t="s">
        <v>1362</v>
      </c>
      <c r="I659" s="7" t="s">
        <v>1253</v>
      </c>
      <c r="K659" s="7" t="s">
        <v>260</v>
      </c>
      <c r="L659" s="11">
        <v>441.72</v>
      </c>
      <c r="M659" s="11">
        <v>39948.47</v>
      </c>
      <c r="N659" s="9">
        <f t="shared" si="17"/>
        <v>441.72</v>
      </c>
    </row>
    <row r="660" spans="1:14" ht="12.75" hidden="1" customHeight="1" x14ac:dyDescent="0.2">
      <c r="A660">
        <v>65061</v>
      </c>
      <c r="B660" s="3" t="s">
        <v>1253</v>
      </c>
      <c r="C660" s="7" t="s">
        <v>369</v>
      </c>
      <c r="D660" s="7" t="s">
        <v>200</v>
      </c>
      <c r="F660" s="7" t="s">
        <v>564</v>
      </c>
      <c r="G660" s="7" t="s">
        <v>1545</v>
      </c>
      <c r="H660" s="7" t="s">
        <v>1362</v>
      </c>
      <c r="I660" s="7" t="s">
        <v>1253</v>
      </c>
      <c r="K660" s="7" t="s">
        <v>260</v>
      </c>
      <c r="L660" s="11">
        <v>184.75</v>
      </c>
      <c r="M660" s="11">
        <v>40526.92</v>
      </c>
      <c r="N660" s="9">
        <f t="shared" si="17"/>
        <v>184.75</v>
      </c>
    </row>
    <row r="661" spans="1:14" ht="12.75" hidden="1" customHeight="1" x14ac:dyDescent="0.2">
      <c r="A661">
        <v>65061</v>
      </c>
      <c r="B661" s="3" t="s">
        <v>1253</v>
      </c>
      <c r="C661" s="7" t="s">
        <v>907</v>
      </c>
      <c r="D661" s="7" t="s">
        <v>200</v>
      </c>
      <c r="F661" s="7" t="s">
        <v>241</v>
      </c>
      <c r="G661" s="7" t="s">
        <v>1545</v>
      </c>
      <c r="H661" s="7" t="s">
        <v>1362</v>
      </c>
      <c r="I661" s="7" t="s">
        <v>1253</v>
      </c>
      <c r="K661" s="7" t="s">
        <v>260</v>
      </c>
      <c r="L661" s="11">
        <v>118.07</v>
      </c>
      <c r="M661" s="11">
        <v>40708.720000000001</v>
      </c>
      <c r="N661" s="9">
        <f t="shared" si="17"/>
        <v>118.07</v>
      </c>
    </row>
    <row r="662" spans="1:14" ht="12.75" hidden="1" customHeight="1" x14ac:dyDescent="0.2">
      <c r="A662">
        <v>65061</v>
      </c>
      <c r="B662" s="3" t="s">
        <v>1253</v>
      </c>
      <c r="C662" s="7" t="s">
        <v>361</v>
      </c>
      <c r="D662" s="7" t="s">
        <v>200</v>
      </c>
      <c r="E662" s="7">
        <v>1104</v>
      </c>
      <c r="F662" s="7" t="s">
        <v>902</v>
      </c>
      <c r="G662" s="7" t="s">
        <v>1545</v>
      </c>
      <c r="H662" s="7" t="s">
        <v>1362</v>
      </c>
      <c r="I662" s="7" t="s">
        <v>1253</v>
      </c>
      <c r="K662" s="7" t="s">
        <v>260</v>
      </c>
      <c r="L662" s="11">
        <v>113.03</v>
      </c>
      <c r="M662" s="11">
        <v>44709.5</v>
      </c>
      <c r="N662" s="9">
        <f t="shared" si="17"/>
        <v>113.03</v>
      </c>
    </row>
    <row r="663" spans="1:14" ht="12.75" hidden="1" customHeight="1" x14ac:dyDescent="0.2">
      <c r="A663">
        <v>65061</v>
      </c>
      <c r="B663" s="3" t="s">
        <v>1253</v>
      </c>
      <c r="C663" s="7" t="s">
        <v>359</v>
      </c>
      <c r="D663" s="7" t="s">
        <v>200</v>
      </c>
      <c r="F663" s="7" t="s">
        <v>563</v>
      </c>
      <c r="G663" s="7" t="s">
        <v>1545</v>
      </c>
      <c r="H663" s="7" t="s">
        <v>1362</v>
      </c>
      <c r="I663" s="7" t="s">
        <v>1253</v>
      </c>
      <c r="K663" s="7" t="s">
        <v>260</v>
      </c>
      <c r="L663" s="11">
        <v>303.44</v>
      </c>
      <c r="M663" s="11">
        <v>46537.73</v>
      </c>
      <c r="N663" s="9">
        <f t="shared" si="17"/>
        <v>303.44</v>
      </c>
    </row>
    <row r="664" spans="1:14" ht="12.75" hidden="1" customHeight="1" x14ac:dyDescent="0.2">
      <c r="A664">
        <v>65061</v>
      </c>
      <c r="B664" s="3" t="s">
        <v>1253</v>
      </c>
      <c r="C664" s="7" t="s">
        <v>359</v>
      </c>
      <c r="D664" s="7" t="s">
        <v>200</v>
      </c>
      <c r="F664" s="7" t="s">
        <v>548</v>
      </c>
      <c r="G664" s="7" t="s">
        <v>1545</v>
      </c>
      <c r="H664" s="7" t="s">
        <v>1362</v>
      </c>
      <c r="I664" s="7" t="s">
        <v>1253</v>
      </c>
      <c r="K664" s="7" t="s">
        <v>260</v>
      </c>
      <c r="L664" s="11">
        <v>380.19</v>
      </c>
      <c r="M664" s="11">
        <v>46917.919999999998</v>
      </c>
      <c r="N664" s="9">
        <f t="shared" si="17"/>
        <v>380.19</v>
      </c>
    </row>
    <row r="665" spans="1:14" ht="12.75" hidden="1" customHeight="1" x14ac:dyDescent="0.2">
      <c r="A665">
        <v>65061</v>
      </c>
      <c r="B665" s="3" t="s">
        <v>1253</v>
      </c>
      <c r="C665" s="7" t="s">
        <v>353</v>
      </c>
      <c r="D665" s="7" t="s">
        <v>200</v>
      </c>
      <c r="F665" s="7" t="s">
        <v>602</v>
      </c>
      <c r="G665" s="7" t="s">
        <v>1545</v>
      </c>
      <c r="H665" s="7" t="s">
        <v>1362</v>
      </c>
      <c r="I665" s="7" t="s">
        <v>1253</v>
      </c>
      <c r="K665" s="7" t="s">
        <v>260</v>
      </c>
      <c r="L665" s="11">
        <v>11.76</v>
      </c>
      <c r="M665" s="11">
        <v>53370.22</v>
      </c>
      <c r="N665" s="9">
        <f t="shared" si="17"/>
        <v>11.76</v>
      </c>
    </row>
    <row r="666" spans="1:14" ht="12.75" hidden="1" customHeight="1" x14ac:dyDescent="0.2">
      <c r="A666">
        <v>65061</v>
      </c>
      <c r="B666" s="3" t="s">
        <v>1253</v>
      </c>
      <c r="C666" s="7" t="s">
        <v>348</v>
      </c>
      <c r="D666" s="7" t="s">
        <v>200</v>
      </c>
      <c r="F666" s="7" t="s">
        <v>355</v>
      </c>
      <c r="G666" s="7" t="s">
        <v>1545</v>
      </c>
      <c r="H666" s="7" t="s">
        <v>1362</v>
      </c>
      <c r="I666" s="7" t="s">
        <v>1253</v>
      </c>
      <c r="K666" s="7" t="s">
        <v>260</v>
      </c>
      <c r="L666" s="11">
        <v>23.74</v>
      </c>
      <c r="M666" s="11">
        <v>54699.33</v>
      </c>
      <c r="N666" s="9">
        <f t="shared" ref="N666:N729" si="18">IF(A666&lt;60000,-L666,+L666)</f>
        <v>23.74</v>
      </c>
    </row>
    <row r="667" spans="1:14" ht="12.75" hidden="1" customHeight="1" x14ac:dyDescent="0.2">
      <c r="A667">
        <v>65061</v>
      </c>
      <c r="B667" s="3" t="s">
        <v>1253</v>
      </c>
      <c r="C667" s="7" t="s">
        <v>344</v>
      </c>
      <c r="D667" s="7" t="s">
        <v>200</v>
      </c>
      <c r="F667" s="7" t="s">
        <v>579</v>
      </c>
      <c r="G667" s="7" t="s">
        <v>1545</v>
      </c>
      <c r="H667" s="7" t="s">
        <v>1362</v>
      </c>
      <c r="I667" s="7" t="s">
        <v>1253</v>
      </c>
      <c r="K667" s="7" t="s">
        <v>260</v>
      </c>
      <c r="L667" s="11">
        <v>65.47</v>
      </c>
      <c r="M667" s="11">
        <v>56520.639999999999</v>
      </c>
      <c r="N667" s="9">
        <f t="shared" si="18"/>
        <v>65.47</v>
      </c>
    </row>
    <row r="668" spans="1:14" ht="12.75" hidden="1" customHeight="1" x14ac:dyDescent="0.2">
      <c r="A668">
        <v>65061</v>
      </c>
      <c r="B668" s="3" t="s">
        <v>1253</v>
      </c>
      <c r="C668" s="7" t="s">
        <v>340</v>
      </c>
      <c r="D668" s="7" t="s">
        <v>200</v>
      </c>
      <c r="F668" s="7" t="s">
        <v>223</v>
      </c>
      <c r="G668" s="7" t="s">
        <v>1545</v>
      </c>
      <c r="H668" s="7" t="s">
        <v>1362</v>
      </c>
      <c r="I668" s="7" t="s">
        <v>1253</v>
      </c>
      <c r="K668" s="7" t="s">
        <v>260</v>
      </c>
      <c r="L668" s="11">
        <v>3.23</v>
      </c>
      <c r="M668" s="11">
        <v>57372.2</v>
      </c>
      <c r="N668" s="9">
        <f t="shared" si="18"/>
        <v>3.23</v>
      </c>
    </row>
    <row r="669" spans="1:14" ht="12.75" hidden="1" customHeight="1" x14ac:dyDescent="0.2">
      <c r="A669">
        <v>65061</v>
      </c>
      <c r="B669" s="3" t="s">
        <v>1253</v>
      </c>
      <c r="C669" s="7" t="s">
        <v>340</v>
      </c>
      <c r="D669" s="7" t="s">
        <v>200</v>
      </c>
      <c r="F669" s="7" t="s">
        <v>595</v>
      </c>
      <c r="G669" s="7" t="s">
        <v>1545</v>
      </c>
      <c r="H669" s="7" t="s">
        <v>1362</v>
      </c>
      <c r="I669" s="7" t="s">
        <v>1253</v>
      </c>
      <c r="K669" s="7" t="s">
        <v>260</v>
      </c>
      <c r="L669" s="11">
        <v>75.05</v>
      </c>
      <c r="M669" s="11">
        <v>57698.21</v>
      </c>
      <c r="N669" s="9">
        <f t="shared" si="18"/>
        <v>75.05</v>
      </c>
    </row>
    <row r="670" spans="1:14" ht="12.75" hidden="1" customHeight="1" x14ac:dyDescent="0.2">
      <c r="A670">
        <v>65061</v>
      </c>
      <c r="B670" s="3" t="s">
        <v>1253</v>
      </c>
      <c r="C670" s="7" t="s">
        <v>340</v>
      </c>
      <c r="D670" s="7" t="s">
        <v>200</v>
      </c>
      <c r="F670" s="7" t="s">
        <v>595</v>
      </c>
      <c r="G670" s="7" t="s">
        <v>1545</v>
      </c>
      <c r="H670" s="7" t="s">
        <v>1362</v>
      </c>
      <c r="I670" s="7" t="s">
        <v>1253</v>
      </c>
      <c r="K670" s="7" t="s">
        <v>260</v>
      </c>
      <c r="L670" s="11">
        <v>21.79</v>
      </c>
      <c r="M670" s="11">
        <v>57720</v>
      </c>
      <c r="N670" s="9">
        <f t="shared" si="18"/>
        <v>21.79</v>
      </c>
    </row>
    <row r="671" spans="1:14" ht="12.75" hidden="1" customHeight="1" x14ac:dyDescent="0.2">
      <c r="A671">
        <v>65061</v>
      </c>
      <c r="B671" s="3" t="s">
        <v>1253</v>
      </c>
      <c r="C671" s="7" t="s">
        <v>334</v>
      </c>
      <c r="D671" s="7" t="s">
        <v>200</v>
      </c>
      <c r="F671" s="7" t="s">
        <v>573</v>
      </c>
      <c r="G671" s="7" t="s">
        <v>1545</v>
      </c>
      <c r="H671" s="7" t="s">
        <v>1362</v>
      </c>
      <c r="I671" s="7" t="s">
        <v>1253</v>
      </c>
      <c r="K671" s="7" t="s">
        <v>260</v>
      </c>
      <c r="L671" s="11">
        <v>71.63</v>
      </c>
      <c r="M671" s="11">
        <v>57781.1</v>
      </c>
      <c r="N671" s="9">
        <f t="shared" si="18"/>
        <v>71.63</v>
      </c>
    </row>
    <row r="672" spans="1:14" ht="12.75" hidden="1" customHeight="1" x14ac:dyDescent="0.2">
      <c r="A672">
        <v>65061</v>
      </c>
      <c r="B672" s="3" t="s">
        <v>1253</v>
      </c>
      <c r="C672" s="7" t="s">
        <v>334</v>
      </c>
      <c r="D672" s="7" t="s">
        <v>200</v>
      </c>
      <c r="F672" s="7" t="s">
        <v>548</v>
      </c>
      <c r="G672" s="7" t="s">
        <v>1545</v>
      </c>
      <c r="H672" s="7" t="s">
        <v>1362</v>
      </c>
      <c r="I672" s="7" t="s">
        <v>1253</v>
      </c>
      <c r="K672" s="7" t="s">
        <v>260</v>
      </c>
      <c r="L672" s="11">
        <v>79.86</v>
      </c>
      <c r="M672" s="11">
        <v>61203.05</v>
      </c>
      <c r="N672" s="9">
        <f t="shared" si="18"/>
        <v>79.86</v>
      </c>
    </row>
    <row r="673" spans="1:14" ht="12.75" hidden="1" customHeight="1" x14ac:dyDescent="0.2">
      <c r="A673">
        <v>65061</v>
      </c>
      <c r="B673" s="3" t="s">
        <v>1253</v>
      </c>
      <c r="C673" s="7" t="s">
        <v>330</v>
      </c>
      <c r="D673" s="7" t="s">
        <v>200</v>
      </c>
      <c r="F673" s="7" t="s">
        <v>548</v>
      </c>
      <c r="G673" s="7" t="s">
        <v>1545</v>
      </c>
      <c r="H673" s="7" t="s">
        <v>1362</v>
      </c>
      <c r="I673" s="7" t="s">
        <v>1253</v>
      </c>
      <c r="K673" s="7" t="s">
        <v>260</v>
      </c>
      <c r="L673" s="11">
        <v>51.07</v>
      </c>
      <c r="M673" s="11">
        <v>61360.93</v>
      </c>
      <c r="N673" s="9">
        <f t="shared" si="18"/>
        <v>51.07</v>
      </c>
    </row>
    <row r="674" spans="1:14" ht="12.75" hidden="1" customHeight="1" x14ac:dyDescent="0.2">
      <c r="A674">
        <v>65061</v>
      </c>
      <c r="B674" s="3" t="s">
        <v>1253</v>
      </c>
      <c r="C674" s="7" t="s">
        <v>327</v>
      </c>
      <c r="D674" s="7" t="s">
        <v>200</v>
      </c>
      <c r="F674" s="7" t="s">
        <v>548</v>
      </c>
      <c r="G674" s="7" t="s">
        <v>1545</v>
      </c>
      <c r="H674" s="7" t="s">
        <v>1362</v>
      </c>
      <c r="I674" s="7" t="s">
        <v>1253</v>
      </c>
      <c r="K674" s="7" t="s">
        <v>260</v>
      </c>
      <c r="L674" s="11">
        <v>287.72000000000003</v>
      </c>
      <c r="M674" s="11">
        <v>63192</v>
      </c>
      <c r="N674" s="9">
        <f t="shared" si="18"/>
        <v>287.72000000000003</v>
      </c>
    </row>
    <row r="675" spans="1:14" ht="12.75" hidden="1" customHeight="1" x14ac:dyDescent="0.2">
      <c r="A675">
        <v>65061</v>
      </c>
      <c r="B675" s="3" t="s">
        <v>1253</v>
      </c>
      <c r="C675" s="7" t="s">
        <v>323</v>
      </c>
      <c r="D675" s="7" t="s">
        <v>200</v>
      </c>
      <c r="F675" s="7" t="s">
        <v>722</v>
      </c>
      <c r="G675" s="7" t="s">
        <v>1545</v>
      </c>
      <c r="H675" s="7" t="s">
        <v>1362</v>
      </c>
      <c r="I675" s="7" t="s">
        <v>1253</v>
      </c>
      <c r="K675" s="7" t="s">
        <v>260</v>
      </c>
      <c r="L675" s="11">
        <v>218.49</v>
      </c>
      <c r="M675" s="11">
        <v>66142.899999999994</v>
      </c>
      <c r="N675" s="9">
        <f t="shared" si="18"/>
        <v>218.49</v>
      </c>
    </row>
    <row r="676" spans="1:14" ht="12.75" hidden="1" customHeight="1" x14ac:dyDescent="0.2">
      <c r="A676">
        <v>65061</v>
      </c>
      <c r="B676" s="3" t="s">
        <v>1253</v>
      </c>
      <c r="C676" s="7" t="s">
        <v>319</v>
      </c>
      <c r="D676" s="7" t="s">
        <v>200</v>
      </c>
      <c r="F676" s="7" t="s">
        <v>578</v>
      </c>
      <c r="G676" s="7" t="s">
        <v>1545</v>
      </c>
      <c r="H676" s="7" t="s">
        <v>1362</v>
      </c>
      <c r="I676" s="7" t="s">
        <v>1253</v>
      </c>
      <c r="K676" s="7" t="s">
        <v>260</v>
      </c>
      <c r="L676" s="11">
        <v>32.159999999999997</v>
      </c>
      <c r="M676" s="11">
        <v>66980.81</v>
      </c>
      <c r="N676" s="9">
        <f t="shared" si="18"/>
        <v>32.159999999999997</v>
      </c>
    </row>
    <row r="677" spans="1:14" ht="12.75" hidden="1" customHeight="1" x14ac:dyDescent="0.2">
      <c r="A677">
        <v>65061</v>
      </c>
      <c r="B677" s="3" t="s">
        <v>1253</v>
      </c>
      <c r="C677" s="7" t="s">
        <v>319</v>
      </c>
      <c r="D677" s="7" t="s">
        <v>200</v>
      </c>
      <c r="E677" s="7">
        <v>1105</v>
      </c>
      <c r="F677" s="7" t="s">
        <v>863</v>
      </c>
      <c r="G677" s="7" t="s">
        <v>1545</v>
      </c>
      <c r="H677" s="7" t="s">
        <v>1362</v>
      </c>
      <c r="I677" s="7" t="s">
        <v>1253</v>
      </c>
      <c r="K677" s="7" t="s">
        <v>260</v>
      </c>
      <c r="L677" s="11">
        <v>56.47</v>
      </c>
      <c r="M677" s="11">
        <v>67584.509999999995</v>
      </c>
      <c r="N677" s="9">
        <f t="shared" si="18"/>
        <v>56.47</v>
      </c>
    </row>
    <row r="678" spans="1:14" ht="12.75" hidden="1" customHeight="1" x14ac:dyDescent="0.2">
      <c r="A678">
        <v>65061</v>
      </c>
      <c r="B678" s="3" t="s">
        <v>1253</v>
      </c>
      <c r="C678" s="7" t="s">
        <v>319</v>
      </c>
      <c r="D678" s="7" t="s">
        <v>200</v>
      </c>
      <c r="F678" s="7" t="s">
        <v>671</v>
      </c>
      <c r="G678" s="7" t="s">
        <v>1545</v>
      </c>
      <c r="H678" s="7" t="s">
        <v>1362</v>
      </c>
      <c r="I678" s="7" t="s">
        <v>1253</v>
      </c>
      <c r="K678" s="7" t="s">
        <v>260</v>
      </c>
      <c r="L678" s="11">
        <v>6.42</v>
      </c>
      <c r="M678" s="11">
        <v>67650.89</v>
      </c>
      <c r="N678" s="9">
        <f t="shared" si="18"/>
        <v>6.42</v>
      </c>
    </row>
    <row r="679" spans="1:14" ht="12.75" hidden="1" customHeight="1" x14ac:dyDescent="0.2">
      <c r="A679">
        <v>65061</v>
      </c>
      <c r="B679" s="3" t="s">
        <v>1253</v>
      </c>
      <c r="C679" s="7" t="s">
        <v>319</v>
      </c>
      <c r="D679" s="7" t="s">
        <v>200</v>
      </c>
      <c r="F679" s="7" t="s">
        <v>671</v>
      </c>
      <c r="G679" s="7" t="s">
        <v>1545</v>
      </c>
      <c r="H679" s="7" t="s">
        <v>1362</v>
      </c>
      <c r="I679" s="7" t="s">
        <v>1253</v>
      </c>
      <c r="K679" s="7" t="s">
        <v>260</v>
      </c>
      <c r="L679" s="11">
        <v>38.020000000000003</v>
      </c>
      <c r="M679" s="11">
        <v>67688.91</v>
      </c>
      <c r="N679" s="9">
        <f t="shared" si="18"/>
        <v>38.020000000000003</v>
      </c>
    </row>
    <row r="680" spans="1:14" ht="12.75" hidden="1" customHeight="1" x14ac:dyDescent="0.2">
      <c r="A680">
        <v>65061</v>
      </c>
      <c r="B680" s="3" t="s">
        <v>1253</v>
      </c>
      <c r="C680" s="7" t="s">
        <v>319</v>
      </c>
      <c r="D680" s="7" t="s">
        <v>200</v>
      </c>
      <c r="F680" s="7" t="s">
        <v>738</v>
      </c>
      <c r="G680" s="7" t="s">
        <v>1545</v>
      </c>
      <c r="H680" s="7" t="s">
        <v>1362</v>
      </c>
      <c r="I680" s="7" t="s">
        <v>1253</v>
      </c>
      <c r="K680" s="7" t="s">
        <v>260</v>
      </c>
      <c r="L680" s="11">
        <v>85.78</v>
      </c>
      <c r="M680" s="11">
        <v>67810.91</v>
      </c>
      <c r="N680" s="9">
        <f t="shared" si="18"/>
        <v>85.78</v>
      </c>
    </row>
    <row r="681" spans="1:14" ht="12.75" hidden="1" customHeight="1" x14ac:dyDescent="0.2">
      <c r="A681">
        <v>65061</v>
      </c>
      <c r="B681" s="3" t="s">
        <v>1253</v>
      </c>
      <c r="C681" s="7" t="s">
        <v>319</v>
      </c>
      <c r="D681" s="7" t="s">
        <v>200</v>
      </c>
      <c r="F681" s="7" t="s">
        <v>352</v>
      </c>
      <c r="G681" s="7" t="s">
        <v>1545</v>
      </c>
      <c r="H681" s="7" t="s">
        <v>1362</v>
      </c>
      <c r="I681" s="7" t="s">
        <v>1253</v>
      </c>
      <c r="K681" s="7" t="s">
        <v>260</v>
      </c>
      <c r="L681" s="11">
        <v>12.18</v>
      </c>
      <c r="M681" s="11">
        <v>67843.710000000006</v>
      </c>
      <c r="N681" s="9">
        <f t="shared" si="18"/>
        <v>12.18</v>
      </c>
    </row>
    <row r="682" spans="1:14" ht="12.75" hidden="1" customHeight="1" x14ac:dyDescent="0.2">
      <c r="A682">
        <v>65061</v>
      </c>
      <c r="B682" s="3" t="s">
        <v>1253</v>
      </c>
      <c r="C682" s="7" t="s">
        <v>315</v>
      </c>
      <c r="D682" s="7" t="s">
        <v>200</v>
      </c>
      <c r="F682" s="7" t="s">
        <v>578</v>
      </c>
      <c r="G682" s="7" t="s">
        <v>1545</v>
      </c>
      <c r="H682" s="7" t="s">
        <v>1362</v>
      </c>
      <c r="I682" s="7" t="s">
        <v>1253</v>
      </c>
      <c r="K682" s="7" t="s">
        <v>260</v>
      </c>
      <c r="L682" s="11">
        <v>26.93</v>
      </c>
      <c r="M682" s="11">
        <v>67921.37</v>
      </c>
      <c r="N682" s="9">
        <f t="shared" si="18"/>
        <v>26.93</v>
      </c>
    </row>
    <row r="683" spans="1:14" ht="12.75" hidden="1" customHeight="1" x14ac:dyDescent="0.2">
      <c r="A683">
        <v>65061</v>
      </c>
      <c r="B683" s="3" t="s">
        <v>1253</v>
      </c>
      <c r="C683" s="7" t="s">
        <v>511</v>
      </c>
      <c r="D683" s="7" t="s">
        <v>200</v>
      </c>
      <c r="F683" s="7" t="s">
        <v>778</v>
      </c>
      <c r="G683" s="7" t="s">
        <v>1545</v>
      </c>
      <c r="H683" s="7" t="s">
        <v>1362</v>
      </c>
      <c r="I683" s="7" t="s">
        <v>1253</v>
      </c>
      <c r="K683" s="7" t="s">
        <v>260</v>
      </c>
      <c r="L683" s="11">
        <v>34.75</v>
      </c>
      <c r="M683" s="11">
        <v>68601.48</v>
      </c>
      <c r="N683" s="9">
        <f t="shared" si="18"/>
        <v>34.75</v>
      </c>
    </row>
    <row r="684" spans="1:14" ht="12.75" hidden="1" customHeight="1" x14ac:dyDescent="0.2">
      <c r="A684">
        <v>65061</v>
      </c>
      <c r="B684" s="3" t="s">
        <v>1253</v>
      </c>
      <c r="C684" s="7" t="s">
        <v>511</v>
      </c>
      <c r="D684" s="7" t="s">
        <v>200</v>
      </c>
      <c r="F684" s="7" t="s">
        <v>241</v>
      </c>
      <c r="G684" s="7" t="s">
        <v>1545</v>
      </c>
      <c r="H684" s="7" t="s">
        <v>1362</v>
      </c>
      <c r="I684" s="7" t="s">
        <v>1253</v>
      </c>
      <c r="K684" s="7" t="s">
        <v>260</v>
      </c>
      <c r="L684" s="11">
        <v>35.96</v>
      </c>
      <c r="M684" s="11">
        <v>68987.37</v>
      </c>
      <c r="N684" s="9">
        <f t="shared" si="18"/>
        <v>35.96</v>
      </c>
    </row>
    <row r="685" spans="1:14" ht="12.75" hidden="1" customHeight="1" x14ac:dyDescent="0.2">
      <c r="A685">
        <v>65061</v>
      </c>
      <c r="B685" s="3" t="s">
        <v>1253</v>
      </c>
      <c r="C685" s="7" t="s">
        <v>511</v>
      </c>
      <c r="D685" s="7" t="s">
        <v>200</v>
      </c>
      <c r="F685" s="7" t="s">
        <v>722</v>
      </c>
      <c r="G685" s="7" t="s">
        <v>1545</v>
      </c>
      <c r="H685" s="7" t="s">
        <v>1362</v>
      </c>
      <c r="I685" s="7" t="s">
        <v>1253</v>
      </c>
      <c r="K685" s="7" t="s">
        <v>260</v>
      </c>
      <c r="L685" s="11">
        <v>188.97</v>
      </c>
      <c r="M685" s="11">
        <v>69176.34</v>
      </c>
      <c r="N685" s="9">
        <f t="shared" si="18"/>
        <v>188.97</v>
      </c>
    </row>
    <row r="686" spans="1:14" ht="12.75" hidden="1" customHeight="1" x14ac:dyDescent="0.2">
      <c r="A686">
        <v>65061</v>
      </c>
      <c r="B686" s="3" t="s">
        <v>1253</v>
      </c>
      <c r="C686" s="7" t="s">
        <v>511</v>
      </c>
      <c r="D686" s="7" t="s">
        <v>200</v>
      </c>
      <c r="F686" s="7" t="s">
        <v>355</v>
      </c>
      <c r="G686" s="7" t="s">
        <v>1545</v>
      </c>
      <c r="H686" s="7" t="s">
        <v>1362</v>
      </c>
      <c r="I686" s="7" t="s">
        <v>1253</v>
      </c>
      <c r="K686" s="7" t="s">
        <v>260</v>
      </c>
      <c r="L686" s="11">
        <v>27.73</v>
      </c>
      <c r="M686" s="11">
        <v>69204.070000000007</v>
      </c>
      <c r="N686" s="9">
        <f t="shared" si="18"/>
        <v>27.73</v>
      </c>
    </row>
    <row r="687" spans="1:14" ht="12.75" hidden="1" customHeight="1" x14ac:dyDescent="0.2">
      <c r="A687">
        <v>65061</v>
      </c>
      <c r="B687" s="3" t="s">
        <v>1253</v>
      </c>
      <c r="C687" s="7" t="s">
        <v>858</v>
      </c>
      <c r="D687" s="7" t="s">
        <v>200</v>
      </c>
      <c r="F687" s="7" t="s">
        <v>595</v>
      </c>
      <c r="G687" s="7" t="s">
        <v>1545</v>
      </c>
      <c r="H687" s="7" t="s">
        <v>1362</v>
      </c>
      <c r="I687" s="7" t="s">
        <v>1253</v>
      </c>
      <c r="K687" s="7" t="s">
        <v>260</v>
      </c>
      <c r="L687" s="11">
        <v>50.13</v>
      </c>
      <c r="M687" s="11">
        <v>69254.2</v>
      </c>
      <c r="N687" s="9">
        <f t="shared" si="18"/>
        <v>50.13</v>
      </c>
    </row>
    <row r="688" spans="1:14" ht="12.75" hidden="1" customHeight="1" x14ac:dyDescent="0.2">
      <c r="A688">
        <v>65061</v>
      </c>
      <c r="B688" s="3" t="s">
        <v>1253</v>
      </c>
      <c r="C688" s="7" t="s">
        <v>858</v>
      </c>
      <c r="D688" s="7" t="s">
        <v>200</v>
      </c>
      <c r="F688" s="7" t="s">
        <v>241</v>
      </c>
      <c r="G688" s="7" t="s">
        <v>1545</v>
      </c>
      <c r="H688" s="7" t="s">
        <v>1362</v>
      </c>
      <c r="I688" s="7" t="s">
        <v>1253</v>
      </c>
      <c r="K688" s="7" t="s">
        <v>260</v>
      </c>
      <c r="L688" s="11">
        <v>32.159999999999997</v>
      </c>
      <c r="M688" s="11">
        <v>69286.36</v>
      </c>
      <c r="N688" s="9">
        <f t="shared" si="18"/>
        <v>32.159999999999997</v>
      </c>
    </row>
    <row r="689" spans="1:14" ht="12.75" hidden="1" customHeight="1" x14ac:dyDescent="0.2">
      <c r="A689">
        <v>65061</v>
      </c>
      <c r="B689" s="3" t="s">
        <v>1253</v>
      </c>
      <c r="C689" s="7" t="s">
        <v>858</v>
      </c>
      <c r="D689" s="7" t="s">
        <v>200</v>
      </c>
      <c r="F689" s="7" t="s">
        <v>352</v>
      </c>
      <c r="G689" s="7" t="s">
        <v>1545</v>
      </c>
      <c r="H689" s="7" t="s">
        <v>1362</v>
      </c>
      <c r="I689" s="7" t="s">
        <v>1253</v>
      </c>
      <c r="K689" s="7" t="s">
        <v>260</v>
      </c>
      <c r="L689" s="11">
        <v>31.04</v>
      </c>
      <c r="M689" s="11">
        <v>69317.399999999994</v>
      </c>
      <c r="N689" s="9">
        <f t="shared" si="18"/>
        <v>31.04</v>
      </c>
    </row>
    <row r="690" spans="1:14" ht="12.75" hidden="1" customHeight="1" x14ac:dyDescent="0.2">
      <c r="A690">
        <v>65061</v>
      </c>
      <c r="B690" s="3" t="s">
        <v>1253</v>
      </c>
      <c r="C690" s="7" t="s">
        <v>855</v>
      </c>
      <c r="D690" s="7" t="s">
        <v>200</v>
      </c>
      <c r="F690" s="7" t="s">
        <v>589</v>
      </c>
      <c r="G690" s="7" t="s">
        <v>1545</v>
      </c>
      <c r="H690" s="7" t="s">
        <v>1362</v>
      </c>
      <c r="I690" s="7" t="s">
        <v>1253</v>
      </c>
      <c r="K690" s="7" t="s">
        <v>260</v>
      </c>
      <c r="L690" s="11">
        <v>18.91</v>
      </c>
      <c r="M690" s="11">
        <v>69336.31</v>
      </c>
      <c r="N690" s="9">
        <f t="shared" si="18"/>
        <v>18.91</v>
      </c>
    </row>
    <row r="691" spans="1:14" ht="12.75" hidden="1" customHeight="1" x14ac:dyDescent="0.2">
      <c r="A691">
        <v>65061</v>
      </c>
      <c r="B691" s="3" t="s">
        <v>1253</v>
      </c>
      <c r="C691" s="7" t="s">
        <v>855</v>
      </c>
      <c r="D691" s="7" t="s">
        <v>200</v>
      </c>
      <c r="F691" s="7" t="s">
        <v>595</v>
      </c>
      <c r="G691" s="7" t="s">
        <v>1545</v>
      </c>
      <c r="H691" s="7" t="s">
        <v>1362</v>
      </c>
      <c r="I691" s="7" t="s">
        <v>1253</v>
      </c>
      <c r="K691" s="7" t="s">
        <v>260</v>
      </c>
      <c r="L691" s="11">
        <v>53.61</v>
      </c>
      <c r="M691" s="11">
        <v>69644</v>
      </c>
      <c r="N691" s="9">
        <f t="shared" si="18"/>
        <v>53.61</v>
      </c>
    </row>
    <row r="692" spans="1:14" ht="12.75" hidden="1" customHeight="1" x14ac:dyDescent="0.2">
      <c r="A692">
        <v>65061</v>
      </c>
      <c r="B692" s="3" t="s">
        <v>1253</v>
      </c>
      <c r="C692" s="7" t="s">
        <v>855</v>
      </c>
      <c r="D692" s="7" t="s">
        <v>242</v>
      </c>
      <c r="F692" s="7" t="s">
        <v>352</v>
      </c>
      <c r="G692" s="7" t="s">
        <v>1545</v>
      </c>
      <c r="H692" s="7" t="s">
        <v>1362</v>
      </c>
      <c r="I692" s="7" t="s">
        <v>1253</v>
      </c>
      <c r="K692" s="7" t="s">
        <v>260</v>
      </c>
      <c r="L692" s="11">
        <v>-6.73</v>
      </c>
      <c r="M692" s="11">
        <v>69637.27</v>
      </c>
      <c r="N692" s="9">
        <f t="shared" si="18"/>
        <v>-6.73</v>
      </c>
    </row>
    <row r="693" spans="1:14" ht="12.75" hidden="1" customHeight="1" x14ac:dyDescent="0.2">
      <c r="A693">
        <v>65061</v>
      </c>
      <c r="B693" s="3" t="s">
        <v>1253</v>
      </c>
      <c r="C693" s="7" t="s">
        <v>312</v>
      </c>
      <c r="D693" s="7" t="s">
        <v>200</v>
      </c>
      <c r="F693" s="7" t="s">
        <v>779</v>
      </c>
      <c r="G693" s="7" t="s">
        <v>1545</v>
      </c>
      <c r="H693" s="7" t="s">
        <v>1362</v>
      </c>
      <c r="I693" s="7" t="s">
        <v>1253</v>
      </c>
      <c r="K693" s="7" t="s">
        <v>260</v>
      </c>
      <c r="L693" s="11">
        <v>327.49</v>
      </c>
      <c r="M693" s="11">
        <v>70945.399999999994</v>
      </c>
      <c r="N693" s="9">
        <f t="shared" si="18"/>
        <v>327.49</v>
      </c>
    </row>
    <row r="694" spans="1:14" ht="12.75" hidden="1" customHeight="1" x14ac:dyDescent="0.2">
      <c r="A694">
        <v>65061</v>
      </c>
      <c r="B694" s="3" t="s">
        <v>1253</v>
      </c>
      <c r="C694" s="7" t="s">
        <v>312</v>
      </c>
      <c r="D694" s="7" t="s">
        <v>200</v>
      </c>
      <c r="F694" s="7" t="s">
        <v>589</v>
      </c>
      <c r="G694" s="7" t="s">
        <v>1545</v>
      </c>
      <c r="H694" s="7" t="s">
        <v>1362</v>
      </c>
      <c r="I694" s="7" t="s">
        <v>1253</v>
      </c>
      <c r="K694" s="7" t="s">
        <v>260</v>
      </c>
      <c r="L694" s="11">
        <v>51.75</v>
      </c>
      <c r="M694" s="11">
        <v>71357.13</v>
      </c>
      <c r="N694" s="9">
        <f t="shared" si="18"/>
        <v>51.75</v>
      </c>
    </row>
    <row r="695" spans="1:14" ht="12.75" hidden="1" customHeight="1" x14ac:dyDescent="0.2">
      <c r="A695">
        <v>65061</v>
      </c>
      <c r="B695" s="3" t="s">
        <v>1253</v>
      </c>
      <c r="C695" s="7" t="s">
        <v>312</v>
      </c>
      <c r="D695" s="7" t="s">
        <v>242</v>
      </c>
      <c r="F695" s="7" t="s">
        <v>595</v>
      </c>
      <c r="G695" s="7" t="s">
        <v>1545</v>
      </c>
      <c r="H695" s="7" t="s">
        <v>1362</v>
      </c>
      <c r="I695" s="7" t="s">
        <v>1253</v>
      </c>
      <c r="K695" s="7" t="s">
        <v>260</v>
      </c>
      <c r="L695" s="11">
        <v>-26.93</v>
      </c>
      <c r="M695" s="11">
        <v>71330.2</v>
      </c>
      <c r="N695" s="9">
        <f t="shared" si="18"/>
        <v>-26.93</v>
      </c>
    </row>
    <row r="696" spans="1:14" ht="12.75" hidden="1" customHeight="1" x14ac:dyDescent="0.2">
      <c r="A696">
        <v>65061</v>
      </c>
      <c r="B696" s="3" t="s">
        <v>1253</v>
      </c>
      <c r="C696" s="7" t="s">
        <v>312</v>
      </c>
      <c r="D696" s="7" t="s">
        <v>242</v>
      </c>
      <c r="F696" s="7" t="s">
        <v>570</v>
      </c>
      <c r="G696" s="7" t="s">
        <v>1545</v>
      </c>
      <c r="H696" s="7" t="s">
        <v>1362</v>
      </c>
      <c r="I696" s="7" t="s">
        <v>1253</v>
      </c>
      <c r="K696" s="7" t="s">
        <v>260</v>
      </c>
      <c r="L696" s="11">
        <v>-21.69</v>
      </c>
      <c r="M696" s="11">
        <v>71308.509999999995</v>
      </c>
      <c r="N696" s="9">
        <f t="shared" si="18"/>
        <v>-21.69</v>
      </c>
    </row>
    <row r="697" spans="1:14" ht="12.75" hidden="1" customHeight="1" x14ac:dyDescent="0.2">
      <c r="A697">
        <v>65061</v>
      </c>
      <c r="B697" s="3" t="s">
        <v>1253</v>
      </c>
      <c r="C697" s="7" t="s">
        <v>312</v>
      </c>
      <c r="D697" s="7" t="s">
        <v>200</v>
      </c>
      <c r="F697" s="7" t="s">
        <v>570</v>
      </c>
      <c r="G697" s="7" t="s">
        <v>1545</v>
      </c>
      <c r="H697" s="7" t="s">
        <v>1362</v>
      </c>
      <c r="I697" s="7" t="s">
        <v>1253</v>
      </c>
      <c r="K697" s="7" t="s">
        <v>260</v>
      </c>
      <c r="L697" s="11">
        <v>42.4</v>
      </c>
      <c r="M697" s="11">
        <v>71350.91</v>
      </c>
      <c r="N697" s="9">
        <f t="shared" si="18"/>
        <v>42.4</v>
      </c>
    </row>
    <row r="698" spans="1:14" ht="12.75" hidden="1" customHeight="1" x14ac:dyDescent="0.2">
      <c r="A698">
        <v>65061</v>
      </c>
      <c r="B698" s="3" t="s">
        <v>1253</v>
      </c>
      <c r="C698" s="7" t="s">
        <v>312</v>
      </c>
      <c r="D698" s="7" t="s">
        <v>200</v>
      </c>
      <c r="F698" s="7" t="s">
        <v>352</v>
      </c>
      <c r="G698" s="7" t="s">
        <v>1545</v>
      </c>
      <c r="H698" s="7" t="s">
        <v>1362</v>
      </c>
      <c r="I698" s="7" t="s">
        <v>1253</v>
      </c>
      <c r="K698" s="7" t="s">
        <v>260</v>
      </c>
      <c r="L698" s="11">
        <v>11.55</v>
      </c>
      <c r="M698" s="11">
        <v>71362.460000000006</v>
      </c>
      <c r="N698" s="9">
        <f t="shared" si="18"/>
        <v>11.55</v>
      </c>
    </row>
    <row r="699" spans="1:14" ht="12.75" hidden="1" customHeight="1" x14ac:dyDescent="0.2">
      <c r="A699">
        <v>65061</v>
      </c>
      <c r="B699" s="3" t="s">
        <v>1253</v>
      </c>
      <c r="C699" s="7" t="s">
        <v>312</v>
      </c>
      <c r="D699" s="7" t="s">
        <v>200</v>
      </c>
      <c r="F699" s="7" t="s">
        <v>769</v>
      </c>
      <c r="G699" s="7" t="s">
        <v>1545</v>
      </c>
      <c r="H699" s="7" t="s">
        <v>1362</v>
      </c>
      <c r="I699" s="7" t="s">
        <v>1253</v>
      </c>
      <c r="K699" s="7" t="s">
        <v>260</v>
      </c>
      <c r="L699" s="11">
        <v>20.74</v>
      </c>
      <c r="M699" s="11">
        <v>71413.42</v>
      </c>
      <c r="N699" s="9">
        <f t="shared" si="18"/>
        <v>20.74</v>
      </c>
    </row>
    <row r="700" spans="1:14" ht="12.75" hidden="1" customHeight="1" x14ac:dyDescent="0.2">
      <c r="A700">
        <v>65061</v>
      </c>
      <c r="B700" s="3" t="s">
        <v>1253</v>
      </c>
      <c r="C700" s="7" t="s">
        <v>312</v>
      </c>
      <c r="D700" s="7" t="s">
        <v>200</v>
      </c>
      <c r="F700" s="7" t="s">
        <v>853</v>
      </c>
      <c r="G700" s="7" t="s">
        <v>1545</v>
      </c>
      <c r="H700" s="7" t="s">
        <v>1362</v>
      </c>
      <c r="I700" s="7" t="s">
        <v>1253</v>
      </c>
      <c r="K700" s="7" t="s">
        <v>260</v>
      </c>
      <c r="L700" s="11">
        <v>142.22</v>
      </c>
      <c r="M700" s="11">
        <v>72084.77</v>
      </c>
      <c r="N700" s="9">
        <f t="shared" si="18"/>
        <v>142.22</v>
      </c>
    </row>
    <row r="701" spans="1:14" ht="12.75" hidden="1" customHeight="1" x14ac:dyDescent="0.2">
      <c r="A701">
        <v>65061</v>
      </c>
      <c r="B701" s="3" t="s">
        <v>1253</v>
      </c>
      <c r="C701" s="7" t="s">
        <v>850</v>
      </c>
      <c r="D701" s="7" t="s">
        <v>242</v>
      </c>
      <c r="F701" s="7" t="s">
        <v>241</v>
      </c>
      <c r="G701" s="7" t="s">
        <v>1545</v>
      </c>
      <c r="H701" s="7" t="s">
        <v>1362</v>
      </c>
      <c r="I701" s="7" t="s">
        <v>1253</v>
      </c>
      <c r="K701" s="7" t="s">
        <v>260</v>
      </c>
      <c r="L701" s="11">
        <v>-87.39</v>
      </c>
      <c r="M701" s="11">
        <v>73007.210000000006</v>
      </c>
      <c r="N701" s="9">
        <f t="shared" si="18"/>
        <v>-87.39</v>
      </c>
    </row>
    <row r="702" spans="1:14" ht="12.75" hidden="1" customHeight="1" x14ac:dyDescent="0.2">
      <c r="A702">
        <v>65061</v>
      </c>
      <c r="B702" s="3" t="s">
        <v>1253</v>
      </c>
      <c r="C702" s="7" t="s">
        <v>849</v>
      </c>
      <c r="D702" s="7" t="s">
        <v>242</v>
      </c>
      <c r="F702" s="7" t="s">
        <v>589</v>
      </c>
      <c r="G702" s="7" t="s">
        <v>1545</v>
      </c>
      <c r="H702" s="7" t="s">
        <v>1362</v>
      </c>
      <c r="I702" s="7" t="s">
        <v>1253</v>
      </c>
      <c r="K702" s="7" t="s">
        <v>260</v>
      </c>
      <c r="L702" s="11">
        <v>-91.99</v>
      </c>
      <c r="M702" s="11">
        <v>72871.100000000006</v>
      </c>
      <c r="N702" s="9">
        <f t="shared" si="18"/>
        <v>-91.99</v>
      </c>
    </row>
    <row r="703" spans="1:14" ht="12.75" hidden="1" customHeight="1" x14ac:dyDescent="0.2">
      <c r="A703">
        <v>65061</v>
      </c>
      <c r="B703" s="3" t="s">
        <v>1253</v>
      </c>
      <c r="C703" s="7" t="s">
        <v>845</v>
      </c>
      <c r="D703" s="7" t="s">
        <v>200</v>
      </c>
      <c r="E703" s="7">
        <v>1095</v>
      </c>
      <c r="F703" s="7" t="s">
        <v>848</v>
      </c>
      <c r="G703" s="7" t="s">
        <v>1545</v>
      </c>
      <c r="H703" s="7" t="s">
        <v>1362</v>
      </c>
      <c r="I703" s="7" t="s">
        <v>1253</v>
      </c>
      <c r="K703" s="7" t="s">
        <v>260</v>
      </c>
      <c r="L703" s="11">
        <v>323.92</v>
      </c>
      <c r="M703" s="11">
        <v>73195.02</v>
      </c>
      <c r="N703" s="9">
        <f t="shared" si="18"/>
        <v>323.92</v>
      </c>
    </row>
    <row r="704" spans="1:14" ht="12.75" hidden="1" customHeight="1" x14ac:dyDescent="0.2">
      <c r="A704">
        <v>65061</v>
      </c>
      <c r="B704" s="3" t="s">
        <v>1253</v>
      </c>
      <c r="C704" s="7" t="s">
        <v>845</v>
      </c>
      <c r="D704" s="7" t="s">
        <v>200</v>
      </c>
      <c r="E704" s="7">
        <v>1099</v>
      </c>
      <c r="F704" s="7" t="s">
        <v>848</v>
      </c>
      <c r="G704" s="7" t="s">
        <v>1545</v>
      </c>
      <c r="H704" s="7" t="s">
        <v>1362</v>
      </c>
      <c r="I704" s="7" t="s">
        <v>1253</v>
      </c>
      <c r="K704" s="7" t="s">
        <v>260</v>
      </c>
      <c r="L704" s="11">
        <v>141.72999999999999</v>
      </c>
      <c r="M704" s="11">
        <v>73336.75</v>
      </c>
      <c r="N704" s="9">
        <f t="shared" si="18"/>
        <v>141.72999999999999</v>
      </c>
    </row>
    <row r="705" spans="1:14" ht="12.75" hidden="1" customHeight="1" x14ac:dyDescent="0.2">
      <c r="A705">
        <v>65061</v>
      </c>
      <c r="B705" s="3" t="s">
        <v>1253</v>
      </c>
      <c r="C705" s="7" t="s">
        <v>845</v>
      </c>
      <c r="D705" s="7" t="s">
        <v>200</v>
      </c>
      <c r="E705" s="7">
        <v>1107</v>
      </c>
      <c r="F705" s="7" t="s">
        <v>848</v>
      </c>
      <c r="G705" s="7" t="s">
        <v>1545</v>
      </c>
      <c r="H705" s="7" t="s">
        <v>1362</v>
      </c>
      <c r="I705" s="7" t="s">
        <v>1253</v>
      </c>
      <c r="K705" s="7" t="s">
        <v>260</v>
      </c>
      <c r="L705" s="11">
        <v>165.38</v>
      </c>
      <c r="M705" s="11">
        <v>73502.13</v>
      </c>
      <c r="N705" s="9">
        <f t="shared" si="18"/>
        <v>165.38</v>
      </c>
    </row>
    <row r="706" spans="1:14" ht="12.75" hidden="1" customHeight="1" x14ac:dyDescent="0.2">
      <c r="A706">
        <v>65061</v>
      </c>
      <c r="B706" s="3" t="s">
        <v>1253</v>
      </c>
      <c r="C706" s="7" t="s">
        <v>812</v>
      </c>
      <c r="D706" s="7" t="s">
        <v>200</v>
      </c>
      <c r="F706" s="7" t="s">
        <v>548</v>
      </c>
      <c r="G706" s="7" t="s">
        <v>1545</v>
      </c>
      <c r="H706" s="7" t="s">
        <v>1362</v>
      </c>
      <c r="I706" s="7" t="s">
        <v>1253</v>
      </c>
      <c r="K706" s="7" t="s">
        <v>260</v>
      </c>
      <c r="L706" s="11">
        <v>29.13</v>
      </c>
      <c r="M706" s="11">
        <v>86590.02</v>
      </c>
      <c r="N706" s="9">
        <f t="shared" si="18"/>
        <v>29.13</v>
      </c>
    </row>
    <row r="707" spans="1:14" ht="12.75" hidden="1" customHeight="1" x14ac:dyDescent="0.2">
      <c r="A707">
        <v>65061</v>
      </c>
      <c r="B707" s="3" t="s">
        <v>1253</v>
      </c>
      <c r="C707" s="7" t="s">
        <v>290</v>
      </c>
      <c r="D707" s="7" t="s">
        <v>200</v>
      </c>
      <c r="F707" s="7" t="s">
        <v>234</v>
      </c>
      <c r="G707" s="7" t="s">
        <v>1545</v>
      </c>
      <c r="H707" s="7" t="s">
        <v>1362</v>
      </c>
      <c r="I707" s="7" t="s">
        <v>1253</v>
      </c>
      <c r="K707" s="7" t="s">
        <v>260</v>
      </c>
      <c r="L707" s="11">
        <v>15.07</v>
      </c>
      <c r="M707" s="11">
        <v>88502.01</v>
      </c>
      <c r="N707" s="9">
        <f t="shared" si="18"/>
        <v>15.07</v>
      </c>
    </row>
    <row r="708" spans="1:14" ht="12.75" hidden="1" customHeight="1" x14ac:dyDescent="0.2">
      <c r="A708">
        <v>65061</v>
      </c>
      <c r="B708" s="3" t="s">
        <v>1253</v>
      </c>
      <c r="C708" s="7" t="s">
        <v>290</v>
      </c>
      <c r="D708" s="7" t="s">
        <v>200</v>
      </c>
      <c r="F708" s="7" t="s">
        <v>338</v>
      </c>
      <c r="G708" s="7" t="s">
        <v>1545</v>
      </c>
      <c r="H708" s="7" t="s">
        <v>1362</v>
      </c>
      <c r="I708" s="7" t="s">
        <v>1253</v>
      </c>
      <c r="K708" s="7" t="s">
        <v>260</v>
      </c>
      <c r="L708" s="11">
        <v>5.8</v>
      </c>
      <c r="M708" s="11">
        <v>88641.1</v>
      </c>
      <c r="N708" s="9">
        <f t="shared" si="18"/>
        <v>5.8</v>
      </c>
    </row>
    <row r="709" spans="1:14" ht="12.75" hidden="1" customHeight="1" x14ac:dyDescent="0.2">
      <c r="A709">
        <v>65061</v>
      </c>
      <c r="B709" s="3" t="s">
        <v>1253</v>
      </c>
      <c r="C709" s="7" t="s">
        <v>287</v>
      </c>
      <c r="D709" s="7" t="s">
        <v>200</v>
      </c>
      <c r="F709" s="7" t="s">
        <v>806</v>
      </c>
      <c r="G709" s="7" t="s">
        <v>1545</v>
      </c>
      <c r="H709" s="7" t="s">
        <v>1362</v>
      </c>
      <c r="I709" s="7" t="s">
        <v>1253</v>
      </c>
      <c r="K709" s="7" t="s">
        <v>260</v>
      </c>
      <c r="L709" s="11">
        <v>105.94</v>
      </c>
      <c r="M709" s="11">
        <v>90300.15</v>
      </c>
      <c r="N709" s="9">
        <f t="shared" si="18"/>
        <v>105.94</v>
      </c>
    </row>
    <row r="710" spans="1:14" ht="12.75" hidden="1" customHeight="1" x14ac:dyDescent="0.2">
      <c r="A710">
        <v>65061</v>
      </c>
      <c r="B710" s="3" t="s">
        <v>1253</v>
      </c>
      <c r="C710" s="7" t="s">
        <v>802</v>
      </c>
      <c r="D710" s="7" t="s">
        <v>200</v>
      </c>
      <c r="F710" s="7" t="s">
        <v>573</v>
      </c>
      <c r="G710" s="7" t="s">
        <v>1545</v>
      </c>
      <c r="H710" s="7" t="s">
        <v>1362</v>
      </c>
      <c r="I710" s="7" t="s">
        <v>1253</v>
      </c>
      <c r="K710" s="7" t="s">
        <v>260</v>
      </c>
      <c r="L710" s="11">
        <v>108.34</v>
      </c>
      <c r="M710" s="11">
        <v>90951.27</v>
      </c>
      <c r="N710" s="9">
        <f t="shared" si="18"/>
        <v>108.34</v>
      </c>
    </row>
    <row r="711" spans="1:14" ht="12.75" hidden="1" customHeight="1" x14ac:dyDescent="0.2">
      <c r="A711">
        <v>65061</v>
      </c>
      <c r="B711" s="3" t="s">
        <v>1253</v>
      </c>
      <c r="C711" s="7" t="s">
        <v>802</v>
      </c>
      <c r="D711" s="7" t="s">
        <v>200</v>
      </c>
      <c r="F711" s="7" t="s">
        <v>563</v>
      </c>
      <c r="G711" s="7" t="s">
        <v>1545</v>
      </c>
      <c r="H711" s="7" t="s">
        <v>1362</v>
      </c>
      <c r="I711" s="7" t="s">
        <v>1253</v>
      </c>
      <c r="K711" s="7" t="s">
        <v>260</v>
      </c>
      <c r="L711" s="11">
        <v>62.04</v>
      </c>
      <c r="M711" s="11">
        <v>91013.31</v>
      </c>
      <c r="N711" s="9">
        <f t="shared" si="18"/>
        <v>62.04</v>
      </c>
    </row>
    <row r="712" spans="1:14" ht="12.75" hidden="1" customHeight="1" x14ac:dyDescent="0.2">
      <c r="A712">
        <v>65061</v>
      </c>
      <c r="B712" s="3" t="s">
        <v>1253</v>
      </c>
      <c r="C712" s="7" t="s">
        <v>503</v>
      </c>
      <c r="D712" s="7" t="s">
        <v>200</v>
      </c>
      <c r="F712" s="7" t="s">
        <v>594</v>
      </c>
      <c r="G712" s="7" t="s">
        <v>1545</v>
      </c>
      <c r="H712" s="7" t="s">
        <v>1362</v>
      </c>
      <c r="I712" s="7" t="s">
        <v>1253</v>
      </c>
      <c r="K712" s="7" t="s">
        <v>260</v>
      </c>
      <c r="L712" s="11">
        <v>225.24</v>
      </c>
      <c r="M712" s="11">
        <v>91877.6</v>
      </c>
      <c r="N712" s="9">
        <f t="shared" si="18"/>
        <v>225.24</v>
      </c>
    </row>
    <row r="713" spans="1:14" ht="12.75" hidden="1" customHeight="1" x14ac:dyDescent="0.2">
      <c r="A713">
        <v>65061</v>
      </c>
      <c r="B713" s="3" t="s">
        <v>1253</v>
      </c>
      <c r="C713" s="7" t="s">
        <v>503</v>
      </c>
      <c r="D713" s="7" t="s">
        <v>200</v>
      </c>
      <c r="F713" s="7" t="s">
        <v>722</v>
      </c>
      <c r="G713" s="7" t="s">
        <v>1545</v>
      </c>
      <c r="H713" s="7" t="s">
        <v>1362</v>
      </c>
      <c r="I713" s="7" t="s">
        <v>1253</v>
      </c>
      <c r="K713" s="7" t="s">
        <v>260</v>
      </c>
      <c r="L713" s="11">
        <v>193.97</v>
      </c>
      <c r="M713" s="11">
        <v>92071.57</v>
      </c>
      <c r="N713" s="9">
        <f t="shared" si="18"/>
        <v>193.97</v>
      </c>
    </row>
    <row r="714" spans="1:14" ht="12.75" hidden="1" customHeight="1" x14ac:dyDescent="0.2">
      <c r="A714">
        <v>65061</v>
      </c>
      <c r="B714" s="3" t="s">
        <v>1253</v>
      </c>
      <c r="C714" s="7" t="s">
        <v>503</v>
      </c>
      <c r="D714" s="7" t="s">
        <v>200</v>
      </c>
      <c r="F714" s="7" t="s">
        <v>562</v>
      </c>
      <c r="G714" s="7" t="s">
        <v>1545</v>
      </c>
      <c r="H714" s="7" t="s">
        <v>1362</v>
      </c>
      <c r="I714" s="7" t="s">
        <v>1253</v>
      </c>
      <c r="K714" s="7" t="s">
        <v>260</v>
      </c>
      <c r="L714" s="11">
        <v>80</v>
      </c>
      <c r="M714" s="11">
        <v>92151.57</v>
      </c>
      <c r="N714" s="9">
        <f t="shared" si="18"/>
        <v>80</v>
      </c>
    </row>
    <row r="715" spans="1:14" ht="12.75" hidden="1" customHeight="1" x14ac:dyDescent="0.2">
      <c r="A715">
        <v>65061</v>
      </c>
      <c r="B715" s="3" t="s">
        <v>1253</v>
      </c>
      <c r="C715" s="7" t="s">
        <v>282</v>
      </c>
      <c r="D715" s="7" t="s">
        <v>200</v>
      </c>
      <c r="F715" s="7" t="s">
        <v>548</v>
      </c>
      <c r="G715" s="7" t="s">
        <v>1545</v>
      </c>
      <c r="H715" s="7" t="s">
        <v>1362</v>
      </c>
      <c r="I715" s="7" t="s">
        <v>1253</v>
      </c>
      <c r="K715" s="7" t="s">
        <v>260</v>
      </c>
      <c r="L715" s="11">
        <v>106.99</v>
      </c>
      <c r="M715" s="11">
        <v>92497.23</v>
      </c>
      <c r="N715" s="9">
        <f t="shared" si="18"/>
        <v>106.99</v>
      </c>
    </row>
    <row r="716" spans="1:14" ht="12.75" hidden="1" customHeight="1" x14ac:dyDescent="0.2">
      <c r="A716">
        <v>65061</v>
      </c>
      <c r="B716" s="3" t="s">
        <v>1253</v>
      </c>
      <c r="C716" s="7" t="s">
        <v>282</v>
      </c>
      <c r="D716" s="7" t="s">
        <v>200</v>
      </c>
      <c r="F716" s="7" t="s">
        <v>265</v>
      </c>
      <c r="G716" s="7" t="s">
        <v>1545</v>
      </c>
      <c r="H716" s="7" t="s">
        <v>1362</v>
      </c>
      <c r="I716" s="7" t="s">
        <v>1253</v>
      </c>
      <c r="K716" s="7" t="s">
        <v>260</v>
      </c>
      <c r="L716" s="11">
        <v>91.59</v>
      </c>
      <c r="M716" s="11">
        <v>92588.82</v>
      </c>
      <c r="N716" s="9">
        <f t="shared" si="18"/>
        <v>91.59</v>
      </c>
    </row>
    <row r="717" spans="1:14" ht="12.75" hidden="1" customHeight="1" x14ac:dyDescent="0.2">
      <c r="A717">
        <v>65061</v>
      </c>
      <c r="B717" s="3" t="s">
        <v>1253</v>
      </c>
      <c r="C717" s="7" t="s">
        <v>196</v>
      </c>
      <c r="D717" s="7" t="s">
        <v>200</v>
      </c>
      <c r="F717" s="7" t="s">
        <v>265</v>
      </c>
      <c r="G717" s="7" t="s">
        <v>1545</v>
      </c>
      <c r="H717" s="7" t="s">
        <v>1362</v>
      </c>
      <c r="I717" s="7" t="s">
        <v>1253</v>
      </c>
      <c r="K717" s="7" t="s">
        <v>260</v>
      </c>
      <c r="L717" s="11">
        <v>60</v>
      </c>
      <c r="M717" s="11">
        <v>97018.33</v>
      </c>
      <c r="N717" s="9">
        <f t="shared" si="18"/>
        <v>60</v>
      </c>
    </row>
    <row r="718" spans="1:14" ht="12.75" hidden="1" customHeight="1" x14ac:dyDescent="0.2">
      <c r="A718">
        <v>65061</v>
      </c>
      <c r="B718" s="3" t="s">
        <v>1253</v>
      </c>
      <c r="C718" s="7" t="s">
        <v>196</v>
      </c>
      <c r="D718" s="7" t="s">
        <v>200</v>
      </c>
      <c r="F718" s="7" t="s">
        <v>795</v>
      </c>
      <c r="G718" s="7" t="s">
        <v>1545</v>
      </c>
      <c r="H718" s="7" t="s">
        <v>1362</v>
      </c>
      <c r="I718" s="7" t="s">
        <v>1253</v>
      </c>
      <c r="K718" s="7" t="s">
        <v>260</v>
      </c>
      <c r="L718" s="11">
        <v>55.45</v>
      </c>
      <c r="M718" s="11">
        <v>97443.17</v>
      </c>
      <c r="N718" s="9">
        <f t="shared" si="18"/>
        <v>55.45</v>
      </c>
    </row>
    <row r="719" spans="1:14" ht="12.75" hidden="1" customHeight="1" x14ac:dyDescent="0.2">
      <c r="A719">
        <v>65061</v>
      </c>
      <c r="B719" s="3" t="s">
        <v>1253</v>
      </c>
      <c r="C719" s="7" t="s">
        <v>201</v>
      </c>
      <c r="D719" s="7" t="s">
        <v>200</v>
      </c>
      <c r="F719" s="7" t="s">
        <v>573</v>
      </c>
      <c r="G719" s="7" t="s">
        <v>1545</v>
      </c>
      <c r="H719" s="7" t="s">
        <v>1362</v>
      </c>
      <c r="I719" s="7" t="s">
        <v>1253</v>
      </c>
      <c r="K719" s="7" t="s">
        <v>260</v>
      </c>
      <c r="L719" s="11">
        <v>84.73</v>
      </c>
      <c r="M719" s="11">
        <v>100228.23</v>
      </c>
      <c r="N719" s="9">
        <f t="shared" si="18"/>
        <v>84.73</v>
      </c>
    </row>
    <row r="720" spans="1:14" ht="12.75" hidden="1" customHeight="1" x14ac:dyDescent="0.2">
      <c r="A720">
        <v>65061</v>
      </c>
      <c r="B720" s="3" t="s">
        <v>1253</v>
      </c>
      <c r="C720" s="7" t="s">
        <v>201</v>
      </c>
      <c r="D720" s="7" t="s">
        <v>242</v>
      </c>
      <c r="F720" s="7" t="s">
        <v>595</v>
      </c>
      <c r="G720" s="7" t="s">
        <v>1545</v>
      </c>
      <c r="H720" s="7" t="s">
        <v>1362</v>
      </c>
      <c r="I720" s="7" t="s">
        <v>1253</v>
      </c>
      <c r="K720" s="7" t="s">
        <v>260</v>
      </c>
      <c r="L720" s="11">
        <v>-141.99</v>
      </c>
      <c r="M720" s="11">
        <v>100086.24</v>
      </c>
      <c r="N720" s="9">
        <f t="shared" si="18"/>
        <v>-141.99</v>
      </c>
    </row>
    <row r="721" spans="1:14" ht="12.75" hidden="1" customHeight="1" x14ac:dyDescent="0.2">
      <c r="A721">
        <v>65061</v>
      </c>
      <c r="B721" s="3" t="s">
        <v>1253</v>
      </c>
      <c r="C721" s="7" t="s">
        <v>201</v>
      </c>
      <c r="D721" s="7" t="s">
        <v>200</v>
      </c>
      <c r="F721" s="7" t="s">
        <v>648</v>
      </c>
      <c r="G721" s="7" t="s">
        <v>1545</v>
      </c>
      <c r="H721" s="7" t="s">
        <v>1362</v>
      </c>
      <c r="I721" s="7" t="s">
        <v>1253</v>
      </c>
      <c r="K721" s="7" t="s">
        <v>260</v>
      </c>
      <c r="L721" s="11">
        <v>202.06</v>
      </c>
      <c r="M721" s="11">
        <v>100559.33</v>
      </c>
      <c r="N721" s="9">
        <f t="shared" si="18"/>
        <v>202.06</v>
      </c>
    </row>
    <row r="722" spans="1:14" ht="12.75" hidden="1" customHeight="1" x14ac:dyDescent="0.2">
      <c r="A722">
        <v>65061</v>
      </c>
      <c r="B722" s="3" t="s">
        <v>1253</v>
      </c>
      <c r="C722" s="7" t="s">
        <v>270</v>
      </c>
      <c r="D722" s="7" t="s">
        <v>200</v>
      </c>
      <c r="F722" s="7" t="s">
        <v>241</v>
      </c>
      <c r="G722" s="7" t="s">
        <v>1545</v>
      </c>
      <c r="H722" s="7" t="s">
        <v>1362</v>
      </c>
      <c r="I722" s="7" t="s">
        <v>1253</v>
      </c>
      <c r="K722" s="7" t="s">
        <v>260</v>
      </c>
      <c r="L722" s="11">
        <v>30.32</v>
      </c>
      <c r="M722" s="11">
        <v>101655.8</v>
      </c>
      <c r="N722" s="9">
        <f t="shared" si="18"/>
        <v>30.32</v>
      </c>
    </row>
    <row r="723" spans="1:14" ht="12.75" hidden="1" customHeight="1" x14ac:dyDescent="0.2">
      <c r="A723">
        <v>65061</v>
      </c>
      <c r="B723" s="3" t="s">
        <v>1253</v>
      </c>
      <c r="C723" s="7" t="s">
        <v>270</v>
      </c>
      <c r="D723" s="7" t="s">
        <v>200</v>
      </c>
      <c r="F723" s="7" t="s">
        <v>771</v>
      </c>
      <c r="G723" s="7" t="s">
        <v>1545</v>
      </c>
      <c r="H723" s="7" t="s">
        <v>1362</v>
      </c>
      <c r="I723" s="7" t="s">
        <v>1253</v>
      </c>
      <c r="K723" s="7" t="s">
        <v>260</v>
      </c>
      <c r="L723" s="11">
        <v>101.96</v>
      </c>
      <c r="M723" s="11">
        <v>101943.75</v>
      </c>
      <c r="N723" s="9">
        <f t="shared" si="18"/>
        <v>101.96</v>
      </c>
    </row>
    <row r="724" spans="1:14" ht="12.75" hidden="1" customHeight="1" x14ac:dyDescent="0.2">
      <c r="A724">
        <v>65061</v>
      </c>
      <c r="B724" s="3" t="s">
        <v>1253</v>
      </c>
      <c r="C724" s="7" t="s">
        <v>267</v>
      </c>
      <c r="D724" s="7" t="s">
        <v>200</v>
      </c>
      <c r="F724" s="7" t="s">
        <v>771</v>
      </c>
      <c r="G724" s="7" t="s">
        <v>1545</v>
      </c>
      <c r="H724" s="7" t="s">
        <v>1362</v>
      </c>
      <c r="I724" s="7" t="s">
        <v>1253</v>
      </c>
      <c r="K724" s="7" t="s">
        <v>260</v>
      </c>
      <c r="L724" s="11">
        <v>90.29</v>
      </c>
      <c r="M724" s="11">
        <v>103048.57</v>
      </c>
      <c r="N724" s="9">
        <f t="shared" si="18"/>
        <v>90.29</v>
      </c>
    </row>
    <row r="725" spans="1:14" ht="12.75" hidden="1" customHeight="1" x14ac:dyDescent="0.2">
      <c r="A725">
        <v>65061</v>
      </c>
      <c r="B725" s="3" t="s">
        <v>1253</v>
      </c>
      <c r="C725" s="7" t="s">
        <v>267</v>
      </c>
      <c r="D725" s="7" t="s">
        <v>200</v>
      </c>
      <c r="F725" s="7" t="s">
        <v>241</v>
      </c>
      <c r="G725" s="7" t="s">
        <v>1545</v>
      </c>
      <c r="H725" s="7" t="s">
        <v>1362</v>
      </c>
      <c r="I725" s="7" t="s">
        <v>1253</v>
      </c>
      <c r="K725" s="7" t="s">
        <v>260</v>
      </c>
      <c r="L725" s="11">
        <v>16.34</v>
      </c>
      <c r="M725" s="11">
        <v>103064.91</v>
      </c>
      <c r="N725" s="9">
        <f t="shared" si="18"/>
        <v>16.34</v>
      </c>
    </row>
    <row r="726" spans="1:14" ht="12.75" hidden="1" customHeight="1" x14ac:dyDescent="0.2">
      <c r="A726">
        <v>65061</v>
      </c>
      <c r="B726" s="3" t="s">
        <v>1253</v>
      </c>
      <c r="C726" s="7" t="s">
        <v>267</v>
      </c>
      <c r="D726" s="7" t="s">
        <v>200</v>
      </c>
      <c r="F726" s="7" t="s">
        <v>722</v>
      </c>
      <c r="G726" s="7" t="s">
        <v>1545</v>
      </c>
      <c r="H726" s="7" t="s">
        <v>1362</v>
      </c>
      <c r="I726" s="7" t="s">
        <v>1253</v>
      </c>
      <c r="K726" s="7" t="s">
        <v>260</v>
      </c>
      <c r="L726" s="11">
        <v>263.66000000000003</v>
      </c>
      <c r="M726" s="11">
        <v>103328.57</v>
      </c>
      <c r="N726" s="9">
        <f t="shared" si="18"/>
        <v>263.66000000000003</v>
      </c>
    </row>
    <row r="727" spans="1:14" ht="12.75" hidden="1" customHeight="1" x14ac:dyDescent="0.2">
      <c r="A727">
        <v>65061</v>
      </c>
      <c r="B727" s="3" t="s">
        <v>1253</v>
      </c>
      <c r="C727" s="7" t="s">
        <v>266</v>
      </c>
      <c r="D727" s="7" t="s">
        <v>200</v>
      </c>
      <c r="F727" s="7" t="s">
        <v>782</v>
      </c>
      <c r="G727" s="7" t="s">
        <v>1545</v>
      </c>
      <c r="H727" s="7" t="s">
        <v>1362</v>
      </c>
      <c r="I727" s="7" t="s">
        <v>1253</v>
      </c>
      <c r="K727" s="7" t="s">
        <v>260</v>
      </c>
      <c r="L727" s="11">
        <v>79.989999999999995</v>
      </c>
      <c r="M727" s="11">
        <v>103408.56</v>
      </c>
      <c r="N727" s="9">
        <f t="shared" si="18"/>
        <v>79.989999999999995</v>
      </c>
    </row>
    <row r="728" spans="1:14" ht="12.75" hidden="1" customHeight="1" x14ac:dyDescent="0.2">
      <c r="A728">
        <v>65061</v>
      </c>
      <c r="B728" s="3" t="s">
        <v>1253</v>
      </c>
      <c r="C728" s="7" t="s">
        <v>266</v>
      </c>
      <c r="D728" s="7" t="s">
        <v>200</v>
      </c>
      <c r="F728" s="7" t="s">
        <v>595</v>
      </c>
      <c r="G728" s="7" t="s">
        <v>1545</v>
      </c>
      <c r="H728" s="7" t="s">
        <v>1362</v>
      </c>
      <c r="I728" s="7" t="s">
        <v>1253</v>
      </c>
      <c r="K728" s="7" t="s">
        <v>260</v>
      </c>
      <c r="L728" s="11">
        <v>5.45</v>
      </c>
      <c r="M728" s="11">
        <v>103414.01</v>
      </c>
      <c r="N728" s="9">
        <f t="shared" si="18"/>
        <v>5.45</v>
      </c>
    </row>
    <row r="729" spans="1:14" ht="12.75" hidden="1" customHeight="1" x14ac:dyDescent="0.2">
      <c r="A729">
        <v>65061</v>
      </c>
      <c r="B729" s="3" t="s">
        <v>1253</v>
      </c>
      <c r="C729" s="7" t="s">
        <v>266</v>
      </c>
      <c r="D729" s="7" t="s">
        <v>200</v>
      </c>
      <c r="F729" s="7" t="s">
        <v>570</v>
      </c>
      <c r="G729" s="7" t="s">
        <v>1545</v>
      </c>
      <c r="H729" s="7" t="s">
        <v>1362</v>
      </c>
      <c r="I729" s="7" t="s">
        <v>1253</v>
      </c>
      <c r="K729" s="7" t="s">
        <v>260</v>
      </c>
      <c r="L729" s="11">
        <v>312.69</v>
      </c>
      <c r="M729" s="11">
        <v>103726.7</v>
      </c>
      <c r="N729" s="9">
        <f t="shared" si="18"/>
        <v>312.69</v>
      </c>
    </row>
    <row r="730" spans="1:14" ht="12.75" hidden="1" customHeight="1" x14ac:dyDescent="0.2">
      <c r="A730">
        <v>65061</v>
      </c>
      <c r="B730" s="3" t="s">
        <v>1253</v>
      </c>
      <c r="C730" s="7" t="s">
        <v>266</v>
      </c>
      <c r="D730" s="7" t="s">
        <v>200</v>
      </c>
      <c r="F730" s="7" t="s">
        <v>573</v>
      </c>
      <c r="G730" s="7" t="s">
        <v>1545</v>
      </c>
      <c r="H730" s="7" t="s">
        <v>1362</v>
      </c>
      <c r="I730" s="7" t="s">
        <v>1253</v>
      </c>
      <c r="K730" s="7" t="s">
        <v>260</v>
      </c>
      <c r="L730" s="11">
        <v>354.04</v>
      </c>
      <c r="M730" s="11">
        <v>103984.18</v>
      </c>
      <c r="N730" s="9">
        <f t="shared" ref="N730:N793" si="19">IF(A730&lt;60000,-L730,+L730)</f>
        <v>354.04</v>
      </c>
    </row>
    <row r="731" spans="1:14" ht="12.75" hidden="1" customHeight="1" x14ac:dyDescent="0.2">
      <c r="A731">
        <v>65061</v>
      </c>
      <c r="B731" s="3" t="s">
        <v>1253</v>
      </c>
      <c r="C731" s="7" t="s">
        <v>266</v>
      </c>
      <c r="D731" s="7" t="s">
        <v>200</v>
      </c>
      <c r="F731" s="7" t="s">
        <v>648</v>
      </c>
      <c r="G731" s="7" t="s">
        <v>1545</v>
      </c>
      <c r="H731" s="7" t="s">
        <v>1362</v>
      </c>
      <c r="I731" s="7" t="s">
        <v>1253</v>
      </c>
      <c r="K731" s="7" t="s">
        <v>260</v>
      </c>
      <c r="L731" s="11">
        <v>46.85</v>
      </c>
      <c r="M731" s="11">
        <v>104031.03</v>
      </c>
      <c r="N731" s="9">
        <f t="shared" si="19"/>
        <v>46.85</v>
      </c>
    </row>
    <row r="732" spans="1:14" ht="12.75" hidden="1" customHeight="1" x14ac:dyDescent="0.2">
      <c r="A732">
        <v>65061</v>
      </c>
      <c r="B732" s="3" t="s">
        <v>1253</v>
      </c>
      <c r="C732" s="7" t="s">
        <v>263</v>
      </c>
      <c r="D732" s="7" t="s">
        <v>200</v>
      </c>
      <c r="F732" s="7" t="s">
        <v>241</v>
      </c>
      <c r="G732" s="7" t="s">
        <v>1545</v>
      </c>
      <c r="H732" s="7" t="s">
        <v>1362</v>
      </c>
      <c r="I732" s="7" t="s">
        <v>1253</v>
      </c>
      <c r="K732" s="7" t="s">
        <v>260</v>
      </c>
      <c r="L732" s="11">
        <v>51.13</v>
      </c>
      <c r="M732" s="11">
        <v>104982.43</v>
      </c>
      <c r="N732" s="9">
        <f t="shared" si="19"/>
        <v>51.13</v>
      </c>
    </row>
    <row r="733" spans="1:14" ht="12.75" hidden="1" customHeight="1" x14ac:dyDescent="0.2">
      <c r="A733">
        <v>65061</v>
      </c>
      <c r="B733" s="3" t="s">
        <v>1253</v>
      </c>
      <c r="C733" s="7" t="s">
        <v>263</v>
      </c>
      <c r="D733" s="7" t="s">
        <v>200</v>
      </c>
      <c r="F733" s="7" t="s">
        <v>780</v>
      </c>
      <c r="G733" s="7" t="s">
        <v>1545</v>
      </c>
      <c r="H733" s="7" t="s">
        <v>1362</v>
      </c>
      <c r="I733" s="7" t="s">
        <v>1253</v>
      </c>
      <c r="K733" s="7" t="s">
        <v>260</v>
      </c>
      <c r="L733" s="11">
        <v>193.94</v>
      </c>
      <c r="M733" s="11">
        <v>105176.37</v>
      </c>
      <c r="N733" s="9">
        <f t="shared" si="19"/>
        <v>193.94</v>
      </c>
    </row>
    <row r="734" spans="1:14" ht="12.75" hidden="1" customHeight="1" x14ac:dyDescent="0.2">
      <c r="A734">
        <v>65061</v>
      </c>
      <c r="B734" s="3" t="s">
        <v>1253</v>
      </c>
      <c r="C734" s="7" t="s">
        <v>263</v>
      </c>
      <c r="D734" s="7" t="s">
        <v>200</v>
      </c>
      <c r="F734" s="7" t="s">
        <v>779</v>
      </c>
      <c r="G734" s="7" t="s">
        <v>1545</v>
      </c>
      <c r="H734" s="7" t="s">
        <v>1362</v>
      </c>
      <c r="I734" s="7" t="s">
        <v>1253</v>
      </c>
      <c r="K734" s="7" t="s">
        <v>260</v>
      </c>
      <c r="L734" s="11">
        <v>35.549999999999997</v>
      </c>
      <c r="M734" s="11">
        <v>105211.92</v>
      </c>
      <c r="N734" s="9">
        <f t="shared" si="19"/>
        <v>35.549999999999997</v>
      </c>
    </row>
    <row r="735" spans="1:14" ht="12.75" hidden="1" customHeight="1" x14ac:dyDescent="0.2">
      <c r="A735">
        <v>65061</v>
      </c>
      <c r="B735" s="3" t="s">
        <v>1253</v>
      </c>
      <c r="C735" s="7" t="s">
        <v>263</v>
      </c>
      <c r="D735" s="7" t="s">
        <v>200</v>
      </c>
      <c r="F735" s="7" t="s">
        <v>594</v>
      </c>
      <c r="G735" s="7" t="s">
        <v>1545</v>
      </c>
      <c r="H735" s="7" t="s">
        <v>1362</v>
      </c>
      <c r="I735" s="7" t="s">
        <v>1253</v>
      </c>
      <c r="K735" s="7" t="s">
        <v>260</v>
      </c>
      <c r="L735" s="11">
        <v>116.85</v>
      </c>
      <c r="M735" s="11">
        <v>105359.72</v>
      </c>
      <c r="N735" s="9">
        <f t="shared" si="19"/>
        <v>116.85</v>
      </c>
    </row>
    <row r="736" spans="1:14" ht="12.75" hidden="1" customHeight="1" x14ac:dyDescent="0.2">
      <c r="A736">
        <v>65061</v>
      </c>
      <c r="B736" s="3" t="s">
        <v>1253</v>
      </c>
      <c r="C736" s="7" t="s">
        <v>263</v>
      </c>
      <c r="D736" s="7" t="s">
        <v>200</v>
      </c>
      <c r="F736" s="7" t="s">
        <v>589</v>
      </c>
      <c r="G736" s="7" t="s">
        <v>1545</v>
      </c>
      <c r="H736" s="7" t="s">
        <v>1362</v>
      </c>
      <c r="I736" s="7" t="s">
        <v>1253</v>
      </c>
      <c r="K736" s="7" t="s">
        <v>260</v>
      </c>
      <c r="L736" s="11">
        <v>34.6</v>
      </c>
      <c r="M736" s="11">
        <v>105394.32</v>
      </c>
      <c r="N736" s="9">
        <f t="shared" si="19"/>
        <v>34.6</v>
      </c>
    </row>
    <row r="737" spans="1:14" ht="12.75" hidden="1" customHeight="1" x14ac:dyDescent="0.2">
      <c r="A737">
        <v>65061</v>
      </c>
      <c r="B737" s="3" t="s">
        <v>1253</v>
      </c>
      <c r="C737" s="7" t="s">
        <v>257</v>
      </c>
      <c r="D737" s="7" t="s">
        <v>200</v>
      </c>
      <c r="F737" s="7" t="s">
        <v>352</v>
      </c>
      <c r="G737" s="7" t="s">
        <v>1545</v>
      </c>
      <c r="H737" s="7" t="s">
        <v>1362</v>
      </c>
      <c r="I737" s="7" t="s">
        <v>1253</v>
      </c>
      <c r="K737" s="7" t="s">
        <v>260</v>
      </c>
      <c r="L737" s="11">
        <v>13.93</v>
      </c>
      <c r="M737" s="11">
        <v>106266.95</v>
      </c>
      <c r="N737" s="9">
        <f t="shared" si="19"/>
        <v>13.93</v>
      </c>
    </row>
    <row r="738" spans="1:14" ht="12.75" hidden="1" customHeight="1" x14ac:dyDescent="0.2">
      <c r="A738">
        <v>65061</v>
      </c>
      <c r="B738" s="3" t="s">
        <v>1253</v>
      </c>
      <c r="C738" s="7" t="s">
        <v>257</v>
      </c>
      <c r="D738" s="7" t="s">
        <v>200</v>
      </c>
      <c r="F738" s="7" t="s">
        <v>778</v>
      </c>
      <c r="G738" s="7" t="s">
        <v>1545</v>
      </c>
      <c r="H738" s="7" t="s">
        <v>1362</v>
      </c>
      <c r="I738" s="7" t="s">
        <v>1253</v>
      </c>
      <c r="K738" s="7" t="s">
        <v>260</v>
      </c>
      <c r="L738" s="11">
        <v>57.53</v>
      </c>
      <c r="M738" s="11">
        <v>106324.48</v>
      </c>
      <c r="N738" s="9">
        <f t="shared" si="19"/>
        <v>57.53</v>
      </c>
    </row>
    <row r="739" spans="1:14" ht="12.75" hidden="1" customHeight="1" x14ac:dyDescent="0.2">
      <c r="A739">
        <v>65061</v>
      </c>
      <c r="B739" s="3" t="s">
        <v>1253</v>
      </c>
      <c r="C739" s="7" t="s">
        <v>253</v>
      </c>
      <c r="D739" s="7" t="s">
        <v>200</v>
      </c>
      <c r="F739" s="7" t="s">
        <v>739</v>
      </c>
      <c r="G739" s="7" t="s">
        <v>1545</v>
      </c>
      <c r="H739" s="7" t="s">
        <v>1362</v>
      </c>
      <c r="I739" s="7" t="s">
        <v>1253</v>
      </c>
      <c r="K739" s="7" t="s">
        <v>260</v>
      </c>
      <c r="L739" s="11">
        <v>48.99</v>
      </c>
      <c r="M739" s="11">
        <v>109423.07</v>
      </c>
      <c r="N739" s="9">
        <f t="shared" si="19"/>
        <v>48.99</v>
      </c>
    </row>
    <row r="740" spans="1:14" ht="12.75" hidden="1" customHeight="1" x14ac:dyDescent="0.2">
      <c r="A740">
        <v>65061</v>
      </c>
      <c r="B740" s="3" t="s">
        <v>1253</v>
      </c>
      <c r="C740" s="7" t="s">
        <v>417</v>
      </c>
      <c r="D740" s="7" t="s">
        <v>200</v>
      </c>
      <c r="F740" s="7" t="s">
        <v>629</v>
      </c>
      <c r="G740" s="7" t="s">
        <v>1545</v>
      </c>
      <c r="H740" s="7" t="s">
        <v>1362</v>
      </c>
      <c r="I740" s="7" t="s">
        <v>1253</v>
      </c>
      <c r="K740" s="7" t="s">
        <v>260</v>
      </c>
      <c r="L740" s="11">
        <v>5.35</v>
      </c>
      <c r="M740" s="11">
        <v>109554.11</v>
      </c>
      <c r="N740" s="9">
        <f t="shared" si="19"/>
        <v>5.35</v>
      </c>
    </row>
    <row r="741" spans="1:14" ht="12.75" hidden="1" customHeight="1" x14ac:dyDescent="0.2">
      <c r="A741">
        <v>65061</v>
      </c>
      <c r="B741" s="3" t="s">
        <v>1253</v>
      </c>
      <c r="C741" s="7" t="s">
        <v>194</v>
      </c>
      <c r="D741" s="7" t="s">
        <v>221</v>
      </c>
      <c r="F741" s="7" t="s">
        <v>548</v>
      </c>
      <c r="G741" s="7" t="s">
        <v>1545</v>
      </c>
      <c r="H741" s="7" t="s">
        <v>1362</v>
      </c>
      <c r="I741" s="7" t="s">
        <v>1253</v>
      </c>
      <c r="K741" s="7" t="s">
        <v>260</v>
      </c>
      <c r="L741" s="11">
        <v>191.98</v>
      </c>
      <c r="M741" s="11">
        <v>114529.14</v>
      </c>
      <c r="N741" s="9">
        <f t="shared" si="19"/>
        <v>191.98</v>
      </c>
    </row>
    <row r="742" spans="1:14" ht="12.75" hidden="1" customHeight="1" x14ac:dyDescent="0.2">
      <c r="A742">
        <v>65061</v>
      </c>
      <c r="B742" s="3" t="s">
        <v>1253</v>
      </c>
      <c r="C742" s="7" t="s">
        <v>194</v>
      </c>
      <c r="D742" s="7" t="s">
        <v>221</v>
      </c>
      <c r="F742" s="7" t="s">
        <v>706</v>
      </c>
      <c r="G742" s="7" t="s">
        <v>1545</v>
      </c>
      <c r="H742" s="7" t="s">
        <v>1362</v>
      </c>
      <c r="I742" s="7" t="s">
        <v>1253</v>
      </c>
      <c r="K742" s="7" t="s">
        <v>260</v>
      </c>
      <c r="L742" s="11">
        <v>21.52</v>
      </c>
      <c r="M742" s="11">
        <v>114600.84</v>
      </c>
      <c r="N742" s="9">
        <f t="shared" si="19"/>
        <v>21.52</v>
      </c>
    </row>
    <row r="743" spans="1:14" ht="12.75" hidden="1" customHeight="1" x14ac:dyDescent="0.2">
      <c r="A743">
        <v>65061</v>
      </c>
      <c r="B743" s="3" t="s">
        <v>1253</v>
      </c>
      <c r="C743" s="7" t="s">
        <v>249</v>
      </c>
      <c r="D743" s="7" t="s">
        <v>221</v>
      </c>
      <c r="F743" s="7" t="s">
        <v>771</v>
      </c>
      <c r="G743" s="7" t="s">
        <v>1545</v>
      </c>
      <c r="H743" s="7" t="s">
        <v>1362</v>
      </c>
      <c r="I743" s="7" t="s">
        <v>1253</v>
      </c>
      <c r="K743" s="7" t="s">
        <v>260</v>
      </c>
      <c r="L743" s="11">
        <v>90.32</v>
      </c>
      <c r="M743" s="11">
        <v>114645.74</v>
      </c>
      <c r="N743" s="9">
        <f t="shared" si="19"/>
        <v>90.32</v>
      </c>
    </row>
    <row r="744" spans="1:14" ht="12.75" hidden="1" customHeight="1" x14ac:dyDescent="0.2">
      <c r="A744">
        <v>65061</v>
      </c>
      <c r="B744" s="3" t="s">
        <v>1253</v>
      </c>
      <c r="C744" s="7" t="s">
        <v>249</v>
      </c>
      <c r="D744" s="7" t="s">
        <v>221</v>
      </c>
      <c r="F744" s="7" t="s">
        <v>573</v>
      </c>
      <c r="G744" s="7" t="s">
        <v>1545</v>
      </c>
      <c r="H744" s="7" t="s">
        <v>1362</v>
      </c>
      <c r="I744" s="7" t="s">
        <v>1253</v>
      </c>
      <c r="K744" s="7" t="s">
        <v>260</v>
      </c>
      <c r="L744" s="11">
        <v>468.95</v>
      </c>
      <c r="M744" s="11">
        <v>115394.64</v>
      </c>
      <c r="N744" s="9">
        <f t="shared" si="19"/>
        <v>468.95</v>
      </c>
    </row>
    <row r="745" spans="1:14" ht="12.75" hidden="1" customHeight="1" x14ac:dyDescent="0.2">
      <c r="A745">
        <v>65061</v>
      </c>
      <c r="B745" s="3" t="s">
        <v>1253</v>
      </c>
      <c r="C745" s="7" t="s">
        <v>249</v>
      </c>
      <c r="D745" s="7" t="s">
        <v>221</v>
      </c>
      <c r="F745" s="7" t="s">
        <v>718</v>
      </c>
      <c r="G745" s="7" t="s">
        <v>1545</v>
      </c>
      <c r="H745" s="7" t="s">
        <v>1362</v>
      </c>
      <c r="I745" s="7" t="s">
        <v>1253</v>
      </c>
      <c r="K745" s="7" t="s">
        <v>260</v>
      </c>
      <c r="L745" s="11">
        <v>15.09</v>
      </c>
      <c r="M745" s="11">
        <v>115409.73</v>
      </c>
      <c r="N745" s="9">
        <f t="shared" si="19"/>
        <v>15.09</v>
      </c>
    </row>
    <row r="746" spans="1:14" ht="12.75" hidden="1" customHeight="1" x14ac:dyDescent="0.2">
      <c r="A746">
        <v>65061</v>
      </c>
      <c r="B746" s="3" t="s">
        <v>1253</v>
      </c>
      <c r="C746" s="7" t="s">
        <v>239</v>
      </c>
      <c r="D746" s="7" t="s">
        <v>200</v>
      </c>
      <c r="E746" s="7">
        <v>1010</v>
      </c>
      <c r="F746" s="7" t="s">
        <v>768</v>
      </c>
      <c r="G746" s="7" t="s">
        <v>1545</v>
      </c>
      <c r="H746" s="7" t="s">
        <v>1362</v>
      </c>
      <c r="I746" s="7" t="s">
        <v>1253</v>
      </c>
      <c r="K746" s="7" t="s">
        <v>260</v>
      </c>
      <c r="L746" s="11">
        <v>54.61</v>
      </c>
      <c r="M746" s="11">
        <v>115947.96</v>
      </c>
      <c r="N746" s="9">
        <f t="shared" si="19"/>
        <v>54.61</v>
      </c>
    </row>
    <row r="747" spans="1:14" ht="12.75" hidden="1" customHeight="1" x14ac:dyDescent="0.2">
      <c r="A747">
        <v>65061</v>
      </c>
      <c r="B747" s="3" t="s">
        <v>1253</v>
      </c>
      <c r="C747" s="7" t="s">
        <v>239</v>
      </c>
      <c r="D747" s="7" t="s">
        <v>221</v>
      </c>
      <c r="F747" s="7" t="s">
        <v>602</v>
      </c>
      <c r="G747" s="7" t="s">
        <v>1545</v>
      </c>
      <c r="H747" s="7" t="s">
        <v>1362</v>
      </c>
      <c r="I747" s="7" t="s">
        <v>1253</v>
      </c>
      <c r="K747" s="7" t="s">
        <v>260</v>
      </c>
      <c r="L747" s="11">
        <v>6.45</v>
      </c>
      <c r="M747" s="11">
        <v>116179.66</v>
      </c>
      <c r="N747" s="9">
        <f t="shared" si="19"/>
        <v>6.45</v>
      </c>
    </row>
    <row r="748" spans="1:14" ht="12.75" hidden="1" customHeight="1" x14ac:dyDescent="0.2">
      <c r="A748">
        <v>65061</v>
      </c>
      <c r="B748" s="3" t="s">
        <v>1253</v>
      </c>
      <c r="C748" s="7" t="s">
        <v>239</v>
      </c>
      <c r="D748" s="7" t="s">
        <v>221</v>
      </c>
      <c r="F748" s="7" t="s">
        <v>573</v>
      </c>
      <c r="G748" s="7" t="s">
        <v>1545</v>
      </c>
      <c r="H748" s="7" t="s">
        <v>1362</v>
      </c>
      <c r="I748" s="7" t="s">
        <v>1253</v>
      </c>
      <c r="K748" s="7" t="s">
        <v>260</v>
      </c>
      <c r="L748" s="11">
        <v>21.45</v>
      </c>
      <c r="M748" s="11">
        <v>116201.11</v>
      </c>
      <c r="N748" s="9">
        <f t="shared" si="19"/>
        <v>21.45</v>
      </c>
    </row>
    <row r="749" spans="1:14" ht="12.75" hidden="1" customHeight="1" x14ac:dyDescent="0.2">
      <c r="A749">
        <v>65061</v>
      </c>
      <c r="B749" s="3" t="s">
        <v>1253</v>
      </c>
      <c r="C749" s="7" t="s">
        <v>239</v>
      </c>
      <c r="D749" s="7" t="s">
        <v>221</v>
      </c>
      <c r="F749" s="7" t="s">
        <v>546</v>
      </c>
      <c r="G749" s="7" t="s">
        <v>1545</v>
      </c>
      <c r="H749" s="7" t="s">
        <v>1362</v>
      </c>
      <c r="I749" s="7" t="s">
        <v>1253</v>
      </c>
      <c r="K749" s="7" t="s">
        <v>260</v>
      </c>
      <c r="L749" s="11">
        <v>28.54</v>
      </c>
      <c r="M749" s="11">
        <v>116229.65</v>
      </c>
      <c r="N749" s="9">
        <f t="shared" si="19"/>
        <v>28.54</v>
      </c>
    </row>
    <row r="750" spans="1:14" ht="12.75" hidden="1" customHeight="1" x14ac:dyDescent="0.2">
      <c r="A750">
        <v>65061</v>
      </c>
      <c r="B750" s="3" t="s">
        <v>1253</v>
      </c>
      <c r="C750" s="7" t="s">
        <v>239</v>
      </c>
      <c r="D750" s="7" t="s">
        <v>242</v>
      </c>
      <c r="F750" s="7" t="s">
        <v>573</v>
      </c>
      <c r="G750" s="7" t="s">
        <v>1545</v>
      </c>
      <c r="H750" s="7" t="s">
        <v>1362</v>
      </c>
      <c r="I750" s="7" t="s">
        <v>1253</v>
      </c>
      <c r="K750" s="7" t="s">
        <v>260</v>
      </c>
      <c r="L750" s="11">
        <v>-96.19</v>
      </c>
      <c r="M750" s="11">
        <v>116133.46</v>
      </c>
      <c r="N750" s="9">
        <f t="shared" si="19"/>
        <v>-96.19</v>
      </c>
    </row>
    <row r="751" spans="1:14" ht="12.75" hidden="1" customHeight="1" x14ac:dyDescent="0.2">
      <c r="A751">
        <v>65061</v>
      </c>
      <c r="B751" s="3" t="s">
        <v>1253</v>
      </c>
      <c r="C751" s="7" t="s">
        <v>239</v>
      </c>
      <c r="D751" s="7" t="s">
        <v>221</v>
      </c>
      <c r="F751" s="7" t="s">
        <v>571</v>
      </c>
      <c r="G751" s="7" t="s">
        <v>1545</v>
      </c>
      <c r="H751" s="7" t="s">
        <v>1362</v>
      </c>
      <c r="I751" s="7" t="s">
        <v>1253</v>
      </c>
      <c r="K751" s="7" t="s">
        <v>260</v>
      </c>
      <c r="L751" s="11">
        <v>63.74</v>
      </c>
      <c r="M751" s="11">
        <v>116197.2</v>
      </c>
      <c r="N751" s="9">
        <f t="shared" si="19"/>
        <v>63.74</v>
      </c>
    </row>
    <row r="752" spans="1:14" ht="12.75" hidden="1" customHeight="1" x14ac:dyDescent="0.2">
      <c r="A752">
        <v>65061</v>
      </c>
      <c r="B752" s="3" t="s">
        <v>1253</v>
      </c>
      <c r="C752" s="7" t="s">
        <v>239</v>
      </c>
      <c r="D752" s="7" t="s">
        <v>242</v>
      </c>
      <c r="F752" s="7" t="s">
        <v>573</v>
      </c>
      <c r="G752" s="7" t="s">
        <v>1545</v>
      </c>
      <c r="H752" s="7" t="s">
        <v>1362</v>
      </c>
      <c r="I752" s="7" t="s">
        <v>1253</v>
      </c>
      <c r="K752" s="7" t="s">
        <v>260</v>
      </c>
      <c r="L752" s="11">
        <v>-82.76</v>
      </c>
      <c r="M752" s="11">
        <v>116114.44</v>
      </c>
      <c r="N752" s="9">
        <f t="shared" si="19"/>
        <v>-82.76</v>
      </c>
    </row>
    <row r="753" spans="1:14" ht="12.75" hidden="1" customHeight="1" x14ac:dyDescent="0.2">
      <c r="A753">
        <v>65061</v>
      </c>
      <c r="B753" s="3" t="s">
        <v>1253</v>
      </c>
      <c r="C753" s="7" t="s">
        <v>239</v>
      </c>
      <c r="D753" s="7" t="s">
        <v>221</v>
      </c>
      <c r="F753" s="7" t="s">
        <v>564</v>
      </c>
      <c r="G753" s="7" t="s">
        <v>1545</v>
      </c>
      <c r="H753" s="7" t="s">
        <v>1362</v>
      </c>
      <c r="I753" s="7" t="s">
        <v>1253</v>
      </c>
      <c r="K753" s="7" t="s">
        <v>260</v>
      </c>
      <c r="L753" s="11">
        <v>784.36</v>
      </c>
      <c r="M753" s="11">
        <v>116898.8</v>
      </c>
      <c r="N753" s="9">
        <f t="shared" si="19"/>
        <v>784.36</v>
      </c>
    </row>
    <row r="754" spans="1:14" ht="12.75" hidden="1" customHeight="1" x14ac:dyDescent="0.2">
      <c r="A754">
        <v>65061</v>
      </c>
      <c r="B754" s="3" t="s">
        <v>1253</v>
      </c>
      <c r="C754" s="7" t="s">
        <v>759</v>
      </c>
      <c r="D754" s="7" t="s">
        <v>221</v>
      </c>
      <c r="F754" s="7" t="s">
        <v>760</v>
      </c>
      <c r="G754" s="7" t="s">
        <v>1545</v>
      </c>
      <c r="H754" s="7" t="s">
        <v>1362</v>
      </c>
      <c r="I754" s="7" t="s">
        <v>1253</v>
      </c>
      <c r="K754" s="7" t="s">
        <v>260</v>
      </c>
      <c r="L754" s="11">
        <v>69.95</v>
      </c>
      <c r="M754" s="11">
        <v>121360.62</v>
      </c>
      <c r="N754" s="9">
        <f t="shared" si="19"/>
        <v>69.95</v>
      </c>
    </row>
    <row r="755" spans="1:14" ht="12.75" hidden="1" customHeight="1" x14ac:dyDescent="0.2">
      <c r="A755">
        <v>65061</v>
      </c>
      <c r="B755" s="3" t="s">
        <v>1253</v>
      </c>
      <c r="C755" s="7" t="s">
        <v>759</v>
      </c>
      <c r="D755" s="7" t="s">
        <v>221</v>
      </c>
      <c r="F755" s="7" t="s">
        <v>758</v>
      </c>
      <c r="G755" s="7" t="s">
        <v>1545</v>
      </c>
      <c r="H755" s="7" t="s">
        <v>1362</v>
      </c>
      <c r="I755" s="7" t="s">
        <v>1253</v>
      </c>
      <c r="K755" s="7" t="s">
        <v>260</v>
      </c>
      <c r="L755" s="11">
        <v>71.28</v>
      </c>
      <c r="M755" s="11">
        <v>121431.9</v>
      </c>
      <c r="N755" s="9">
        <f t="shared" si="19"/>
        <v>71.28</v>
      </c>
    </row>
    <row r="756" spans="1:14" ht="12.75" hidden="1" customHeight="1" x14ac:dyDescent="0.2">
      <c r="A756">
        <v>65061</v>
      </c>
      <c r="B756" s="3" t="s">
        <v>1253</v>
      </c>
      <c r="C756" s="7" t="s">
        <v>755</v>
      </c>
      <c r="D756" s="7" t="s">
        <v>221</v>
      </c>
      <c r="F756" s="7" t="s">
        <v>602</v>
      </c>
      <c r="G756" s="7" t="s">
        <v>1545</v>
      </c>
      <c r="H756" s="7" t="s">
        <v>1362</v>
      </c>
      <c r="I756" s="7" t="s">
        <v>1253</v>
      </c>
      <c r="K756" s="7" t="s">
        <v>260</v>
      </c>
      <c r="L756" s="11">
        <v>92.09</v>
      </c>
      <c r="M756" s="11">
        <v>121674.88</v>
      </c>
      <c r="N756" s="9">
        <f t="shared" si="19"/>
        <v>92.09</v>
      </c>
    </row>
    <row r="757" spans="1:14" ht="12.75" hidden="1" customHeight="1" x14ac:dyDescent="0.2">
      <c r="A757">
        <v>65061</v>
      </c>
      <c r="B757" s="3" t="s">
        <v>1253</v>
      </c>
      <c r="C757" s="7" t="s">
        <v>749</v>
      </c>
      <c r="D757" s="7" t="s">
        <v>221</v>
      </c>
      <c r="F757" s="7" t="s">
        <v>338</v>
      </c>
      <c r="G757" s="7" t="s">
        <v>1545</v>
      </c>
      <c r="H757" s="7" t="s">
        <v>1362</v>
      </c>
      <c r="I757" s="7" t="s">
        <v>1253</v>
      </c>
      <c r="K757" s="7" t="s">
        <v>260</v>
      </c>
      <c r="L757" s="11">
        <v>11.35</v>
      </c>
      <c r="M757" s="11">
        <v>124089.81</v>
      </c>
      <c r="N757" s="9">
        <f t="shared" si="19"/>
        <v>11.35</v>
      </c>
    </row>
    <row r="758" spans="1:14" ht="12.75" hidden="1" customHeight="1" x14ac:dyDescent="0.2">
      <c r="A758">
        <v>65061</v>
      </c>
      <c r="B758" s="3" t="s">
        <v>1253</v>
      </c>
      <c r="C758" s="7" t="s">
        <v>749</v>
      </c>
      <c r="D758" s="7" t="s">
        <v>221</v>
      </c>
      <c r="F758" s="7" t="s">
        <v>753</v>
      </c>
      <c r="G758" s="7" t="s">
        <v>1545</v>
      </c>
      <c r="H758" s="7" t="s">
        <v>1362</v>
      </c>
      <c r="I758" s="7" t="s">
        <v>1253</v>
      </c>
      <c r="K758" s="7" t="s">
        <v>260</v>
      </c>
      <c r="L758" s="11">
        <v>34.49</v>
      </c>
      <c r="M758" s="11">
        <v>124124.3</v>
      </c>
      <c r="N758" s="9">
        <f t="shared" si="19"/>
        <v>34.49</v>
      </c>
    </row>
    <row r="759" spans="1:14" ht="12.75" hidden="1" customHeight="1" x14ac:dyDescent="0.2">
      <c r="A759">
        <v>65061</v>
      </c>
      <c r="B759" s="3" t="s">
        <v>1253</v>
      </c>
      <c r="C759" s="7" t="s">
        <v>749</v>
      </c>
      <c r="D759" s="7" t="s">
        <v>221</v>
      </c>
      <c r="F759" s="7" t="s">
        <v>752</v>
      </c>
      <c r="G759" s="7" t="s">
        <v>1545</v>
      </c>
      <c r="H759" s="7" t="s">
        <v>1362</v>
      </c>
      <c r="I759" s="7" t="s">
        <v>1253</v>
      </c>
      <c r="K759" s="7" t="s">
        <v>260</v>
      </c>
      <c r="L759" s="11">
        <v>9.77</v>
      </c>
      <c r="M759" s="11">
        <v>124508.18</v>
      </c>
      <c r="N759" s="9">
        <f t="shared" si="19"/>
        <v>9.77</v>
      </c>
    </row>
    <row r="760" spans="1:14" ht="12.75" hidden="1" customHeight="1" x14ac:dyDescent="0.2">
      <c r="A760">
        <v>65061</v>
      </c>
      <c r="B760" s="3" t="s">
        <v>1253</v>
      </c>
      <c r="C760" s="7" t="s">
        <v>496</v>
      </c>
      <c r="D760" s="7" t="s">
        <v>221</v>
      </c>
      <c r="F760" s="7" t="s">
        <v>743</v>
      </c>
      <c r="G760" s="7" t="s">
        <v>1545</v>
      </c>
      <c r="H760" s="7" t="s">
        <v>1362</v>
      </c>
      <c r="I760" s="7" t="s">
        <v>1253</v>
      </c>
      <c r="K760" s="7" t="s">
        <v>260</v>
      </c>
      <c r="L760" s="11">
        <v>22.88</v>
      </c>
      <c r="M760" s="11">
        <v>126667.21</v>
      </c>
      <c r="N760" s="9">
        <f t="shared" si="19"/>
        <v>22.88</v>
      </c>
    </row>
    <row r="761" spans="1:14" ht="12.75" hidden="1" customHeight="1" x14ac:dyDescent="0.2">
      <c r="A761">
        <v>65061</v>
      </c>
      <c r="B761" s="3" t="s">
        <v>1253</v>
      </c>
      <c r="C761" s="7" t="s">
        <v>496</v>
      </c>
      <c r="D761" s="7" t="s">
        <v>221</v>
      </c>
      <c r="F761" s="7" t="s">
        <v>644</v>
      </c>
      <c r="G761" s="7" t="s">
        <v>1545</v>
      </c>
      <c r="H761" s="7" t="s">
        <v>1362</v>
      </c>
      <c r="I761" s="7" t="s">
        <v>1253</v>
      </c>
      <c r="K761" s="7" t="s">
        <v>260</v>
      </c>
      <c r="L761" s="11">
        <v>45.51</v>
      </c>
      <c r="M761" s="11">
        <v>126712.72</v>
      </c>
      <c r="N761" s="9">
        <f t="shared" si="19"/>
        <v>45.51</v>
      </c>
    </row>
    <row r="762" spans="1:14" ht="12.75" hidden="1" customHeight="1" x14ac:dyDescent="0.2">
      <c r="A762">
        <v>65061</v>
      </c>
      <c r="B762" s="3" t="s">
        <v>1253</v>
      </c>
      <c r="C762" s="7" t="s">
        <v>238</v>
      </c>
      <c r="D762" s="7" t="s">
        <v>221</v>
      </c>
      <c r="F762" s="7" t="s">
        <v>241</v>
      </c>
      <c r="G762" s="7" t="s">
        <v>1545</v>
      </c>
      <c r="H762" s="7" t="s">
        <v>1362</v>
      </c>
      <c r="I762" s="7" t="s">
        <v>1253</v>
      </c>
      <c r="K762" s="7" t="s">
        <v>260</v>
      </c>
      <c r="L762" s="11">
        <v>24.83</v>
      </c>
      <c r="M762" s="11">
        <v>129551.65</v>
      </c>
      <c r="N762" s="9">
        <f t="shared" si="19"/>
        <v>24.83</v>
      </c>
    </row>
    <row r="763" spans="1:14" ht="12.75" hidden="1" customHeight="1" x14ac:dyDescent="0.2">
      <c r="A763">
        <v>65061</v>
      </c>
      <c r="B763" s="3" t="s">
        <v>1253</v>
      </c>
      <c r="C763" s="7" t="s">
        <v>238</v>
      </c>
      <c r="D763" s="7" t="s">
        <v>221</v>
      </c>
      <c r="F763" s="7" t="s">
        <v>595</v>
      </c>
      <c r="G763" s="7" t="s">
        <v>1545</v>
      </c>
      <c r="H763" s="7" t="s">
        <v>1362</v>
      </c>
      <c r="I763" s="7" t="s">
        <v>1253</v>
      </c>
      <c r="K763" s="7" t="s">
        <v>260</v>
      </c>
      <c r="L763" s="11">
        <v>48.22</v>
      </c>
      <c r="M763" s="11">
        <v>129599.87</v>
      </c>
      <c r="N763" s="9">
        <f t="shared" si="19"/>
        <v>48.22</v>
      </c>
    </row>
    <row r="764" spans="1:14" ht="12.75" hidden="1" customHeight="1" x14ac:dyDescent="0.2">
      <c r="A764">
        <v>65061</v>
      </c>
      <c r="B764" s="3" t="s">
        <v>1253</v>
      </c>
      <c r="C764" s="7" t="s">
        <v>238</v>
      </c>
      <c r="D764" s="7" t="s">
        <v>242</v>
      </c>
      <c r="F764" s="7" t="s">
        <v>739</v>
      </c>
      <c r="G764" s="7" t="s">
        <v>1545</v>
      </c>
      <c r="H764" s="7" t="s">
        <v>1362</v>
      </c>
      <c r="I764" s="7" t="s">
        <v>1253</v>
      </c>
      <c r="K764" s="7" t="s">
        <v>260</v>
      </c>
      <c r="L764" s="11">
        <v>-48.99</v>
      </c>
      <c r="M764" s="11">
        <v>129550.88</v>
      </c>
      <c r="N764" s="9">
        <f t="shared" si="19"/>
        <v>-48.99</v>
      </c>
    </row>
    <row r="765" spans="1:14" ht="12.75" hidden="1" customHeight="1" x14ac:dyDescent="0.2">
      <c r="A765">
        <v>65061</v>
      </c>
      <c r="B765" s="3" t="s">
        <v>1253</v>
      </c>
      <c r="C765" s="7" t="s">
        <v>238</v>
      </c>
      <c r="D765" s="7" t="s">
        <v>221</v>
      </c>
      <c r="F765" s="7" t="s">
        <v>564</v>
      </c>
      <c r="G765" s="7" t="s">
        <v>1545</v>
      </c>
      <c r="H765" s="7" t="s">
        <v>1362</v>
      </c>
      <c r="I765" s="7" t="s">
        <v>1253</v>
      </c>
      <c r="K765" s="7" t="s">
        <v>260</v>
      </c>
      <c r="L765" s="11">
        <v>13.83</v>
      </c>
      <c r="M765" s="11">
        <v>129564.71</v>
      </c>
      <c r="N765" s="9">
        <f t="shared" si="19"/>
        <v>13.83</v>
      </c>
    </row>
    <row r="766" spans="1:14" ht="12.75" hidden="1" customHeight="1" x14ac:dyDescent="0.2">
      <c r="A766">
        <v>65061</v>
      </c>
      <c r="B766" s="3" t="s">
        <v>1253</v>
      </c>
      <c r="C766" s="7" t="s">
        <v>238</v>
      </c>
      <c r="D766" s="7" t="s">
        <v>221</v>
      </c>
      <c r="F766" s="7" t="s">
        <v>738</v>
      </c>
      <c r="G766" s="7" t="s">
        <v>1545</v>
      </c>
      <c r="H766" s="7" t="s">
        <v>1362</v>
      </c>
      <c r="I766" s="7" t="s">
        <v>1253</v>
      </c>
      <c r="K766" s="7" t="s">
        <v>260</v>
      </c>
      <c r="L766" s="11">
        <v>7.51</v>
      </c>
      <c r="M766" s="11">
        <v>129572.22</v>
      </c>
      <c r="N766" s="9">
        <f t="shared" si="19"/>
        <v>7.51</v>
      </c>
    </row>
    <row r="767" spans="1:14" ht="12.75" hidden="1" customHeight="1" x14ac:dyDescent="0.2">
      <c r="A767">
        <v>65061</v>
      </c>
      <c r="B767" s="3" t="s">
        <v>1253</v>
      </c>
      <c r="C767" s="7" t="s">
        <v>431</v>
      </c>
      <c r="D767" s="7" t="s">
        <v>221</v>
      </c>
      <c r="F767" s="7" t="s">
        <v>573</v>
      </c>
      <c r="G767" s="7" t="s">
        <v>1545</v>
      </c>
      <c r="H767" s="7" t="s">
        <v>1362</v>
      </c>
      <c r="I767" s="7" t="s">
        <v>1253</v>
      </c>
      <c r="K767" s="7" t="s">
        <v>260</v>
      </c>
      <c r="L767" s="11">
        <v>221.54</v>
      </c>
      <c r="M767" s="11">
        <v>132119.56</v>
      </c>
      <c r="N767" s="9">
        <f t="shared" si="19"/>
        <v>221.54</v>
      </c>
    </row>
    <row r="768" spans="1:14" ht="12.75" hidden="1" customHeight="1" x14ac:dyDescent="0.2">
      <c r="A768">
        <v>65061</v>
      </c>
      <c r="B768" s="3" t="s">
        <v>1253</v>
      </c>
      <c r="C768" s="7" t="s">
        <v>235</v>
      </c>
      <c r="D768" s="7" t="s">
        <v>221</v>
      </c>
      <c r="F768" s="7" t="s">
        <v>734</v>
      </c>
      <c r="G768" s="7" t="s">
        <v>1545</v>
      </c>
      <c r="H768" s="7" t="s">
        <v>1362</v>
      </c>
      <c r="I768" s="7" t="s">
        <v>1253</v>
      </c>
      <c r="K768" s="7" t="s">
        <v>260</v>
      </c>
      <c r="L768" s="11">
        <v>78.7</v>
      </c>
      <c r="M768" s="11">
        <v>132320.25</v>
      </c>
      <c r="N768" s="9">
        <f t="shared" si="19"/>
        <v>78.7</v>
      </c>
    </row>
    <row r="769" spans="1:14" ht="12.75" hidden="1" customHeight="1" x14ac:dyDescent="0.2">
      <c r="A769">
        <v>65061</v>
      </c>
      <c r="B769" s="3" t="s">
        <v>1253</v>
      </c>
      <c r="C769" s="7" t="s">
        <v>193</v>
      </c>
      <c r="D769" s="7" t="s">
        <v>221</v>
      </c>
      <c r="F769" s="7" t="s">
        <v>721</v>
      </c>
      <c r="G769" s="7" t="s">
        <v>1545</v>
      </c>
      <c r="H769" s="7" t="s">
        <v>1362</v>
      </c>
      <c r="I769" s="7" t="s">
        <v>1253</v>
      </c>
      <c r="K769" s="7" t="s">
        <v>260</v>
      </c>
      <c r="L769" s="11">
        <v>37.54</v>
      </c>
      <c r="M769" s="11">
        <v>136532.53</v>
      </c>
      <c r="N769" s="9">
        <f t="shared" si="19"/>
        <v>37.54</v>
      </c>
    </row>
    <row r="770" spans="1:14" ht="12.75" hidden="1" customHeight="1" x14ac:dyDescent="0.2">
      <c r="A770">
        <v>65061</v>
      </c>
      <c r="B770" s="3" t="s">
        <v>1253</v>
      </c>
      <c r="C770" s="7" t="s">
        <v>710</v>
      </c>
      <c r="D770" s="7" t="s">
        <v>221</v>
      </c>
      <c r="F770" s="7" t="s">
        <v>241</v>
      </c>
      <c r="G770" s="7" t="s">
        <v>1545</v>
      </c>
      <c r="H770" s="7" t="s">
        <v>1362</v>
      </c>
      <c r="I770" s="7" t="s">
        <v>1253</v>
      </c>
      <c r="K770" s="7" t="s">
        <v>260</v>
      </c>
      <c r="L770" s="11">
        <v>63.72</v>
      </c>
      <c r="M770" s="11">
        <v>136959.43</v>
      </c>
      <c r="N770" s="9">
        <f t="shared" si="19"/>
        <v>63.72</v>
      </c>
    </row>
    <row r="771" spans="1:14" ht="12.75" hidden="1" customHeight="1" x14ac:dyDescent="0.2">
      <c r="A771">
        <v>65061</v>
      </c>
      <c r="B771" s="3" t="s">
        <v>1253</v>
      </c>
      <c r="C771" s="7" t="s">
        <v>710</v>
      </c>
      <c r="D771" s="7" t="s">
        <v>221</v>
      </c>
      <c r="F771" s="7" t="s">
        <v>548</v>
      </c>
      <c r="G771" s="7" t="s">
        <v>1545</v>
      </c>
      <c r="H771" s="7" t="s">
        <v>1362</v>
      </c>
      <c r="I771" s="7" t="s">
        <v>1253</v>
      </c>
      <c r="K771" s="7" t="s">
        <v>260</v>
      </c>
      <c r="L771" s="11">
        <v>10.039999999999999</v>
      </c>
      <c r="M771" s="11">
        <v>136969.47</v>
      </c>
      <c r="N771" s="9">
        <f t="shared" si="19"/>
        <v>10.039999999999999</v>
      </c>
    </row>
    <row r="772" spans="1:14" ht="12.75" hidden="1" customHeight="1" x14ac:dyDescent="0.2">
      <c r="A772">
        <v>65061</v>
      </c>
      <c r="B772" s="3" t="s">
        <v>1253</v>
      </c>
      <c r="C772" s="7" t="s">
        <v>710</v>
      </c>
      <c r="D772" s="7" t="s">
        <v>221</v>
      </c>
      <c r="F772" s="7" t="s">
        <v>589</v>
      </c>
      <c r="G772" s="7" t="s">
        <v>1545</v>
      </c>
      <c r="H772" s="7" t="s">
        <v>1362</v>
      </c>
      <c r="I772" s="7" t="s">
        <v>1253</v>
      </c>
      <c r="K772" s="7" t="s">
        <v>260</v>
      </c>
      <c r="L772" s="11">
        <v>34.799999999999997</v>
      </c>
      <c r="M772" s="11">
        <v>137004.26999999999</v>
      </c>
      <c r="N772" s="9">
        <f t="shared" si="19"/>
        <v>34.799999999999997</v>
      </c>
    </row>
    <row r="773" spans="1:14" ht="12.75" hidden="1" customHeight="1" x14ac:dyDescent="0.2">
      <c r="A773">
        <v>65061</v>
      </c>
      <c r="B773" s="3" t="s">
        <v>1253</v>
      </c>
      <c r="C773" s="7" t="s">
        <v>710</v>
      </c>
      <c r="D773" s="7" t="s">
        <v>221</v>
      </c>
      <c r="F773" s="7" t="s">
        <v>570</v>
      </c>
      <c r="G773" s="7" t="s">
        <v>1545</v>
      </c>
      <c r="H773" s="7" t="s">
        <v>1362</v>
      </c>
      <c r="I773" s="7" t="s">
        <v>1253</v>
      </c>
      <c r="K773" s="7" t="s">
        <v>260</v>
      </c>
      <c r="L773" s="11">
        <v>542.47</v>
      </c>
      <c r="M773" s="11">
        <v>137546.74</v>
      </c>
      <c r="N773" s="9">
        <f t="shared" si="19"/>
        <v>542.47</v>
      </c>
    </row>
    <row r="774" spans="1:14" ht="12.75" hidden="1" customHeight="1" x14ac:dyDescent="0.2">
      <c r="A774">
        <v>65061</v>
      </c>
      <c r="B774" s="3" t="s">
        <v>1253</v>
      </c>
      <c r="C774" s="7" t="s">
        <v>710</v>
      </c>
      <c r="D774" s="7" t="s">
        <v>221</v>
      </c>
      <c r="F774" s="7" t="s">
        <v>718</v>
      </c>
      <c r="G774" s="7" t="s">
        <v>1545</v>
      </c>
      <c r="H774" s="7" t="s">
        <v>1362</v>
      </c>
      <c r="I774" s="7" t="s">
        <v>1253</v>
      </c>
      <c r="K774" s="7" t="s">
        <v>260</v>
      </c>
      <c r="L774" s="11">
        <v>6.47</v>
      </c>
      <c r="M774" s="11">
        <v>137553.21</v>
      </c>
      <c r="N774" s="9">
        <f t="shared" si="19"/>
        <v>6.47</v>
      </c>
    </row>
    <row r="775" spans="1:14" ht="12.75" hidden="1" customHeight="1" x14ac:dyDescent="0.2">
      <c r="A775">
        <v>65061</v>
      </c>
      <c r="B775" s="3" t="s">
        <v>1253</v>
      </c>
      <c r="C775" s="7" t="s">
        <v>710</v>
      </c>
      <c r="D775" s="7" t="s">
        <v>221</v>
      </c>
      <c r="F775" s="7" t="s">
        <v>717</v>
      </c>
      <c r="G775" s="7" t="s">
        <v>1545</v>
      </c>
      <c r="H775" s="7" t="s">
        <v>1362</v>
      </c>
      <c r="I775" s="7" t="s">
        <v>1253</v>
      </c>
      <c r="K775" s="7" t="s">
        <v>260</v>
      </c>
      <c r="L775" s="11">
        <v>98.78</v>
      </c>
      <c r="M775" s="11">
        <v>137651.99</v>
      </c>
      <c r="N775" s="9">
        <f t="shared" si="19"/>
        <v>98.78</v>
      </c>
    </row>
    <row r="776" spans="1:14" ht="12.75" hidden="1" customHeight="1" x14ac:dyDescent="0.2">
      <c r="A776">
        <v>65061</v>
      </c>
      <c r="B776" s="3" t="s">
        <v>1253</v>
      </c>
      <c r="C776" s="7" t="s">
        <v>710</v>
      </c>
      <c r="D776" s="7" t="s">
        <v>221</v>
      </c>
      <c r="F776" s="7" t="s">
        <v>352</v>
      </c>
      <c r="G776" s="7" t="s">
        <v>1545</v>
      </c>
      <c r="H776" s="7" t="s">
        <v>1362</v>
      </c>
      <c r="I776" s="7" t="s">
        <v>1253</v>
      </c>
      <c r="K776" s="7" t="s">
        <v>260</v>
      </c>
      <c r="L776" s="11">
        <v>5.15</v>
      </c>
      <c r="M776" s="11">
        <v>137657.14000000001</v>
      </c>
      <c r="N776" s="9">
        <f t="shared" si="19"/>
        <v>5.15</v>
      </c>
    </row>
    <row r="777" spans="1:14" ht="12.75" hidden="1" customHeight="1" x14ac:dyDescent="0.2">
      <c r="A777">
        <v>65061</v>
      </c>
      <c r="B777" s="3" t="s">
        <v>1253</v>
      </c>
      <c r="C777" s="7" t="s">
        <v>710</v>
      </c>
      <c r="D777" s="7" t="s">
        <v>221</v>
      </c>
      <c r="F777" s="7" t="s">
        <v>589</v>
      </c>
      <c r="G777" s="7" t="s">
        <v>1545</v>
      </c>
      <c r="H777" s="7" t="s">
        <v>1362</v>
      </c>
      <c r="I777" s="7" t="s">
        <v>1253</v>
      </c>
      <c r="K777" s="7" t="s">
        <v>260</v>
      </c>
      <c r="L777" s="11">
        <v>187.3</v>
      </c>
      <c r="M777" s="11">
        <v>137844.44</v>
      </c>
      <c r="N777" s="9">
        <f t="shared" si="19"/>
        <v>187.3</v>
      </c>
    </row>
    <row r="778" spans="1:14" ht="12.75" hidden="1" customHeight="1" x14ac:dyDescent="0.2">
      <c r="A778">
        <v>65061</v>
      </c>
      <c r="B778" s="3" t="s">
        <v>1253</v>
      </c>
      <c r="C778" s="7" t="s">
        <v>710</v>
      </c>
      <c r="D778" s="7" t="s">
        <v>221</v>
      </c>
      <c r="F778" s="7" t="s">
        <v>624</v>
      </c>
      <c r="G778" s="7" t="s">
        <v>1545</v>
      </c>
      <c r="H778" s="7" t="s">
        <v>1362</v>
      </c>
      <c r="I778" s="7" t="s">
        <v>1253</v>
      </c>
      <c r="K778" s="7" t="s">
        <v>260</v>
      </c>
      <c r="L778" s="11">
        <v>531.70000000000005</v>
      </c>
      <c r="M778" s="11">
        <v>138376.14000000001</v>
      </c>
      <c r="N778" s="9">
        <f t="shared" si="19"/>
        <v>531.70000000000005</v>
      </c>
    </row>
    <row r="779" spans="1:14" ht="12.75" hidden="1" customHeight="1" x14ac:dyDescent="0.2">
      <c r="A779">
        <v>65061</v>
      </c>
      <c r="B779" s="3" t="s">
        <v>1253</v>
      </c>
      <c r="C779" s="7" t="s">
        <v>710</v>
      </c>
      <c r="D779" s="7" t="s">
        <v>221</v>
      </c>
      <c r="F779" s="7" t="s">
        <v>352</v>
      </c>
      <c r="G779" s="7" t="s">
        <v>1545</v>
      </c>
      <c r="H779" s="7" t="s">
        <v>1362</v>
      </c>
      <c r="I779" s="7" t="s">
        <v>1253</v>
      </c>
      <c r="K779" s="7" t="s">
        <v>260</v>
      </c>
      <c r="L779" s="11">
        <v>18.03</v>
      </c>
      <c r="M779" s="11">
        <v>138394.17000000001</v>
      </c>
      <c r="N779" s="9">
        <f t="shared" si="19"/>
        <v>18.03</v>
      </c>
    </row>
    <row r="780" spans="1:14" ht="12.75" hidden="1" customHeight="1" x14ac:dyDescent="0.2">
      <c r="A780">
        <v>65061</v>
      </c>
      <c r="B780" s="3" t="s">
        <v>1253</v>
      </c>
      <c r="C780" s="7" t="s">
        <v>710</v>
      </c>
      <c r="D780" s="7" t="s">
        <v>221</v>
      </c>
      <c r="F780" s="7" t="s">
        <v>716</v>
      </c>
      <c r="G780" s="7" t="s">
        <v>1545</v>
      </c>
      <c r="H780" s="7" t="s">
        <v>1362</v>
      </c>
      <c r="I780" s="7" t="s">
        <v>1253</v>
      </c>
      <c r="K780" s="7" t="s">
        <v>260</v>
      </c>
      <c r="L780" s="11">
        <v>62.63</v>
      </c>
      <c r="M780" s="11">
        <v>138456.79999999999</v>
      </c>
      <c r="N780" s="9">
        <f t="shared" si="19"/>
        <v>62.63</v>
      </c>
    </row>
    <row r="781" spans="1:14" ht="12.75" hidden="1" customHeight="1" x14ac:dyDescent="0.2">
      <c r="A781">
        <v>65061</v>
      </c>
      <c r="B781" s="3" t="s">
        <v>1253</v>
      </c>
      <c r="C781" s="7" t="s">
        <v>229</v>
      </c>
      <c r="D781" s="7" t="s">
        <v>221</v>
      </c>
      <c r="F781" s="7" t="s">
        <v>644</v>
      </c>
      <c r="G781" s="7" t="s">
        <v>1545</v>
      </c>
      <c r="H781" s="7" t="s">
        <v>1362</v>
      </c>
      <c r="I781" s="7" t="s">
        <v>1253</v>
      </c>
      <c r="K781" s="7" t="s">
        <v>260</v>
      </c>
      <c r="L781" s="11">
        <v>30.06</v>
      </c>
      <c r="M781" s="11">
        <v>141124.51999999999</v>
      </c>
      <c r="N781" s="9">
        <f t="shared" si="19"/>
        <v>30.06</v>
      </c>
    </row>
    <row r="782" spans="1:14" ht="12.75" hidden="1" customHeight="1" x14ac:dyDescent="0.2">
      <c r="A782">
        <v>65061</v>
      </c>
      <c r="B782" s="3" t="s">
        <v>1253</v>
      </c>
      <c r="C782" s="7" t="s">
        <v>229</v>
      </c>
      <c r="D782" s="7" t="s">
        <v>221</v>
      </c>
      <c r="F782" s="7" t="s">
        <v>548</v>
      </c>
      <c r="G782" s="7" t="s">
        <v>1545</v>
      </c>
      <c r="H782" s="7" t="s">
        <v>1362</v>
      </c>
      <c r="I782" s="7" t="s">
        <v>1253</v>
      </c>
      <c r="K782" s="7" t="s">
        <v>260</v>
      </c>
      <c r="L782" s="11">
        <v>81.27</v>
      </c>
      <c r="M782" s="11">
        <v>141540.32999999999</v>
      </c>
      <c r="N782" s="9">
        <f t="shared" si="19"/>
        <v>81.27</v>
      </c>
    </row>
    <row r="783" spans="1:14" ht="12.75" hidden="1" customHeight="1" x14ac:dyDescent="0.2">
      <c r="A783">
        <v>65061</v>
      </c>
      <c r="B783" s="3" t="s">
        <v>1253</v>
      </c>
      <c r="C783" s="7" t="s">
        <v>229</v>
      </c>
      <c r="D783" s="7" t="s">
        <v>221</v>
      </c>
      <c r="F783" s="7" t="s">
        <v>352</v>
      </c>
      <c r="G783" s="7" t="s">
        <v>1545</v>
      </c>
      <c r="H783" s="7" t="s">
        <v>1362</v>
      </c>
      <c r="I783" s="7" t="s">
        <v>1253</v>
      </c>
      <c r="K783" s="7" t="s">
        <v>260</v>
      </c>
      <c r="L783" s="11">
        <v>4.82</v>
      </c>
      <c r="M783" s="11">
        <v>141545.15</v>
      </c>
      <c r="N783" s="9">
        <f t="shared" si="19"/>
        <v>4.82</v>
      </c>
    </row>
    <row r="784" spans="1:14" ht="12.75" hidden="1" customHeight="1" x14ac:dyDescent="0.2">
      <c r="A784">
        <v>65061</v>
      </c>
      <c r="B784" s="3" t="s">
        <v>1253</v>
      </c>
      <c r="C784" s="7" t="s">
        <v>229</v>
      </c>
      <c r="D784" s="7" t="s">
        <v>221</v>
      </c>
      <c r="F784" s="7" t="s">
        <v>573</v>
      </c>
      <c r="G784" s="7" t="s">
        <v>1545</v>
      </c>
      <c r="H784" s="7" t="s">
        <v>1362</v>
      </c>
      <c r="I784" s="7" t="s">
        <v>1253</v>
      </c>
      <c r="K784" s="7" t="s">
        <v>260</v>
      </c>
      <c r="L784" s="11">
        <v>379.85</v>
      </c>
      <c r="M784" s="11">
        <v>141925</v>
      </c>
      <c r="N784" s="9">
        <f t="shared" si="19"/>
        <v>379.85</v>
      </c>
    </row>
    <row r="785" spans="1:14" ht="12.75" hidden="1" customHeight="1" x14ac:dyDescent="0.2">
      <c r="A785">
        <v>65061</v>
      </c>
      <c r="B785" s="3" t="s">
        <v>1253</v>
      </c>
      <c r="C785" s="7" t="s">
        <v>229</v>
      </c>
      <c r="D785" s="7" t="s">
        <v>221</v>
      </c>
      <c r="F785" s="7" t="s">
        <v>706</v>
      </c>
      <c r="G785" s="7" t="s">
        <v>1545</v>
      </c>
      <c r="H785" s="7" t="s">
        <v>1362</v>
      </c>
      <c r="I785" s="7" t="s">
        <v>1253</v>
      </c>
      <c r="K785" s="7" t="s">
        <v>260</v>
      </c>
      <c r="L785" s="11">
        <v>12.92</v>
      </c>
      <c r="M785" s="11">
        <v>141937.92000000001</v>
      </c>
      <c r="N785" s="9">
        <f t="shared" si="19"/>
        <v>12.92</v>
      </c>
    </row>
    <row r="786" spans="1:14" ht="12.75" hidden="1" customHeight="1" x14ac:dyDescent="0.2">
      <c r="A786">
        <v>65061</v>
      </c>
      <c r="B786" s="3" t="s">
        <v>1253</v>
      </c>
      <c r="C786" s="7" t="s">
        <v>229</v>
      </c>
      <c r="D786" s="7" t="s">
        <v>221</v>
      </c>
      <c r="F786" s="7" t="s">
        <v>355</v>
      </c>
      <c r="G786" s="7" t="s">
        <v>1545</v>
      </c>
      <c r="H786" s="7" t="s">
        <v>1362</v>
      </c>
      <c r="I786" s="7" t="s">
        <v>1253</v>
      </c>
      <c r="K786" s="7" t="s">
        <v>260</v>
      </c>
      <c r="L786" s="11">
        <v>24.97</v>
      </c>
      <c r="M786" s="11">
        <v>141962.89000000001</v>
      </c>
      <c r="N786" s="9">
        <f t="shared" si="19"/>
        <v>24.97</v>
      </c>
    </row>
    <row r="787" spans="1:14" ht="12.75" hidden="1" customHeight="1" x14ac:dyDescent="0.2">
      <c r="A787">
        <v>65061</v>
      </c>
      <c r="B787" s="3" t="s">
        <v>1253</v>
      </c>
      <c r="C787" s="7" t="s">
        <v>224</v>
      </c>
      <c r="D787" s="7" t="s">
        <v>221</v>
      </c>
      <c r="F787" s="7" t="s">
        <v>594</v>
      </c>
      <c r="G787" s="7" t="s">
        <v>1545</v>
      </c>
      <c r="H787" s="7" t="s">
        <v>1362</v>
      </c>
      <c r="I787" s="7" t="s">
        <v>1253</v>
      </c>
      <c r="K787" s="7" t="s">
        <v>260</v>
      </c>
      <c r="L787" s="11">
        <v>43.19</v>
      </c>
      <c r="M787" s="11">
        <v>142237.16</v>
      </c>
      <c r="N787" s="9">
        <f t="shared" si="19"/>
        <v>43.19</v>
      </c>
    </row>
    <row r="788" spans="1:14" ht="12.75" hidden="1" customHeight="1" x14ac:dyDescent="0.2">
      <c r="A788">
        <v>65061</v>
      </c>
      <c r="B788" s="3" t="s">
        <v>1253</v>
      </c>
      <c r="C788" s="7" t="s">
        <v>224</v>
      </c>
      <c r="D788" s="7" t="s">
        <v>221</v>
      </c>
      <c r="F788" s="7" t="s">
        <v>546</v>
      </c>
      <c r="G788" s="7" t="s">
        <v>1545</v>
      </c>
      <c r="H788" s="7" t="s">
        <v>1362</v>
      </c>
      <c r="I788" s="7" t="s">
        <v>1253</v>
      </c>
      <c r="K788" s="7" t="s">
        <v>260</v>
      </c>
      <c r="L788" s="11">
        <v>31.87</v>
      </c>
      <c r="M788" s="11">
        <v>142465.47</v>
      </c>
      <c r="N788" s="9">
        <f t="shared" si="19"/>
        <v>31.87</v>
      </c>
    </row>
    <row r="789" spans="1:14" ht="12.75" hidden="1" customHeight="1" x14ac:dyDescent="0.2">
      <c r="A789">
        <v>65061</v>
      </c>
      <c r="B789" s="3" t="s">
        <v>1253</v>
      </c>
      <c r="C789" s="7" t="s">
        <v>224</v>
      </c>
      <c r="D789" s="7" t="s">
        <v>221</v>
      </c>
      <c r="F789" s="7" t="s">
        <v>564</v>
      </c>
      <c r="G789" s="7" t="s">
        <v>1545</v>
      </c>
      <c r="H789" s="7" t="s">
        <v>1362</v>
      </c>
      <c r="I789" s="7" t="s">
        <v>1253</v>
      </c>
      <c r="K789" s="7" t="s">
        <v>260</v>
      </c>
      <c r="L789" s="11">
        <v>111.7</v>
      </c>
      <c r="M789" s="11">
        <v>142577.17000000001</v>
      </c>
      <c r="N789" s="9">
        <f t="shared" si="19"/>
        <v>111.7</v>
      </c>
    </row>
    <row r="790" spans="1:14" ht="12.75" hidden="1" customHeight="1" x14ac:dyDescent="0.2">
      <c r="A790">
        <v>65061</v>
      </c>
      <c r="B790" s="3" t="s">
        <v>1253</v>
      </c>
      <c r="C790" s="7" t="s">
        <v>224</v>
      </c>
      <c r="D790" s="7" t="s">
        <v>221</v>
      </c>
      <c r="F790" s="7" t="s">
        <v>602</v>
      </c>
      <c r="G790" s="7" t="s">
        <v>1545</v>
      </c>
      <c r="H790" s="7" t="s">
        <v>1362</v>
      </c>
      <c r="I790" s="7" t="s">
        <v>1253</v>
      </c>
      <c r="K790" s="7" t="s">
        <v>260</v>
      </c>
      <c r="L790" s="11">
        <v>23.5</v>
      </c>
      <c r="M790" s="11">
        <v>142600.67000000001</v>
      </c>
      <c r="N790" s="9">
        <f t="shared" si="19"/>
        <v>23.5</v>
      </c>
    </row>
    <row r="791" spans="1:14" ht="12.75" hidden="1" customHeight="1" x14ac:dyDescent="0.2">
      <c r="A791">
        <v>65061</v>
      </c>
      <c r="B791" s="3" t="s">
        <v>1253</v>
      </c>
      <c r="C791" s="7" t="s">
        <v>224</v>
      </c>
      <c r="D791" s="7" t="s">
        <v>221</v>
      </c>
      <c r="F791" s="7" t="s">
        <v>563</v>
      </c>
      <c r="G791" s="7" t="s">
        <v>1545</v>
      </c>
      <c r="H791" s="7" t="s">
        <v>1362</v>
      </c>
      <c r="I791" s="7" t="s">
        <v>1253</v>
      </c>
      <c r="K791" s="7" t="s">
        <v>260</v>
      </c>
      <c r="L791" s="11">
        <v>80.739999999999995</v>
      </c>
      <c r="M791" s="11">
        <v>142681.41</v>
      </c>
      <c r="N791" s="9">
        <f t="shared" si="19"/>
        <v>80.739999999999995</v>
      </c>
    </row>
    <row r="792" spans="1:14" ht="12.75" hidden="1" customHeight="1" x14ac:dyDescent="0.2">
      <c r="A792">
        <v>65061</v>
      </c>
      <c r="B792" s="3" t="s">
        <v>1253</v>
      </c>
      <c r="C792" s="7" t="s">
        <v>224</v>
      </c>
      <c r="D792" s="7" t="s">
        <v>221</v>
      </c>
      <c r="F792" s="7" t="s">
        <v>602</v>
      </c>
      <c r="G792" s="7" t="s">
        <v>1545</v>
      </c>
      <c r="H792" s="7" t="s">
        <v>1362</v>
      </c>
      <c r="I792" s="7" t="s">
        <v>1253</v>
      </c>
      <c r="K792" s="7" t="s">
        <v>260</v>
      </c>
      <c r="L792" s="11">
        <v>3.19</v>
      </c>
      <c r="M792" s="11">
        <v>142684.6</v>
      </c>
      <c r="N792" s="9">
        <f t="shared" si="19"/>
        <v>3.19</v>
      </c>
    </row>
    <row r="793" spans="1:14" ht="12.75" hidden="1" customHeight="1" x14ac:dyDescent="0.2">
      <c r="A793">
        <v>65061</v>
      </c>
      <c r="B793" s="3" t="s">
        <v>1253</v>
      </c>
      <c r="C793" s="7" t="s">
        <v>224</v>
      </c>
      <c r="D793" s="7" t="s">
        <v>221</v>
      </c>
      <c r="F793" s="7" t="s">
        <v>589</v>
      </c>
      <c r="G793" s="7" t="s">
        <v>1545</v>
      </c>
      <c r="H793" s="7" t="s">
        <v>1362</v>
      </c>
      <c r="I793" s="7" t="s">
        <v>1253</v>
      </c>
      <c r="K793" s="7" t="s">
        <v>260</v>
      </c>
      <c r="L793" s="11">
        <v>8.56</v>
      </c>
      <c r="M793" s="11">
        <v>142693.16</v>
      </c>
      <c r="N793" s="9">
        <f t="shared" si="19"/>
        <v>8.56</v>
      </c>
    </row>
    <row r="794" spans="1:14" ht="12.75" hidden="1" customHeight="1" x14ac:dyDescent="0.2">
      <c r="A794">
        <v>65061</v>
      </c>
      <c r="B794" s="3" t="s">
        <v>1253</v>
      </c>
      <c r="C794" s="7" t="s">
        <v>224</v>
      </c>
      <c r="D794" s="7" t="s">
        <v>221</v>
      </c>
      <c r="F794" s="7" t="s">
        <v>564</v>
      </c>
      <c r="G794" s="7" t="s">
        <v>1545</v>
      </c>
      <c r="H794" s="7" t="s">
        <v>1362</v>
      </c>
      <c r="I794" s="7" t="s">
        <v>1253</v>
      </c>
      <c r="K794" s="7" t="s">
        <v>260</v>
      </c>
      <c r="L794" s="11">
        <v>267.07</v>
      </c>
      <c r="M794" s="11">
        <v>142960.23000000001</v>
      </c>
      <c r="N794" s="9">
        <f t="shared" ref="N794:N857" si="20">IF(A794&lt;60000,-L794,+L794)</f>
        <v>267.07</v>
      </c>
    </row>
    <row r="795" spans="1:14" ht="12.75" hidden="1" customHeight="1" x14ac:dyDescent="0.2">
      <c r="A795">
        <v>65061</v>
      </c>
      <c r="B795" s="3" t="s">
        <v>1253</v>
      </c>
      <c r="C795" s="7" t="s">
        <v>493</v>
      </c>
      <c r="D795" s="7" t="s">
        <v>221</v>
      </c>
      <c r="F795" s="7" t="s">
        <v>548</v>
      </c>
      <c r="G795" s="7" t="s">
        <v>1545</v>
      </c>
      <c r="H795" s="7" t="s">
        <v>1362</v>
      </c>
      <c r="I795" s="7" t="s">
        <v>1253</v>
      </c>
      <c r="K795" s="7" t="s">
        <v>260</v>
      </c>
      <c r="L795" s="11">
        <v>134.16</v>
      </c>
      <c r="M795" s="11">
        <v>144022.45000000001</v>
      </c>
      <c r="N795" s="9">
        <f t="shared" si="20"/>
        <v>134.16</v>
      </c>
    </row>
    <row r="796" spans="1:14" ht="12.75" hidden="1" customHeight="1" x14ac:dyDescent="0.2">
      <c r="A796">
        <v>65061</v>
      </c>
      <c r="B796" s="3" t="s">
        <v>1253</v>
      </c>
      <c r="C796" s="7" t="s">
        <v>698</v>
      </c>
      <c r="D796" s="7" t="s">
        <v>221</v>
      </c>
      <c r="F796" s="7" t="s">
        <v>546</v>
      </c>
      <c r="G796" s="7" t="s">
        <v>1545</v>
      </c>
      <c r="H796" s="7" t="s">
        <v>1362</v>
      </c>
      <c r="I796" s="7" t="s">
        <v>1253</v>
      </c>
      <c r="K796" s="7" t="s">
        <v>260</v>
      </c>
      <c r="L796" s="11">
        <v>131.03</v>
      </c>
      <c r="M796" s="11">
        <v>144949.81</v>
      </c>
      <c r="N796" s="9">
        <f t="shared" si="20"/>
        <v>131.03</v>
      </c>
    </row>
    <row r="797" spans="1:14" ht="12.75" hidden="1" customHeight="1" x14ac:dyDescent="0.2">
      <c r="A797">
        <v>65061</v>
      </c>
      <c r="B797" s="3" t="s">
        <v>1253</v>
      </c>
      <c r="C797" s="7" t="s">
        <v>698</v>
      </c>
      <c r="D797" s="7" t="s">
        <v>221</v>
      </c>
      <c r="F797" s="7" t="s">
        <v>546</v>
      </c>
      <c r="G797" s="7" t="s">
        <v>1545</v>
      </c>
      <c r="H797" s="7" t="s">
        <v>1362</v>
      </c>
      <c r="I797" s="7" t="s">
        <v>1253</v>
      </c>
      <c r="K797" s="7" t="s">
        <v>260</v>
      </c>
      <c r="L797" s="11">
        <v>32.14</v>
      </c>
      <c r="M797" s="11">
        <v>144981.95000000001</v>
      </c>
      <c r="N797" s="9">
        <f t="shared" si="20"/>
        <v>32.14</v>
      </c>
    </row>
    <row r="798" spans="1:14" ht="12.75" hidden="1" customHeight="1" x14ac:dyDescent="0.2">
      <c r="A798">
        <v>65061</v>
      </c>
      <c r="B798" s="3" t="s">
        <v>1253</v>
      </c>
      <c r="C798" s="7" t="s">
        <v>698</v>
      </c>
      <c r="D798" s="7" t="s">
        <v>221</v>
      </c>
      <c r="F798" s="7" t="s">
        <v>595</v>
      </c>
      <c r="G798" s="7" t="s">
        <v>1545</v>
      </c>
      <c r="H798" s="7" t="s">
        <v>1362</v>
      </c>
      <c r="I798" s="7" t="s">
        <v>1253</v>
      </c>
      <c r="K798" s="7" t="s">
        <v>260</v>
      </c>
      <c r="L798" s="11">
        <v>123.28</v>
      </c>
      <c r="M798" s="11">
        <v>145523.12</v>
      </c>
      <c r="N798" s="9">
        <f t="shared" si="20"/>
        <v>123.28</v>
      </c>
    </row>
    <row r="799" spans="1:14" ht="12.75" hidden="1" customHeight="1" x14ac:dyDescent="0.2">
      <c r="A799">
        <v>65061</v>
      </c>
      <c r="B799" s="3" t="s">
        <v>1253</v>
      </c>
      <c r="C799" s="7" t="s">
        <v>430</v>
      </c>
      <c r="D799" s="7" t="s">
        <v>221</v>
      </c>
      <c r="F799" s="7" t="s">
        <v>589</v>
      </c>
      <c r="G799" s="7" t="s">
        <v>1545</v>
      </c>
      <c r="H799" s="7" t="s">
        <v>1362</v>
      </c>
      <c r="I799" s="7" t="s">
        <v>1253</v>
      </c>
      <c r="K799" s="7" t="s">
        <v>260</v>
      </c>
      <c r="L799" s="11">
        <v>151.93</v>
      </c>
      <c r="M799" s="11">
        <v>145675.04999999999</v>
      </c>
      <c r="N799" s="9">
        <f t="shared" si="20"/>
        <v>151.93</v>
      </c>
    </row>
    <row r="800" spans="1:14" ht="12.75" hidden="1" customHeight="1" x14ac:dyDescent="0.2">
      <c r="A800">
        <v>65061</v>
      </c>
      <c r="B800" s="3" t="s">
        <v>1253</v>
      </c>
      <c r="C800" s="7" t="s">
        <v>430</v>
      </c>
      <c r="D800" s="7" t="s">
        <v>221</v>
      </c>
      <c r="F800" s="7" t="s">
        <v>624</v>
      </c>
      <c r="G800" s="7" t="s">
        <v>1545</v>
      </c>
      <c r="H800" s="7" t="s">
        <v>1362</v>
      </c>
      <c r="I800" s="7" t="s">
        <v>1253</v>
      </c>
      <c r="K800" s="7" t="s">
        <v>260</v>
      </c>
      <c r="L800" s="11">
        <v>173.18</v>
      </c>
      <c r="M800" s="11">
        <v>145848.23000000001</v>
      </c>
      <c r="N800" s="9">
        <f t="shared" si="20"/>
        <v>173.18</v>
      </c>
    </row>
    <row r="801" spans="1:14" ht="12.75" hidden="1" customHeight="1" x14ac:dyDescent="0.2">
      <c r="A801">
        <v>65061</v>
      </c>
      <c r="B801" s="3" t="s">
        <v>1253</v>
      </c>
      <c r="C801" s="7" t="s">
        <v>430</v>
      </c>
      <c r="D801" s="7" t="s">
        <v>221</v>
      </c>
      <c r="F801" s="7" t="s">
        <v>241</v>
      </c>
      <c r="G801" s="7" t="s">
        <v>1545</v>
      </c>
      <c r="H801" s="7" t="s">
        <v>1362</v>
      </c>
      <c r="I801" s="7" t="s">
        <v>1253</v>
      </c>
      <c r="K801" s="7" t="s">
        <v>260</v>
      </c>
      <c r="L801" s="11">
        <v>91.68</v>
      </c>
      <c r="M801" s="11">
        <v>145939.91</v>
      </c>
      <c r="N801" s="9">
        <f t="shared" si="20"/>
        <v>91.68</v>
      </c>
    </row>
    <row r="802" spans="1:14" ht="12.75" hidden="1" customHeight="1" x14ac:dyDescent="0.2">
      <c r="A802">
        <v>65061</v>
      </c>
      <c r="B802" s="3" t="s">
        <v>1253</v>
      </c>
      <c r="C802" s="7" t="s">
        <v>430</v>
      </c>
      <c r="D802" s="7" t="s">
        <v>242</v>
      </c>
      <c r="F802" s="7" t="s">
        <v>563</v>
      </c>
      <c r="G802" s="7" t="s">
        <v>1545</v>
      </c>
      <c r="H802" s="7" t="s">
        <v>1362</v>
      </c>
      <c r="I802" s="7" t="s">
        <v>1253</v>
      </c>
      <c r="K802" s="7" t="s">
        <v>260</v>
      </c>
      <c r="L802" s="11">
        <v>-51.96</v>
      </c>
      <c r="M802" s="11">
        <v>145887.95000000001</v>
      </c>
      <c r="N802" s="9">
        <f t="shared" si="20"/>
        <v>-51.96</v>
      </c>
    </row>
    <row r="803" spans="1:14" ht="12.75" hidden="1" customHeight="1" x14ac:dyDescent="0.2">
      <c r="A803">
        <v>65061</v>
      </c>
      <c r="B803" s="3" t="s">
        <v>1253</v>
      </c>
      <c r="C803" s="7" t="s">
        <v>442</v>
      </c>
      <c r="D803" s="7" t="s">
        <v>221</v>
      </c>
      <c r="F803" s="7" t="s">
        <v>624</v>
      </c>
      <c r="G803" s="7" t="s">
        <v>1545</v>
      </c>
      <c r="H803" s="7" t="s">
        <v>1362</v>
      </c>
      <c r="I803" s="7" t="s">
        <v>1253</v>
      </c>
      <c r="K803" s="7" t="s">
        <v>260</v>
      </c>
      <c r="L803" s="11">
        <v>26.64</v>
      </c>
      <c r="M803" s="11">
        <v>147120.75</v>
      </c>
      <c r="N803" s="9">
        <f t="shared" si="20"/>
        <v>26.64</v>
      </c>
    </row>
    <row r="804" spans="1:14" ht="12.75" hidden="1" customHeight="1" x14ac:dyDescent="0.2">
      <c r="A804">
        <v>65061</v>
      </c>
      <c r="B804" s="3" t="s">
        <v>1253</v>
      </c>
      <c r="C804" s="7" t="s">
        <v>222</v>
      </c>
      <c r="D804" s="7" t="s">
        <v>221</v>
      </c>
      <c r="F804" s="7" t="s">
        <v>546</v>
      </c>
      <c r="G804" s="7" t="s">
        <v>1545</v>
      </c>
      <c r="H804" s="7" t="s">
        <v>1362</v>
      </c>
      <c r="I804" s="7" t="s">
        <v>1253</v>
      </c>
      <c r="K804" s="7" t="s">
        <v>260</v>
      </c>
      <c r="L804" s="11">
        <v>138.33000000000001</v>
      </c>
      <c r="M804" s="11">
        <v>148037.5</v>
      </c>
      <c r="N804" s="9">
        <f t="shared" si="20"/>
        <v>138.33000000000001</v>
      </c>
    </row>
    <row r="805" spans="1:14" ht="12.75" hidden="1" customHeight="1" x14ac:dyDescent="0.2">
      <c r="A805">
        <v>65061</v>
      </c>
      <c r="B805" s="3" t="s">
        <v>1253</v>
      </c>
      <c r="C805" s="7" t="s">
        <v>676</v>
      </c>
      <c r="D805" s="7" t="s">
        <v>221</v>
      </c>
      <c r="F805" s="7" t="s">
        <v>546</v>
      </c>
      <c r="G805" s="7" t="s">
        <v>1545</v>
      </c>
      <c r="H805" s="7" t="s">
        <v>1362</v>
      </c>
      <c r="I805" s="7" t="s">
        <v>1253</v>
      </c>
      <c r="K805" s="7" t="s">
        <v>260</v>
      </c>
      <c r="L805" s="11">
        <v>108.17</v>
      </c>
      <c r="M805" s="11">
        <v>151053.91</v>
      </c>
      <c r="N805" s="9">
        <f t="shared" si="20"/>
        <v>108.17</v>
      </c>
    </row>
    <row r="806" spans="1:14" ht="12.75" hidden="1" customHeight="1" x14ac:dyDescent="0.2">
      <c r="A806">
        <v>65061</v>
      </c>
      <c r="B806" s="3" t="s">
        <v>1253</v>
      </c>
      <c r="C806" s="7" t="s">
        <v>218</v>
      </c>
      <c r="D806" s="7" t="s">
        <v>242</v>
      </c>
      <c r="F806" s="7" t="s">
        <v>241</v>
      </c>
      <c r="G806" s="7" t="s">
        <v>1545</v>
      </c>
      <c r="H806" s="7" t="s">
        <v>1362</v>
      </c>
      <c r="I806" s="7" t="s">
        <v>1253</v>
      </c>
      <c r="K806" s="7" t="s">
        <v>260</v>
      </c>
      <c r="L806" s="11">
        <v>-91.68</v>
      </c>
      <c r="M806" s="11">
        <v>151687.18</v>
      </c>
      <c r="N806" s="9">
        <f t="shared" si="20"/>
        <v>-91.68</v>
      </c>
    </row>
    <row r="807" spans="1:14" ht="12.75" hidden="1" customHeight="1" x14ac:dyDescent="0.2">
      <c r="A807">
        <v>65061</v>
      </c>
      <c r="B807" s="3" t="s">
        <v>1253</v>
      </c>
      <c r="C807" s="7" t="s">
        <v>429</v>
      </c>
      <c r="D807" s="7" t="s">
        <v>200</v>
      </c>
      <c r="E807" s="7">
        <v>1009</v>
      </c>
      <c r="F807" s="7" t="s">
        <v>667</v>
      </c>
      <c r="G807" s="7" t="s">
        <v>1545</v>
      </c>
      <c r="H807" s="7" t="s">
        <v>1362</v>
      </c>
      <c r="I807" s="7" t="s">
        <v>1253</v>
      </c>
      <c r="K807" s="7" t="s">
        <v>260</v>
      </c>
      <c r="L807" s="11">
        <v>10</v>
      </c>
      <c r="M807" s="11">
        <v>155669.89000000001</v>
      </c>
      <c r="N807" s="9">
        <f t="shared" si="20"/>
        <v>10</v>
      </c>
    </row>
    <row r="808" spans="1:14" ht="12.75" hidden="1" customHeight="1" x14ac:dyDescent="0.2">
      <c r="A808">
        <v>65061</v>
      </c>
      <c r="B808" s="3" t="s">
        <v>1253</v>
      </c>
      <c r="C808" s="7" t="s">
        <v>659</v>
      </c>
      <c r="D808" s="7" t="s">
        <v>221</v>
      </c>
      <c r="F808" s="7" t="s">
        <v>662</v>
      </c>
      <c r="G808" s="7" t="s">
        <v>1545</v>
      </c>
      <c r="H808" s="7" t="s">
        <v>1362</v>
      </c>
      <c r="I808" s="7" t="s">
        <v>1253</v>
      </c>
      <c r="K808" s="7" t="s">
        <v>260</v>
      </c>
      <c r="L808" s="11">
        <v>102.96</v>
      </c>
      <c r="M808" s="11">
        <v>156480.99</v>
      </c>
      <c r="N808" s="9">
        <f t="shared" si="20"/>
        <v>102.96</v>
      </c>
    </row>
    <row r="809" spans="1:14" ht="12.75" hidden="1" customHeight="1" x14ac:dyDescent="0.2">
      <c r="A809">
        <v>65061</v>
      </c>
      <c r="B809" s="3" t="s">
        <v>1253</v>
      </c>
      <c r="C809" s="7" t="s">
        <v>659</v>
      </c>
      <c r="D809" s="7" t="s">
        <v>242</v>
      </c>
      <c r="F809" s="7" t="s">
        <v>241</v>
      </c>
      <c r="G809" s="7" t="s">
        <v>1545</v>
      </c>
      <c r="H809" s="7" t="s">
        <v>1362</v>
      </c>
      <c r="I809" s="7" t="s">
        <v>1253</v>
      </c>
      <c r="K809" s="7" t="s">
        <v>260</v>
      </c>
      <c r="L809" s="11">
        <v>-74.61</v>
      </c>
      <c r="M809" s="11">
        <v>156406.38</v>
      </c>
      <c r="N809" s="9">
        <f t="shared" si="20"/>
        <v>-74.61</v>
      </c>
    </row>
    <row r="810" spans="1:14" ht="12.75" hidden="1" customHeight="1" x14ac:dyDescent="0.2">
      <c r="A810">
        <v>65061</v>
      </c>
      <c r="B810" s="3" t="s">
        <v>1253</v>
      </c>
      <c r="C810" s="7" t="s">
        <v>650</v>
      </c>
      <c r="D810" s="7" t="s">
        <v>221</v>
      </c>
      <c r="F810" s="7" t="s">
        <v>571</v>
      </c>
      <c r="G810" s="7" t="s">
        <v>1545</v>
      </c>
      <c r="H810" s="7" t="s">
        <v>1362</v>
      </c>
      <c r="I810" s="7" t="s">
        <v>1253</v>
      </c>
      <c r="K810" s="7" t="s">
        <v>260</v>
      </c>
      <c r="L810" s="11">
        <v>74.36</v>
      </c>
      <c r="M810" s="11">
        <v>165182.38</v>
      </c>
      <c r="N810" s="9">
        <f t="shared" si="20"/>
        <v>74.36</v>
      </c>
    </row>
    <row r="811" spans="1:14" ht="12.75" hidden="1" customHeight="1" x14ac:dyDescent="0.2">
      <c r="A811">
        <v>65061</v>
      </c>
      <c r="B811" s="3" t="s">
        <v>1253</v>
      </c>
      <c r="C811" s="7" t="s">
        <v>639</v>
      </c>
      <c r="D811" s="7" t="s">
        <v>221</v>
      </c>
      <c r="F811" s="7" t="s">
        <v>641</v>
      </c>
      <c r="G811" s="7" t="s">
        <v>1545</v>
      </c>
      <c r="H811" s="7" t="s">
        <v>1362</v>
      </c>
      <c r="I811" s="7" t="s">
        <v>1253</v>
      </c>
      <c r="K811" s="7" t="s">
        <v>260</v>
      </c>
      <c r="L811" s="11">
        <v>5.43</v>
      </c>
      <c r="M811" s="11">
        <v>168709.67</v>
      </c>
      <c r="N811" s="9">
        <f t="shared" si="20"/>
        <v>5.43</v>
      </c>
    </row>
    <row r="812" spans="1:14" ht="12.75" hidden="1" customHeight="1" x14ac:dyDescent="0.2">
      <c r="A812">
        <v>65061</v>
      </c>
      <c r="B812" s="3" t="s">
        <v>1253</v>
      </c>
      <c r="C812" s="7" t="s">
        <v>637</v>
      </c>
      <c r="D812" s="7" t="s">
        <v>221</v>
      </c>
      <c r="F812" s="7" t="s">
        <v>615</v>
      </c>
      <c r="G812" s="7" t="s">
        <v>1545</v>
      </c>
      <c r="H812" s="7" t="s">
        <v>1362</v>
      </c>
      <c r="I812" s="7" t="s">
        <v>1253</v>
      </c>
      <c r="K812" s="7" t="s">
        <v>260</v>
      </c>
      <c r="L812" s="11">
        <v>19.27</v>
      </c>
      <c r="M812" s="11">
        <v>169405.29</v>
      </c>
      <c r="N812" s="9">
        <f t="shared" si="20"/>
        <v>19.27</v>
      </c>
    </row>
    <row r="813" spans="1:14" ht="12.75" hidden="1" customHeight="1" x14ac:dyDescent="0.2">
      <c r="A813">
        <v>65061</v>
      </c>
      <c r="B813" s="3" t="s">
        <v>1253</v>
      </c>
      <c r="C813" s="7" t="s">
        <v>486</v>
      </c>
      <c r="D813" s="7" t="s">
        <v>200</v>
      </c>
      <c r="E813" s="7">
        <v>1015</v>
      </c>
      <c r="F813" s="7" t="s">
        <v>636</v>
      </c>
      <c r="G813" s="7" t="s">
        <v>1545</v>
      </c>
      <c r="H813" s="7" t="s">
        <v>1362</v>
      </c>
      <c r="I813" s="7" t="s">
        <v>1253</v>
      </c>
      <c r="K813" s="7" t="s">
        <v>260</v>
      </c>
      <c r="L813" s="11">
        <v>162.02000000000001</v>
      </c>
      <c r="M813" s="11">
        <v>169717.92</v>
      </c>
      <c r="N813" s="9">
        <f t="shared" si="20"/>
        <v>162.02000000000001</v>
      </c>
    </row>
    <row r="814" spans="1:14" ht="12.75" hidden="1" customHeight="1" x14ac:dyDescent="0.2">
      <c r="A814">
        <v>65061</v>
      </c>
      <c r="B814" s="3" t="s">
        <v>1253</v>
      </c>
      <c r="C814" s="7" t="s">
        <v>214</v>
      </c>
      <c r="D814" s="7" t="s">
        <v>221</v>
      </c>
      <c r="F814" s="7" t="s">
        <v>573</v>
      </c>
      <c r="G814" s="7" t="s">
        <v>1545</v>
      </c>
      <c r="H814" s="7" t="s">
        <v>1362</v>
      </c>
      <c r="I814" s="7" t="s">
        <v>1253</v>
      </c>
      <c r="K814" s="7" t="s">
        <v>260</v>
      </c>
      <c r="L814" s="11">
        <v>1104.69</v>
      </c>
      <c r="M814" s="11">
        <v>171926.98</v>
      </c>
      <c r="N814" s="9">
        <f t="shared" si="20"/>
        <v>1104.69</v>
      </c>
    </row>
    <row r="815" spans="1:14" ht="12.75" hidden="1" customHeight="1" x14ac:dyDescent="0.2">
      <c r="A815">
        <v>65061</v>
      </c>
      <c r="B815" s="3" t="s">
        <v>1253</v>
      </c>
      <c r="C815" s="7" t="s">
        <v>214</v>
      </c>
      <c r="D815" s="7" t="s">
        <v>221</v>
      </c>
      <c r="F815" s="7" t="s">
        <v>241</v>
      </c>
      <c r="G815" s="7" t="s">
        <v>1545</v>
      </c>
      <c r="H815" s="7" t="s">
        <v>1362</v>
      </c>
      <c r="I815" s="7" t="s">
        <v>1253</v>
      </c>
      <c r="K815" s="7" t="s">
        <v>260</v>
      </c>
      <c r="L815" s="11">
        <v>132.41</v>
      </c>
      <c r="M815" s="11">
        <v>172059.39</v>
      </c>
      <c r="N815" s="9">
        <f t="shared" si="20"/>
        <v>132.41</v>
      </c>
    </row>
    <row r="816" spans="1:14" ht="12.75" hidden="1" customHeight="1" x14ac:dyDescent="0.2">
      <c r="A816">
        <v>65061</v>
      </c>
      <c r="B816" s="3" t="s">
        <v>1253</v>
      </c>
      <c r="C816" s="7" t="s">
        <v>214</v>
      </c>
      <c r="D816" s="7" t="s">
        <v>221</v>
      </c>
      <c r="F816" s="7" t="s">
        <v>595</v>
      </c>
      <c r="G816" s="7" t="s">
        <v>1545</v>
      </c>
      <c r="H816" s="7" t="s">
        <v>1362</v>
      </c>
      <c r="I816" s="7" t="s">
        <v>1253</v>
      </c>
      <c r="K816" s="7" t="s">
        <v>260</v>
      </c>
      <c r="L816" s="11">
        <v>363.86</v>
      </c>
      <c r="M816" s="11">
        <v>172423.25</v>
      </c>
      <c r="N816" s="9">
        <f t="shared" si="20"/>
        <v>363.86</v>
      </c>
    </row>
    <row r="817" spans="1:14" ht="12.75" hidden="1" customHeight="1" x14ac:dyDescent="0.2">
      <c r="A817">
        <v>65061</v>
      </c>
      <c r="B817" s="3" t="s">
        <v>1253</v>
      </c>
      <c r="C817" s="7" t="s">
        <v>214</v>
      </c>
      <c r="D817" s="7" t="s">
        <v>221</v>
      </c>
      <c r="F817" s="7" t="s">
        <v>629</v>
      </c>
      <c r="G817" s="7" t="s">
        <v>1545</v>
      </c>
      <c r="H817" s="7" t="s">
        <v>1362</v>
      </c>
      <c r="I817" s="7" t="s">
        <v>1253</v>
      </c>
      <c r="K817" s="7" t="s">
        <v>260</v>
      </c>
      <c r="L817" s="11">
        <v>36.4</v>
      </c>
      <c r="M817" s="11">
        <v>172459.65</v>
      </c>
      <c r="N817" s="9">
        <f t="shared" si="20"/>
        <v>36.4</v>
      </c>
    </row>
    <row r="818" spans="1:14" ht="12.75" hidden="1" customHeight="1" x14ac:dyDescent="0.2">
      <c r="A818">
        <v>65061</v>
      </c>
      <c r="B818" s="3" t="s">
        <v>1253</v>
      </c>
      <c r="C818" s="7" t="s">
        <v>214</v>
      </c>
      <c r="D818" s="7" t="s">
        <v>200</v>
      </c>
      <c r="E818" s="7">
        <v>1017</v>
      </c>
      <c r="F818" s="7" t="s">
        <v>628</v>
      </c>
      <c r="G818" s="7" t="s">
        <v>1545</v>
      </c>
      <c r="H818" s="7" t="s">
        <v>1362</v>
      </c>
      <c r="I818" s="7" t="s">
        <v>1253</v>
      </c>
      <c r="K818" s="7" t="s">
        <v>260</v>
      </c>
      <c r="L818" s="11">
        <v>71.819999999999993</v>
      </c>
      <c r="M818" s="11">
        <v>172531.47</v>
      </c>
      <c r="N818" s="9">
        <f t="shared" si="20"/>
        <v>71.819999999999993</v>
      </c>
    </row>
    <row r="819" spans="1:14" ht="12.75" hidden="1" customHeight="1" x14ac:dyDescent="0.2">
      <c r="A819">
        <v>65061</v>
      </c>
      <c r="B819" s="3" t="s">
        <v>1253</v>
      </c>
      <c r="C819" s="7" t="s">
        <v>427</v>
      </c>
      <c r="D819" s="7" t="s">
        <v>221</v>
      </c>
      <c r="F819" s="7" t="s">
        <v>624</v>
      </c>
      <c r="G819" s="7" t="s">
        <v>1545</v>
      </c>
      <c r="H819" s="7" t="s">
        <v>1362</v>
      </c>
      <c r="I819" s="7" t="s">
        <v>1253</v>
      </c>
      <c r="K819" s="7" t="s">
        <v>260</v>
      </c>
      <c r="L819" s="11">
        <v>292.77</v>
      </c>
      <c r="M819" s="11">
        <v>175236.45</v>
      </c>
      <c r="N819" s="9">
        <f t="shared" si="20"/>
        <v>292.77</v>
      </c>
    </row>
    <row r="820" spans="1:14" ht="12.75" hidden="1" customHeight="1" x14ac:dyDescent="0.2">
      <c r="A820">
        <v>65061</v>
      </c>
      <c r="B820" s="3" t="s">
        <v>1253</v>
      </c>
      <c r="C820" s="7" t="s">
        <v>427</v>
      </c>
      <c r="D820" s="7" t="s">
        <v>221</v>
      </c>
      <c r="F820" s="7" t="s">
        <v>366</v>
      </c>
      <c r="G820" s="7" t="s">
        <v>1545</v>
      </c>
      <c r="H820" s="7" t="s">
        <v>1362</v>
      </c>
      <c r="I820" s="7" t="s">
        <v>1253</v>
      </c>
      <c r="K820" s="7" t="s">
        <v>260</v>
      </c>
      <c r="L820" s="11">
        <v>100</v>
      </c>
      <c r="M820" s="11">
        <v>175336.45</v>
      </c>
      <c r="N820" s="9">
        <f t="shared" si="20"/>
        <v>100</v>
      </c>
    </row>
    <row r="821" spans="1:14" ht="12.75" hidden="1" customHeight="1" x14ac:dyDescent="0.2">
      <c r="A821">
        <v>65061</v>
      </c>
      <c r="B821" s="3" t="s">
        <v>1253</v>
      </c>
      <c r="C821" s="7" t="s">
        <v>617</v>
      </c>
      <c r="D821" s="7" t="s">
        <v>221</v>
      </c>
      <c r="F821" s="7" t="s">
        <v>570</v>
      </c>
      <c r="G821" s="7" t="s">
        <v>1545</v>
      </c>
      <c r="H821" s="7" t="s">
        <v>1362</v>
      </c>
      <c r="I821" s="7" t="s">
        <v>1253</v>
      </c>
      <c r="K821" s="7" t="s">
        <v>260</v>
      </c>
      <c r="L821" s="11">
        <v>210.32</v>
      </c>
      <c r="M821" s="11">
        <v>179475.66</v>
      </c>
      <c r="N821" s="9">
        <f t="shared" si="20"/>
        <v>210.32</v>
      </c>
    </row>
    <row r="822" spans="1:14" ht="12.75" hidden="1" customHeight="1" x14ac:dyDescent="0.2">
      <c r="A822">
        <v>65061</v>
      </c>
      <c r="B822" s="3" t="s">
        <v>1253</v>
      </c>
      <c r="C822" s="7" t="s">
        <v>617</v>
      </c>
      <c r="D822" s="7" t="s">
        <v>221</v>
      </c>
      <c r="F822" s="7" t="s">
        <v>241</v>
      </c>
      <c r="G822" s="7" t="s">
        <v>1545</v>
      </c>
      <c r="H822" s="7" t="s">
        <v>1362</v>
      </c>
      <c r="I822" s="7" t="s">
        <v>1253</v>
      </c>
      <c r="K822" s="7" t="s">
        <v>260</v>
      </c>
      <c r="L822" s="11">
        <v>22.88</v>
      </c>
      <c r="M822" s="11">
        <v>179498.54</v>
      </c>
      <c r="N822" s="9">
        <f t="shared" si="20"/>
        <v>22.88</v>
      </c>
    </row>
    <row r="823" spans="1:14" ht="12.75" hidden="1" customHeight="1" x14ac:dyDescent="0.2">
      <c r="A823">
        <v>65061</v>
      </c>
      <c r="B823" s="3" t="s">
        <v>1253</v>
      </c>
      <c r="C823" s="7" t="s">
        <v>611</v>
      </c>
      <c r="D823" s="7" t="s">
        <v>221</v>
      </c>
      <c r="F823" s="7" t="s">
        <v>615</v>
      </c>
      <c r="G823" s="7" t="s">
        <v>1545</v>
      </c>
      <c r="H823" s="7" t="s">
        <v>1362</v>
      </c>
      <c r="I823" s="7" t="s">
        <v>1253</v>
      </c>
      <c r="K823" s="7" t="s">
        <v>260</v>
      </c>
      <c r="L823" s="11">
        <v>22.65</v>
      </c>
      <c r="M823" s="11">
        <v>179900.38</v>
      </c>
      <c r="N823" s="9">
        <f t="shared" si="20"/>
        <v>22.65</v>
      </c>
    </row>
    <row r="824" spans="1:14" ht="12.75" hidden="1" customHeight="1" x14ac:dyDescent="0.2">
      <c r="A824">
        <v>65061</v>
      </c>
      <c r="B824" s="3" t="s">
        <v>1253</v>
      </c>
      <c r="C824" s="7" t="s">
        <v>611</v>
      </c>
      <c r="D824" s="7" t="s">
        <v>221</v>
      </c>
      <c r="F824" s="7" t="s">
        <v>602</v>
      </c>
      <c r="G824" s="7" t="s">
        <v>1545</v>
      </c>
      <c r="H824" s="7" t="s">
        <v>1362</v>
      </c>
      <c r="I824" s="7" t="s">
        <v>1253</v>
      </c>
      <c r="K824" s="7" t="s">
        <v>260</v>
      </c>
      <c r="L824" s="11">
        <v>8.5299999999999994</v>
      </c>
      <c r="M824" s="11">
        <v>179908.91</v>
      </c>
      <c r="N824" s="9">
        <f t="shared" si="20"/>
        <v>8.5299999999999994</v>
      </c>
    </row>
    <row r="825" spans="1:14" ht="12.75" hidden="1" customHeight="1" x14ac:dyDescent="0.2">
      <c r="A825">
        <v>65061</v>
      </c>
      <c r="B825" s="3" t="s">
        <v>1253</v>
      </c>
      <c r="C825" s="7" t="s">
        <v>434</v>
      </c>
      <c r="D825" s="7" t="s">
        <v>221</v>
      </c>
      <c r="F825" s="7" t="s">
        <v>602</v>
      </c>
      <c r="G825" s="7" t="s">
        <v>1545</v>
      </c>
      <c r="H825" s="7" t="s">
        <v>1362</v>
      </c>
      <c r="I825" s="7" t="s">
        <v>1253</v>
      </c>
      <c r="K825" s="7" t="s">
        <v>260</v>
      </c>
      <c r="L825" s="11">
        <v>5.39</v>
      </c>
      <c r="M825" s="11">
        <v>181099.27</v>
      </c>
      <c r="N825" s="9">
        <f t="shared" si="20"/>
        <v>5.39</v>
      </c>
    </row>
    <row r="826" spans="1:14" ht="12.75" hidden="1" customHeight="1" x14ac:dyDescent="0.2">
      <c r="A826">
        <v>65061</v>
      </c>
      <c r="B826" s="3" t="s">
        <v>1253</v>
      </c>
      <c r="C826" s="7" t="s">
        <v>585</v>
      </c>
      <c r="D826" s="7" t="s">
        <v>221</v>
      </c>
      <c r="F826" s="7" t="s">
        <v>592</v>
      </c>
      <c r="G826" s="7" t="s">
        <v>1545</v>
      </c>
      <c r="H826" s="7" t="s">
        <v>1362</v>
      </c>
      <c r="I826" s="7" t="s">
        <v>1253</v>
      </c>
      <c r="K826" s="7" t="s">
        <v>260</v>
      </c>
      <c r="L826" s="11">
        <v>31.14</v>
      </c>
      <c r="M826" s="11">
        <v>182096.87</v>
      </c>
      <c r="N826" s="9">
        <f t="shared" si="20"/>
        <v>31.14</v>
      </c>
    </row>
    <row r="827" spans="1:14" ht="12.75" hidden="1" customHeight="1" x14ac:dyDescent="0.2">
      <c r="A827">
        <v>65061</v>
      </c>
      <c r="B827" s="3" t="s">
        <v>1253</v>
      </c>
      <c r="C827" s="7" t="s">
        <v>585</v>
      </c>
      <c r="D827" s="7" t="s">
        <v>221</v>
      </c>
      <c r="F827" s="7" t="s">
        <v>591</v>
      </c>
      <c r="G827" s="7" t="s">
        <v>1545</v>
      </c>
      <c r="H827" s="7" t="s">
        <v>1362</v>
      </c>
      <c r="I827" s="7" t="s">
        <v>1253</v>
      </c>
      <c r="K827" s="7" t="s">
        <v>260</v>
      </c>
      <c r="L827" s="11">
        <v>70.11</v>
      </c>
      <c r="M827" s="11">
        <v>182166.98</v>
      </c>
      <c r="N827" s="9">
        <f t="shared" si="20"/>
        <v>70.11</v>
      </c>
    </row>
    <row r="828" spans="1:14" ht="12.75" hidden="1" customHeight="1" x14ac:dyDescent="0.2">
      <c r="A828">
        <v>65061</v>
      </c>
      <c r="B828" s="3" t="s">
        <v>1253</v>
      </c>
      <c r="C828" s="7" t="s">
        <v>585</v>
      </c>
      <c r="D828" s="7" t="s">
        <v>221</v>
      </c>
      <c r="F828" s="7" t="s">
        <v>577</v>
      </c>
      <c r="G828" s="7" t="s">
        <v>1545</v>
      </c>
      <c r="H828" s="7" t="s">
        <v>1362</v>
      </c>
      <c r="I828" s="7" t="s">
        <v>1253</v>
      </c>
      <c r="K828" s="7" t="s">
        <v>260</v>
      </c>
      <c r="L828" s="11">
        <v>65.069999999999993</v>
      </c>
      <c r="M828" s="11">
        <v>182232.05</v>
      </c>
      <c r="N828" s="9">
        <f t="shared" si="20"/>
        <v>65.069999999999993</v>
      </c>
    </row>
    <row r="829" spans="1:14" ht="12.75" hidden="1" customHeight="1" x14ac:dyDescent="0.2">
      <c r="A829">
        <v>65061</v>
      </c>
      <c r="B829" s="3" t="s">
        <v>1253</v>
      </c>
      <c r="C829" s="7" t="s">
        <v>585</v>
      </c>
      <c r="D829" s="7" t="s">
        <v>221</v>
      </c>
      <c r="F829" s="7" t="s">
        <v>591</v>
      </c>
      <c r="G829" s="7" t="s">
        <v>1545</v>
      </c>
      <c r="H829" s="7" t="s">
        <v>1362</v>
      </c>
      <c r="I829" s="7" t="s">
        <v>1253</v>
      </c>
      <c r="K829" s="7" t="s">
        <v>260</v>
      </c>
      <c r="L829" s="11">
        <v>63.21</v>
      </c>
      <c r="M829" s="11">
        <v>182295.26</v>
      </c>
      <c r="N829" s="9">
        <f t="shared" si="20"/>
        <v>63.21</v>
      </c>
    </row>
    <row r="830" spans="1:14" ht="12.75" hidden="1" customHeight="1" x14ac:dyDescent="0.2">
      <c r="A830">
        <v>65061</v>
      </c>
      <c r="B830" s="3" t="s">
        <v>1253</v>
      </c>
      <c r="C830" s="7" t="s">
        <v>585</v>
      </c>
      <c r="D830" s="7" t="s">
        <v>221</v>
      </c>
      <c r="F830" s="7" t="s">
        <v>265</v>
      </c>
      <c r="G830" s="7" t="s">
        <v>1545</v>
      </c>
      <c r="H830" s="7" t="s">
        <v>1362</v>
      </c>
      <c r="I830" s="7" t="s">
        <v>1253</v>
      </c>
      <c r="K830" s="7" t="s">
        <v>260</v>
      </c>
      <c r="L830" s="11">
        <v>13.84</v>
      </c>
      <c r="M830" s="11">
        <v>182309.1</v>
      </c>
      <c r="N830" s="9">
        <f t="shared" si="20"/>
        <v>13.84</v>
      </c>
    </row>
    <row r="831" spans="1:14" ht="12.75" hidden="1" customHeight="1" x14ac:dyDescent="0.2">
      <c r="A831">
        <v>65061</v>
      </c>
      <c r="B831" s="3" t="s">
        <v>1253</v>
      </c>
      <c r="C831" s="7" t="s">
        <v>585</v>
      </c>
      <c r="D831" s="7" t="s">
        <v>221</v>
      </c>
      <c r="F831" s="7" t="s">
        <v>265</v>
      </c>
      <c r="G831" s="7" t="s">
        <v>1545</v>
      </c>
      <c r="H831" s="7" t="s">
        <v>1362</v>
      </c>
      <c r="I831" s="7" t="s">
        <v>1253</v>
      </c>
      <c r="K831" s="7" t="s">
        <v>260</v>
      </c>
      <c r="L831" s="11">
        <v>20.09</v>
      </c>
      <c r="M831" s="11">
        <v>182329.19</v>
      </c>
      <c r="N831" s="9">
        <f t="shared" si="20"/>
        <v>20.09</v>
      </c>
    </row>
    <row r="832" spans="1:14" ht="12.75" hidden="1" customHeight="1" x14ac:dyDescent="0.2">
      <c r="A832">
        <v>65061</v>
      </c>
      <c r="B832" s="3" t="s">
        <v>1253</v>
      </c>
      <c r="C832" s="7" t="s">
        <v>585</v>
      </c>
      <c r="D832" s="7" t="s">
        <v>221</v>
      </c>
      <c r="F832" s="7" t="s">
        <v>573</v>
      </c>
      <c r="G832" s="7" t="s">
        <v>1545</v>
      </c>
      <c r="H832" s="7" t="s">
        <v>1362</v>
      </c>
      <c r="I832" s="7" t="s">
        <v>1253</v>
      </c>
      <c r="K832" s="7" t="s">
        <v>260</v>
      </c>
      <c r="L832" s="11">
        <v>182.34</v>
      </c>
      <c r="M832" s="11">
        <v>182511.53</v>
      </c>
      <c r="N832" s="9">
        <f t="shared" si="20"/>
        <v>182.34</v>
      </c>
    </row>
    <row r="833" spans="1:14" ht="12.75" hidden="1" customHeight="1" x14ac:dyDescent="0.2">
      <c r="A833">
        <v>65061</v>
      </c>
      <c r="B833" s="3" t="s">
        <v>1253</v>
      </c>
      <c r="C833" s="7" t="s">
        <v>585</v>
      </c>
      <c r="D833" s="7" t="s">
        <v>221</v>
      </c>
      <c r="F833" s="7" t="s">
        <v>241</v>
      </c>
      <c r="G833" s="7" t="s">
        <v>1545</v>
      </c>
      <c r="H833" s="7" t="s">
        <v>1362</v>
      </c>
      <c r="I833" s="7" t="s">
        <v>1253</v>
      </c>
      <c r="K833" s="7" t="s">
        <v>260</v>
      </c>
      <c r="L833" s="11">
        <v>90.08</v>
      </c>
      <c r="M833" s="11">
        <v>182601.61</v>
      </c>
      <c r="N833" s="9">
        <f t="shared" si="20"/>
        <v>90.08</v>
      </c>
    </row>
    <row r="834" spans="1:14" ht="12.75" hidden="1" customHeight="1" x14ac:dyDescent="0.2">
      <c r="A834">
        <v>65061</v>
      </c>
      <c r="B834" s="3" t="s">
        <v>1253</v>
      </c>
      <c r="C834" s="7" t="s">
        <v>585</v>
      </c>
      <c r="D834" s="7" t="s">
        <v>221</v>
      </c>
      <c r="F834" s="7" t="s">
        <v>569</v>
      </c>
      <c r="G834" s="7" t="s">
        <v>1545</v>
      </c>
      <c r="H834" s="7" t="s">
        <v>1362</v>
      </c>
      <c r="I834" s="7" t="s">
        <v>1253</v>
      </c>
      <c r="K834" s="7" t="s">
        <v>260</v>
      </c>
      <c r="L834" s="11">
        <v>103</v>
      </c>
      <c r="M834" s="11">
        <v>182788.43</v>
      </c>
      <c r="N834" s="9">
        <f t="shared" si="20"/>
        <v>103</v>
      </c>
    </row>
    <row r="835" spans="1:14" ht="12.75" hidden="1" customHeight="1" x14ac:dyDescent="0.2">
      <c r="A835">
        <v>65061</v>
      </c>
      <c r="B835" s="3" t="s">
        <v>1253</v>
      </c>
      <c r="C835" s="7" t="s">
        <v>576</v>
      </c>
      <c r="D835" s="7" t="s">
        <v>221</v>
      </c>
      <c r="F835" s="7" t="s">
        <v>578</v>
      </c>
      <c r="G835" s="7" t="s">
        <v>1545</v>
      </c>
      <c r="H835" s="7" t="s">
        <v>1362</v>
      </c>
      <c r="I835" s="7" t="s">
        <v>1253</v>
      </c>
      <c r="K835" s="7" t="s">
        <v>260</v>
      </c>
      <c r="L835" s="11">
        <v>52.29</v>
      </c>
      <c r="M835" s="11">
        <v>184920.01</v>
      </c>
      <c r="N835" s="9">
        <f t="shared" si="20"/>
        <v>52.29</v>
      </c>
    </row>
    <row r="836" spans="1:14" ht="12.75" hidden="1" customHeight="1" x14ac:dyDescent="0.2">
      <c r="A836">
        <v>65061</v>
      </c>
      <c r="B836" s="3" t="s">
        <v>1253</v>
      </c>
      <c r="C836" s="7" t="s">
        <v>576</v>
      </c>
      <c r="D836" s="7" t="s">
        <v>221</v>
      </c>
      <c r="F836" s="7" t="s">
        <v>548</v>
      </c>
      <c r="G836" s="7" t="s">
        <v>1545</v>
      </c>
      <c r="H836" s="7" t="s">
        <v>1362</v>
      </c>
      <c r="I836" s="7" t="s">
        <v>1253</v>
      </c>
      <c r="K836" s="7" t="s">
        <v>260</v>
      </c>
      <c r="L836" s="11">
        <v>224.05</v>
      </c>
      <c r="M836" s="11">
        <v>185144.06</v>
      </c>
      <c r="N836" s="9">
        <f t="shared" si="20"/>
        <v>224.05</v>
      </c>
    </row>
    <row r="837" spans="1:14" ht="12.75" hidden="1" customHeight="1" x14ac:dyDescent="0.2">
      <c r="A837">
        <v>65061</v>
      </c>
      <c r="B837" s="3" t="s">
        <v>1253</v>
      </c>
      <c r="C837" s="7" t="s">
        <v>576</v>
      </c>
      <c r="D837" s="7" t="s">
        <v>221</v>
      </c>
      <c r="F837" s="7" t="s">
        <v>573</v>
      </c>
      <c r="G837" s="7" t="s">
        <v>1545</v>
      </c>
      <c r="H837" s="7" t="s">
        <v>1362</v>
      </c>
      <c r="I837" s="7" t="s">
        <v>1253</v>
      </c>
      <c r="K837" s="7" t="s">
        <v>260</v>
      </c>
      <c r="L837" s="11">
        <v>160.56</v>
      </c>
      <c r="M837" s="11">
        <v>185304.62</v>
      </c>
      <c r="N837" s="9">
        <f t="shared" si="20"/>
        <v>160.56</v>
      </c>
    </row>
    <row r="838" spans="1:14" ht="12.75" hidden="1" customHeight="1" x14ac:dyDescent="0.2">
      <c r="A838">
        <v>65061</v>
      </c>
      <c r="B838" s="3" t="s">
        <v>1253</v>
      </c>
      <c r="C838" s="7" t="s">
        <v>576</v>
      </c>
      <c r="D838" s="7" t="s">
        <v>221</v>
      </c>
      <c r="F838" s="7" t="s">
        <v>577</v>
      </c>
      <c r="G838" s="7" t="s">
        <v>1545</v>
      </c>
      <c r="H838" s="7" t="s">
        <v>1362</v>
      </c>
      <c r="I838" s="7" t="s">
        <v>1253</v>
      </c>
      <c r="K838" s="7" t="s">
        <v>260</v>
      </c>
      <c r="L838" s="11">
        <v>18.190000000000001</v>
      </c>
      <c r="M838" s="11">
        <v>185322.81</v>
      </c>
      <c r="N838" s="9">
        <f t="shared" si="20"/>
        <v>18.190000000000001</v>
      </c>
    </row>
    <row r="839" spans="1:14" ht="12.75" hidden="1" customHeight="1" x14ac:dyDescent="0.2">
      <c r="A839">
        <v>65061</v>
      </c>
      <c r="B839" s="3" t="s">
        <v>1253</v>
      </c>
      <c r="C839" s="7" t="s">
        <v>210</v>
      </c>
      <c r="D839" s="7" t="s">
        <v>221</v>
      </c>
      <c r="F839" s="7" t="s">
        <v>241</v>
      </c>
      <c r="G839" s="7" t="s">
        <v>1545</v>
      </c>
      <c r="H839" s="7" t="s">
        <v>1362</v>
      </c>
      <c r="I839" s="7" t="s">
        <v>1253</v>
      </c>
      <c r="K839" s="7" t="s">
        <v>260</v>
      </c>
      <c r="L839" s="11">
        <v>144.49</v>
      </c>
      <c r="M839" s="11">
        <v>187250.59</v>
      </c>
      <c r="N839" s="9">
        <f t="shared" si="20"/>
        <v>144.49</v>
      </c>
    </row>
    <row r="840" spans="1:14" ht="12.75" hidden="1" customHeight="1" x14ac:dyDescent="0.2">
      <c r="A840">
        <v>65061</v>
      </c>
      <c r="B840" s="3" t="s">
        <v>1253</v>
      </c>
      <c r="C840" s="7" t="s">
        <v>210</v>
      </c>
      <c r="D840" s="7" t="s">
        <v>221</v>
      </c>
      <c r="F840" s="7" t="s">
        <v>241</v>
      </c>
      <c r="G840" s="7" t="s">
        <v>1545</v>
      </c>
      <c r="H840" s="7" t="s">
        <v>1362</v>
      </c>
      <c r="I840" s="7" t="s">
        <v>1253</v>
      </c>
      <c r="K840" s="7" t="s">
        <v>260</v>
      </c>
      <c r="L840" s="11">
        <v>457.65</v>
      </c>
      <c r="M840" s="11">
        <v>187708.24</v>
      </c>
      <c r="N840" s="9">
        <f t="shared" si="20"/>
        <v>457.65</v>
      </c>
    </row>
    <row r="841" spans="1:14" ht="12.75" hidden="1" customHeight="1" x14ac:dyDescent="0.2">
      <c r="A841">
        <v>65061</v>
      </c>
      <c r="B841" s="3" t="s">
        <v>1253</v>
      </c>
      <c r="C841" s="7" t="s">
        <v>210</v>
      </c>
      <c r="D841" s="7" t="s">
        <v>221</v>
      </c>
      <c r="F841" s="7" t="s">
        <v>241</v>
      </c>
      <c r="G841" s="7" t="s">
        <v>1545</v>
      </c>
      <c r="H841" s="7" t="s">
        <v>1362</v>
      </c>
      <c r="I841" s="7" t="s">
        <v>1253</v>
      </c>
      <c r="K841" s="7" t="s">
        <v>260</v>
      </c>
      <c r="L841" s="11">
        <v>15</v>
      </c>
      <c r="M841" s="11">
        <v>187759.2</v>
      </c>
      <c r="N841" s="9">
        <f t="shared" si="20"/>
        <v>15</v>
      </c>
    </row>
    <row r="842" spans="1:14" ht="12.75" hidden="1" customHeight="1" x14ac:dyDescent="0.2">
      <c r="A842">
        <v>65061</v>
      </c>
      <c r="B842" s="3" t="s">
        <v>1253</v>
      </c>
      <c r="C842" s="7" t="s">
        <v>210</v>
      </c>
      <c r="D842" s="7" t="s">
        <v>221</v>
      </c>
      <c r="F842" s="7" t="s">
        <v>241</v>
      </c>
      <c r="G842" s="7" t="s">
        <v>1545</v>
      </c>
      <c r="H842" s="7" t="s">
        <v>1362</v>
      </c>
      <c r="I842" s="7" t="s">
        <v>1253</v>
      </c>
      <c r="K842" s="7" t="s">
        <v>260</v>
      </c>
      <c r="L842" s="11">
        <v>74.36</v>
      </c>
      <c r="M842" s="11">
        <v>187833.56</v>
      </c>
      <c r="N842" s="9">
        <f t="shared" si="20"/>
        <v>74.36</v>
      </c>
    </row>
    <row r="843" spans="1:14" ht="12.75" hidden="1" customHeight="1" x14ac:dyDescent="0.2">
      <c r="A843">
        <v>65061</v>
      </c>
      <c r="B843" s="3" t="s">
        <v>1253</v>
      </c>
      <c r="C843" s="7" t="s">
        <v>210</v>
      </c>
      <c r="D843" s="7" t="s">
        <v>221</v>
      </c>
      <c r="F843" s="7" t="s">
        <v>241</v>
      </c>
      <c r="G843" s="7" t="s">
        <v>1545</v>
      </c>
      <c r="H843" s="7" t="s">
        <v>1362</v>
      </c>
      <c r="I843" s="7" t="s">
        <v>1253</v>
      </c>
      <c r="K843" s="7" t="s">
        <v>260</v>
      </c>
      <c r="L843" s="11">
        <v>111.52</v>
      </c>
      <c r="M843" s="11">
        <v>187945.08</v>
      </c>
      <c r="N843" s="9">
        <f t="shared" si="20"/>
        <v>111.52</v>
      </c>
    </row>
    <row r="844" spans="1:14" ht="12.75" hidden="1" customHeight="1" x14ac:dyDescent="0.2">
      <c r="A844">
        <v>65061</v>
      </c>
      <c r="B844" s="3" t="s">
        <v>1253</v>
      </c>
      <c r="C844" s="7" t="s">
        <v>210</v>
      </c>
      <c r="D844" s="7" t="s">
        <v>221</v>
      </c>
      <c r="F844" s="7" t="s">
        <v>241</v>
      </c>
      <c r="G844" s="7" t="s">
        <v>1545</v>
      </c>
      <c r="H844" s="7" t="s">
        <v>1362</v>
      </c>
      <c r="I844" s="7" t="s">
        <v>1253</v>
      </c>
      <c r="K844" s="7" t="s">
        <v>260</v>
      </c>
      <c r="L844" s="11">
        <v>169.99</v>
      </c>
      <c r="M844" s="11">
        <v>188115.07</v>
      </c>
      <c r="N844" s="9">
        <f t="shared" si="20"/>
        <v>169.99</v>
      </c>
    </row>
    <row r="845" spans="1:14" ht="12.75" hidden="1" customHeight="1" x14ac:dyDescent="0.2">
      <c r="A845">
        <v>65061</v>
      </c>
      <c r="B845" s="3" t="s">
        <v>1253</v>
      </c>
      <c r="C845" s="7" t="s">
        <v>210</v>
      </c>
      <c r="D845" s="7" t="s">
        <v>221</v>
      </c>
      <c r="F845" s="7" t="s">
        <v>573</v>
      </c>
      <c r="G845" s="7" t="s">
        <v>1545</v>
      </c>
      <c r="H845" s="7" t="s">
        <v>1362</v>
      </c>
      <c r="I845" s="7" t="s">
        <v>1253</v>
      </c>
      <c r="K845" s="7" t="s">
        <v>260</v>
      </c>
      <c r="L845" s="11">
        <v>190.9</v>
      </c>
      <c r="M845" s="11">
        <v>188328.84</v>
      </c>
      <c r="N845" s="9">
        <f t="shared" si="20"/>
        <v>190.9</v>
      </c>
    </row>
    <row r="846" spans="1:14" ht="12.75" hidden="1" customHeight="1" x14ac:dyDescent="0.2">
      <c r="A846">
        <v>65061</v>
      </c>
      <c r="B846" s="3" t="s">
        <v>1253</v>
      </c>
      <c r="C846" s="7" t="s">
        <v>426</v>
      </c>
      <c r="D846" s="7" t="s">
        <v>221</v>
      </c>
      <c r="F846" s="7" t="s">
        <v>241</v>
      </c>
      <c r="G846" s="7" t="s">
        <v>1545</v>
      </c>
      <c r="H846" s="7" t="s">
        <v>1362</v>
      </c>
      <c r="I846" s="7" t="s">
        <v>1253</v>
      </c>
      <c r="K846" s="7" t="s">
        <v>260</v>
      </c>
      <c r="L846" s="11">
        <v>149.49</v>
      </c>
      <c r="M846" s="11">
        <v>188405.71</v>
      </c>
      <c r="N846" s="9">
        <f t="shared" si="20"/>
        <v>149.49</v>
      </c>
    </row>
    <row r="847" spans="1:14" ht="12.75" hidden="1" customHeight="1" x14ac:dyDescent="0.2">
      <c r="A847">
        <v>65061</v>
      </c>
      <c r="B847" s="3" t="s">
        <v>1253</v>
      </c>
      <c r="C847" s="7" t="s">
        <v>426</v>
      </c>
      <c r="D847" s="7" t="s">
        <v>221</v>
      </c>
      <c r="F847" s="7" t="s">
        <v>570</v>
      </c>
      <c r="G847" s="7" t="s">
        <v>1545</v>
      </c>
      <c r="H847" s="7" t="s">
        <v>1362</v>
      </c>
      <c r="I847" s="7" t="s">
        <v>1253</v>
      </c>
      <c r="K847" s="7" t="s">
        <v>260</v>
      </c>
      <c r="L847" s="11">
        <v>1477.93</v>
      </c>
      <c r="M847" s="11">
        <v>189883.64</v>
      </c>
      <c r="N847" s="9">
        <f t="shared" si="20"/>
        <v>1477.93</v>
      </c>
    </row>
    <row r="848" spans="1:14" ht="12.75" hidden="1" customHeight="1" x14ac:dyDescent="0.2">
      <c r="A848">
        <v>65061</v>
      </c>
      <c r="B848" s="3" t="s">
        <v>1253</v>
      </c>
      <c r="C848" s="7" t="s">
        <v>204</v>
      </c>
      <c r="D848" s="7" t="s">
        <v>221</v>
      </c>
      <c r="F848" s="7" t="s">
        <v>546</v>
      </c>
      <c r="G848" s="7" t="s">
        <v>1545</v>
      </c>
      <c r="H848" s="7" t="s">
        <v>1362</v>
      </c>
      <c r="I848" s="7" t="s">
        <v>1253</v>
      </c>
      <c r="K848" s="7" t="s">
        <v>260</v>
      </c>
      <c r="L848" s="11">
        <v>156.94</v>
      </c>
      <c r="M848" s="11">
        <v>192953.82</v>
      </c>
      <c r="N848" s="9">
        <f t="shared" si="20"/>
        <v>156.94</v>
      </c>
    </row>
    <row r="849" spans="1:14" ht="12.75" hidden="1" customHeight="1" x14ac:dyDescent="0.2">
      <c r="A849">
        <v>65062</v>
      </c>
      <c r="B849" s="3" t="s">
        <v>1254</v>
      </c>
      <c r="C849" s="7" t="s">
        <v>545</v>
      </c>
      <c r="D849" s="7" t="s">
        <v>183</v>
      </c>
      <c r="E849" s="7">
        <v>444</v>
      </c>
      <c r="G849" s="7" t="s">
        <v>1545</v>
      </c>
      <c r="H849" s="7" t="s">
        <v>1362</v>
      </c>
      <c r="I849" s="7" t="s">
        <v>1254</v>
      </c>
      <c r="J849" s="7" t="s">
        <v>544</v>
      </c>
      <c r="K849" s="7" t="s">
        <v>180</v>
      </c>
      <c r="L849" s="11">
        <v>625</v>
      </c>
      <c r="M849" s="11">
        <v>625</v>
      </c>
      <c r="N849" s="9">
        <f t="shared" si="20"/>
        <v>625</v>
      </c>
    </row>
    <row r="850" spans="1:14" ht="12.75" hidden="1" customHeight="1" x14ac:dyDescent="0.2">
      <c r="A850">
        <v>65062</v>
      </c>
      <c r="B850" s="3" t="s">
        <v>1254</v>
      </c>
      <c r="C850" s="7" t="s">
        <v>437</v>
      </c>
      <c r="D850" s="7" t="s">
        <v>183</v>
      </c>
      <c r="E850" s="7">
        <v>445</v>
      </c>
      <c r="G850" s="7" t="s">
        <v>1545</v>
      </c>
      <c r="H850" s="7" t="s">
        <v>1362</v>
      </c>
      <c r="I850" s="7" t="s">
        <v>1254</v>
      </c>
      <c r="K850" s="7" t="s">
        <v>180</v>
      </c>
      <c r="L850" s="11">
        <v>422.5</v>
      </c>
      <c r="M850" s="11">
        <v>4657.42</v>
      </c>
      <c r="N850" s="9">
        <f t="shared" si="20"/>
        <v>422.5</v>
      </c>
    </row>
    <row r="851" spans="1:14" ht="12.75" hidden="1" customHeight="1" x14ac:dyDescent="0.2">
      <c r="A851">
        <v>65062</v>
      </c>
      <c r="B851" s="3" t="s">
        <v>1254</v>
      </c>
      <c r="C851" s="7" t="s">
        <v>372</v>
      </c>
      <c r="D851" s="7" t="s">
        <v>183</v>
      </c>
      <c r="E851" s="7">
        <v>442</v>
      </c>
      <c r="G851" s="7" t="s">
        <v>1545</v>
      </c>
      <c r="H851" s="7" t="s">
        <v>1362</v>
      </c>
      <c r="I851" s="7" t="s">
        <v>1254</v>
      </c>
      <c r="J851" s="7" t="s">
        <v>528</v>
      </c>
      <c r="K851" s="7" t="s">
        <v>180</v>
      </c>
      <c r="L851" s="11">
        <v>287.08</v>
      </c>
      <c r="M851" s="11">
        <v>7235.21</v>
      </c>
      <c r="N851" s="9">
        <f t="shared" si="20"/>
        <v>287.08</v>
      </c>
    </row>
    <row r="852" spans="1:14" ht="12.75" hidden="1" customHeight="1" x14ac:dyDescent="0.2">
      <c r="A852">
        <v>65062</v>
      </c>
      <c r="B852" s="3" t="s">
        <v>1254</v>
      </c>
      <c r="C852" s="7" t="s">
        <v>518</v>
      </c>
      <c r="D852" s="7" t="s">
        <v>183</v>
      </c>
      <c r="E852" s="7">
        <v>443</v>
      </c>
      <c r="G852" s="7" t="s">
        <v>1545</v>
      </c>
      <c r="H852" s="7" t="s">
        <v>1362</v>
      </c>
      <c r="I852" s="7" t="s">
        <v>1254</v>
      </c>
      <c r="J852" s="7" t="s">
        <v>517</v>
      </c>
      <c r="K852" s="7" t="s">
        <v>180</v>
      </c>
      <c r="L852" s="11">
        <v>676.87</v>
      </c>
      <c r="M852" s="11">
        <v>10458.82</v>
      </c>
      <c r="N852" s="9">
        <f t="shared" si="20"/>
        <v>676.87</v>
      </c>
    </row>
    <row r="853" spans="1:14" ht="12.75" hidden="1" customHeight="1" x14ac:dyDescent="0.2">
      <c r="A853">
        <v>65062</v>
      </c>
      <c r="B853" s="3" t="s">
        <v>1254</v>
      </c>
      <c r="C853" s="7" t="s">
        <v>518</v>
      </c>
      <c r="D853" s="7" t="s">
        <v>183</v>
      </c>
      <c r="E853" s="7">
        <v>443</v>
      </c>
      <c r="G853" s="7" t="s">
        <v>1545</v>
      </c>
      <c r="H853" s="7" t="s">
        <v>1362</v>
      </c>
      <c r="I853" s="7" t="s">
        <v>1254</v>
      </c>
      <c r="J853" s="7" t="s">
        <v>519</v>
      </c>
      <c r="K853" s="7" t="s">
        <v>180</v>
      </c>
      <c r="L853" s="11">
        <v>401</v>
      </c>
      <c r="M853" s="11">
        <v>10859.82</v>
      </c>
      <c r="N853" s="9">
        <f t="shared" si="20"/>
        <v>401</v>
      </c>
    </row>
    <row r="854" spans="1:14" ht="12.75" hidden="1" customHeight="1" x14ac:dyDescent="0.2">
      <c r="A854">
        <v>65062</v>
      </c>
      <c r="B854" s="3" t="s">
        <v>1254</v>
      </c>
      <c r="C854" s="7" t="s">
        <v>518</v>
      </c>
      <c r="D854" s="7" t="s">
        <v>183</v>
      </c>
      <c r="E854" s="7">
        <v>443</v>
      </c>
      <c r="G854" s="7" t="s">
        <v>1545</v>
      </c>
      <c r="H854" s="7" t="s">
        <v>1362</v>
      </c>
      <c r="I854" s="7" t="s">
        <v>1254</v>
      </c>
      <c r="J854" s="7" t="s">
        <v>517</v>
      </c>
      <c r="K854" s="7" t="s">
        <v>180</v>
      </c>
      <c r="L854" s="11">
        <v>929.54</v>
      </c>
      <c r="M854" s="11">
        <v>11789.36</v>
      </c>
      <c r="N854" s="9">
        <f t="shared" si="20"/>
        <v>929.54</v>
      </c>
    </row>
    <row r="855" spans="1:14" ht="12.75" hidden="1" customHeight="1" x14ac:dyDescent="0.2">
      <c r="A855">
        <v>65062</v>
      </c>
      <c r="B855" s="3" t="s">
        <v>1254</v>
      </c>
      <c r="C855" s="7" t="s">
        <v>334</v>
      </c>
      <c r="D855" s="7" t="s">
        <v>183</v>
      </c>
      <c r="E855" s="7">
        <v>491</v>
      </c>
      <c r="G855" s="7" t="s">
        <v>1545</v>
      </c>
      <c r="H855" s="7" t="s">
        <v>1362</v>
      </c>
      <c r="I855" s="7" t="s">
        <v>1254</v>
      </c>
      <c r="J855" s="7" t="s">
        <v>513</v>
      </c>
      <c r="K855" s="7" t="s">
        <v>180</v>
      </c>
      <c r="L855" s="11">
        <v>918.76</v>
      </c>
      <c r="M855" s="11">
        <v>13338.56</v>
      </c>
      <c r="N855" s="9">
        <f t="shared" si="20"/>
        <v>918.76</v>
      </c>
    </row>
    <row r="856" spans="1:14" ht="12.75" hidden="1" customHeight="1" x14ac:dyDescent="0.2">
      <c r="A856">
        <v>65062</v>
      </c>
      <c r="B856" s="3" t="s">
        <v>1254</v>
      </c>
      <c r="C856" s="7" t="s">
        <v>511</v>
      </c>
      <c r="D856" s="7" t="s">
        <v>183</v>
      </c>
      <c r="E856" s="7">
        <v>492</v>
      </c>
      <c r="G856" s="7" t="s">
        <v>1545</v>
      </c>
      <c r="H856" s="7" t="s">
        <v>1362</v>
      </c>
      <c r="I856" s="7" t="s">
        <v>1254</v>
      </c>
      <c r="J856" s="7" t="s">
        <v>510</v>
      </c>
      <c r="K856" s="7" t="s">
        <v>180</v>
      </c>
      <c r="L856" s="11">
        <v>284.39</v>
      </c>
      <c r="M856" s="11">
        <v>13972.95</v>
      </c>
      <c r="N856" s="9">
        <f t="shared" si="20"/>
        <v>284.39</v>
      </c>
    </row>
    <row r="857" spans="1:14" ht="12.75" hidden="1" customHeight="1" x14ac:dyDescent="0.2">
      <c r="A857">
        <v>65063</v>
      </c>
      <c r="B857" s="3" t="s">
        <v>1255</v>
      </c>
      <c r="C857" s="7" t="s">
        <v>372</v>
      </c>
      <c r="D857" s="7" t="s">
        <v>183</v>
      </c>
      <c r="E857" s="7">
        <v>442</v>
      </c>
      <c r="G857" s="7" t="s">
        <v>1545</v>
      </c>
      <c r="H857" s="7" t="s">
        <v>1362</v>
      </c>
      <c r="I857" s="7" t="s">
        <v>1255</v>
      </c>
      <c r="J857" s="7" t="s">
        <v>475</v>
      </c>
      <c r="K857" s="7" t="s">
        <v>180</v>
      </c>
      <c r="L857" s="11">
        <v>600</v>
      </c>
      <c r="M857" s="11">
        <v>7997</v>
      </c>
      <c r="N857" s="9">
        <f t="shared" si="20"/>
        <v>600</v>
      </c>
    </row>
    <row r="858" spans="1:14" ht="12.75" hidden="1" customHeight="1" x14ac:dyDescent="0.2">
      <c r="A858">
        <v>65063</v>
      </c>
      <c r="B858" s="3" t="s">
        <v>1255</v>
      </c>
      <c r="C858" s="7" t="s">
        <v>330</v>
      </c>
      <c r="D858" s="7" t="s">
        <v>183</v>
      </c>
      <c r="E858" s="7">
        <v>494</v>
      </c>
      <c r="G858" s="7" t="s">
        <v>1545</v>
      </c>
      <c r="H858" s="7" t="s">
        <v>1362</v>
      </c>
      <c r="I858" s="7" t="s">
        <v>1255</v>
      </c>
      <c r="J858" s="7" t="s">
        <v>472</v>
      </c>
      <c r="K858" s="7" t="s">
        <v>180</v>
      </c>
      <c r="L858" s="11">
        <v>700</v>
      </c>
      <c r="M858" s="11">
        <v>9577</v>
      </c>
      <c r="N858" s="9">
        <f t="shared" ref="N858:N868" si="21">IF(A858&lt;60000,-L858,+L858)</f>
        <v>700</v>
      </c>
    </row>
    <row r="859" spans="1:14" ht="12.75" hidden="1" customHeight="1" x14ac:dyDescent="0.2">
      <c r="A859">
        <v>65063</v>
      </c>
      <c r="B859" s="3" t="s">
        <v>1255</v>
      </c>
      <c r="C859" s="7" t="s">
        <v>330</v>
      </c>
      <c r="D859" s="7" t="s">
        <v>183</v>
      </c>
      <c r="E859" s="7">
        <v>494</v>
      </c>
      <c r="G859" s="7" t="s">
        <v>1545</v>
      </c>
      <c r="H859" s="7" t="s">
        <v>1362</v>
      </c>
      <c r="I859" s="7" t="s">
        <v>1255</v>
      </c>
      <c r="J859" s="7" t="s">
        <v>472</v>
      </c>
      <c r="K859" s="7" t="s">
        <v>180</v>
      </c>
      <c r="L859" s="11">
        <v>700</v>
      </c>
      <c r="M859" s="11">
        <v>10277</v>
      </c>
      <c r="N859" s="9">
        <f t="shared" si="21"/>
        <v>700</v>
      </c>
    </row>
    <row r="860" spans="1:14" ht="12.75" hidden="1" customHeight="1" x14ac:dyDescent="0.2">
      <c r="A860">
        <v>65063</v>
      </c>
      <c r="B860" s="3" t="s">
        <v>1255</v>
      </c>
      <c r="C860" s="7" t="s">
        <v>330</v>
      </c>
      <c r="D860" s="7" t="s">
        <v>183</v>
      </c>
      <c r="E860" s="7">
        <v>494</v>
      </c>
      <c r="G860" s="7" t="s">
        <v>1545</v>
      </c>
      <c r="H860" s="7" t="s">
        <v>1362</v>
      </c>
      <c r="I860" s="7" t="s">
        <v>1255</v>
      </c>
      <c r="J860" s="7" t="s">
        <v>472</v>
      </c>
      <c r="K860" s="7" t="s">
        <v>180</v>
      </c>
      <c r="L860" s="11">
        <v>350</v>
      </c>
      <c r="M860" s="11">
        <v>10627</v>
      </c>
      <c r="N860" s="9">
        <f t="shared" si="21"/>
        <v>350</v>
      </c>
    </row>
    <row r="861" spans="1:14" ht="12.75" hidden="1" customHeight="1" x14ac:dyDescent="0.2">
      <c r="A861">
        <v>65063</v>
      </c>
      <c r="B861" s="3" t="s">
        <v>1255</v>
      </c>
      <c r="C861" s="7" t="s">
        <v>415</v>
      </c>
      <c r="D861" s="7" t="s">
        <v>183</v>
      </c>
      <c r="E861" s="7">
        <v>493</v>
      </c>
      <c r="G861" s="7" t="s">
        <v>1545</v>
      </c>
      <c r="H861" s="7" t="s">
        <v>1362</v>
      </c>
      <c r="I861" s="7" t="s">
        <v>1255</v>
      </c>
      <c r="J861" s="7" t="s">
        <v>467</v>
      </c>
      <c r="K861" s="7" t="s">
        <v>180</v>
      </c>
      <c r="L861" s="11">
        <v>100.5</v>
      </c>
      <c r="M861" s="11">
        <v>11327.5</v>
      </c>
      <c r="N861" s="9">
        <f t="shared" si="21"/>
        <v>100.5</v>
      </c>
    </row>
    <row r="862" spans="1:14" ht="12.75" hidden="1" customHeight="1" x14ac:dyDescent="0.2">
      <c r="A862">
        <v>67001</v>
      </c>
      <c r="B862" s="3" t="s">
        <v>1268</v>
      </c>
      <c r="C862" s="7" t="s">
        <v>384</v>
      </c>
      <c r="D862" s="7" t="s">
        <v>200</v>
      </c>
      <c r="F862" s="7" t="s">
        <v>380</v>
      </c>
      <c r="G862" s="7" t="s">
        <v>1545</v>
      </c>
      <c r="H862" s="70" t="s">
        <v>2129</v>
      </c>
      <c r="I862" s="7" t="s">
        <v>1268</v>
      </c>
      <c r="K862" s="7" t="s">
        <v>260</v>
      </c>
      <c r="L862" s="11">
        <v>18.940000000000001</v>
      </c>
      <c r="M862" s="11">
        <v>-871.08</v>
      </c>
      <c r="N862" s="9">
        <f t="shared" si="21"/>
        <v>18.940000000000001</v>
      </c>
    </row>
    <row r="863" spans="1:14" ht="12.75" hidden="1" customHeight="1" x14ac:dyDescent="0.2">
      <c r="A863">
        <v>67001</v>
      </c>
      <c r="B863" s="3" t="s">
        <v>1268</v>
      </c>
      <c r="C863" s="7" t="s">
        <v>381</v>
      </c>
      <c r="D863" s="7" t="s">
        <v>200</v>
      </c>
      <c r="F863" s="7" t="s">
        <v>380</v>
      </c>
      <c r="G863" s="7" t="s">
        <v>1545</v>
      </c>
      <c r="H863" s="70" t="s">
        <v>2129</v>
      </c>
      <c r="I863" s="7" t="s">
        <v>1268</v>
      </c>
      <c r="K863" s="7" t="s">
        <v>260</v>
      </c>
      <c r="L863" s="11">
        <v>47.79</v>
      </c>
      <c r="M863" s="11">
        <v>2342.73</v>
      </c>
      <c r="N863" s="9">
        <f t="shared" si="21"/>
        <v>47.79</v>
      </c>
    </row>
    <row r="864" spans="1:14" ht="12.75" hidden="1" customHeight="1" x14ac:dyDescent="0.2">
      <c r="A864">
        <v>67001</v>
      </c>
      <c r="B864" s="3" t="s">
        <v>1268</v>
      </c>
      <c r="C864" s="7" t="s">
        <v>376</v>
      </c>
      <c r="D864" s="7" t="s">
        <v>200</v>
      </c>
      <c r="E864" s="7">
        <v>1005</v>
      </c>
      <c r="F864" s="7" t="s">
        <v>366</v>
      </c>
      <c r="G864" s="7" t="s">
        <v>1545</v>
      </c>
      <c r="H864" s="70" t="s">
        <v>2129</v>
      </c>
      <c r="I864" s="7" t="s">
        <v>1268</v>
      </c>
      <c r="K864" s="7" t="s">
        <v>260</v>
      </c>
      <c r="L864" s="11">
        <v>100</v>
      </c>
      <c r="M864" s="11">
        <v>3340.21</v>
      </c>
      <c r="N864" s="9">
        <f t="shared" si="21"/>
        <v>100</v>
      </c>
    </row>
    <row r="865" spans="1:14" ht="12.75" hidden="1" customHeight="1" x14ac:dyDescent="0.2">
      <c r="A865">
        <v>67001</v>
      </c>
      <c r="B865" s="3" t="s">
        <v>1268</v>
      </c>
      <c r="C865" s="7" t="s">
        <v>374</v>
      </c>
      <c r="D865" s="7" t="s">
        <v>200</v>
      </c>
      <c r="E865" s="7">
        <v>1006</v>
      </c>
      <c r="F865" s="7" t="s">
        <v>375</v>
      </c>
      <c r="G865" s="7" t="s">
        <v>1545</v>
      </c>
      <c r="H865" s="70" t="s">
        <v>2129</v>
      </c>
      <c r="I865" s="7" t="s">
        <v>1268</v>
      </c>
      <c r="K865" s="7" t="s">
        <v>260</v>
      </c>
      <c r="L865" s="11">
        <v>1753.25</v>
      </c>
      <c r="M865" s="11">
        <v>5493.46</v>
      </c>
      <c r="N865" s="9">
        <f t="shared" si="21"/>
        <v>1753.25</v>
      </c>
    </row>
    <row r="866" spans="1:14" ht="12.75" hidden="1" customHeight="1" x14ac:dyDescent="0.2">
      <c r="A866">
        <v>67001</v>
      </c>
      <c r="B866" s="3" t="s">
        <v>1268</v>
      </c>
      <c r="C866" s="7" t="s">
        <v>315</v>
      </c>
      <c r="D866" s="7" t="s">
        <v>200</v>
      </c>
      <c r="E866" s="7">
        <v>1007</v>
      </c>
      <c r="F866" s="7" t="s">
        <v>317</v>
      </c>
      <c r="G866" s="7" t="s">
        <v>1545</v>
      </c>
      <c r="H866" s="70" t="s">
        <v>2129</v>
      </c>
      <c r="I866" s="7" t="s">
        <v>1268</v>
      </c>
      <c r="K866" s="7" t="s">
        <v>260</v>
      </c>
      <c r="L866" s="11">
        <v>2032.39</v>
      </c>
      <c r="M866" s="11">
        <v>25463.14</v>
      </c>
      <c r="N866" s="9">
        <f t="shared" si="21"/>
        <v>2032.39</v>
      </c>
    </row>
    <row r="867" spans="1:14" ht="12.75" hidden="1" customHeight="1" x14ac:dyDescent="0.2">
      <c r="A867">
        <v>67001</v>
      </c>
      <c r="B867" s="3" t="s">
        <v>1268</v>
      </c>
      <c r="C867" s="7" t="s">
        <v>263</v>
      </c>
      <c r="D867" s="7" t="s">
        <v>200</v>
      </c>
      <c r="F867" s="7" t="s">
        <v>262</v>
      </c>
      <c r="G867" s="7" t="s">
        <v>1545</v>
      </c>
      <c r="H867" s="70" t="s">
        <v>2129</v>
      </c>
      <c r="I867" s="7" t="s">
        <v>1268</v>
      </c>
      <c r="K867" s="7" t="s">
        <v>260</v>
      </c>
      <c r="L867" s="11">
        <v>55.56</v>
      </c>
      <c r="M867" s="11">
        <v>53494.11</v>
      </c>
      <c r="N867" s="9">
        <f t="shared" si="21"/>
        <v>55.56</v>
      </c>
    </row>
    <row r="868" spans="1:14" ht="12.75" customHeight="1" x14ac:dyDescent="0.2">
      <c r="A868">
        <v>43400</v>
      </c>
      <c r="B868" s="3" t="s">
        <v>1224</v>
      </c>
      <c r="C868" s="7" t="s">
        <v>427</v>
      </c>
      <c r="D868" s="7" t="s">
        <v>183</v>
      </c>
      <c r="E868" s="7">
        <v>580</v>
      </c>
      <c r="G868" s="7" t="s">
        <v>1573</v>
      </c>
      <c r="H868" s="7" t="s">
        <v>1359</v>
      </c>
      <c r="I868" s="7" t="s">
        <v>1224</v>
      </c>
      <c r="J868" s="7" t="s">
        <v>425</v>
      </c>
      <c r="K868" s="7" t="s">
        <v>180</v>
      </c>
      <c r="L868" s="11">
        <v>200</v>
      </c>
      <c r="M868" s="11">
        <v>199750.02</v>
      </c>
      <c r="N868" s="9">
        <f t="shared" si="21"/>
        <v>-200</v>
      </c>
    </row>
    <row r="869" spans="1:14" ht="12.75" customHeight="1" x14ac:dyDescent="0.2">
      <c r="A869">
        <v>43400</v>
      </c>
      <c r="B869" s="3" t="s">
        <v>1224</v>
      </c>
      <c r="C869" s="7" t="s">
        <v>1571</v>
      </c>
      <c r="D869" s="7" t="s">
        <v>183</v>
      </c>
      <c r="E869" s="7">
        <v>627</v>
      </c>
      <c r="G869" s="7" t="s">
        <v>1573</v>
      </c>
      <c r="H869" s="7" t="s">
        <v>1359</v>
      </c>
      <c r="I869" s="7" t="s">
        <v>1224</v>
      </c>
      <c r="J869" s="39" t="s">
        <v>425</v>
      </c>
      <c r="K869" s="39" t="s">
        <v>180</v>
      </c>
      <c r="L869" s="40">
        <v>200</v>
      </c>
      <c r="M869" s="40">
        <v>228057.16</v>
      </c>
      <c r="N869" s="41">
        <f t="shared" ref="N869:N874" si="22">-L869</f>
        <v>-200</v>
      </c>
    </row>
    <row r="870" spans="1:14" ht="12.75" customHeight="1" x14ac:dyDescent="0.2">
      <c r="A870">
        <v>43400</v>
      </c>
      <c r="B870" s="3" t="s">
        <v>1224</v>
      </c>
      <c r="C870" s="7" t="s">
        <v>1593</v>
      </c>
      <c r="D870" s="7" t="s">
        <v>242</v>
      </c>
      <c r="F870" s="7" t="s">
        <v>665</v>
      </c>
      <c r="G870" s="7" t="s">
        <v>1573</v>
      </c>
      <c r="H870" s="7" t="s">
        <v>1359</v>
      </c>
      <c r="I870" s="7" t="s">
        <v>1224</v>
      </c>
      <c r="K870" s="39" t="s">
        <v>1179</v>
      </c>
      <c r="L870" s="40">
        <v>40</v>
      </c>
      <c r="M870" s="40">
        <v>239849.86</v>
      </c>
      <c r="N870" s="41">
        <f t="shared" si="22"/>
        <v>-40</v>
      </c>
    </row>
    <row r="871" spans="1:14" ht="12.75" customHeight="1" x14ac:dyDescent="0.2">
      <c r="A871">
        <v>43400</v>
      </c>
      <c r="B871" s="3" t="s">
        <v>1224</v>
      </c>
      <c r="C871" s="7" t="s">
        <v>1593</v>
      </c>
      <c r="D871" s="7" t="s">
        <v>183</v>
      </c>
      <c r="E871" s="7">
        <v>659</v>
      </c>
      <c r="G871" s="7" t="s">
        <v>1573</v>
      </c>
      <c r="H871" s="7" t="s">
        <v>1359</v>
      </c>
      <c r="I871" s="7" t="s">
        <v>1224</v>
      </c>
      <c r="J871" s="39" t="s">
        <v>425</v>
      </c>
      <c r="K871" s="39" t="s">
        <v>180</v>
      </c>
      <c r="L871" s="40">
        <v>200</v>
      </c>
      <c r="M871" s="40">
        <v>240249.86</v>
      </c>
      <c r="N871" s="41">
        <f t="shared" si="22"/>
        <v>-200</v>
      </c>
    </row>
    <row r="872" spans="1:14" ht="12.75" customHeight="1" x14ac:dyDescent="0.2">
      <c r="A872">
        <v>43400</v>
      </c>
      <c r="B872" s="3" t="s">
        <v>1224</v>
      </c>
      <c r="C872" s="7" t="s">
        <v>1543</v>
      </c>
      <c r="D872" s="7" t="s">
        <v>183</v>
      </c>
      <c r="E872" s="7">
        <v>672</v>
      </c>
      <c r="G872" s="7" t="s">
        <v>1573</v>
      </c>
      <c r="H872" s="7" t="s">
        <v>1359</v>
      </c>
      <c r="I872" s="7" t="s">
        <v>1224</v>
      </c>
      <c r="J872" s="39" t="s">
        <v>1611</v>
      </c>
      <c r="K872" s="39" t="s">
        <v>180</v>
      </c>
      <c r="L872" s="40">
        <v>200</v>
      </c>
      <c r="M872" s="40">
        <v>256417.42</v>
      </c>
      <c r="N872" s="41">
        <f t="shared" si="22"/>
        <v>-200</v>
      </c>
    </row>
    <row r="873" spans="1:14" ht="12.75" customHeight="1" x14ac:dyDescent="0.2">
      <c r="A873">
        <v>43400</v>
      </c>
      <c r="B873" s="3" t="s">
        <v>1224</v>
      </c>
      <c r="C873" s="7" t="s">
        <v>1612</v>
      </c>
      <c r="D873" s="7" t="s">
        <v>242</v>
      </c>
      <c r="F873" s="7" t="s">
        <v>665</v>
      </c>
      <c r="G873" s="7" t="s">
        <v>1573</v>
      </c>
      <c r="H873" s="7" t="s">
        <v>1359</v>
      </c>
      <c r="I873" s="7" t="s">
        <v>1224</v>
      </c>
      <c r="J873" s="39" t="s">
        <v>1183</v>
      </c>
      <c r="K873" s="39" t="s">
        <v>1179</v>
      </c>
      <c r="L873" s="40">
        <v>250</v>
      </c>
      <c r="M873" s="40">
        <v>256667.42</v>
      </c>
      <c r="N873" s="41">
        <f t="shared" si="22"/>
        <v>-250</v>
      </c>
    </row>
    <row r="874" spans="1:14" ht="12.75" customHeight="1" x14ac:dyDescent="0.2">
      <c r="A874">
        <v>43400</v>
      </c>
      <c r="B874" s="3" t="s">
        <v>1224</v>
      </c>
      <c r="C874" s="7" t="s">
        <v>1617</v>
      </c>
      <c r="D874" s="7" t="s">
        <v>183</v>
      </c>
      <c r="E874" s="7">
        <v>695</v>
      </c>
      <c r="G874" s="7" t="s">
        <v>1573</v>
      </c>
      <c r="H874" s="7" t="s">
        <v>1359</v>
      </c>
      <c r="I874" s="7" t="s">
        <v>1224</v>
      </c>
      <c r="J874" s="39" t="s">
        <v>1618</v>
      </c>
      <c r="K874" s="39" t="s">
        <v>180</v>
      </c>
      <c r="L874" s="40">
        <v>3489.76</v>
      </c>
      <c r="M874" s="40">
        <v>263131.73</v>
      </c>
      <c r="N874" s="41">
        <f t="shared" si="22"/>
        <v>-3489.76</v>
      </c>
    </row>
    <row r="875" spans="1:14" ht="12.75" hidden="1" customHeight="1" x14ac:dyDescent="0.2">
      <c r="A875">
        <v>65025</v>
      </c>
      <c r="B875" s="3" t="s">
        <v>1246</v>
      </c>
      <c r="C875" s="7" t="s">
        <v>449</v>
      </c>
      <c r="D875" s="7" t="s">
        <v>200</v>
      </c>
      <c r="F875" s="7" t="s">
        <v>446</v>
      </c>
      <c r="G875" s="7" t="s">
        <v>1802</v>
      </c>
      <c r="H875" s="7" t="s">
        <v>1362</v>
      </c>
      <c r="I875" s="7" t="s">
        <v>1246</v>
      </c>
      <c r="K875" s="7" t="s">
        <v>250</v>
      </c>
      <c r="L875" s="11">
        <v>14</v>
      </c>
      <c r="M875" s="11">
        <v>123</v>
      </c>
      <c r="N875" s="9">
        <f t="shared" ref="N875:N896" si="23">IF(A875&lt;60000,-L875,+L875)</f>
        <v>14</v>
      </c>
    </row>
    <row r="876" spans="1:14" ht="12.75" hidden="1" customHeight="1" x14ac:dyDescent="0.2">
      <c r="A876">
        <v>65025</v>
      </c>
      <c r="B876" s="3" t="s">
        <v>1246</v>
      </c>
      <c r="C876" s="7" t="s">
        <v>379</v>
      </c>
      <c r="D876" s="7" t="s">
        <v>200</v>
      </c>
      <c r="F876" s="7" t="s">
        <v>446</v>
      </c>
      <c r="G876" s="7" t="s">
        <v>1802</v>
      </c>
      <c r="H876" s="7" t="s">
        <v>1362</v>
      </c>
      <c r="I876" s="7" t="s">
        <v>1246</v>
      </c>
      <c r="K876" s="7" t="s">
        <v>250</v>
      </c>
      <c r="L876" s="11">
        <v>14</v>
      </c>
      <c r="M876" s="11">
        <v>278.2</v>
      </c>
      <c r="N876" s="9">
        <f t="shared" si="23"/>
        <v>14</v>
      </c>
    </row>
    <row r="877" spans="1:14" ht="12.75" hidden="1" customHeight="1" x14ac:dyDescent="0.2">
      <c r="A877">
        <v>65025</v>
      </c>
      <c r="B877" s="3" t="s">
        <v>1246</v>
      </c>
      <c r="C877" s="7" t="s">
        <v>334</v>
      </c>
      <c r="D877" s="7" t="s">
        <v>200</v>
      </c>
      <c r="F877" s="7" t="s">
        <v>446</v>
      </c>
      <c r="G877" s="7" t="s">
        <v>1802</v>
      </c>
      <c r="H877" s="7" t="s">
        <v>1362</v>
      </c>
      <c r="I877" s="7" t="s">
        <v>1246</v>
      </c>
      <c r="K877" s="7" t="s">
        <v>250</v>
      </c>
      <c r="L877" s="11">
        <v>14</v>
      </c>
      <c r="M877" s="11">
        <v>457.72</v>
      </c>
      <c r="N877" s="9">
        <f t="shared" si="23"/>
        <v>14</v>
      </c>
    </row>
    <row r="878" spans="1:14" ht="12.75" hidden="1" customHeight="1" x14ac:dyDescent="0.2">
      <c r="A878">
        <v>65025</v>
      </c>
      <c r="B878" s="3" t="s">
        <v>1246</v>
      </c>
      <c r="C878" s="7" t="s">
        <v>222</v>
      </c>
      <c r="D878" s="7" t="s">
        <v>221</v>
      </c>
      <c r="F878" s="7" t="s">
        <v>446</v>
      </c>
      <c r="G878" s="7" t="s">
        <v>1802</v>
      </c>
      <c r="H878" s="7" t="s">
        <v>1362</v>
      </c>
      <c r="I878" s="7" t="s">
        <v>1246</v>
      </c>
      <c r="K878" s="7" t="s">
        <v>250</v>
      </c>
      <c r="L878" s="11">
        <v>14</v>
      </c>
      <c r="M878" s="11">
        <v>1537.91</v>
      </c>
      <c r="N878" s="9">
        <f t="shared" si="23"/>
        <v>14</v>
      </c>
    </row>
    <row r="879" spans="1:14" ht="12.75" hidden="1" customHeight="1" x14ac:dyDescent="0.2">
      <c r="A879">
        <v>65061</v>
      </c>
      <c r="B879" s="3" t="s">
        <v>1253</v>
      </c>
      <c r="C879" s="7" t="s">
        <v>305</v>
      </c>
      <c r="D879" s="7" t="s">
        <v>200</v>
      </c>
      <c r="F879" s="7" t="s">
        <v>366</v>
      </c>
      <c r="G879" s="7" t="s">
        <v>1802</v>
      </c>
      <c r="H879" s="7" t="s">
        <v>1362</v>
      </c>
      <c r="I879" s="7" t="s">
        <v>1253</v>
      </c>
      <c r="K879" s="7" t="s">
        <v>250</v>
      </c>
      <c r="L879" s="11">
        <v>100</v>
      </c>
      <c r="M879" s="11">
        <v>77433.429999999993</v>
      </c>
      <c r="N879" s="9">
        <f t="shared" si="23"/>
        <v>100</v>
      </c>
    </row>
    <row r="880" spans="1:14" ht="12.75" hidden="1" customHeight="1" x14ac:dyDescent="0.2">
      <c r="A880">
        <v>65061</v>
      </c>
      <c r="B880" s="3" t="s">
        <v>1253</v>
      </c>
      <c r="C880" s="7" t="s">
        <v>825</v>
      </c>
      <c r="D880" s="7" t="s">
        <v>200</v>
      </c>
      <c r="F880" s="7" t="s">
        <v>831</v>
      </c>
      <c r="G880" s="7" t="s">
        <v>1802</v>
      </c>
      <c r="H880" s="7" t="s">
        <v>1362</v>
      </c>
      <c r="I880" s="7" t="s">
        <v>1253</v>
      </c>
      <c r="K880" s="7" t="s">
        <v>250</v>
      </c>
      <c r="L880" s="11">
        <v>69.989999999999995</v>
      </c>
      <c r="M880" s="11">
        <v>80076.479999999996</v>
      </c>
      <c r="N880" s="9">
        <f t="shared" si="23"/>
        <v>69.989999999999995</v>
      </c>
    </row>
    <row r="881" spans="1:14" ht="12.75" hidden="1" customHeight="1" x14ac:dyDescent="0.2">
      <c r="A881">
        <v>65061</v>
      </c>
      <c r="B881" s="3" t="s">
        <v>1253</v>
      </c>
      <c r="C881" s="7" t="s">
        <v>825</v>
      </c>
      <c r="D881" s="7" t="s">
        <v>200</v>
      </c>
      <c r="F881" s="7" t="s">
        <v>830</v>
      </c>
      <c r="G881" s="7" t="s">
        <v>1802</v>
      </c>
      <c r="H881" s="7" t="s">
        <v>1362</v>
      </c>
      <c r="I881" s="7" t="s">
        <v>1253</v>
      </c>
      <c r="K881" s="7" t="s">
        <v>250</v>
      </c>
      <c r="L881" s="11">
        <v>33.9</v>
      </c>
      <c r="M881" s="11">
        <v>80110.38</v>
      </c>
      <c r="N881" s="9">
        <f t="shared" si="23"/>
        <v>33.9</v>
      </c>
    </row>
    <row r="882" spans="1:14" ht="12.75" hidden="1" customHeight="1" x14ac:dyDescent="0.2">
      <c r="A882">
        <v>65061</v>
      </c>
      <c r="B882" s="3" t="s">
        <v>1253</v>
      </c>
      <c r="C882" s="7" t="s">
        <v>825</v>
      </c>
      <c r="D882" s="7" t="s">
        <v>200</v>
      </c>
      <c r="F882" s="7" t="s">
        <v>829</v>
      </c>
      <c r="G882" s="7" t="s">
        <v>1802</v>
      </c>
      <c r="H882" s="7" t="s">
        <v>1362</v>
      </c>
      <c r="I882" s="7" t="s">
        <v>1253</v>
      </c>
      <c r="K882" s="7" t="s">
        <v>250</v>
      </c>
      <c r="L882" s="11">
        <v>38</v>
      </c>
      <c r="M882" s="11">
        <v>80148.38</v>
      </c>
      <c r="N882" s="9">
        <f t="shared" si="23"/>
        <v>38</v>
      </c>
    </row>
    <row r="883" spans="1:14" ht="12.75" hidden="1" customHeight="1" x14ac:dyDescent="0.2">
      <c r="A883">
        <v>65061</v>
      </c>
      <c r="B883" s="3" t="s">
        <v>1253</v>
      </c>
      <c r="C883" s="7" t="s">
        <v>825</v>
      </c>
      <c r="D883" s="7" t="s">
        <v>200</v>
      </c>
      <c r="F883" s="7" t="s">
        <v>828</v>
      </c>
      <c r="G883" s="7" t="s">
        <v>1802</v>
      </c>
      <c r="H883" s="7" t="s">
        <v>1362</v>
      </c>
      <c r="I883" s="7" t="s">
        <v>1253</v>
      </c>
      <c r="K883" s="7" t="s">
        <v>250</v>
      </c>
      <c r="L883" s="11">
        <v>53.1</v>
      </c>
      <c r="M883" s="11">
        <v>80201.48</v>
      </c>
      <c r="N883" s="9">
        <f t="shared" si="23"/>
        <v>53.1</v>
      </c>
    </row>
    <row r="884" spans="1:14" ht="12.75" hidden="1" customHeight="1" x14ac:dyDescent="0.2">
      <c r="A884">
        <v>65061</v>
      </c>
      <c r="B884" s="3" t="s">
        <v>1253</v>
      </c>
      <c r="C884" s="7" t="s">
        <v>825</v>
      </c>
      <c r="D884" s="7" t="s">
        <v>200</v>
      </c>
      <c r="F884" s="7" t="s">
        <v>824</v>
      </c>
      <c r="G884" s="7" t="s">
        <v>1802</v>
      </c>
      <c r="H884" s="7" t="s">
        <v>1362</v>
      </c>
      <c r="I884" s="7" t="s">
        <v>1253</v>
      </c>
      <c r="K884" s="7" t="s">
        <v>250</v>
      </c>
      <c r="L884" s="11">
        <v>65</v>
      </c>
      <c r="M884" s="11">
        <v>80532.91</v>
      </c>
      <c r="N884" s="9">
        <f t="shared" si="23"/>
        <v>65</v>
      </c>
    </row>
    <row r="885" spans="1:14" ht="12.75" hidden="1" customHeight="1" x14ac:dyDescent="0.2">
      <c r="A885">
        <v>65061</v>
      </c>
      <c r="B885" s="3" t="s">
        <v>1253</v>
      </c>
      <c r="C885" s="7" t="s">
        <v>298</v>
      </c>
      <c r="D885" s="7" t="s">
        <v>200</v>
      </c>
      <c r="F885" s="7" t="s">
        <v>352</v>
      </c>
      <c r="G885" s="7" t="s">
        <v>1802</v>
      </c>
      <c r="H885" s="7" t="s">
        <v>1362</v>
      </c>
      <c r="I885" s="7" t="s">
        <v>1253</v>
      </c>
      <c r="K885" s="7" t="s">
        <v>250</v>
      </c>
      <c r="L885" s="11">
        <v>52.69</v>
      </c>
      <c r="M885" s="11">
        <v>81121.8</v>
      </c>
      <c r="N885" s="9">
        <f t="shared" si="23"/>
        <v>52.69</v>
      </c>
    </row>
    <row r="886" spans="1:14" ht="12.75" hidden="1" customHeight="1" x14ac:dyDescent="0.2">
      <c r="A886">
        <v>65061</v>
      </c>
      <c r="B886" s="3" t="s">
        <v>1253</v>
      </c>
      <c r="C886" s="7" t="s">
        <v>298</v>
      </c>
      <c r="D886" s="7" t="s">
        <v>200</v>
      </c>
      <c r="F886" s="7" t="s">
        <v>821</v>
      </c>
      <c r="G886" s="7" t="s">
        <v>1802</v>
      </c>
      <c r="H886" s="7" t="s">
        <v>1362</v>
      </c>
      <c r="I886" s="7" t="s">
        <v>1253</v>
      </c>
      <c r="K886" s="7" t="s">
        <v>250</v>
      </c>
      <c r="L886" s="11">
        <v>5.99</v>
      </c>
      <c r="M886" s="11">
        <v>81312.63</v>
      </c>
      <c r="N886" s="9">
        <f t="shared" si="23"/>
        <v>5.99</v>
      </c>
    </row>
    <row r="887" spans="1:14" ht="12.75" hidden="1" customHeight="1" x14ac:dyDescent="0.2">
      <c r="A887">
        <v>65061</v>
      </c>
      <c r="B887" s="3" t="s">
        <v>1253</v>
      </c>
      <c r="C887" s="7" t="s">
        <v>298</v>
      </c>
      <c r="D887" s="7" t="s">
        <v>200</v>
      </c>
      <c r="F887" s="7" t="s">
        <v>548</v>
      </c>
      <c r="G887" s="7" t="s">
        <v>1802</v>
      </c>
      <c r="H887" s="7" t="s">
        <v>1362</v>
      </c>
      <c r="I887" s="7" t="s">
        <v>1253</v>
      </c>
      <c r="K887" s="7" t="s">
        <v>250</v>
      </c>
      <c r="L887" s="11">
        <v>18.739999999999998</v>
      </c>
      <c r="M887" s="11">
        <v>81384.37</v>
      </c>
      <c r="N887" s="9">
        <f t="shared" si="23"/>
        <v>18.739999999999998</v>
      </c>
    </row>
    <row r="888" spans="1:14" ht="12.75" hidden="1" customHeight="1" x14ac:dyDescent="0.2">
      <c r="A888">
        <v>65061</v>
      </c>
      <c r="B888" s="3" t="s">
        <v>1253</v>
      </c>
      <c r="C888" s="7" t="s">
        <v>298</v>
      </c>
      <c r="D888" s="7" t="s">
        <v>200</v>
      </c>
      <c r="F888" s="7" t="s">
        <v>571</v>
      </c>
      <c r="G888" s="7" t="s">
        <v>1802</v>
      </c>
      <c r="H888" s="7" t="s">
        <v>1362</v>
      </c>
      <c r="I888" s="7" t="s">
        <v>1253</v>
      </c>
      <c r="K888" s="7" t="s">
        <v>250</v>
      </c>
      <c r="L888" s="11">
        <v>140.09</v>
      </c>
      <c r="M888" s="11">
        <v>82245.87</v>
      </c>
      <c r="N888" s="9">
        <f t="shared" si="23"/>
        <v>140.09</v>
      </c>
    </row>
    <row r="889" spans="1:14" ht="12.75" hidden="1" customHeight="1" x14ac:dyDescent="0.2">
      <c r="A889">
        <v>65061</v>
      </c>
      <c r="B889" s="3" t="s">
        <v>1253</v>
      </c>
      <c r="C889" s="7" t="s">
        <v>814</v>
      </c>
      <c r="D889" s="7" t="s">
        <v>200</v>
      </c>
      <c r="F889" s="7" t="s">
        <v>815</v>
      </c>
      <c r="G889" s="7" t="s">
        <v>1802</v>
      </c>
      <c r="H889" s="7" t="s">
        <v>1362</v>
      </c>
      <c r="I889" s="7" t="s">
        <v>1253</v>
      </c>
      <c r="K889" s="7" t="s">
        <v>250</v>
      </c>
      <c r="L889" s="11">
        <v>127.9</v>
      </c>
      <c r="M889" s="11">
        <v>84909.48</v>
      </c>
      <c r="N889" s="9">
        <f t="shared" si="23"/>
        <v>127.9</v>
      </c>
    </row>
    <row r="890" spans="1:14" ht="12.75" hidden="1" customHeight="1" x14ac:dyDescent="0.2">
      <c r="A890">
        <v>65061</v>
      </c>
      <c r="B890" s="3" t="s">
        <v>1253</v>
      </c>
      <c r="C890" s="7" t="s">
        <v>290</v>
      </c>
      <c r="D890" s="7" t="s">
        <v>200</v>
      </c>
      <c r="F890" s="7" t="s">
        <v>548</v>
      </c>
      <c r="G890" s="7" t="s">
        <v>1802</v>
      </c>
      <c r="H890" s="7" t="s">
        <v>1362</v>
      </c>
      <c r="I890" s="7" t="s">
        <v>1253</v>
      </c>
      <c r="K890" s="7" t="s">
        <v>250</v>
      </c>
      <c r="L890" s="11">
        <v>12.36</v>
      </c>
      <c r="M890" s="11">
        <v>89241.94</v>
      </c>
      <c r="N890" s="9">
        <f t="shared" si="23"/>
        <v>12.36</v>
      </c>
    </row>
    <row r="891" spans="1:14" ht="12.75" hidden="1" customHeight="1" x14ac:dyDescent="0.2">
      <c r="A891">
        <v>65061</v>
      </c>
      <c r="B891" s="3" t="s">
        <v>1253</v>
      </c>
      <c r="C891" s="7" t="s">
        <v>263</v>
      </c>
      <c r="D891" s="7" t="s">
        <v>200</v>
      </c>
      <c r="F891" s="7" t="s">
        <v>548</v>
      </c>
      <c r="G891" s="7" t="s">
        <v>1802</v>
      </c>
      <c r="H891" s="7" t="s">
        <v>1362</v>
      </c>
      <c r="I891" s="7" t="s">
        <v>1253</v>
      </c>
      <c r="K891" s="7" t="s">
        <v>250</v>
      </c>
      <c r="L891" s="11">
        <v>118.42</v>
      </c>
      <c r="M891" s="11">
        <v>104824.55</v>
      </c>
      <c r="N891" s="9">
        <f t="shared" si="23"/>
        <v>118.42</v>
      </c>
    </row>
    <row r="892" spans="1:14" ht="12.75" hidden="1" customHeight="1" x14ac:dyDescent="0.2">
      <c r="A892">
        <v>65061</v>
      </c>
      <c r="B892" s="3" t="s">
        <v>1253</v>
      </c>
      <c r="C892" s="7" t="s">
        <v>257</v>
      </c>
      <c r="D892" s="7" t="s">
        <v>200</v>
      </c>
      <c r="F892" s="7" t="s">
        <v>777</v>
      </c>
      <c r="G892" s="7" t="s">
        <v>1802</v>
      </c>
      <c r="H892" s="7" t="s">
        <v>1362</v>
      </c>
      <c r="I892" s="7" t="s">
        <v>1253</v>
      </c>
      <c r="K892" s="7" t="s">
        <v>250</v>
      </c>
      <c r="L892" s="11">
        <v>32.39</v>
      </c>
      <c r="M892" s="11">
        <v>106861.89</v>
      </c>
      <c r="N892" s="9">
        <f t="shared" si="23"/>
        <v>32.39</v>
      </c>
    </row>
    <row r="893" spans="1:14" ht="12.75" hidden="1" customHeight="1" x14ac:dyDescent="0.2">
      <c r="A893">
        <v>65061</v>
      </c>
      <c r="B893" s="3" t="s">
        <v>1253</v>
      </c>
      <c r="C893" s="7" t="s">
        <v>755</v>
      </c>
      <c r="D893" s="7" t="s">
        <v>221</v>
      </c>
      <c r="F893" s="7" t="s">
        <v>589</v>
      </c>
      <c r="G893" s="7" t="s">
        <v>1802</v>
      </c>
      <c r="H893" s="7" t="s">
        <v>1362</v>
      </c>
      <c r="I893" s="7" t="s">
        <v>1253</v>
      </c>
      <c r="K893" s="7" t="s">
        <v>250</v>
      </c>
      <c r="L893" s="11">
        <v>93.61</v>
      </c>
      <c r="M893" s="11">
        <v>123469.53</v>
      </c>
      <c r="N893" s="9">
        <f t="shared" si="23"/>
        <v>93.61</v>
      </c>
    </row>
    <row r="894" spans="1:14" ht="12.75" hidden="1" customHeight="1" x14ac:dyDescent="0.2">
      <c r="A894">
        <v>65061</v>
      </c>
      <c r="B894" s="3" t="s">
        <v>1253</v>
      </c>
      <c r="C894" s="7" t="s">
        <v>755</v>
      </c>
      <c r="D894" s="7" t="s">
        <v>221</v>
      </c>
      <c r="F894" s="7" t="s">
        <v>223</v>
      </c>
      <c r="G894" s="7" t="s">
        <v>1802</v>
      </c>
      <c r="H894" s="7" t="s">
        <v>1362</v>
      </c>
      <c r="I894" s="7" t="s">
        <v>1253</v>
      </c>
      <c r="K894" s="7" t="s">
        <v>250</v>
      </c>
      <c r="L894" s="11">
        <v>11.88</v>
      </c>
      <c r="M894" s="11">
        <v>123481.41</v>
      </c>
      <c r="N894" s="9">
        <f t="shared" si="23"/>
        <v>11.88</v>
      </c>
    </row>
    <row r="895" spans="1:14" ht="12.75" hidden="1" customHeight="1" x14ac:dyDescent="0.2">
      <c r="A895">
        <v>65061</v>
      </c>
      <c r="B895" s="3" t="s">
        <v>1253</v>
      </c>
      <c r="C895" s="7" t="s">
        <v>749</v>
      </c>
      <c r="D895" s="7" t="s">
        <v>221</v>
      </c>
      <c r="F895" s="7" t="s">
        <v>634</v>
      </c>
      <c r="G895" s="7" t="s">
        <v>1802</v>
      </c>
      <c r="H895" s="7" t="s">
        <v>1362</v>
      </c>
      <c r="I895" s="7" t="s">
        <v>1253</v>
      </c>
      <c r="K895" s="7" t="s">
        <v>250</v>
      </c>
      <c r="L895" s="11">
        <v>26.99</v>
      </c>
      <c r="M895" s="11">
        <v>123709.81</v>
      </c>
      <c r="N895" s="9">
        <f t="shared" si="23"/>
        <v>26.99</v>
      </c>
    </row>
    <row r="896" spans="1:14" ht="12.75" hidden="1" customHeight="1" x14ac:dyDescent="0.2">
      <c r="A896">
        <v>67001</v>
      </c>
      <c r="B896" s="3" t="s">
        <v>1268</v>
      </c>
      <c r="C896" s="7" t="s">
        <v>253</v>
      </c>
      <c r="D896" s="7" t="s">
        <v>200</v>
      </c>
      <c r="F896" s="7" t="s">
        <v>252</v>
      </c>
      <c r="G896" s="7" t="s">
        <v>1802</v>
      </c>
      <c r="H896" s="70" t="s">
        <v>2129</v>
      </c>
      <c r="I896" s="7" t="s">
        <v>1268</v>
      </c>
      <c r="K896" s="7" t="s">
        <v>250</v>
      </c>
      <c r="L896" s="11">
        <v>27</v>
      </c>
      <c r="M896" s="11">
        <v>54196.11</v>
      </c>
      <c r="N896" s="9">
        <f t="shared" si="23"/>
        <v>27</v>
      </c>
    </row>
    <row r="897" spans="1:14" ht="12.75" customHeight="1" x14ac:dyDescent="0.2">
      <c r="A897">
        <v>43400</v>
      </c>
      <c r="B897" s="3" t="s">
        <v>1224</v>
      </c>
      <c r="C897" s="7" t="s">
        <v>1546</v>
      </c>
      <c r="D897" s="7" t="s">
        <v>242</v>
      </c>
      <c r="F897" s="7" t="s">
        <v>665</v>
      </c>
      <c r="G897" s="7" t="s">
        <v>1573</v>
      </c>
      <c r="H897" s="7" t="s">
        <v>1359</v>
      </c>
      <c r="I897" s="7" t="s">
        <v>1224</v>
      </c>
      <c r="K897" s="39" t="s">
        <v>1179</v>
      </c>
      <c r="L897" s="40">
        <v>40</v>
      </c>
      <c r="M897" s="40">
        <v>271767.42</v>
      </c>
      <c r="N897" s="41">
        <f t="shared" ref="N897:N903" si="24">-L897</f>
        <v>-40</v>
      </c>
    </row>
    <row r="898" spans="1:14" ht="12.75" customHeight="1" x14ac:dyDescent="0.2">
      <c r="A898">
        <v>43400</v>
      </c>
      <c r="B898" s="3" t="s">
        <v>1224</v>
      </c>
      <c r="C898" s="7" t="s">
        <v>1629</v>
      </c>
      <c r="D898" s="7" t="s">
        <v>183</v>
      </c>
      <c r="E898" s="7">
        <v>716</v>
      </c>
      <c r="G898" s="7" t="s">
        <v>1573</v>
      </c>
      <c r="H898" s="7" t="s">
        <v>1359</v>
      </c>
      <c r="I898" s="7" t="s">
        <v>1224</v>
      </c>
      <c r="K898" s="39" t="s">
        <v>180</v>
      </c>
      <c r="L898" s="40">
        <v>150</v>
      </c>
      <c r="M898" s="40">
        <v>278447.52</v>
      </c>
      <c r="N898" s="41">
        <f t="shared" si="24"/>
        <v>-150</v>
      </c>
    </row>
    <row r="899" spans="1:14" ht="12.75" customHeight="1" x14ac:dyDescent="0.2">
      <c r="A899">
        <v>43400</v>
      </c>
      <c r="B899" s="3" t="s">
        <v>1224</v>
      </c>
      <c r="C899" s="7" t="s">
        <v>1631</v>
      </c>
      <c r="D899" s="7" t="s">
        <v>183</v>
      </c>
      <c r="E899" s="7">
        <v>724</v>
      </c>
      <c r="G899" s="7" t="s">
        <v>1573</v>
      </c>
      <c r="H899" s="7" t="s">
        <v>1359</v>
      </c>
      <c r="I899" s="7" t="s">
        <v>1224</v>
      </c>
      <c r="J899" s="39" t="s">
        <v>425</v>
      </c>
      <c r="K899" s="39" t="s">
        <v>180</v>
      </c>
      <c r="L899" s="40">
        <v>200</v>
      </c>
      <c r="M899" s="40">
        <v>285199.89</v>
      </c>
      <c r="N899" s="41">
        <f t="shared" si="24"/>
        <v>-200</v>
      </c>
    </row>
    <row r="900" spans="1:14" ht="12.75" customHeight="1" x14ac:dyDescent="0.2">
      <c r="A900">
        <v>43400</v>
      </c>
      <c r="B900" s="3" t="s">
        <v>1224</v>
      </c>
      <c r="C900" s="7" t="s">
        <v>1631</v>
      </c>
      <c r="D900" s="7" t="s">
        <v>242</v>
      </c>
      <c r="F900" s="7" t="s">
        <v>665</v>
      </c>
      <c r="G900" s="7" t="s">
        <v>1573</v>
      </c>
      <c r="H900" s="7" t="s">
        <v>1359</v>
      </c>
      <c r="I900" s="7" t="s">
        <v>1224</v>
      </c>
      <c r="K900" s="39" t="s">
        <v>842</v>
      </c>
      <c r="L900" s="40">
        <v>1198</v>
      </c>
      <c r="M900" s="40">
        <v>280397.89</v>
      </c>
      <c r="N900" s="41">
        <f t="shared" si="24"/>
        <v>-1198</v>
      </c>
    </row>
    <row r="901" spans="1:14" ht="12.75" customHeight="1" x14ac:dyDescent="0.2">
      <c r="A901">
        <v>43400</v>
      </c>
      <c r="B901" s="3" t="s">
        <v>1224</v>
      </c>
      <c r="C901" s="7" t="s">
        <v>1647</v>
      </c>
      <c r="D901" s="7" t="s">
        <v>242</v>
      </c>
      <c r="F901" s="7" t="s">
        <v>665</v>
      </c>
      <c r="G901" s="7" t="s">
        <v>1573</v>
      </c>
      <c r="H901" s="7" t="s">
        <v>1359</v>
      </c>
      <c r="I901" s="7" t="s">
        <v>1224</v>
      </c>
      <c r="K901" s="39" t="s">
        <v>1179</v>
      </c>
      <c r="L901" s="40">
        <v>50</v>
      </c>
      <c r="M901" s="40">
        <v>310903.82</v>
      </c>
      <c r="N901" s="41">
        <f t="shared" si="24"/>
        <v>-50</v>
      </c>
    </row>
    <row r="902" spans="1:14" ht="12.75" customHeight="1" x14ac:dyDescent="0.2">
      <c r="A902">
        <v>43400</v>
      </c>
      <c r="B902" s="3" t="s">
        <v>1224</v>
      </c>
      <c r="C902" s="7" t="s">
        <v>1585</v>
      </c>
      <c r="D902" s="7" t="s">
        <v>242</v>
      </c>
      <c r="F902" s="7" t="s">
        <v>665</v>
      </c>
      <c r="G902" s="7" t="s">
        <v>1586</v>
      </c>
      <c r="H902" s="7" t="s">
        <v>1359</v>
      </c>
      <c r="I902" s="7" t="s">
        <v>1224</v>
      </c>
      <c r="K902" s="39" t="s">
        <v>1136</v>
      </c>
      <c r="L902" s="40">
        <v>18</v>
      </c>
      <c r="M902" s="40">
        <v>222625.31</v>
      </c>
      <c r="N902" s="41">
        <f t="shared" si="24"/>
        <v>-18</v>
      </c>
    </row>
    <row r="903" spans="1:14" ht="12.75" customHeight="1" x14ac:dyDescent="0.2">
      <c r="A903">
        <v>43400</v>
      </c>
      <c r="B903" s="3" t="s">
        <v>1224</v>
      </c>
      <c r="C903" s="7" t="s">
        <v>1565</v>
      </c>
      <c r="D903" s="7" t="s">
        <v>242</v>
      </c>
      <c r="F903" s="7" t="s">
        <v>665</v>
      </c>
      <c r="G903" s="7" t="s">
        <v>1552</v>
      </c>
      <c r="H903" s="7" t="s">
        <v>1359</v>
      </c>
      <c r="I903" s="7" t="s">
        <v>1224</v>
      </c>
      <c r="K903" s="39" t="s">
        <v>1172</v>
      </c>
      <c r="L903" s="40">
        <v>20</v>
      </c>
      <c r="M903" s="40">
        <v>221992.57</v>
      </c>
      <c r="N903" s="41">
        <f t="shared" si="24"/>
        <v>-20</v>
      </c>
    </row>
    <row r="904" spans="1:14" ht="12.75" customHeight="1" x14ac:dyDescent="0.2">
      <c r="A904">
        <v>43400</v>
      </c>
      <c r="B904" s="3" t="s">
        <v>1224</v>
      </c>
      <c r="C904" s="7" t="s">
        <v>239</v>
      </c>
      <c r="D904" s="7" t="s">
        <v>242</v>
      </c>
      <c r="F904" s="7" t="s">
        <v>665</v>
      </c>
      <c r="G904" s="7" t="s">
        <v>1630</v>
      </c>
      <c r="H904" s="7" t="s">
        <v>1359</v>
      </c>
      <c r="I904" s="7" t="s">
        <v>1224</v>
      </c>
      <c r="K904" s="7" t="s">
        <v>1185</v>
      </c>
      <c r="L904" s="11">
        <v>8079.1</v>
      </c>
      <c r="M904" s="11">
        <v>140003.51</v>
      </c>
      <c r="N904" s="9">
        <f t="shared" ref="N904:N935" si="25">IF(A904&lt;60000,-L904,+L904)</f>
        <v>-8079.1</v>
      </c>
    </row>
    <row r="905" spans="1:14" ht="12.75" hidden="1" customHeight="1" x14ac:dyDescent="0.2">
      <c r="A905">
        <v>43440</v>
      </c>
      <c r="B905" s="3" t="s">
        <v>1228</v>
      </c>
      <c r="C905" s="7" t="s">
        <v>496</v>
      </c>
      <c r="D905" s="7" t="s">
        <v>183</v>
      </c>
      <c r="E905" s="7">
        <v>616</v>
      </c>
      <c r="G905" s="7" t="s">
        <v>1579</v>
      </c>
      <c r="H905" s="7" t="s">
        <v>1360</v>
      </c>
      <c r="I905" s="7" t="s">
        <v>1228</v>
      </c>
      <c r="J905" s="7" t="s">
        <v>495</v>
      </c>
      <c r="K905" s="7" t="s">
        <v>180</v>
      </c>
      <c r="L905" s="11">
        <v>967.95</v>
      </c>
      <c r="M905" s="11">
        <v>25694.400000000001</v>
      </c>
      <c r="N905" s="9">
        <f t="shared" si="25"/>
        <v>-967.95</v>
      </c>
    </row>
    <row r="906" spans="1:14" ht="12.75" hidden="1" customHeight="1" x14ac:dyDescent="0.2">
      <c r="A906">
        <v>43440</v>
      </c>
      <c r="B906" s="3" t="s">
        <v>1228</v>
      </c>
      <c r="C906" s="7" t="s">
        <v>496</v>
      </c>
      <c r="D906" s="7" t="s">
        <v>183</v>
      </c>
      <c r="E906" s="7">
        <v>616</v>
      </c>
      <c r="G906" s="7" t="s">
        <v>1579</v>
      </c>
      <c r="H906" s="7" t="s">
        <v>1360</v>
      </c>
      <c r="I906" s="7" t="s">
        <v>1228</v>
      </c>
      <c r="J906" s="7" t="s">
        <v>497</v>
      </c>
      <c r="K906" s="7" t="s">
        <v>180</v>
      </c>
      <c r="L906" s="11">
        <v>318</v>
      </c>
      <c r="M906" s="11">
        <v>26012.400000000001</v>
      </c>
      <c r="N906" s="9">
        <f t="shared" si="25"/>
        <v>-318</v>
      </c>
    </row>
    <row r="907" spans="1:14" ht="12.75" hidden="1" customHeight="1" x14ac:dyDescent="0.2">
      <c r="A907">
        <v>43440</v>
      </c>
      <c r="B907" s="3" t="s">
        <v>1228</v>
      </c>
      <c r="C907" s="7" t="s">
        <v>493</v>
      </c>
      <c r="D907" s="7" t="s">
        <v>183</v>
      </c>
      <c r="E907" s="7">
        <v>530</v>
      </c>
      <c r="G907" s="7" t="s">
        <v>1579</v>
      </c>
      <c r="H907" s="7" t="s">
        <v>1360</v>
      </c>
      <c r="I907" s="7" t="s">
        <v>1228</v>
      </c>
      <c r="J907" s="7" t="s">
        <v>492</v>
      </c>
      <c r="K907" s="7" t="s">
        <v>180</v>
      </c>
      <c r="L907" s="11">
        <v>214.98</v>
      </c>
      <c r="M907" s="11">
        <v>26370.27</v>
      </c>
      <c r="N907" s="9">
        <f t="shared" si="25"/>
        <v>-214.98</v>
      </c>
    </row>
    <row r="908" spans="1:14" ht="12.75" hidden="1" customHeight="1" x14ac:dyDescent="0.2">
      <c r="A908">
        <v>43440</v>
      </c>
      <c r="B908" s="3" t="s">
        <v>1228</v>
      </c>
      <c r="C908" s="7" t="s">
        <v>493</v>
      </c>
      <c r="D908" s="7" t="s">
        <v>183</v>
      </c>
      <c r="E908" s="7">
        <v>530</v>
      </c>
      <c r="G908" s="7" t="s">
        <v>1579</v>
      </c>
      <c r="H908" s="7" t="s">
        <v>1360</v>
      </c>
      <c r="I908" s="7" t="s">
        <v>1228</v>
      </c>
      <c r="J908" s="7" t="s">
        <v>492</v>
      </c>
      <c r="K908" s="7" t="s">
        <v>180</v>
      </c>
      <c r="L908" s="11">
        <v>395.62</v>
      </c>
      <c r="M908" s="11">
        <v>26765.89</v>
      </c>
      <c r="N908" s="9">
        <f t="shared" si="25"/>
        <v>-395.62</v>
      </c>
    </row>
    <row r="909" spans="1:14" ht="12.75" hidden="1" customHeight="1" x14ac:dyDescent="0.2">
      <c r="A909">
        <v>43440</v>
      </c>
      <c r="B909" s="3" t="s">
        <v>1228</v>
      </c>
      <c r="C909" s="7" t="s">
        <v>493</v>
      </c>
      <c r="D909" s="7" t="s">
        <v>183</v>
      </c>
      <c r="E909" s="7">
        <v>530</v>
      </c>
      <c r="G909" s="7" t="s">
        <v>1579</v>
      </c>
      <c r="H909" s="7" t="s">
        <v>1360</v>
      </c>
      <c r="I909" s="7" t="s">
        <v>1228</v>
      </c>
      <c r="J909" s="7" t="s">
        <v>492</v>
      </c>
      <c r="K909" s="7" t="s">
        <v>180</v>
      </c>
      <c r="L909" s="11">
        <v>387.53</v>
      </c>
      <c r="M909" s="11">
        <v>27153.42</v>
      </c>
      <c r="N909" s="9">
        <f t="shared" si="25"/>
        <v>-387.53</v>
      </c>
    </row>
    <row r="910" spans="1:14" ht="12.75" hidden="1" customHeight="1" x14ac:dyDescent="0.2">
      <c r="A910">
        <v>43440</v>
      </c>
      <c r="B910" s="3" t="s">
        <v>1228</v>
      </c>
      <c r="C910" s="7" t="s">
        <v>493</v>
      </c>
      <c r="D910" s="7" t="s">
        <v>183</v>
      </c>
      <c r="E910" s="7">
        <v>530</v>
      </c>
      <c r="G910" s="7" t="s">
        <v>1579</v>
      </c>
      <c r="H910" s="7" t="s">
        <v>1360</v>
      </c>
      <c r="I910" s="7" t="s">
        <v>1228</v>
      </c>
      <c r="J910" s="7" t="s">
        <v>492</v>
      </c>
      <c r="K910" s="7" t="s">
        <v>180</v>
      </c>
      <c r="L910" s="11">
        <v>447</v>
      </c>
      <c r="M910" s="11">
        <v>27600.42</v>
      </c>
      <c r="N910" s="9">
        <f t="shared" si="25"/>
        <v>-447</v>
      </c>
    </row>
    <row r="911" spans="1:14" ht="12.75" hidden="1" customHeight="1" x14ac:dyDescent="0.2">
      <c r="A911">
        <v>65015</v>
      </c>
      <c r="B911" s="3" t="s">
        <v>1244</v>
      </c>
      <c r="C911" s="7" t="s">
        <v>282</v>
      </c>
      <c r="D911" s="7" t="s">
        <v>200</v>
      </c>
      <c r="F911" s="7" t="s">
        <v>438</v>
      </c>
      <c r="G911" s="7" t="s">
        <v>1579</v>
      </c>
      <c r="H911" s="7" t="s">
        <v>1362</v>
      </c>
      <c r="I911" s="7" t="s">
        <v>1244</v>
      </c>
      <c r="K911" s="7" t="s">
        <v>547</v>
      </c>
      <c r="L911" s="11">
        <v>6.28</v>
      </c>
      <c r="M911" s="11">
        <v>2966.65</v>
      </c>
      <c r="N911" s="9">
        <f t="shared" si="25"/>
        <v>6.28</v>
      </c>
    </row>
    <row r="912" spans="1:14" ht="12.75" hidden="1" customHeight="1" x14ac:dyDescent="0.2">
      <c r="A912">
        <v>65020</v>
      </c>
      <c r="B912" s="3" t="s">
        <v>1245</v>
      </c>
      <c r="C912" s="7" t="s">
        <v>249</v>
      </c>
      <c r="D912" s="7" t="s">
        <v>200</v>
      </c>
      <c r="F912" s="7" t="s">
        <v>338</v>
      </c>
      <c r="G912" s="7" t="s">
        <v>1579</v>
      </c>
      <c r="H912" s="7" t="s">
        <v>1362</v>
      </c>
      <c r="I912" s="7" t="s">
        <v>1245</v>
      </c>
      <c r="K912" s="7" t="s">
        <v>547</v>
      </c>
      <c r="L912" s="11">
        <v>5.6</v>
      </c>
      <c r="M912" s="11">
        <v>1299.19</v>
      </c>
      <c r="N912" s="9">
        <f t="shared" si="25"/>
        <v>5.6</v>
      </c>
    </row>
    <row r="913" spans="1:14" ht="12.75" hidden="1" customHeight="1" x14ac:dyDescent="0.2">
      <c r="A913">
        <v>65045</v>
      </c>
      <c r="B913" s="3" t="s">
        <v>1251</v>
      </c>
      <c r="C913" s="7" t="s">
        <v>379</v>
      </c>
      <c r="D913" s="7" t="s">
        <v>200</v>
      </c>
      <c r="F913" s="7" t="s">
        <v>986</v>
      </c>
      <c r="G913" s="7" t="s">
        <v>1579</v>
      </c>
      <c r="H913" s="7" t="s">
        <v>1362</v>
      </c>
      <c r="I913" s="7" t="s">
        <v>1251</v>
      </c>
      <c r="K913" s="7" t="s">
        <v>547</v>
      </c>
      <c r="L913" s="11">
        <v>87</v>
      </c>
      <c r="M913" s="11">
        <v>659</v>
      </c>
      <c r="N913" s="9">
        <f t="shared" si="25"/>
        <v>87</v>
      </c>
    </row>
    <row r="914" spans="1:14" ht="12.75" hidden="1" customHeight="1" x14ac:dyDescent="0.2">
      <c r="A914">
        <v>65045</v>
      </c>
      <c r="B914" s="3" t="s">
        <v>1251</v>
      </c>
      <c r="C914" s="7" t="s">
        <v>334</v>
      </c>
      <c r="D914" s="7" t="s">
        <v>200</v>
      </c>
      <c r="F914" s="7" t="s">
        <v>986</v>
      </c>
      <c r="G914" s="7" t="s">
        <v>1579</v>
      </c>
      <c r="H914" s="7" t="s">
        <v>1362</v>
      </c>
      <c r="I914" s="7" t="s">
        <v>1251</v>
      </c>
      <c r="K914" s="7" t="s">
        <v>547</v>
      </c>
      <c r="L914" s="11">
        <v>90</v>
      </c>
      <c r="M914" s="11">
        <v>1843</v>
      </c>
      <c r="N914" s="9">
        <f t="shared" si="25"/>
        <v>90</v>
      </c>
    </row>
    <row r="915" spans="1:14" ht="12.75" hidden="1" customHeight="1" x14ac:dyDescent="0.2">
      <c r="A915">
        <v>65045</v>
      </c>
      <c r="B915" s="3" t="s">
        <v>1251</v>
      </c>
      <c r="C915" s="7" t="s">
        <v>293</v>
      </c>
      <c r="D915" s="7" t="s">
        <v>200</v>
      </c>
      <c r="F915" s="7" t="s">
        <v>986</v>
      </c>
      <c r="G915" s="7" t="s">
        <v>1579</v>
      </c>
      <c r="H915" s="7" t="s">
        <v>1362</v>
      </c>
      <c r="I915" s="7" t="s">
        <v>1251</v>
      </c>
      <c r="K915" s="7" t="s">
        <v>547</v>
      </c>
      <c r="L915" s="11">
        <v>90</v>
      </c>
      <c r="M915" s="11">
        <v>2755.35</v>
      </c>
      <c r="N915" s="9">
        <f t="shared" si="25"/>
        <v>90</v>
      </c>
    </row>
    <row r="916" spans="1:14" ht="12.75" hidden="1" customHeight="1" x14ac:dyDescent="0.2">
      <c r="A916">
        <v>65045</v>
      </c>
      <c r="B916" s="3" t="s">
        <v>1251</v>
      </c>
      <c r="C916" s="7" t="s">
        <v>239</v>
      </c>
      <c r="D916" s="7" t="s">
        <v>221</v>
      </c>
      <c r="F916" s="7" t="s">
        <v>986</v>
      </c>
      <c r="G916" s="7" t="s">
        <v>1579</v>
      </c>
      <c r="H916" s="7" t="s">
        <v>1362</v>
      </c>
      <c r="I916" s="7" t="s">
        <v>1251</v>
      </c>
      <c r="K916" s="7" t="s">
        <v>547</v>
      </c>
      <c r="L916" s="11">
        <v>90</v>
      </c>
      <c r="M916" s="11">
        <v>3417.35</v>
      </c>
      <c r="N916" s="9">
        <f t="shared" si="25"/>
        <v>90</v>
      </c>
    </row>
    <row r="917" spans="1:14" ht="12.75" hidden="1" customHeight="1" x14ac:dyDescent="0.2">
      <c r="A917">
        <v>65045</v>
      </c>
      <c r="B917" s="3" t="s">
        <v>1251</v>
      </c>
      <c r="C917" s="7" t="s">
        <v>218</v>
      </c>
      <c r="D917" s="7" t="s">
        <v>221</v>
      </c>
      <c r="F917" s="7" t="s">
        <v>986</v>
      </c>
      <c r="G917" s="7" t="s">
        <v>1579</v>
      </c>
      <c r="H917" s="7" t="s">
        <v>1362</v>
      </c>
      <c r="I917" s="7" t="s">
        <v>1251</v>
      </c>
      <c r="K917" s="7" t="s">
        <v>547</v>
      </c>
      <c r="L917" s="11">
        <v>90</v>
      </c>
      <c r="M917" s="11">
        <v>4079.35</v>
      </c>
      <c r="N917" s="9">
        <f t="shared" si="25"/>
        <v>90</v>
      </c>
    </row>
    <row r="918" spans="1:14" ht="12.75" hidden="1" customHeight="1" x14ac:dyDescent="0.2">
      <c r="A918">
        <v>65061</v>
      </c>
      <c r="B918" s="3" t="s">
        <v>1253</v>
      </c>
      <c r="C918" s="7" t="s">
        <v>981</v>
      </c>
      <c r="D918" s="7" t="s">
        <v>200</v>
      </c>
      <c r="F918" s="7" t="s">
        <v>986</v>
      </c>
      <c r="G918" s="7" t="s">
        <v>1579</v>
      </c>
      <c r="H918" s="7" t="s">
        <v>1362</v>
      </c>
      <c r="I918" s="7" t="s">
        <v>1253</v>
      </c>
      <c r="K918" s="7" t="s">
        <v>547</v>
      </c>
      <c r="L918" s="11">
        <v>87</v>
      </c>
      <c r="M918" s="11">
        <v>-7564.6</v>
      </c>
      <c r="N918" s="9">
        <f t="shared" si="25"/>
        <v>87</v>
      </c>
    </row>
    <row r="919" spans="1:14" ht="12.75" hidden="1" customHeight="1" x14ac:dyDescent="0.2">
      <c r="A919">
        <v>65061</v>
      </c>
      <c r="B919" s="3" t="s">
        <v>1253</v>
      </c>
      <c r="C919" s="7" t="s">
        <v>406</v>
      </c>
      <c r="D919" s="7" t="s">
        <v>200</v>
      </c>
      <c r="F919" s="7" t="s">
        <v>817</v>
      </c>
      <c r="G919" s="7" t="s">
        <v>1579</v>
      </c>
      <c r="H919" s="7" t="s">
        <v>1362</v>
      </c>
      <c r="I919" s="7" t="s">
        <v>1253</v>
      </c>
      <c r="K919" s="7" t="s">
        <v>547</v>
      </c>
      <c r="L919" s="11">
        <v>93.45</v>
      </c>
      <c r="M919" s="11">
        <v>83513.91</v>
      </c>
      <c r="N919" s="9">
        <f t="shared" si="25"/>
        <v>93.45</v>
      </c>
    </row>
    <row r="920" spans="1:14" ht="12.75" hidden="1" customHeight="1" x14ac:dyDescent="0.2">
      <c r="A920">
        <v>65061</v>
      </c>
      <c r="B920" s="3" t="s">
        <v>1253</v>
      </c>
      <c r="C920" s="7" t="s">
        <v>812</v>
      </c>
      <c r="D920" s="7" t="s">
        <v>200</v>
      </c>
      <c r="F920" s="7" t="s">
        <v>352</v>
      </c>
      <c r="G920" s="7" t="s">
        <v>1579</v>
      </c>
      <c r="H920" s="7" t="s">
        <v>1362</v>
      </c>
      <c r="I920" s="7" t="s">
        <v>1253</v>
      </c>
      <c r="K920" s="7" t="s">
        <v>547</v>
      </c>
      <c r="L920" s="11">
        <v>125.53</v>
      </c>
      <c r="M920" s="11">
        <v>86715.55</v>
      </c>
      <c r="N920" s="9">
        <f t="shared" si="25"/>
        <v>125.53</v>
      </c>
    </row>
    <row r="921" spans="1:14" ht="12.75" hidden="1" customHeight="1" x14ac:dyDescent="0.2">
      <c r="A921">
        <v>65061</v>
      </c>
      <c r="B921" s="3" t="s">
        <v>1253</v>
      </c>
      <c r="C921" s="7" t="s">
        <v>290</v>
      </c>
      <c r="D921" s="7" t="s">
        <v>200</v>
      </c>
      <c r="F921" s="7" t="s">
        <v>625</v>
      </c>
      <c r="G921" s="7" t="s">
        <v>1579</v>
      </c>
      <c r="H921" s="7" t="s">
        <v>1362</v>
      </c>
      <c r="I921" s="7" t="s">
        <v>1253</v>
      </c>
      <c r="K921" s="7" t="s">
        <v>547</v>
      </c>
      <c r="L921" s="11">
        <v>35.5</v>
      </c>
      <c r="M921" s="11">
        <v>86751.05</v>
      </c>
      <c r="N921" s="9">
        <f t="shared" si="25"/>
        <v>35.5</v>
      </c>
    </row>
    <row r="922" spans="1:14" ht="12.75" hidden="1" customHeight="1" x14ac:dyDescent="0.2">
      <c r="A922">
        <v>65061</v>
      </c>
      <c r="B922" s="3" t="s">
        <v>1253</v>
      </c>
      <c r="C922" s="7" t="s">
        <v>290</v>
      </c>
      <c r="D922" s="7" t="s">
        <v>200</v>
      </c>
      <c r="F922" s="7" t="s">
        <v>223</v>
      </c>
      <c r="G922" s="7" t="s">
        <v>1579</v>
      </c>
      <c r="H922" s="7" t="s">
        <v>1362</v>
      </c>
      <c r="I922" s="7" t="s">
        <v>1253</v>
      </c>
      <c r="K922" s="7" t="s">
        <v>547</v>
      </c>
      <c r="L922" s="11">
        <v>17.2</v>
      </c>
      <c r="M922" s="11">
        <v>87400.93</v>
      </c>
      <c r="N922" s="9">
        <f t="shared" si="25"/>
        <v>17.2</v>
      </c>
    </row>
    <row r="923" spans="1:14" ht="12.75" hidden="1" customHeight="1" x14ac:dyDescent="0.2">
      <c r="A923">
        <v>65061</v>
      </c>
      <c r="B923" s="3" t="s">
        <v>1253</v>
      </c>
      <c r="C923" s="7" t="s">
        <v>290</v>
      </c>
      <c r="D923" s="7" t="s">
        <v>200</v>
      </c>
      <c r="F923" s="7" t="s">
        <v>548</v>
      </c>
      <c r="G923" s="7" t="s">
        <v>1579</v>
      </c>
      <c r="H923" s="7" t="s">
        <v>1362</v>
      </c>
      <c r="I923" s="7" t="s">
        <v>1253</v>
      </c>
      <c r="K923" s="7" t="s">
        <v>547</v>
      </c>
      <c r="L923" s="11">
        <v>298.16000000000003</v>
      </c>
      <c r="M923" s="11">
        <v>89229.58</v>
      </c>
      <c r="N923" s="9">
        <f t="shared" si="25"/>
        <v>298.16000000000003</v>
      </c>
    </row>
    <row r="924" spans="1:14" ht="12.75" hidden="1" customHeight="1" x14ac:dyDescent="0.2">
      <c r="A924">
        <v>65061</v>
      </c>
      <c r="B924" s="3" t="s">
        <v>1253</v>
      </c>
      <c r="C924" s="7" t="s">
        <v>284</v>
      </c>
      <c r="D924" s="7" t="s">
        <v>200</v>
      </c>
      <c r="F924" s="7" t="s">
        <v>770</v>
      </c>
      <c r="G924" s="7" t="s">
        <v>1579</v>
      </c>
      <c r="H924" s="7" t="s">
        <v>1362</v>
      </c>
      <c r="I924" s="7" t="s">
        <v>1253</v>
      </c>
      <c r="K924" s="7" t="s">
        <v>547</v>
      </c>
      <c r="L924" s="11">
        <v>103.99</v>
      </c>
      <c r="M924" s="11">
        <v>90617.93</v>
      </c>
      <c r="N924" s="9">
        <f t="shared" si="25"/>
        <v>103.99</v>
      </c>
    </row>
    <row r="925" spans="1:14" ht="12.75" hidden="1" customHeight="1" x14ac:dyDescent="0.2">
      <c r="A925">
        <v>65061</v>
      </c>
      <c r="B925" s="3" t="s">
        <v>1253</v>
      </c>
      <c r="C925" s="7" t="s">
        <v>802</v>
      </c>
      <c r="D925" s="7" t="s">
        <v>200</v>
      </c>
      <c r="F925" s="7" t="s">
        <v>769</v>
      </c>
      <c r="G925" s="7" t="s">
        <v>1579</v>
      </c>
      <c r="H925" s="7" t="s">
        <v>1362</v>
      </c>
      <c r="I925" s="7" t="s">
        <v>1253</v>
      </c>
      <c r="K925" s="7" t="s">
        <v>547</v>
      </c>
      <c r="L925" s="11">
        <v>64.94</v>
      </c>
      <c r="M925" s="11">
        <v>90825.69</v>
      </c>
      <c r="N925" s="9">
        <f t="shared" si="25"/>
        <v>64.94</v>
      </c>
    </row>
    <row r="926" spans="1:14" ht="12.75" hidden="1" customHeight="1" x14ac:dyDescent="0.2">
      <c r="A926">
        <v>65061</v>
      </c>
      <c r="B926" s="3" t="s">
        <v>1253</v>
      </c>
      <c r="C926" s="7" t="s">
        <v>802</v>
      </c>
      <c r="D926" s="7" t="s">
        <v>200</v>
      </c>
      <c r="F926" s="7" t="s">
        <v>803</v>
      </c>
      <c r="G926" s="7" t="s">
        <v>1579</v>
      </c>
      <c r="H926" s="7" t="s">
        <v>1362</v>
      </c>
      <c r="I926" s="7" t="s">
        <v>1253</v>
      </c>
      <c r="K926" s="7" t="s">
        <v>547</v>
      </c>
      <c r="L926" s="11">
        <v>17.239999999999998</v>
      </c>
      <c r="M926" s="11">
        <v>90842.93</v>
      </c>
      <c r="N926" s="9">
        <f t="shared" si="25"/>
        <v>17.239999999999998</v>
      </c>
    </row>
    <row r="927" spans="1:14" ht="12.75" hidden="1" customHeight="1" x14ac:dyDescent="0.2">
      <c r="A927">
        <v>65061</v>
      </c>
      <c r="B927" s="3" t="s">
        <v>1253</v>
      </c>
      <c r="C927" s="7" t="s">
        <v>282</v>
      </c>
      <c r="D927" s="7" t="s">
        <v>200</v>
      </c>
      <c r="F927" s="7" t="s">
        <v>801</v>
      </c>
      <c r="G927" s="7" t="s">
        <v>1579</v>
      </c>
      <c r="H927" s="7" t="s">
        <v>1362</v>
      </c>
      <c r="I927" s="7" t="s">
        <v>1253</v>
      </c>
      <c r="K927" s="7" t="s">
        <v>547</v>
      </c>
      <c r="L927" s="11">
        <v>189.75</v>
      </c>
      <c r="M927" s="11">
        <v>92390.24</v>
      </c>
      <c r="N927" s="9">
        <f t="shared" si="25"/>
        <v>189.75</v>
      </c>
    </row>
    <row r="928" spans="1:14" ht="12.75" hidden="1" customHeight="1" x14ac:dyDescent="0.2">
      <c r="A928">
        <v>65061</v>
      </c>
      <c r="B928" s="3" t="s">
        <v>1253</v>
      </c>
      <c r="C928" s="7" t="s">
        <v>282</v>
      </c>
      <c r="D928" s="7" t="s">
        <v>200</v>
      </c>
      <c r="F928" s="7" t="s">
        <v>625</v>
      </c>
      <c r="G928" s="7" t="s">
        <v>1579</v>
      </c>
      <c r="H928" s="7" t="s">
        <v>1362</v>
      </c>
      <c r="I928" s="7" t="s">
        <v>1253</v>
      </c>
      <c r="K928" s="7" t="s">
        <v>547</v>
      </c>
      <c r="L928" s="11">
        <v>43.54</v>
      </c>
      <c r="M928" s="11">
        <v>93160.13</v>
      </c>
      <c r="N928" s="9">
        <f t="shared" si="25"/>
        <v>43.54</v>
      </c>
    </row>
    <row r="929" spans="1:14" ht="12.75" hidden="1" customHeight="1" x14ac:dyDescent="0.2">
      <c r="A929">
        <v>65061</v>
      </c>
      <c r="B929" s="3" t="s">
        <v>1253</v>
      </c>
      <c r="C929" s="7" t="s">
        <v>282</v>
      </c>
      <c r="D929" s="7" t="s">
        <v>200</v>
      </c>
      <c r="F929" s="7" t="s">
        <v>564</v>
      </c>
      <c r="G929" s="7" t="s">
        <v>1579</v>
      </c>
      <c r="H929" s="7" t="s">
        <v>1362</v>
      </c>
      <c r="I929" s="7" t="s">
        <v>1253</v>
      </c>
      <c r="K929" s="7" t="s">
        <v>547</v>
      </c>
      <c r="L929" s="11">
        <v>151.59</v>
      </c>
      <c r="M929" s="11">
        <v>93660.72</v>
      </c>
      <c r="N929" s="9">
        <f t="shared" si="25"/>
        <v>151.59</v>
      </c>
    </row>
    <row r="930" spans="1:14" ht="12.75" hidden="1" customHeight="1" x14ac:dyDescent="0.2">
      <c r="A930">
        <v>65061</v>
      </c>
      <c r="B930" s="3" t="s">
        <v>1253</v>
      </c>
      <c r="C930" s="7" t="s">
        <v>253</v>
      </c>
      <c r="D930" s="7" t="s">
        <v>200</v>
      </c>
      <c r="F930" s="7" t="s">
        <v>548</v>
      </c>
      <c r="G930" s="7" t="s">
        <v>1579</v>
      </c>
      <c r="H930" s="7" t="s">
        <v>1362</v>
      </c>
      <c r="I930" s="7" t="s">
        <v>1253</v>
      </c>
      <c r="K930" s="7" t="s">
        <v>547</v>
      </c>
      <c r="L930" s="11">
        <v>634.66</v>
      </c>
      <c r="M930" s="11">
        <v>109302.93</v>
      </c>
      <c r="N930" s="9">
        <f t="shared" si="25"/>
        <v>634.66</v>
      </c>
    </row>
    <row r="931" spans="1:14" ht="12.75" hidden="1" customHeight="1" x14ac:dyDescent="0.2">
      <c r="A931">
        <v>65061</v>
      </c>
      <c r="B931" s="3" t="s">
        <v>1253</v>
      </c>
      <c r="C931" s="7" t="s">
        <v>249</v>
      </c>
      <c r="D931" s="7" t="s">
        <v>200</v>
      </c>
      <c r="F931" s="7" t="s">
        <v>597</v>
      </c>
      <c r="G931" s="7" t="s">
        <v>1579</v>
      </c>
      <c r="H931" s="7" t="s">
        <v>1362</v>
      </c>
      <c r="I931" s="7" t="s">
        <v>1253</v>
      </c>
      <c r="K931" s="7" t="s">
        <v>547</v>
      </c>
      <c r="L931" s="11">
        <v>279.95</v>
      </c>
      <c r="M931" s="11">
        <v>114925.69</v>
      </c>
      <c r="N931" s="9">
        <f t="shared" si="25"/>
        <v>279.95</v>
      </c>
    </row>
    <row r="932" spans="1:14" ht="12.75" hidden="1" customHeight="1" x14ac:dyDescent="0.2">
      <c r="A932">
        <v>65061</v>
      </c>
      <c r="B932" s="3" t="s">
        <v>1253</v>
      </c>
      <c r="C932" s="7" t="s">
        <v>239</v>
      </c>
      <c r="D932" s="7" t="s">
        <v>221</v>
      </c>
      <c r="F932" s="7" t="s">
        <v>769</v>
      </c>
      <c r="G932" s="7" t="s">
        <v>1579</v>
      </c>
      <c r="H932" s="7" t="s">
        <v>1362</v>
      </c>
      <c r="I932" s="7" t="s">
        <v>1253</v>
      </c>
      <c r="K932" s="7" t="s">
        <v>547</v>
      </c>
      <c r="L932" s="11">
        <v>38.15</v>
      </c>
      <c r="M932" s="11">
        <v>115868.41</v>
      </c>
      <c r="N932" s="9">
        <f t="shared" si="25"/>
        <v>38.15</v>
      </c>
    </row>
    <row r="933" spans="1:14" ht="12.75" hidden="1" customHeight="1" x14ac:dyDescent="0.2">
      <c r="A933">
        <v>65061</v>
      </c>
      <c r="B933" s="3" t="s">
        <v>1253</v>
      </c>
      <c r="C933" s="7" t="s">
        <v>239</v>
      </c>
      <c r="D933" s="7" t="s">
        <v>242</v>
      </c>
      <c r="F933" s="7" t="s">
        <v>606</v>
      </c>
      <c r="G933" s="7" t="s">
        <v>1579</v>
      </c>
      <c r="H933" s="7" t="s">
        <v>1362</v>
      </c>
      <c r="I933" s="7" t="s">
        <v>1253</v>
      </c>
      <c r="K933" s="7" t="s">
        <v>547</v>
      </c>
      <c r="L933" s="11">
        <v>-47.97</v>
      </c>
      <c r="M933" s="11">
        <v>115874.3</v>
      </c>
      <c r="N933" s="9">
        <f t="shared" si="25"/>
        <v>-47.97</v>
      </c>
    </row>
    <row r="934" spans="1:14" ht="12.75" hidden="1" customHeight="1" x14ac:dyDescent="0.2">
      <c r="A934">
        <v>65061</v>
      </c>
      <c r="B934" s="3" t="s">
        <v>1253</v>
      </c>
      <c r="C934" s="7" t="s">
        <v>239</v>
      </c>
      <c r="D934" s="7" t="s">
        <v>221</v>
      </c>
      <c r="F934" s="7" t="s">
        <v>352</v>
      </c>
      <c r="G934" s="7" t="s">
        <v>1579</v>
      </c>
      <c r="H934" s="7" t="s">
        <v>1362</v>
      </c>
      <c r="I934" s="7" t="s">
        <v>1253</v>
      </c>
      <c r="K934" s="7" t="s">
        <v>547</v>
      </c>
      <c r="L934" s="11">
        <v>84.36</v>
      </c>
      <c r="M934" s="11">
        <v>118161.60000000001</v>
      </c>
      <c r="N934" s="9">
        <f t="shared" si="25"/>
        <v>84.36</v>
      </c>
    </row>
    <row r="935" spans="1:14" ht="12.75" hidden="1" customHeight="1" x14ac:dyDescent="0.2">
      <c r="A935">
        <v>65061</v>
      </c>
      <c r="B935" s="3" t="s">
        <v>1253</v>
      </c>
      <c r="C935" s="7" t="s">
        <v>239</v>
      </c>
      <c r="D935" s="7" t="s">
        <v>221</v>
      </c>
      <c r="F935" s="7" t="s">
        <v>564</v>
      </c>
      <c r="G935" s="7" t="s">
        <v>1579</v>
      </c>
      <c r="H935" s="7" t="s">
        <v>1362</v>
      </c>
      <c r="I935" s="7" t="s">
        <v>1253</v>
      </c>
      <c r="K935" s="7" t="s">
        <v>547</v>
      </c>
      <c r="L935" s="11">
        <v>342.2</v>
      </c>
      <c r="M935" s="11">
        <v>119811.76</v>
      </c>
      <c r="N935" s="9">
        <f t="shared" si="25"/>
        <v>342.2</v>
      </c>
    </row>
    <row r="936" spans="1:14" ht="12.75" hidden="1" customHeight="1" x14ac:dyDescent="0.2">
      <c r="A936">
        <v>65061</v>
      </c>
      <c r="B936" s="3" t="s">
        <v>1253</v>
      </c>
      <c r="C936" s="7" t="s">
        <v>759</v>
      </c>
      <c r="D936" s="7" t="s">
        <v>221</v>
      </c>
      <c r="F936" s="7" t="s">
        <v>762</v>
      </c>
      <c r="G936" s="7" t="s">
        <v>1579</v>
      </c>
      <c r="H936" s="7" t="s">
        <v>1362</v>
      </c>
      <c r="I936" s="7" t="s">
        <v>1253</v>
      </c>
      <c r="K936" s="7" t="s">
        <v>547</v>
      </c>
      <c r="L936" s="11">
        <v>202.5</v>
      </c>
      <c r="M936" s="11">
        <v>120474.38</v>
      </c>
      <c r="N936" s="9">
        <f t="shared" ref="N936:N952" si="26">IF(A936&lt;60000,-L936,+L936)</f>
        <v>202.5</v>
      </c>
    </row>
    <row r="937" spans="1:14" ht="12.75" hidden="1" customHeight="1" x14ac:dyDescent="0.2">
      <c r="A937">
        <v>65061</v>
      </c>
      <c r="B937" s="3" t="s">
        <v>1253</v>
      </c>
      <c r="C937" s="7" t="s">
        <v>759</v>
      </c>
      <c r="D937" s="7" t="s">
        <v>221</v>
      </c>
      <c r="F937" s="7" t="s">
        <v>243</v>
      </c>
      <c r="G937" s="7" t="s">
        <v>1579</v>
      </c>
      <c r="H937" s="7" t="s">
        <v>1362</v>
      </c>
      <c r="I937" s="7" t="s">
        <v>1253</v>
      </c>
      <c r="K937" s="7" t="s">
        <v>547</v>
      </c>
      <c r="L937" s="11">
        <v>39.64</v>
      </c>
      <c r="M937" s="11">
        <v>121290.67</v>
      </c>
      <c r="N937" s="9">
        <f t="shared" si="26"/>
        <v>39.64</v>
      </c>
    </row>
    <row r="938" spans="1:14" ht="12.75" hidden="1" customHeight="1" x14ac:dyDescent="0.2">
      <c r="A938">
        <v>65061</v>
      </c>
      <c r="B938" s="3" t="s">
        <v>1253</v>
      </c>
      <c r="C938" s="7" t="s">
        <v>755</v>
      </c>
      <c r="D938" s="7" t="s">
        <v>221</v>
      </c>
      <c r="F938" s="7" t="s">
        <v>589</v>
      </c>
      <c r="G938" s="7" t="s">
        <v>1579</v>
      </c>
      <c r="H938" s="7" t="s">
        <v>1362</v>
      </c>
      <c r="I938" s="7" t="s">
        <v>1253</v>
      </c>
      <c r="K938" s="7" t="s">
        <v>547</v>
      </c>
      <c r="L938" s="11">
        <v>126.44</v>
      </c>
      <c r="M938" s="11">
        <v>123607.85</v>
      </c>
      <c r="N938" s="9">
        <f t="shared" si="26"/>
        <v>126.44</v>
      </c>
    </row>
    <row r="939" spans="1:14" ht="12.75" hidden="1" customHeight="1" x14ac:dyDescent="0.2">
      <c r="A939">
        <v>65061</v>
      </c>
      <c r="B939" s="3" t="s">
        <v>1253</v>
      </c>
      <c r="C939" s="7" t="s">
        <v>496</v>
      </c>
      <c r="D939" s="7" t="s">
        <v>221</v>
      </c>
      <c r="F939" s="7" t="s">
        <v>747</v>
      </c>
      <c r="G939" s="7" t="s">
        <v>1579</v>
      </c>
      <c r="H939" s="7" t="s">
        <v>1362</v>
      </c>
      <c r="I939" s="7" t="s">
        <v>1253</v>
      </c>
      <c r="K939" s="7" t="s">
        <v>547</v>
      </c>
      <c r="L939" s="11">
        <v>209.9</v>
      </c>
      <c r="M939" s="11">
        <v>125856.79</v>
      </c>
      <c r="N939" s="9">
        <f t="shared" si="26"/>
        <v>209.9</v>
      </c>
    </row>
    <row r="940" spans="1:14" ht="12.75" hidden="1" customHeight="1" x14ac:dyDescent="0.2">
      <c r="A940">
        <v>65061</v>
      </c>
      <c r="B940" s="3" t="s">
        <v>1253</v>
      </c>
      <c r="C940" s="7" t="s">
        <v>238</v>
      </c>
      <c r="D940" s="7" t="s">
        <v>221</v>
      </c>
      <c r="F940" s="7" t="s">
        <v>606</v>
      </c>
      <c r="G940" s="7" t="s">
        <v>1579</v>
      </c>
      <c r="H940" s="7" t="s">
        <v>1362</v>
      </c>
      <c r="I940" s="7" t="s">
        <v>1253</v>
      </c>
      <c r="K940" s="7" t="s">
        <v>547</v>
      </c>
      <c r="L940" s="11">
        <v>62.18</v>
      </c>
      <c r="M940" s="11">
        <v>129365.38</v>
      </c>
      <c r="N940" s="9">
        <f t="shared" si="26"/>
        <v>62.18</v>
      </c>
    </row>
    <row r="941" spans="1:14" ht="12.75" hidden="1" customHeight="1" x14ac:dyDescent="0.2">
      <c r="A941">
        <v>65061</v>
      </c>
      <c r="B941" s="3" t="s">
        <v>1253</v>
      </c>
      <c r="C941" s="7" t="s">
        <v>429</v>
      </c>
      <c r="D941" s="7" t="s">
        <v>221</v>
      </c>
      <c r="F941" s="7" t="s">
        <v>672</v>
      </c>
      <c r="G941" s="7" t="s">
        <v>1579</v>
      </c>
      <c r="H941" s="7" t="s">
        <v>1362</v>
      </c>
      <c r="I941" s="7" t="s">
        <v>1253</v>
      </c>
      <c r="K941" s="7" t="s">
        <v>547</v>
      </c>
      <c r="L941" s="11">
        <v>43.22</v>
      </c>
      <c r="M941" s="11">
        <v>154703.32</v>
      </c>
      <c r="N941" s="9">
        <f t="shared" si="26"/>
        <v>43.22</v>
      </c>
    </row>
    <row r="942" spans="1:14" ht="12.75" hidden="1" customHeight="1" x14ac:dyDescent="0.2">
      <c r="A942">
        <v>65061</v>
      </c>
      <c r="B942" s="3" t="s">
        <v>1253</v>
      </c>
      <c r="C942" s="7" t="s">
        <v>207</v>
      </c>
      <c r="D942" s="7" t="s">
        <v>221</v>
      </c>
      <c r="F942" s="7" t="s">
        <v>265</v>
      </c>
      <c r="G942" s="7" t="s">
        <v>1579</v>
      </c>
      <c r="H942" s="7" t="s">
        <v>1362</v>
      </c>
      <c r="I942" s="7" t="s">
        <v>1253</v>
      </c>
      <c r="K942" s="7" t="s">
        <v>547</v>
      </c>
      <c r="L942" s="11">
        <v>5.8</v>
      </c>
      <c r="M942" s="11">
        <v>190708.07</v>
      </c>
      <c r="N942" s="9">
        <f t="shared" si="26"/>
        <v>5.8</v>
      </c>
    </row>
    <row r="943" spans="1:14" ht="12.75" hidden="1" customHeight="1" x14ac:dyDescent="0.2">
      <c r="A943">
        <v>65061</v>
      </c>
      <c r="B943" s="3" t="s">
        <v>1253</v>
      </c>
      <c r="C943" s="7" t="s">
        <v>204</v>
      </c>
      <c r="D943" s="7" t="s">
        <v>221</v>
      </c>
      <c r="F943" s="7" t="s">
        <v>556</v>
      </c>
      <c r="G943" s="7" t="s">
        <v>1579</v>
      </c>
      <c r="H943" s="7" t="s">
        <v>1362</v>
      </c>
      <c r="I943" s="7" t="s">
        <v>1253</v>
      </c>
      <c r="K943" s="7" t="s">
        <v>547</v>
      </c>
      <c r="L943" s="11">
        <v>130.4</v>
      </c>
      <c r="M943" s="11">
        <v>193313</v>
      </c>
      <c r="N943" s="9">
        <f t="shared" si="26"/>
        <v>130.4</v>
      </c>
    </row>
    <row r="944" spans="1:14" ht="12.75" hidden="1" customHeight="1" x14ac:dyDescent="0.2">
      <c r="A944">
        <v>65061</v>
      </c>
      <c r="B944" s="3" t="s">
        <v>1253</v>
      </c>
      <c r="C944" s="7" t="s">
        <v>204</v>
      </c>
      <c r="D944" s="7" t="s">
        <v>221</v>
      </c>
      <c r="F944" s="7" t="s">
        <v>548</v>
      </c>
      <c r="G944" s="7" t="s">
        <v>1579</v>
      </c>
      <c r="H944" s="7" t="s">
        <v>1362</v>
      </c>
      <c r="I944" s="7" t="s">
        <v>1253</v>
      </c>
      <c r="K944" s="7" t="s">
        <v>547</v>
      </c>
      <c r="L944" s="11">
        <v>84.93</v>
      </c>
      <c r="M944" s="11">
        <v>194982</v>
      </c>
      <c r="N944" s="9">
        <f t="shared" si="26"/>
        <v>84.93</v>
      </c>
    </row>
    <row r="945" spans="1:14" ht="12.75" hidden="1" customHeight="1" x14ac:dyDescent="0.2">
      <c r="A945">
        <v>65062</v>
      </c>
      <c r="B945" s="3" t="s">
        <v>1254</v>
      </c>
      <c r="C945" s="7" t="s">
        <v>496</v>
      </c>
      <c r="D945" s="7" t="s">
        <v>183</v>
      </c>
      <c r="E945" s="7">
        <v>616</v>
      </c>
      <c r="G945" s="7" t="s">
        <v>1579</v>
      </c>
      <c r="H945" s="7" t="s">
        <v>1362</v>
      </c>
      <c r="I945" s="7" t="s">
        <v>1254</v>
      </c>
      <c r="J945" s="7" t="s">
        <v>497</v>
      </c>
      <c r="K945" s="7" t="s">
        <v>180</v>
      </c>
      <c r="L945" s="11">
        <v>318</v>
      </c>
      <c r="M945" s="11">
        <v>25044.45</v>
      </c>
      <c r="N945" s="9">
        <f t="shared" si="26"/>
        <v>318</v>
      </c>
    </row>
    <row r="946" spans="1:14" ht="12.75" hidden="1" customHeight="1" x14ac:dyDescent="0.2">
      <c r="A946">
        <v>65062</v>
      </c>
      <c r="B946" s="3" t="s">
        <v>1254</v>
      </c>
      <c r="C946" s="7" t="s">
        <v>496</v>
      </c>
      <c r="D946" s="7" t="s">
        <v>183</v>
      </c>
      <c r="E946" s="7">
        <v>616</v>
      </c>
      <c r="G946" s="7" t="s">
        <v>1579</v>
      </c>
      <c r="H946" s="7" t="s">
        <v>1362</v>
      </c>
      <c r="I946" s="7" t="s">
        <v>1254</v>
      </c>
      <c r="J946" s="7" t="s">
        <v>495</v>
      </c>
      <c r="K946" s="7" t="s">
        <v>180</v>
      </c>
      <c r="L946" s="11">
        <v>967.95</v>
      </c>
      <c r="M946" s="11">
        <v>26012.400000000001</v>
      </c>
      <c r="N946" s="9">
        <f t="shared" si="26"/>
        <v>967.95</v>
      </c>
    </row>
    <row r="947" spans="1:14" ht="12.75" hidden="1" customHeight="1" x14ac:dyDescent="0.2">
      <c r="A947">
        <v>65062</v>
      </c>
      <c r="B947" s="3" t="s">
        <v>1254</v>
      </c>
      <c r="C947" s="7" t="s">
        <v>493</v>
      </c>
      <c r="D947" s="7" t="s">
        <v>183</v>
      </c>
      <c r="E947" s="7">
        <v>530</v>
      </c>
      <c r="G947" s="7" t="s">
        <v>1579</v>
      </c>
      <c r="H947" s="7" t="s">
        <v>1362</v>
      </c>
      <c r="I947" s="7" t="s">
        <v>1254</v>
      </c>
      <c r="J947" s="7" t="s">
        <v>492</v>
      </c>
      <c r="K947" s="7" t="s">
        <v>180</v>
      </c>
      <c r="L947" s="11">
        <v>214.98</v>
      </c>
      <c r="M947" s="11">
        <v>26370.27</v>
      </c>
      <c r="N947" s="9">
        <f t="shared" si="26"/>
        <v>214.98</v>
      </c>
    </row>
    <row r="948" spans="1:14" ht="12.75" hidden="1" customHeight="1" x14ac:dyDescent="0.2">
      <c r="A948">
        <v>65062</v>
      </c>
      <c r="B948" s="3" t="s">
        <v>1254</v>
      </c>
      <c r="C948" s="7" t="s">
        <v>493</v>
      </c>
      <c r="D948" s="7" t="s">
        <v>183</v>
      </c>
      <c r="E948" s="7">
        <v>530</v>
      </c>
      <c r="G948" s="7" t="s">
        <v>1579</v>
      </c>
      <c r="H948" s="7" t="s">
        <v>1362</v>
      </c>
      <c r="I948" s="7" t="s">
        <v>1254</v>
      </c>
      <c r="J948" s="7" t="s">
        <v>492</v>
      </c>
      <c r="K948" s="7" t="s">
        <v>180</v>
      </c>
      <c r="L948" s="11">
        <v>395.62</v>
      </c>
      <c r="M948" s="11">
        <v>26765.89</v>
      </c>
      <c r="N948" s="9">
        <f t="shared" si="26"/>
        <v>395.62</v>
      </c>
    </row>
    <row r="949" spans="1:14" ht="12.75" hidden="1" customHeight="1" x14ac:dyDescent="0.2">
      <c r="A949">
        <v>65062</v>
      </c>
      <c r="B949" s="3" t="s">
        <v>1254</v>
      </c>
      <c r="C949" s="7" t="s">
        <v>493</v>
      </c>
      <c r="D949" s="7" t="s">
        <v>183</v>
      </c>
      <c r="E949" s="7">
        <v>530</v>
      </c>
      <c r="G949" s="7" t="s">
        <v>1579</v>
      </c>
      <c r="H949" s="7" t="s">
        <v>1362</v>
      </c>
      <c r="I949" s="7" t="s">
        <v>1254</v>
      </c>
      <c r="J949" s="7" t="s">
        <v>492</v>
      </c>
      <c r="K949" s="7" t="s">
        <v>180</v>
      </c>
      <c r="L949" s="11">
        <v>447</v>
      </c>
      <c r="M949" s="11">
        <v>27212.89</v>
      </c>
      <c r="N949" s="9">
        <f t="shared" si="26"/>
        <v>447</v>
      </c>
    </row>
    <row r="950" spans="1:14" ht="12.75" hidden="1" customHeight="1" x14ac:dyDescent="0.2">
      <c r="A950">
        <v>65062</v>
      </c>
      <c r="B950" s="3" t="s">
        <v>1254</v>
      </c>
      <c r="C950" s="7" t="s">
        <v>493</v>
      </c>
      <c r="D950" s="7" t="s">
        <v>183</v>
      </c>
      <c r="E950" s="7">
        <v>530</v>
      </c>
      <c r="G950" s="7" t="s">
        <v>1579</v>
      </c>
      <c r="H950" s="7" t="s">
        <v>1362</v>
      </c>
      <c r="I950" s="7" t="s">
        <v>1254</v>
      </c>
      <c r="J950" s="7" t="s">
        <v>492</v>
      </c>
      <c r="K950" s="7" t="s">
        <v>180</v>
      </c>
      <c r="L950" s="11">
        <v>387.53</v>
      </c>
      <c r="M950" s="11">
        <v>27600.42</v>
      </c>
      <c r="N950" s="9">
        <f t="shared" si="26"/>
        <v>387.53</v>
      </c>
    </row>
    <row r="951" spans="1:14" ht="12.75" hidden="1" customHeight="1" x14ac:dyDescent="0.2">
      <c r="A951">
        <v>65075</v>
      </c>
      <c r="B951" s="3" t="s">
        <v>1364</v>
      </c>
      <c r="C951" s="7" t="s">
        <v>431</v>
      </c>
      <c r="D951" s="7" t="s">
        <v>200</v>
      </c>
      <c r="E951" s="7">
        <v>451</v>
      </c>
      <c r="F951" s="7" t="s">
        <v>441</v>
      </c>
      <c r="G951" s="7" t="s">
        <v>1579</v>
      </c>
      <c r="H951" s="7" t="s">
        <v>1362</v>
      </c>
      <c r="I951" s="7" t="s">
        <v>1364</v>
      </c>
      <c r="J951" s="7" t="s">
        <v>443</v>
      </c>
      <c r="K951" s="7" t="s">
        <v>198</v>
      </c>
      <c r="L951" s="11">
        <v>500</v>
      </c>
      <c r="M951" s="11">
        <v>503.24</v>
      </c>
      <c r="N951" s="9">
        <f t="shared" si="26"/>
        <v>500</v>
      </c>
    </row>
    <row r="952" spans="1:14" ht="12.75" hidden="1" customHeight="1" x14ac:dyDescent="0.2">
      <c r="A952">
        <v>65080</v>
      </c>
      <c r="B952" s="3" t="s">
        <v>1257</v>
      </c>
      <c r="C952" s="7" t="s">
        <v>431</v>
      </c>
      <c r="D952" s="7" t="s">
        <v>200</v>
      </c>
      <c r="E952" s="7">
        <v>451</v>
      </c>
      <c r="F952" s="7" t="s">
        <v>441</v>
      </c>
      <c r="G952" s="7" t="s">
        <v>1579</v>
      </c>
      <c r="H952" s="7" t="s">
        <v>1362</v>
      </c>
      <c r="I952" s="7" t="s">
        <v>1244</v>
      </c>
      <c r="J952" s="7" t="s">
        <v>439</v>
      </c>
      <c r="K952" s="7" t="s">
        <v>198</v>
      </c>
      <c r="L952" s="11">
        <v>103.5</v>
      </c>
      <c r="M952" s="11">
        <v>103.5</v>
      </c>
      <c r="N952" s="9">
        <f t="shared" si="26"/>
        <v>103.5</v>
      </c>
    </row>
    <row r="953" spans="1:14" ht="12.75" customHeight="1" x14ac:dyDescent="0.2">
      <c r="A953">
        <v>43400</v>
      </c>
      <c r="B953" s="3" t="s">
        <v>1224</v>
      </c>
      <c r="C953" s="7" t="s">
        <v>1593</v>
      </c>
      <c r="D953" s="7" t="s">
        <v>183</v>
      </c>
      <c r="E953" s="7">
        <v>659</v>
      </c>
      <c r="G953" s="7" t="s">
        <v>1594</v>
      </c>
      <c r="H953" s="7" t="s">
        <v>1359</v>
      </c>
      <c r="I953" s="7" t="s">
        <v>1224</v>
      </c>
      <c r="J953" s="39" t="s">
        <v>425</v>
      </c>
      <c r="K953" s="39" t="s">
        <v>180</v>
      </c>
      <c r="L953" s="40">
        <v>200</v>
      </c>
      <c r="M953" s="40">
        <v>240049.86</v>
      </c>
      <c r="N953" s="41">
        <f>-L953</f>
        <v>-200</v>
      </c>
    </row>
    <row r="954" spans="1:14" ht="12.75" customHeight="1" x14ac:dyDescent="0.2">
      <c r="A954">
        <v>43400</v>
      </c>
      <c r="B954" s="3" t="s">
        <v>1224</v>
      </c>
      <c r="C954" s="7" t="s">
        <v>381</v>
      </c>
      <c r="D954" s="7" t="s">
        <v>242</v>
      </c>
      <c r="F954" s="7" t="s">
        <v>665</v>
      </c>
      <c r="G954" s="7" t="s">
        <v>1581</v>
      </c>
      <c r="H954" s="7" t="s">
        <v>1359</v>
      </c>
      <c r="I954" s="7" t="s">
        <v>1224</v>
      </c>
      <c r="K954" s="7" t="s">
        <v>1123</v>
      </c>
      <c r="L954" s="11">
        <v>465</v>
      </c>
      <c r="M954" s="11">
        <v>29771.09</v>
      </c>
      <c r="N954" s="9">
        <f>IF(A954&lt;60000,-L954,+L954)</f>
        <v>-465</v>
      </c>
    </row>
    <row r="955" spans="1:14" ht="12.75" customHeight="1" x14ac:dyDescent="0.2">
      <c r="A955">
        <v>43400</v>
      </c>
      <c r="B955" s="3" t="s">
        <v>1224</v>
      </c>
      <c r="C955" s="7" t="s">
        <v>348</v>
      </c>
      <c r="D955" s="7" t="s">
        <v>242</v>
      </c>
      <c r="F955" s="7" t="s">
        <v>665</v>
      </c>
      <c r="G955" s="7" t="s">
        <v>1581</v>
      </c>
      <c r="H955" s="7" t="s">
        <v>1359</v>
      </c>
      <c r="I955" s="7" t="s">
        <v>1224</v>
      </c>
      <c r="K955" s="7" t="s">
        <v>1123</v>
      </c>
      <c r="L955" s="11">
        <v>500</v>
      </c>
      <c r="M955" s="11">
        <v>73154.399999999994</v>
      </c>
      <c r="N955" s="9">
        <f>IF(A955&lt;60000,-L955,+L955)</f>
        <v>-500</v>
      </c>
    </row>
    <row r="956" spans="1:14" ht="12.75" customHeight="1" x14ac:dyDescent="0.2">
      <c r="A956">
        <v>43400</v>
      </c>
      <c r="B956" s="3" t="s">
        <v>1224</v>
      </c>
      <c r="C956" s="7" t="s">
        <v>308</v>
      </c>
      <c r="D956" s="7" t="s">
        <v>242</v>
      </c>
      <c r="F956" s="7" t="s">
        <v>665</v>
      </c>
      <c r="G956" s="7" t="s">
        <v>1581</v>
      </c>
      <c r="H956" s="7" t="s">
        <v>1359</v>
      </c>
      <c r="I956" s="7" t="s">
        <v>1224</v>
      </c>
      <c r="K956" s="7" t="s">
        <v>1123</v>
      </c>
      <c r="L956" s="11">
        <v>5986.49</v>
      </c>
      <c r="M956" s="11">
        <v>101146.46</v>
      </c>
      <c r="N956" s="9">
        <f>IF(A956&lt;60000,-L956,+L956)</f>
        <v>-5986.49</v>
      </c>
    </row>
    <row r="957" spans="1:14" ht="12.75" customHeight="1" x14ac:dyDescent="0.2">
      <c r="A957">
        <v>43400</v>
      </c>
      <c r="B957" s="3" t="s">
        <v>1224</v>
      </c>
      <c r="C957" s="7" t="s">
        <v>1571</v>
      </c>
      <c r="D957" s="7" t="s">
        <v>183</v>
      </c>
      <c r="E957" s="7">
        <v>625</v>
      </c>
      <c r="G957" s="7" t="s">
        <v>1545</v>
      </c>
      <c r="H957" s="7" t="s">
        <v>1359</v>
      </c>
      <c r="I957" s="7" t="s">
        <v>1224</v>
      </c>
      <c r="J957" s="39" t="s">
        <v>425</v>
      </c>
      <c r="K957" s="39" t="s">
        <v>180</v>
      </c>
      <c r="L957" s="40">
        <v>390</v>
      </c>
      <c r="M957" s="40">
        <v>227857.16</v>
      </c>
      <c r="N957" s="41">
        <f>-L957</f>
        <v>-390</v>
      </c>
    </row>
    <row r="958" spans="1:14" ht="12.75" customHeight="1" x14ac:dyDescent="0.2">
      <c r="A958">
        <v>43400</v>
      </c>
      <c r="B958" s="3" t="s">
        <v>1224</v>
      </c>
      <c r="C958" s="7" t="s">
        <v>1617</v>
      </c>
      <c r="D958" s="7" t="s">
        <v>242</v>
      </c>
      <c r="F958" s="7" t="s">
        <v>665</v>
      </c>
      <c r="G958" s="7" t="s">
        <v>1545</v>
      </c>
      <c r="H958" s="7" t="s">
        <v>1359</v>
      </c>
      <c r="I958" s="7" t="s">
        <v>1224</v>
      </c>
      <c r="K958" s="39" t="s">
        <v>1150</v>
      </c>
      <c r="L958" s="40">
        <v>400</v>
      </c>
      <c r="M958" s="40">
        <v>259641.97</v>
      </c>
      <c r="N958" s="41">
        <f>-L958</f>
        <v>-400</v>
      </c>
    </row>
    <row r="959" spans="1:14" ht="12.75" customHeight="1" x14ac:dyDescent="0.2">
      <c r="A959">
        <v>43400</v>
      </c>
      <c r="B959" s="3" t="s">
        <v>1224</v>
      </c>
      <c r="C959" s="7" t="s">
        <v>1617</v>
      </c>
      <c r="D959" s="7" t="s">
        <v>183</v>
      </c>
      <c r="E959" s="7">
        <v>689</v>
      </c>
      <c r="G959" s="7" t="s">
        <v>1545</v>
      </c>
      <c r="H959" s="7" t="s">
        <v>1359</v>
      </c>
      <c r="I959" s="7" t="s">
        <v>1224</v>
      </c>
      <c r="K959" s="39" t="s">
        <v>180</v>
      </c>
      <c r="L959" s="40">
        <v>248</v>
      </c>
      <c r="M959" s="40">
        <v>259889.97</v>
      </c>
      <c r="N959" s="41">
        <f>-L959</f>
        <v>-248</v>
      </c>
    </row>
    <row r="960" spans="1:14" ht="12.75" hidden="1" customHeight="1" x14ac:dyDescent="0.2">
      <c r="A960">
        <v>43430</v>
      </c>
      <c r="B960" s="3" t="s">
        <v>1226</v>
      </c>
      <c r="C960" s="7" t="s">
        <v>477</v>
      </c>
      <c r="D960" s="7" t="s">
        <v>183</v>
      </c>
      <c r="E960" s="7">
        <v>460</v>
      </c>
      <c r="G960" s="7" t="s">
        <v>1548</v>
      </c>
      <c r="H960" s="7" t="s">
        <v>1360</v>
      </c>
      <c r="I960" s="7" t="s">
        <v>1226</v>
      </c>
      <c r="J960" s="7" t="s">
        <v>1164</v>
      </c>
      <c r="K960" s="7" t="s">
        <v>180</v>
      </c>
      <c r="L960" s="11">
        <v>120</v>
      </c>
      <c r="M960" s="11">
        <v>7397</v>
      </c>
      <c r="N960" s="9">
        <f>IF(A960&lt;60000,-L960,+L960)</f>
        <v>-120</v>
      </c>
    </row>
    <row r="961" spans="1:14" ht="12.75" hidden="1" customHeight="1" x14ac:dyDescent="0.2">
      <c r="A961">
        <v>43440</v>
      </c>
      <c r="B961" s="3" t="s">
        <v>1228</v>
      </c>
      <c r="C961" s="7" t="s">
        <v>477</v>
      </c>
      <c r="D961" s="7" t="s">
        <v>183</v>
      </c>
      <c r="E961" s="7">
        <v>460</v>
      </c>
      <c r="G961" s="7" t="s">
        <v>1548</v>
      </c>
      <c r="H961" s="7" t="s">
        <v>1360</v>
      </c>
      <c r="I961" s="7" t="s">
        <v>1228</v>
      </c>
      <c r="J961" s="7" t="s">
        <v>1160</v>
      </c>
      <c r="K961" s="7" t="s">
        <v>180</v>
      </c>
      <c r="L961" s="11">
        <v>70</v>
      </c>
      <c r="M961" s="11">
        <v>4727.42</v>
      </c>
      <c r="N961" s="9">
        <f>IF(A961&lt;60000,-L961,+L961)</f>
        <v>-70</v>
      </c>
    </row>
    <row r="962" spans="1:14" ht="12.75" hidden="1" customHeight="1" x14ac:dyDescent="0.2">
      <c r="A962">
        <v>43440</v>
      </c>
      <c r="B962" s="3" t="s">
        <v>1228</v>
      </c>
      <c r="C962" s="7" t="s">
        <v>477</v>
      </c>
      <c r="D962" s="7" t="s">
        <v>183</v>
      </c>
      <c r="E962" s="7">
        <v>460</v>
      </c>
      <c r="G962" s="7" t="s">
        <v>1548</v>
      </c>
      <c r="H962" s="7" t="s">
        <v>1360</v>
      </c>
      <c r="I962" s="7" t="s">
        <v>1228</v>
      </c>
      <c r="J962" s="7" t="s">
        <v>1159</v>
      </c>
      <c r="K962" s="7" t="s">
        <v>180</v>
      </c>
      <c r="L962" s="11">
        <v>102</v>
      </c>
      <c r="M962" s="11">
        <v>4948.13</v>
      </c>
      <c r="N962" s="9">
        <f>IF(A962&lt;60000,-L962,+L962)</f>
        <v>-102</v>
      </c>
    </row>
    <row r="963" spans="1:14" ht="12.75" hidden="1" customHeight="1" x14ac:dyDescent="0.2">
      <c r="A963">
        <v>43440</v>
      </c>
      <c r="B963" s="3" t="s">
        <v>1228</v>
      </c>
      <c r="C963" s="7" t="s">
        <v>477</v>
      </c>
      <c r="D963" s="7" t="s">
        <v>183</v>
      </c>
      <c r="E963" s="7">
        <v>460</v>
      </c>
      <c r="G963" s="7" t="s">
        <v>1548</v>
      </c>
      <c r="H963" s="7" t="s">
        <v>1360</v>
      </c>
      <c r="I963" s="7" t="s">
        <v>1228</v>
      </c>
      <c r="J963" s="7" t="s">
        <v>529</v>
      </c>
      <c r="K963" s="7" t="s">
        <v>180</v>
      </c>
      <c r="L963" s="11">
        <v>2000</v>
      </c>
      <c r="M963" s="11">
        <v>6948.13</v>
      </c>
      <c r="N963" s="9">
        <f>IF(A963&lt;60000,-L963,+L963)</f>
        <v>-2000</v>
      </c>
    </row>
    <row r="964" spans="1:14" ht="12.75" hidden="1" customHeight="1" x14ac:dyDescent="0.2">
      <c r="A964">
        <v>43440</v>
      </c>
      <c r="B964" s="3" t="s">
        <v>1228</v>
      </c>
      <c r="C964" s="7" t="s">
        <v>486</v>
      </c>
      <c r="D964" s="7" t="s">
        <v>183</v>
      </c>
      <c r="E964" s="7">
        <v>617</v>
      </c>
      <c r="G964" s="7" t="s">
        <v>1548</v>
      </c>
      <c r="H964" s="7" t="s">
        <v>1360</v>
      </c>
      <c r="I964" s="7" t="s">
        <v>1228</v>
      </c>
      <c r="J964" s="7" t="s">
        <v>485</v>
      </c>
      <c r="K964" s="7" t="s">
        <v>180</v>
      </c>
      <c r="L964" s="11">
        <v>50</v>
      </c>
      <c r="M964" s="11">
        <v>28737.48</v>
      </c>
      <c r="N964" s="9">
        <f>IF(A964&lt;60000,-L964,+L964)</f>
        <v>-50</v>
      </c>
    </row>
    <row r="965" spans="1:14" ht="12.75" customHeight="1" x14ac:dyDescent="0.2">
      <c r="A965">
        <v>43400</v>
      </c>
      <c r="B965" s="3" t="s">
        <v>1224</v>
      </c>
      <c r="C965" s="7" t="s">
        <v>1646</v>
      </c>
      <c r="D965" s="7" t="s">
        <v>242</v>
      </c>
      <c r="F965" s="7" t="s">
        <v>665</v>
      </c>
      <c r="G965" s="7" t="s">
        <v>1545</v>
      </c>
      <c r="H965" s="7" t="s">
        <v>1359</v>
      </c>
      <c r="I965" s="7" t="s">
        <v>1224</v>
      </c>
      <c r="K965" s="39" t="s">
        <v>1150</v>
      </c>
      <c r="L965" s="40">
        <v>3615</v>
      </c>
      <c r="M965" s="40">
        <v>309129.82</v>
      </c>
      <c r="N965" s="41">
        <f>-L965</f>
        <v>-3615</v>
      </c>
    </row>
    <row r="966" spans="1:14" ht="12.75" customHeight="1" x14ac:dyDescent="0.2">
      <c r="A966">
        <v>43400</v>
      </c>
      <c r="B966" s="3" t="s">
        <v>1224</v>
      </c>
      <c r="C966" s="7" t="s">
        <v>1596</v>
      </c>
      <c r="D966" s="7" t="s">
        <v>242</v>
      </c>
      <c r="F966" s="7" t="s">
        <v>1597</v>
      </c>
      <c r="G966" s="7" t="s">
        <v>1598</v>
      </c>
      <c r="H966" s="7" t="s">
        <v>1359</v>
      </c>
      <c r="I966" s="7" t="s">
        <v>1224</v>
      </c>
      <c r="K966" s="39" t="s">
        <v>1599</v>
      </c>
      <c r="L966" s="40">
        <v>1000</v>
      </c>
      <c r="M966" s="40">
        <v>241644.86</v>
      </c>
      <c r="N966" s="41">
        <f>-L966</f>
        <v>-1000</v>
      </c>
    </row>
    <row r="967" spans="1:14" ht="12.75" hidden="1" customHeight="1" x14ac:dyDescent="0.2">
      <c r="A967">
        <v>65061</v>
      </c>
      <c r="B967" s="3" t="s">
        <v>1253</v>
      </c>
      <c r="C967" s="7" t="s">
        <v>545</v>
      </c>
      <c r="D967" s="7" t="s">
        <v>200</v>
      </c>
      <c r="F967" s="7" t="s">
        <v>241</v>
      </c>
      <c r="G967" s="7" t="s">
        <v>1548</v>
      </c>
      <c r="H967" s="7" t="s">
        <v>1362</v>
      </c>
      <c r="I967" s="7" t="s">
        <v>1253</v>
      </c>
      <c r="K967" s="7" t="s">
        <v>294</v>
      </c>
      <c r="L967" s="11">
        <v>43.78</v>
      </c>
      <c r="M967" s="11">
        <v>-7708.39</v>
      </c>
      <c r="N967" s="9">
        <f t="shared" ref="N967:N998" si="27">IF(A967&lt;60000,-L967,+L967)</f>
        <v>43.78</v>
      </c>
    </row>
    <row r="968" spans="1:14" ht="12.75" hidden="1" customHeight="1" x14ac:dyDescent="0.2">
      <c r="A968">
        <v>65061</v>
      </c>
      <c r="B968" s="3" t="s">
        <v>1253</v>
      </c>
      <c r="C968" s="7" t="s">
        <v>545</v>
      </c>
      <c r="D968" s="7" t="s">
        <v>200</v>
      </c>
      <c r="F968" s="7" t="s">
        <v>241</v>
      </c>
      <c r="G968" s="7" t="s">
        <v>1548</v>
      </c>
      <c r="H968" s="7" t="s">
        <v>1362</v>
      </c>
      <c r="I968" s="7" t="s">
        <v>1253</v>
      </c>
      <c r="K968" s="7" t="s">
        <v>294</v>
      </c>
      <c r="L968" s="11">
        <v>9.3000000000000007</v>
      </c>
      <c r="M968" s="11">
        <v>-7699.09</v>
      </c>
      <c r="N968" s="9">
        <f t="shared" si="27"/>
        <v>9.3000000000000007</v>
      </c>
    </row>
    <row r="969" spans="1:14" ht="12.75" hidden="1" customHeight="1" x14ac:dyDescent="0.2">
      <c r="A969">
        <v>65061</v>
      </c>
      <c r="B969" s="3" t="s">
        <v>1253</v>
      </c>
      <c r="C969" s="7" t="s">
        <v>981</v>
      </c>
      <c r="D969" s="7" t="s">
        <v>200</v>
      </c>
      <c r="F969" s="7" t="s">
        <v>548</v>
      </c>
      <c r="G969" s="7" t="s">
        <v>1548</v>
      </c>
      <c r="H969" s="7" t="s">
        <v>1362</v>
      </c>
      <c r="I969" s="7" t="s">
        <v>1253</v>
      </c>
      <c r="K969" s="7" t="s">
        <v>294</v>
      </c>
      <c r="L969" s="11">
        <v>48.28</v>
      </c>
      <c r="M969" s="11">
        <v>-6458.39</v>
      </c>
      <c r="N969" s="9">
        <f t="shared" si="27"/>
        <v>48.28</v>
      </c>
    </row>
    <row r="970" spans="1:14" ht="12.75" hidden="1" customHeight="1" x14ac:dyDescent="0.2">
      <c r="A970">
        <v>65061</v>
      </c>
      <c r="B970" s="3" t="s">
        <v>1253</v>
      </c>
      <c r="C970" s="7" t="s">
        <v>388</v>
      </c>
      <c r="D970" s="7" t="s">
        <v>200</v>
      </c>
      <c r="F970" s="7" t="s">
        <v>548</v>
      </c>
      <c r="G970" s="7" t="s">
        <v>1548</v>
      </c>
      <c r="H970" s="7" t="s">
        <v>1362</v>
      </c>
      <c r="I970" s="7" t="s">
        <v>1253</v>
      </c>
      <c r="K970" s="7" t="s">
        <v>294</v>
      </c>
      <c r="L970" s="11">
        <v>114.85</v>
      </c>
      <c r="M970" s="11">
        <v>-268.91000000000003</v>
      </c>
      <c r="N970" s="9">
        <f t="shared" si="27"/>
        <v>114.85</v>
      </c>
    </row>
    <row r="971" spans="1:14" ht="12.75" hidden="1" customHeight="1" x14ac:dyDescent="0.2">
      <c r="A971">
        <v>65061</v>
      </c>
      <c r="B971" s="3" t="s">
        <v>1253</v>
      </c>
      <c r="C971" s="7" t="s">
        <v>388</v>
      </c>
      <c r="D971" s="7" t="s">
        <v>200</v>
      </c>
      <c r="F971" s="7" t="s">
        <v>846</v>
      </c>
      <c r="G971" s="7" t="s">
        <v>1548</v>
      </c>
      <c r="H971" s="7" t="s">
        <v>1362</v>
      </c>
      <c r="I971" s="7" t="s">
        <v>1253</v>
      </c>
      <c r="K971" s="7" t="s">
        <v>294</v>
      </c>
      <c r="L971" s="11">
        <v>30.5</v>
      </c>
      <c r="M971" s="11">
        <v>-192.35</v>
      </c>
      <c r="N971" s="9">
        <f t="shared" si="27"/>
        <v>30.5</v>
      </c>
    </row>
    <row r="972" spans="1:14" ht="12.75" hidden="1" customHeight="1" x14ac:dyDescent="0.2">
      <c r="A972">
        <v>65061</v>
      </c>
      <c r="B972" s="3" t="s">
        <v>1253</v>
      </c>
      <c r="C972" s="7" t="s">
        <v>388</v>
      </c>
      <c r="D972" s="7" t="s">
        <v>200</v>
      </c>
      <c r="F972" s="7" t="s">
        <v>579</v>
      </c>
      <c r="G972" s="7" t="s">
        <v>1548</v>
      </c>
      <c r="H972" s="7" t="s">
        <v>1362</v>
      </c>
      <c r="I972" s="7" t="s">
        <v>1253</v>
      </c>
      <c r="K972" s="7" t="s">
        <v>294</v>
      </c>
      <c r="L972" s="11">
        <v>64.930000000000007</v>
      </c>
      <c r="M972" s="11">
        <v>-127.42</v>
      </c>
      <c r="N972" s="9">
        <f t="shared" si="27"/>
        <v>64.930000000000007</v>
      </c>
    </row>
    <row r="973" spans="1:14" ht="12.75" hidden="1" customHeight="1" x14ac:dyDescent="0.2">
      <c r="A973">
        <v>65061</v>
      </c>
      <c r="B973" s="3" t="s">
        <v>1253</v>
      </c>
      <c r="C973" s="7" t="s">
        <v>388</v>
      </c>
      <c r="D973" s="7" t="s">
        <v>200</v>
      </c>
      <c r="F973" s="7" t="s">
        <v>906</v>
      </c>
      <c r="G973" s="7" t="s">
        <v>1548</v>
      </c>
      <c r="H973" s="7" t="s">
        <v>1362</v>
      </c>
      <c r="I973" s="7" t="s">
        <v>1253</v>
      </c>
      <c r="K973" s="7" t="s">
        <v>294</v>
      </c>
      <c r="L973" s="11">
        <v>16.21</v>
      </c>
      <c r="M973" s="11">
        <v>2488.61</v>
      </c>
      <c r="N973" s="9">
        <f t="shared" si="27"/>
        <v>16.21</v>
      </c>
    </row>
    <row r="974" spans="1:14" ht="12.75" hidden="1" customHeight="1" x14ac:dyDescent="0.2">
      <c r="A974">
        <v>65061</v>
      </c>
      <c r="B974" s="3" t="s">
        <v>1253</v>
      </c>
      <c r="C974" s="7" t="s">
        <v>384</v>
      </c>
      <c r="D974" s="7" t="s">
        <v>200</v>
      </c>
      <c r="F974" s="7" t="s">
        <v>548</v>
      </c>
      <c r="G974" s="7" t="s">
        <v>1548</v>
      </c>
      <c r="H974" s="7" t="s">
        <v>1362</v>
      </c>
      <c r="I974" s="7" t="s">
        <v>1253</v>
      </c>
      <c r="K974" s="7" t="s">
        <v>294</v>
      </c>
      <c r="L974" s="11">
        <v>6.93</v>
      </c>
      <c r="M974" s="11">
        <v>11942.07</v>
      </c>
      <c r="N974" s="9">
        <f t="shared" si="27"/>
        <v>6.93</v>
      </c>
    </row>
    <row r="975" spans="1:14" ht="12.75" hidden="1" customHeight="1" x14ac:dyDescent="0.2">
      <c r="A975">
        <v>65061</v>
      </c>
      <c r="B975" s="3" t="s">
        <v>1253</v>
      </c>
      <c r="C975" s="7" t="s">
        <v>384</v>
      </c>
      <c r="D975" s="7" t="s">
        <v>200</v>
      </c>
      <c r="F975" s="7" t="s">
        <v>640</v>
      </c>
      <c r="G975" s="7" t="s">
        <v>1548</v>
      </c>
      <c r="H975" s="7" t="s">
        <v>1362</v>
      </c>
      <c r="I975" s="7" t="s">
        <v>1253</v>
      </c>
      <c r="K975" s="7" t="s">
        <v>294</v>
      </c>
      <c r="L975" s="11">
        <v>7.55</v>
      </c>
      <c r="M975" s="11">
        <v>11949.62</v>
      </c>
      <c r="N975" s="9">
        <f t="shared" si="27"/>
        <v>7.55</v>
      </c>
    </row>
    <row r="976" spans="1:14" ht="12.75" hidden="1" customHeight="1" x14ac:dyDescent="0.2">
      <c r="A976">
        <v>65061</v>
      </c>
      <c r="B976" s="3" t="s">
        <v>1253</v>
      </c>
      <c r="C976" s="7" t="s">
        <v>384</v>
      </c>
      <c r="D976" s="7" t="s">
        <v>200</v>
      </c>
      <c r="F976" s="7" t="s">
        <v>570</v>
      </c>
      <c r="G976" s="7" t="s">
        <v>1548</v>
      </c>
      <c r="H976" s="7" t="s">
        <v>1362</v>
      </c>
      <c r="I976" s="7" t="s">
        <v>1253</v>
      </c>
      <c r="K976" s="7" t="s">
        <v>294</v>
      </c>
      <c r="L976" s="11">
        <v>253.94</v>
      </c>
      <c r="M976" s="11">
        <v>12203.56</v>
      </c>
      <c r="N976" s="9">
        <f t="shared" si="27"/>
        <v>253.94</v>
      </c>
    </row>
    <row r="977" spans="1:14" ht="12.75" hidden="1" customHeight="1" x14ac:dyDescent="0.2">
      <c r="A977">
        <v>65061</v>
      </c>
      <c r="B977" s="3" t="s">
        <v>1253</v>
      </c>
      <c r="C977" s="7" t="s">
        <v>383</v>
      </c>
      <c r="D977" s="7" t="s">
        <v>200</v>
      </c>
      <c r="F977" s="7" t="s">
        <v>548</v>
      </c>
      <c r="G977" s="7" t="s">
        <v>1548</v>
      </c>
      <c r="H977" s="7" t="s">
        <v>1362</v>
      </c>
      <c r="I977" s="7" t="s">
        <v>1253</v>
      </c>
      <c r="K977" s="7" t="s">
        <v>294</v>
      </c>
      <c r="L977" s="11">
        <v>34.58</v>
      </c>
      <c r="M977" s="11">
        <v>17318.05</v>
      </c>
      <c r="N977" s="9">
        <f t="shared" si="27"/>
        <v>34.58</v>
      </c>
    </row>
    <row r="978" spans="1:14" ht="12.75" hidden="1" customHeight="1" x14ac:dyDescent="0.2">
      <c r="A978">
        <v>65061</v>
      </c>
      <c r="B978" s="3" t="s">
        <v>1253</v>
      </c>
      <c r="C978" s="7" t="s">
        <v>381</v>
      </c>
      <c r="D978" s="7" t="s">
        <v>242</v>
      </c>
      <c r="F978" s="7" t="s">
        <v>366</v>
      </c>
      <c r="G978" s="7" t="s">
        <v>1548</v>
      </c>
      <c r="H978" s="7" t="s">
        <v>1362</v>
      </c>
      <c r="I978" s="7" t="s">
        <v>1253</v>
      </c>
      <c r="K978" s="7" t="s">
        <v>294</v>
      </c>
      <c r="L978" s="11">
        <v>-17.309999999999999</v>
      </c>
      <c r="M978" s="11">
        <v>20290.12</v>
      </c>
      <c r="N978" s="9">
        <f t="shared" si="27"/>
        <v>-17.309999999999999</v>
      </c>
    </row>
    <row r="979" spans="1:14" ht="12.75" hidden="1" customHeight="1" x14ac:dyDescent="0.2">
      <c r="A979">
        <v>65061</v>
      </c>
      <c r="B979" s="3" t="s">
        <v>1253</v>
      </c>
      <c r="C979" s="7" t="s">
        <v>381</v>
      </c>
      <c r="D979" s="7" t="s">
        <v>242</v>
      </c>
      <c r="F979" s="7" t="s">
        <v>366</v>
      </c>
      <c r="G979" s="7" t="s">
        <v>1548</v>
      </c>
      <c r="H979" s="7" t="s">
        <v>1362</v>
      </c>
      <c r="I979" s="7" t="s">
        <v>1253</v>
      </c>
      <c r="K979" s="7" t="s">
        <v>294</v>
      </c>
      <c r="L979" s="11">
        <v>-44.18</v>
      </c>
      <c r="M979" s="11">
        <v>20245.939999999999</v>
      </c>
      <c r="N979" s="9">
        <f t="shared" si="27"/>
        <v>-44.18</v>
      </c>
    </row>
    <row r="980" spans="1:14" ht="12.75" hidden="1" customHeight="1" x14ac:dyDescent="0.2">
      <c r="A980">
        <v>65061</v>
      </c>
      <c r="B980" s="3" t="s">
        <v>1253</v>
      </c>
      <c r="C980" s="7" t="s">
        <v>381</v>
      </c>
      <c r="D980" s="7" t="s">
        <v>200</v>
      </c>
      <c r="F980" s="7" t="s">
        <v>589</v>
      </c>
      <c r="G980" s="7" t="s">
        <v>1548</v>
      </c>
      <c r="H980" s="7" t="s">
        <v>1362</v>
      </c>
      <c r="I980" s="7" t="s">
        <v>1253</v>
      </c>
      <c r="K980" s="7" t="s">
        <v>294</v>
      </c>
      <c r="L980" s="11">
        <v>32.450000000000003</v>
      </c>
      <c r="M980" s="11">
        <v>20365.29</v>
      </c>
      <c r="N980" s="9">
        <f t="shared" si="27"/>
        <v>32.450000000000003</v>
      </c>
    </row>
    <row r="981" spans="1:14" ht="12.75" hidden="1" customHeight="1" x14ac:dyDescent="0.2">
      <c r="A981">
        <v>65061</v>
      </c>
      <c r="B981" s="3" t="s">
        <v>1253</v>
      </c>
      <c r="C981" s="7" t="s">
        <v>932</v>
      </c>
      <c r="D981" s="7" t="s">
        <v>242</v>
      </c>
      <c r="F981" s="7" t="s">
        <v>366</v>
      </c>
      <c r="G981" s="7" t="s">
        <v>1548</v>
      </c>
      <c r="H981" s="7" t="s">
        <v>1362</v>
      </c>
      <c r="I981" s="7" t="s">
        <v>1253</v>
      </c>
      <c r="K981" s="7" t="s">
        <v>294</v>
      </c>
      <c r="L981" s="11">
        <v>-7.55</v>
      </c>
      <c r="M981" s="11">
        <v>25409.41</v>
      </c>
      <c r="N981" s="9">
        <f t="shared" si="27"/>
        <v>-7.55</v>
      </c>
    </row>
    <row r="982" spans="1:14" ht="12.75" hidden="1" customHeight="1" x14ac:dyDescent="0.2">
      <c r="A982">
        <v>65061</v>
      </c>
      <c r="B982" s="3" t="s">
        <v>1253</v>
      </c>
      <c r="C982" s="7" t="s">
        <v>372</v>
      </c>
      <c r="D982" s="7" t="s">
        <v>200</v>
      </c>
      <c r="F982" s="7" t="s">
        <v>241</v>
      </c>
      <c r="G982" s="7" t="s">
        <v>1548</v>
      </c>
      <c r="H982" s="7" t="s">
        <v>1362</v>
      </c>
      <c r="I982" s="7" t="s">
        <v>1253</v>
      </c>
      <c r="K982" s="7" t="s">
        <v>294</v>
      </c>
      <c r="L982" s="11">
        <v>379.99</v>
      </c>
      <c r="M982" s="11">
        <v>37182.339999999997</v>
      </c>
      <c r="N982" s="9">
        <f t="shared" si="27"/>
        <v>379.99</v>
      </c>
    </row>
    <row r="983" spans="1:14" ht="12.75" hidden="1" customHeight="1" x14ac:dyDescent="0.2">
      <c r="A983">
        <v>65061</v>
      </c>
      <c r="B983" s="3" t="s">
        <v>1253</v>
      </c>
      <c r="C983" s="7" t="s">
        <v>361</v>
      </c>
      <c r="D983" s="7" t="s">
        <v>200</v>
      </c>
      <c r="F983" s="7" t="s">
        <v>579</v>
      </c>
      <c r="G983" s="7" t="s">
        <v>1548</v>
      </c>
      <c r="H983" s="7" t="s">
        <v>1362</v>
      </c>
      <c r="I983" s="7" t="s">
        <v>1253</v>
      </c>
      <c r="K983" s="7" t="s">
        <v>294</v>
      </c>
      <c r="L983" s="11">
        <v>29.99</v>
      </c>
      <c r="M983" s="11">
        <v>43183.46</v>
      </c>
      <c r="N983" s="9">
        <f t="shared" si="27"/>
        <v>29.99</v>
      </c>
    </row>
    <row r="984" spans="1:14" ht="12.75" hidden="1" customHeight="1" x14ac:dyDescent="0.2">
      <c r="A984">
        <v>65061</v>
      </c>
      <c r="B984" s="3" t="s">
        <v>1253</v>
      </c>
      <c r="C984" s="7" t="s">
        <v>361</v>
      </c>
      <c r="D984" s="7" t="s">
        <v>200</v>
      </c>
      <c r="F984" s="7" t="s">
        <v>579</v>
      </c>
      <c r="G984" s="7" t="s">
        <v>1548</v>
      </c>
      <c r="H984" s="7" t="s">
        <v>1362</v>
      </c>
      <c r="I984" s="7" t="s">
        <v>1253</v>
      </c>
      <c r="K984" s="7" t="s">
        <v>294</v>
      </c>
      <c r="L984" s="11">
        <v>149.99</v>
      </c>
      <c r="M984" s="11">
        <v>43333.45</v>
      </c>
      <c r="N984" s="9">
        <f t="shared" si="27"/>
        <v>149.99</v>
      </c>
    </row>
    <row r="985" spans="1:14" ht="12.75" hidden="1" customHeight="1" x14ac:dyDescent="0.2">
      <c r="A985">
        <v>65061</v>
      </c>
      <c r="B985" s="3" t="s">
        <v>1253</v>
      </c>
      <c r="C985" s="7" t="s">
        <v>897</v>
      </c>
      <c r="D985" s="7" t="s">
        <v>200</v>
      </c>
      <c r="F985" s="7" t="s">
        <v>896</v>
      </c>
      <c r="G985" s="7" t="s">
        <v>1548</v>
      </c>
      <c r="H985" s="7" t="s">
        <v>1362</v>
      </c>
      <c r="I985" s="7" t="s">
        <v>1253</v>
      </c>
      <c r="K985" s="7" t="s">
        <v>294</v>
      </c>
      <c r="L985" s="11">
        <v>173.18</v>
      </c>
      <c r="M985" s="11">
        <v>46234.29</v>
      </c>
      <c r="N985" s="9">
        <f t="shared" si="27"/>
        <v>173.18</v>
      </c>
    </row>
    <row r="986" spans="1:14" ht="12.75" hidden="1" customHeight="1" x14ac:dyDescent="0.2">
      <c r="A986">
        <v>65061</v>
      </c>
      <c r="B986" s="3" t="s">
        <v>1253</v>
      </c>
      <c r="C986" s="7" t="s">
        <v>356</v>
      </c>
      <c r="D986" s="7" t="s">
        <v>200</v>
      </c>
      <c r="F986" s="7" t="s">
        <v>893</v>
      </c>
      <c r="G986" s="7" t="s">
        <v>1548</v>
      </c>
      <c r="H986" s="7" t="s">
        <v>1362</v>
      </c>
      <c r="I986" s="7" t="s">
        <v>1253</v>
      </c>
      <c r="K986" s="7" t="s">
        <v>294</v>
      </c>
      <c r="L986" s="11">
        <v>19.96</v>
      </c>
      <c r="M986" s="11">
        <v>50833.74</v>
      </c>
      <c r="N986" s="9">
        <f t="shared" si="27"/>
        <v>19.96</v>
      </c>
    </row>
    <row r="987" spans="1:14" ht="12.75" hidden="1" customHeight="1" x14ac:dyDescent="0.2">
      <c r="A987">
        <v>65061</v>
      </c>
      <c r="B987" s="3" t="s">
        <v>1253</v>
      </c>
      <c r="C987" s="7" t="s">
        <v>353</v>
      </c>
      <c r="D987" s="7" t="s">
        <v>200</v>
      </c>
      <c r="F987" s="7" t="s">
        <v>355</v>
      </c>
      <c r="G987" s="7" t="s">
        <v>1548</v>
      </c>
      <c r="H987" s="7" t="s">
        <v>1362</v>
      </c>
      <c r="I987" s="7" t="s">
        <v>1253</v>
      </c>
      <c r="K987" s="7" t="s">
        <v>294</v>
      </c>
      <c r="L987" s="11">
        <v>45.43</v>
      </c>
      <c r="M987" s="11">
        <v>51447.45</v>
      </c>
      <c r="N987" s="9">
        <f t="shared" si="27"/>
        <v>45.43</v>
      </c>
    </row>
    <row r="988" spans="1:14" ht="12.75" hidden="1" customHeight="1" x14ac:dyDescent="0.2">
      <c r="A988">
        <v>65061</v>
      </c>
      <c r="B988" s="3" t="s">
        <v>1253</v>
      </c>
      <c r="C988" s="7" t="s">
        <v>353</v>
      </c>
      <c r="D988" s="7" t="s">
        <v>200</v>
      </c>
      <c r="F988" s="7" t="s">
        <v>570</v>
      </c>
      <c r="G988" s="7" t="s">
        <v>1548</v>
      </c>
      <c r="H988" s="7" t="s">
        <v>1362</v>
      </c>
      <c r="I988" s="7" t="s">
        <v>1253</v>
      </c>
      <c r="K988" s="7" t="s">
        <v>294</v>
      </c>
      <c r="L988" s="11">
        <v>219.98</v>
      </c>
      <c r="M988" s="11">
        <v>54056.98</v>
      </c>
      <c r="N988" s="9">
        <f t="shared" si="27"/>
        <v>219.98</v>
      </c>
    </row>
    <row r="989" spans="1:14" ht="12.75" hidden="1" customHeight="1" x14ac:dyDescent="0.2">
      <c r="A989">
        <v>65061</v>
      </c>
      <c r="B989" s="3" t="s">
        <v>1253</v>
      </c>
      <c r="C989" s="7" t="s">
        <v>334</v>
      </c>
      <c r="D989" s="7" t="s">
        <v>200</v>
      </c>
      <c r="F989" s="7" t="s">
        <v>265</v>
      </c>
      <c r="G989" s="7" t="s">
        <v>1548</v>
      </c>
      <c r="H989" s="7" t="s">
        <v>1362</v>
      </c>
      <c r="I989" s="7" t="s">
        <v>1253</v>
      </c>
      <c r="K989" s="7" t="s">
        <v>294</v>
      </c>
      <c r="L989" s="11">
        <v>22.52</v>
      </c>
      <c r="M989" s="11">
        <v>57741.55</v>
      </c>
      <c r="N989" s="9">
        <f t="shared" si="27"/>
        <v>22.52</v>
      </c>
    </row>
    <row r="990" spans="1:14" ht="12.75" hidden="1" customHeight="1" x14ac:dyDescent="0.2">
      <c r="A990">
        <v>65061</v>
      </c>
      <c r="B990" s="3" t="s">
        <v>1253</v>
      </c>
      <c r="C990" s="7" t="s">
        <v>334</v>
      </c>
      <c r="D990" s="7" t="s">
        <v>200</v>
      </c>
      <c r="F990" s="7" t="s">
        <v>265</v>
      </c>
      <c r="G990" s="7" t="s">
        <v>1548</v>
      </c>
      <c r="H990" s="7" t="s">
        <v>1362</v>
      </c>
      <c r="I990" s="7" t="s">
        <v>1253</v>
      </c>
      <c r="K990" s="7" t="s">
        <v>294</v>
      </c>
      <c r="L990" s="11">
        <v>44.95</v>
      </c>
      <c r="M990" s="11">
        <v>57786.5</v>
      </c>
      <c r="N990" s="9">
        <f t="shared" si="27"/>
        <v>44.95</v>
      </c>
    </row>
    <row r="991" spans="1:14" ht="12.75" hidden="1" customHeight="1" x14ac:dyDescent="0.2">
      <c r="A991">
        <v>65061</v>
      </c>
      <c r="B991" s="3" t="s">
        <v>1253</v>
      </c>
      <c r="C991" s="7" t="s">
        <v>334</v>
      </c>
      <c r="D991" s="7" t="s">
        <v>200</v>
      </c>
      <c r="F991" s="7" t="s">
        <v>241</v>
      </c>
      <c r="G991" s="7" t="s">
        <v>1548</v>
      </c>
      <c r="H991" s="7" t="s">
        <v>1362</v>
      </c>
      <c r="I991" s="7" t="s">
        <v>1253</v>
      </c>
      <c r="K991" s="7" t="s">
        <v>294</v>
      </c>
      <c r="L991" s="11">
        <v>45.97</v>
      </c>
      <c r="M991" s="11">
        <v>61300.52</v>
      </c>
      <c r="N991" s="9">
        <f t="shared" si="27"/>
        <v>45.97</v>
      </c>
    </row>
    <row r="992" spans="1:14" ht="12.75" hidden="1" customHeight="1" x14ac:dyDescent="0.2">
      <c r="A992">
        <v>65061</v>
      </c>
      <c r="B992" s="3" t="s">
        <v>1253</v>
      </c>
      <c r="C992" s="7" t="s">
        <v>334</v>
      </c>
      <c r="D992" s="7" t="s">
        <v>200</v>
      </c>
      <c r="F992" s="7" t="s">
        <v>265</v>
      </c>
      <c r="G992" s="7" t="s">
        <v>1548</v>
      </c>
      <c r="H992" s="7" t="s">
        <v>1362</v>
      </c>
      <c r="I992" s="7" t="s">
        <v>1253</v>
      </c>
      <c r="K992" s="7" t="s">
        <v>294</v>
      </c>
      <c r="L992" s="11">
        <v>9.34</v>
      </c>
      <c r="M992" s="11">
        <v>61309.86</v>
      </c>
      <c r="N992" s="9">
        <f t="shared" si="27"/>
        <v>9.34</v>
      </c>
    </row>
    <row r="993" spans="1:14" ht="12.75" hidden="1" customHeight="1" x14ac:dyDescent="0.2">
      <c r="A993">
        <v>65061</v>
      </c>
      <c r="B993" s="3" t="s">
        <v>1253</v>
      </c>
      <c r="C993" s="7" t="s">
        <v>330</v>
      </c>
      <c r="D993" s="7" t="s">
        <v>200</v>
      </c>
      <c r="F993" s="7" t="s">
        <v>873</v>
      </c>
      <c r="G993" s="7" t="s">
        <v>1548</v>
      </c>
      <c r="H993" s="7" t="s">
        <v>1362</v>
      </c>
      <c r="I993" s="7" t="s">
        <v>1253</v>
      </c>
      <c r="K993" s="7" t="s">
        <v>294</v>
      </c>
      <c r="L993" s="11">
        <v>97.41</v>
      </c>
      <c r="M993" s="11">
        <v>61563.71</v>
      </c>
      <c r="N993" s="9">
        <f t="shared" si="27"/>
        <v>97.41</v>
      </c>
    </row>
    <row r="994" spans="1:14" ht="12.75" hidden="1" customHeight="1" x14ac:dyDescent="0.2">
      <c r="A994">
        <v>65061</v>
      </c>
      <c r="B994" s="3" t="s">
        <v>1253</v>
      </c>
      <c r="C994" s="7" t="s">
        <v>327</v>
      </c>
      <c r="D994" s="7" t="s">
        <v>200</v>
      </c>
      <c r="F994" s="7" t="s">
        <v>774</v>
      </c>
      <c r="G994" s="7" t="s">
        <v>1548</v>
      </c>
      <c r="H994" s="7" t="s">
        <v>1362</v>
      </c>
      <c r="I994" s="7" t="s">
        <v>1253</v>
      </c>
      <c r="K994" s="7" t="s">
        <v>294</v>
      </c>
      <c r="L994" s="11">
        <v>81.180000000000007</v>
      </c>
      <c r="M994" s="11">
        <v>64412.41</v>
      </c>
      <c r="N994" s="9">
        <f t="shared" si="27"/>
        <v>81.180000000000007</v>
      </c>
    </row>
    <row r="995" spans="1:14" ht="12.75" hidden="1" customHeight="1" x14ac:dyDescent="0.2">
      <c r="A995">
        <v>65061</v>
      </c>
      <c r="B995" s="3" t="s">
        <v>1253</v>
      </c>
      <c r="C995" s="7" t="s">
        <v>323</v>
      </c>
      <c r="D995" s="7" t="s">
        <v>200</v>
      </c>
      <c r="F995" s="7" t="s">
        <v>548</v>
      </c>
      <c r="G995" s="7" t="s">
        <v>1548</v>
      </c>
      <c r="H995" s="7" t="s">
        <v>1362</v>
      </c>
      <c r="I995" s="7" t="s">
        <v>1253</v>
      </c>
      <c r="K995" s="7" t="s">
        <v>294</v>
      </c>
      <c r="L995" s="11">
        <v>157.80000000000001</v>
      </c>
      <c r="M995" s="11">
        <v>65361.78</v>
      </c>
      <c r="N995" s="9">
        <f t="shared" si="27"/>
        <v>157.80000000000001</v>
      </c>
    </row>
    <row r="996" spans="1:14" ht="12.75" hidden="1" customHeight="1" x14ac:dyDescent="0.2">
      <c r="A996">
        <v>65061</v>
      </c>
      <c r="B996" s="3" t="s">
        <v>1253</v>
      </c>
      <c r="C996" s="7" t="s">
        <v>323</v>
      </c>
      <c r="D996" s="7" t="s">
        <v>200</v>
      </c>
      <c r="F996" s="7" t="s">
        <v>548</v>
      </c>
      <c r="G996" s="7" t="s">
        <v>1548</v>
      </c>
      <c r="H996" s="7" t="s">
        <v>1362</v>
      </c>
      <c r="I996" s="7" t="s">
        <v>1253</v>
      </c>
      <c r="K996" s="7" t="s">
        <v>294</v>
      </c>
      <c r="L996" s="11">
        <v>113.53</v>
      </c>
      <c r="M996" s="11">
        <v>67219.02</v>
      </c>
      <c r="N996" s="9">
        <f t="shared" si="27"/>
        <v>113.53</v>
      </c>
    </row>
    <row r="997" spans="1:14" ht="12.75" hidden="1" customHeight="1" x14ac:dyDescent="0.2">
      <c r="A997">
        <v>65061</v>
      </c>
      <c r="B997" s="3" t="s">
        <v>1253</v>
      </c>
      <c r="C997" s="7" t="s">
        <v>319</v>
      </c>
      <c r="D997" s="7" t="s">
        <v>200</v>
      </c>
      <c r="F997" s="7" t="s">
        <v>548</v>
      </c>
      <c r="G997" s="7" t="s">
        <v>1548</v>
      </c>
      <c r="H997" s="7" t="s">
        <v>1362</v>
      </c>
      <c r="I997" s="7" t="s">
        <v>1253</v>
      </c>
      <c r="K997" s="7" t="s">
        <v>294</v>
      </c>
      <c r="L997" s="11">
        <v>44.18</v>
      </c>
      <c r="M997" s="11">
        <v>67352.19</v>
      </c>
      <c r="N997" s="9">
        <f t="shared" si="27"/>
        <v>44.18</v>
      </c>
    </row>
    <row r="998" spans="1:14" ht="12.75" hidden="1" customHeight="1" x14ac:dyDescent="0.2">
      <c r="A998">
        <v>65061</v>
      </c>
      <c r="B998" s="3" t="s">
        <v>1253</v>
      </c>
      <c r="C998" s="7" t="s">
        <v>315</v>
      </c>
      <c r="D998" s="7" t="s">
        <v>200</v>
      </c>
      <c r="F998" s="7" t="s">
        <v>223</v>
      </c>
      <c r="G998" s="7" t="s">
        <v>1548</v>
      </c>
      <c r="H998" s="7" t="s">
        <v>1362</v>
      </c>
      <c r="I998" s="7" t="s">
        <v>1253</v>
      </c>
      <c r="K998" s="7" t="s">
        <v>294</v>
      </c>
      <c r="L998" s="11">
        <v>6.5</v>
      </c>
      <c r="M998" s="11">
        <v>67850.210000000006</v>
      </c>
      <c r="N998" s="9">
        <f t="shared" si="27"/>
        <v>6.5</v>
      </c>
    </row>
    <row r="999" spans="1:14" ht="12.75" hidden="1" customHeight="1" x14ac:dyDescent="0.2">
      <c r="A999">
        <v>65061</v>
      </c>
      <c r="B999" s="3" t="s">
        <v>1253</v>
      </c>
      <c r="C999" s="7" t="s">
        <v>315</v>
      </c>
      <c r="D999" s="7" t="s">
        <v>200</v>
      </c>
      <c r="F999" s="7" t="s">
        <v>548</v>
      </c>
      <c r="G999" s="7" t="s">
        <v>1548</v>
      </c>
      <c r="H999" s="7" t="s">
        <v>1362</v>
      </c>
      <c r="I999" s="7" t="s">
        <v>1253</v>
      </c>
      <c r="K999" s="7" t="s">
        <v>294</v>
      </c>
      <c r="L999" s="11">
        <v>8.5299999999999994</v>
      </c>
      <c r="M999" s="11">
        <v>67858.740000000005</v>
      </c>
      <c r="N999" s="9">
        <f t="shared" ref="N999:N1030" si="28">IF(A999&lt;60000,-L999,+L999)</f>
        <v>8.5299999999999994</v>
      </c>
    </row>
    <row r="1000" spans="1:14" ht="12.75" hidden="1" customHeight="1" x14ac:dyDescent="0.2">
      <c r="A1000">
        <v>65061</v>
      </c>
      <c r="B1000" s="3" t="s">
        <v>1253</v>
      </c>
      <c r="C1000" s="7" t="s">
        <v>315</v>
      </c>
      <c r="D1000" s="7" t="s">
        <v>200</v>
      </c>
      <c r="F1000" s="7" t="s">
        <v>265</v>
      </c>
      <c r="G1000" s="7" t="s">
        <v>1548</v>
      </c>
      <c r="H1000" s="7" t="s">
        <v>1362</v>
      </c>
      <c r="I1000" s="7" t="s">
        <v>1253</v>
      </c>
      <c r="K1000" s="7" t="s">
        <v>294</v>
      </c>
      <c r="L1000" s="11">
        <v>35.700000000000003</v>
      </c>
      <c r="M1000" s="11">
        <v>67894.44</v>
      </c>
      <c r="N1000" s="9">
        <f t="shared" si="28"/>
        <v>35.700000000000003</v>
      </c>
    </row>
    <row r="1001" spans="1:14" ht="12.75" hidden="1" customHeight="1" x14ac:dyDescent="0.2">
      <c r="A1001">
        <v>65061</v>
      </c>
      <c r="B1001" s="3" t="s">
        <v>1253</v>
      </c>
      <c r="C1001" s="7" t="s">
        <v>855</v>
      </c>
      <c r="D1001" s="7" t="s">
        <v>200</v>
      </c>
      <c r="F1001" s="7" t="s">
        <v>548</v>
      </c>
      <c r="G1001" s="7" t="s">
        <v>1548</v>
      </c>
      <c r="H1001" s="7" t="s">
        <v>1362</v>
      </c>
      <c r="I1001" s="7" t="s">
        <v>1253</v>
      </c>
      <c r="K1001" s="7" t="s">
        <v>294</v>
      </c>
      <c r="L1001" s="11">
        <v>57.51</v>
      </c>
      <c r="M1001" s="11">
        <v>70187.11</v>
      </c>
      <c r="N1001" s="9">
        <f t="shared" si="28"/>
        <v>57.51</v>
      </c>
    </row>
    <row r="1002" spans="1:14" ht="12.75" hidden="1" customHeight="1" x14ac:dyDescent="0.2">
      <c r="A1002">
        <v>65061</v>
      </c>
      <c r="B1002" s="3" t="s">
        <v>1253</v>
      </c>
      <c r="C1002" s="7" t="s">
        <v>312</v>
      </c>
      <c r="D1002" s="7" t="s">
        <v>200</v>
      </c>
      <c r="F1002" s="7" t="s">
        <v>854</v>
      </c>
      <c r="G1002" s="7" t="s">
        <v>1548</v>
      </c>
      <c r="H1002" s="7" t="s">
        <v>1362</v>
      </c>
      <c r="I1002" s="7" t="s">
        <v>1253</v>
      </c>
      <c r="K1002" s="7" t="s">
        <v>294</v>
      </c>
      <c r="L1002" s="11">
        <v>100</v>
      </c>
      <c r="M1002" s="11">
        <v>71513.42</v>
      </c>
      <c r="N1002" s="9">
        <f t="shared" si="28"/>
        <v>100</v>
      </c>
    </row>
    <row r="1003" spans="1:14" ht="12.75" hidden="1" customHeight="1" x14ac:dyDescent="0.2">
      <c r="A1003">
        <v>65061</v>
      </c>
      <c r="B1003" s="3" t="s">
        <v>1253</v>
      </c>
      <c r="C1003" s="7" t="s">
        <v>802</v>
      </c>
      <c r="D1003" s="7" t="s">
        <v>242</v>
      </c>
      <c r="F1003" s="7" t="s">
        <v>366</v>
      </c>
      <c r="G1003" s="7" t="s">
        <v>1548</v>
      </c>
      <c r="H1003" s="7" t="s">
        <v>1362</v>
      </c>
      <c r="I1003" s="7" t="s">
        <v>1253</v>
      </c>
      <c r="K1003" s="7" t="s">
        <v>294</v>
      </c>
      <c r="L1003" s="11">
        <v>-29.99</v>
      </c>
      <c r="M1003" s="11">
        <v>90760.75</v>
      </c>
      <c r="N1003" s="9">
        <f t="shared" si="28"/>
        <v>-29.99</v>
      </c>
    </row>
    <row r="1004" spans="1:14" ht="12.75" hidden="1" customHeight="1" x14ac:dyDescent="0.2">
      <c r="A1004">
        <v>65061</v>
      </c>
      <c r="B1004" s="3" t="s">
        <v>1253</v>
      </c>
      <c r="C1004" s="7" t="s">
        <v>788</v>
      </c>
      <c r="D1004" s="7" t="s">
        <v>200</v>
      </c>
      <c r="F1004" s="7" t="s">
        <v>640</v>
      </c>
      <c r="G1004" s="7" t="s">
        <v>1548</v>
      </c>
      <c r="H1004" s="7" t="s">
        <v>1362</v>
      </c>
      <c r="I1004" s="7" t="s">
        <v>1253</v>
      </c>
      <c r="K1004" s="7" t="s">
        <v>294</v>
      </c>
      <c r="L1004" s="11">
        <v>17.62</v>
      </c>
      <c r="M1004" s="11">
        <v>98827.33</v>
      </c>
      <c r="N1004" s="9">
        <f t="shared" si="28"/>
        <v>17.62</v>
      </c>
    </row>
    <row r="1005" spans="1:14" ht="12.75" hidden="1" customHeight="1" x14ac:dyDescent="0.2">
      <c r="A1005">
        <v>65061</v>
      </c>
      <c r="B1005" s="3" t="s">
        <v>1253</v>
      </c>
      <c r="C1005" s="7" t="s">
        <v>257</v>
      </c>
      <c r="D1005" s="7" t="s">
        <v>200</v>
      </c>
      <c r="F1005" s="7" t="s">
        <v>570</v>
      </c>
      <c r="G1005" s="7" t="s">
        <v>1548</v>
      </c>
      <c r="H1005" s="7" t="s">
        <v>1362</v>
      </c>
      <c r="I1005" s="7" t="s">
        <v>1253</v>
      </c>
      <c r="K1005" s="7" t="s">
        <v>294</v>
      </c>
      <c r="L1005" s="11">
        <v>286.45999999999998</v>
      </c>
      <c r="M1005" s="11">
        <v>106610.94</v>
      </c>
      <c r="N1005" s="9">
        <f t="shared" si="28"/>
        <v>286.45999999999998</v>
      </c>
    </row>
    <row r="1006" spans="1:14" ht="12.75" hidden="1" customHeight="1" x14ac:dyDescent="0.2">
      <c r="A1006">
        <v>65061</v>
      </c>
      <c r="B1006" s="3" t="s">
        <v>1253</v>
      </c>
      <c r="C1006" s="7" t="s">
        <v>257</v>
      </c>
      <c r="D1006" s="7" t="s">
        <v>242</v>
      </c>
      <c r="F1006" s="7" t="s">
        <v>570</v>
      </c>
      <c r="G1006" s="7" t="s">
        <v>1548</v>
      </c>
      <c r="H1006" s="7" t="s">
        <v>1362</v>
      </c>
      <c r="I1006" s="7" t="s">
        <v>1253</v>
      </c>
      <c r="K1006" s="7" t="s">
        <v>294</v>
      </c>
      <c r="L1006" s="11">
        <v>-12.99</v>
      </c>
      <c r="M1006" s="11">
        <v>106597.95</v>
      </c>
      <c r="N1006" s="9">
        <f t="shared" si="28"/>
        <v>-12.99</v>
      </c>
    </row>
    <row r="1007" spans="1:14" ht="12.75" hidden="1" customHeight="1" x14ac:dyDescent="0.2">
      <c r="A1007">
        <v>65061</v>
      </c>
      <c r="B1007" s="3" t="s">
        <v>1253</v>
      </c>
      <c r="C1007" s="7" t="s">
        <v>257</v>
      </c>
      <c r="D1007" s="7" t="s">
        <v>200</v>
      </c>
      <c r="F1007" s="7" t="s">
        <v>223</v>
      </c>
      <c r="G1007" s="7" t="s">
        <v>1548</v>
      </c>
      <c r="H1007" s="7" t="s">
        <v>1362</v>
      </c>
      <c r="I1007" s="7" t="s">
        <v>1253</v>
      </c>
      <c r="K1007" s="7" t="s">
        <v>294</v>
      </c>
      <c r="L1007" s="11">
        <v>11.91</v>
      </c>
      <c r="M1007" s="11">
        <v>106812.94</v>
      </c>
      <c r="N1007" s="9">
        <f t="shared" si="28"/>
        <v>11.91</v>
      </c>
    </row>
    <row r="1008" spans="1:14" ht="12.75" hidden="1" customHeight="1" x14ac:dyDescent="0.2">
      <c r="A1008">
        <v>65061</v>
      </c>
      <c r="B1008" s="3" t="s">
        <v>1253</v>
      </c>
      <c r="C1008" s="7" t="s">
        <v>257</v>
      </c>
      <c r="D1008" s="7" t="s">
        <v>200</v>
      </c>
      <c r="F1008" s="7" t="s">
        <v>241</v>
      </c>
      <c r="G1008" s="7" t="s">
        <v>1548</v>
      </c>
      <c r="H1008" s="7" t="s">
        <v>1362</v>
      </c>
      <c r="I1008" s="7" t="s">
        <v>1253</v>
      </c>
      <c r="K1008" s="7" t="s">
        <v>294</v>
      </c>
      <c r="L1008" s="11">
        <v>52.05</v>
      </c>
      <c r="M1008" s="11">
        <v>107923.11</v>
      </c>
      <c r="N1008" s="9">
        <f t="shared" si="28"/>
        <v>52.05</v>
      </c>
    </row>
    <row r="1009" spans="1:14" ht="12.75" hidden="1" customHeight="1" x14ac:dyDescent="0.2">
      <c r="A1009">
        <v>65061</v>
      </c>
      <c r="B1009" s="3" t="s">
        <v>1253</v>
      </c>
      <c r="C1009" s="7" t="s">
        <v>257</v>
      </c>
      <c r="D1009" s="7" t="s">
        <v>200</v>
      </c>
      <c r="F1009" s="7" t="s">
        <v>774</v>
      </c>
      <c r="G1009" s="7" t="s">
        <v>1548</v>
      </c>
      <c r="H1009" s="7" t="s">
        <v>1362</v>
      </c>
      <c r="I1009" s="7" t="s">
        <v>1253</v>
      </c>
      <c r="K1009" s="7" t="s">
        <v>294</v>
      </c>
      <c r="L1009" s="11">
        <v>18.34</v>
      </c>
      <c r="M1009" s="11">
        <v>107941.45</v>
      </c>
      <c r="N1009" s="9">
        <f t="shared" si="28"/>
        <v>18.34</v>
      </c>
    </row>
    <row r="1010" spans="1:14" ht="12.75" hidden="1" customHeight="1" x14ac:dyDescent="0.2">
      <c r="A1010">
        <v>65061</v>
      </c>
      <c r="B1010" s="3" t="s">
        <v>1253</v>
      </c>
      <c r="C1010" s="7" t="s">
        <v>257</v>
      </c>
      <c r="D1010" s="7" t="s">
        <v>200</v>
      </c>
      <c r="F1010" s="7" t="s">
        <v>241</v>
      </c>
      <c r="G1010" s="7" t="s">
        <v>1548</v>
      </c>
      <c r="H1010" s="7" t="s">
        <v>1362</v>
      </c>
      <c r="I1010" s="7" t="s">
        <v>1253</v>
      </c>
      <c r="K1010" s="7" t="s">
        <v>294</v>
      </c>
      <c r="L1010" s="11">
        <v>22.29</v>
      </c>
      <c r="M1010" s="11">
        <v>108475.75</v>
      </c>
      <c r="N1010" s="9">
        <f t="shared" si="28"/>
        <v>22.29</v>
      </c>
    </row>
    <row r="1011" spans="1:14" ht="12.75" hidden="1" customHeight="1" x14ac:dyDescent="0.2">
      <c r="A1011">
        <v>65061</v>
      </c>
      <c r="B1011" s="3" t="s">
        <v>1253</v>
      </c>
      <c r="C1011" s="7" t="s">
        <v>257</v>
      </c>
      <c r="D1011" s="7" t="s">
        <v>200</v>
      </c>
      <c r="F1011" s="7" t="s">
        <v>241</v>
      </c>
      <c r="G1011" s="7" t="s">
        <v>1548</v>
      </c>
      <c r="H1011" s="7" t="s">
        <v>1362</v>
      </c>
      <c r="I1011" s="7" t="s">
        <v>1253</v>
      </c>
      <c r="K1011" s="7" t="s">
        <v>294</v>
      </c>
      <c r="L1011" s="11">
        <v>61.72</v>
      </c>
      <c r="M1011" s="11">
        <v>108537.47</v>
      </c>
      <c r="N1011" s="9">
        <f t="shared" si="28"/>
        <v>61.72</v>
      </c>
    </row>
    <row r="1012" spans="1:14" ht="12.75" hidden="1" customHeight="1" x14ac:dyDescent="0.2">
      <c r="A1012">
        <v>65061</v>
      </c>
      <c r="B1012" s="3" t="s">
        <v>1253</v>
      </c>
      <c r="C1012" s="7" t="s">
        <v>257</v>
      </c>
      <c r="D1012" s="7" t="s">
        <v>200</v>
      </c>
      <c r="F1012" s="7" t="s">
        <v>241</v>
      </c>
      <c r="G1012" s="7" t="s">
        <v>1548</v>
      </c>
      <c r="H1012" s="7" t="s">
        <v>1362</v>
      </c>
      <c r="I1012" s="7" t="s">
        <v>1253</v>
      </c>
      <c r="K1012" s="7" t="s">
        <v>294</v>
      </c>
      <c r="L1012" s="11">
        <v>91.97</v>
      </c>
      <c r="M1012" s="11">
        <v>108629.44</v>
      </c>
      <c r="N1012" s="9">
        <f t="shared" si="28"/>
        <v>91.97</v>
      </c>
    </row>
    <row r="1013" spans="1:14" ht="12.75" hidden="1" customHeight="1" x14ac:dyDescent="0.2">
      <c r="A1013">
        <v>65061</v>
      </c>
      <c r="B1013" s="3" t="s">
        <v>1253</v>
      </c>
      <c r="C1013" s="7" t="s">
        <v>749</v>
      </c>
      <c r="D1013" s="7" t="s">
        <v>221</v>
      </c>
      <c r="F1013" s="7" t="s">
        <v>548</v>
      </c>
      <c r="G1013" s="7" t="s">
        <v>1548</v>
      </c>
      <c r="H1013" s="7" t="s">
        <v>1362</v>
      </c>
      <c r="I1013" s="7" t="s">
        <v>1253</v>
      </c>
      <c r="K1013" s="7" t="s">
        <v>294</v>
      </c>
      <c r="L1013" s="11">
        <v>248.85</v>
      </c>
      <c r="M1013" s="11">
        <v>124498.41</v>
      </c>
      <c r="N1013" s="9">
        <f t="shared" si="28"/>
        <v>248.85</v>
      </c>
    </row>
    <row r="1014" spans="1:14" ht="12.75" hidden="1" customHeight="1" x14ac:dyDescent="0.2">
      <c r="A1014">
        <v>65061</v>
      </c>
      <c r="B1014" s="3" t="s">
        <v>1253</v>
      </c>
      <c r="C1014" s="7" t="s">
        <v>698</v>
      </c>
      <c r="D1014" s="7" t="s">
        <v>221</v>
      </c>
      <c r="F1014" s="7" t="s">
        <v>579</v>
      </c>
      <c r="G1014" s="7" t="s">
        <v>1548</v>
      </c>
      <c r="H1014" s="7" t="s">
        <v>1362</v>
      </c>
      <c r="I1014" s="7" t="s">
        <v>1253</v>
      </c>
      <c r="K1014" s="7" t="s">
        <v>294</v>
      </c>
      <c r="L1014" s="11">
        <v>64.930000000000007</v>
      </c>
      <c r="M1014" s="11">
        <v>145046.88</v>
      </c>
      <c r="N1014" s="9">
        <f t="shared" si="28"/>
        <v>64.930000000000007</v>
      </c>
    </row>
    <row r="1015" spans="1:14" ht="12.75" hidden="1" customHeight="1" x14ac:dyDescent="0.2">
      <c r="A1015">
        <v>65061</v>
      </c>
      <c r="B1015" s="3" t="s">
        <v>1253</v>
      </c>
      <c r="C1015" s="7" t="s">
        <v>222</v>
      </c>
      <c r="D1015" s="7" t="s">
        <v>221</v>
      </c>
      <c r="F1015" s="7" t="s">
        <v>589</v>
      </c>
      <c r="G1015" s="7" t="s">
        <v>1548</v>
      </c>
      <c r="H1015" s="7" t="s">
        <v>1362</v>
      </c>
      <c r="I1015" s="7" t="s">
        <v>1253</v>
      </c>
      <c r="K1015" s="7" t="s">
        <v>294</v>
      </c>
      <c r="L1015" s="11">
        <v>103.57</v>
      </c>
      <c r="M1015" s="11">
        <v>147552.93</v>
      </c>
      <c r="N1015" s="9">
        <f t="shared" si="28"/>
        <v>103.57</v>
      </c>
    </row>
    <row r="1016" spans="1:14" ht="12.75" hidden="1" customHeight="1" x14ac:dyDescent="0.2">
      <c r="A1016">
        <v>65061</v>
      </c>
      <c r="B1016" s="3" t="s">
        <v>1253</v>
      </c>
      <c r="C1016" s="7" t="s">
        <v>222</v>
      </c>
      <c r="D1016" s="7" t="s">
        <v>221</v>
      </c>
      <c r="F1016" s="7" t="s">
        <v>691</v>
      </c>
      <c r="G1016" s="7" t="s">
        <v>1548</v>
      </c>
      <c r="H1016" s="7" t="s">
        <v>1362</v>
      </c>
      <c r="I1016" s="7" t="s">
        <v>1253</v>
      </c>
      <c r="K1016" s="7" t="s">
        <v>294</v>
      </c>
      <c r="L1016" s="11">
        <v>6.5</v>
      </c>
      <c r="M1016" s="11">
        <v>147559.43</v>
      </c>
      <c r="N1016" s="9">
        <f t="shared" si="28"/>
        <v>6.5</v>
      </c>
    </row>
    <row r="1017" spans="1:14" ht="12.75" hidden="1" customHeight="1" x14ac:dyDescent="0.2">
      <c r="A1017">
        <v>65061</v>
      </c>
      <c r="B1017" s="3" t="s">
        <v>1253</v>
      </c>
      <c r="C1017" s="7" t="s">
        <v>222</v>
      </c>
      <c r="D1017" s="7" t="s">
        <v>221</v>
      </c>
      <c r="F1017" s="7" t="s">
        <v>594</v>
      </c>
      <c r="G1017" s="7" t="s">
        <v>1548</v>
      </c>
      <c r="H1017" s="7" t="s">
        <v>1362</v>
      </c>
      <c r="I1017" s="7" t="s">
        <v>1253</v>
      </c>
      <c r="K1017" s="7" t="s">
        <v>294</v>
      </c>
      <c r="L1017" s="11">
        <v>97.41</v>
      </c>
      <c r="M1017" s="11">
        <v>147656.84</v>
      </c>
      <c r="N1017" s="9">
        <f t="shared" si="28"/>
        <v>97.41</v>
      </c>
    </row>
    <row r="1018" spans="1:14" ht="12.75" hidden="1" customHeight="1" x14ac:dyDescent="0.2">
      <c r="A1018">
        <v>65061</v>
      </c>
      <c r="B1018" s="3" t="s">
        <v>1253</v>
      </c>
      <c r="C1018" s="7" t="s">
        <v>222</v>
      </c>
      <c r="D1018" s="7" t="s">
        <v>221</v>
      </c>
      <c r="F1018" s="7" t="s">
        <v>355</v>
      </c>
      <c r="G1018" s="7" t="s">
        <v>1548</v>
      </c>
      <c r="H1018" s="7" t="s">
        <v>1362</v>
      </c>
      <c r="I1018" s="7" t="s">
        <v>1253</v>
      </c>
      <c r="K1018" s="7" t="s">
        <v>294</v>
      </c>
      <c r="L1018" s="11">
        <v>19.440000000000001</v>
      </c>
      <c r="M1018" s="11">
        <v>147676.28</v>
      </c>
      <c r="N1018" s="9">
        <f t="shared" si="28"/>
        <v>19.440000000000001</v>
      </c>
    </row>
    <row r="1019" spans="1:14" ht="12.75" hidden="1" customHeight="1" x14ac:dyDescent="0.2">
      <c r="A1019">
        <v>65061</v>
      </c>
      <c r="B1019" s="3" t="s">
        <v>1253</v>
      </c>
      <c r="C1019" s="7" t="s">
        <v>222</v>
      </c>
      <c r="D1019" s="7" t="s">
        <v>221</v>
      </c>
      <c r="F1019" s="7" t="s">
        <v>548</v>
      </c>
      <c r="G1019" s="7" t="s">
        <v>1548</v>
      </c>
      <c r="H1019" s="7" t="s">
        <v>1362</v>
      </c>
      <c r="I1019" s="7" t="s">
        <v>1253</v>
      </c>
      <c r="K1019" s="7" t="s">
        <v>294</v>
      </c>
      <c r="L1019" s="11">
        <v>65.81</v>
      </c>
      <c r="M1019" s="11">
        <v>150434.79</v>
      </c>
      <c r="N1019" s="9">
        <f t="shared" si="28"/>
        <v>65.81</v>
      </c>
    </row>
    <row r="1020" spans="1:14" ht="12.75" hidden="1" customHeight="1" x14ac:dyDescent="0.2">
      <c r="A1020">
        <v>65061</v>
      </c>
      <c r="B1020" s="3" t="s">
        <v>1253</v>
      </c>
      <c r="C1020" s="7" t="s">
        <v>222</v>
      </c>
      <c r="D1020" s="7" t="s">
        <v>221</v>
      </c>
      <c r="F1020" s="7" t="s">
        <v>241</v>
      </c>
      <c r="G1020" s="7" t="s">
        <v>1548</v>
      </c>
      <c r="H1020" s="7" t="s">
        <v>1362</v>
      </c>
      <c r="I1020" s="7" t="s">
        <v>1253</v>
      </c>
      <c r="K1020" s="7" t="s">
        <v>294</v>
      </c>
      <c r="L1020" s="11">
        <v>49.56</v>
      </c>
      <c r="M1020" s="11">
        <v>150484.35</v>
      </c>
      <c r="N1020" s="9">
        <f t="shared" si="28"/>
        <v>49.56</v>
      </c>
    </row>
    <row r="1021" spans="1:14" ht="12.75" hidden="1" customHeight="1" x14ac:dyDescent="0.2">
      <c r="A1021">
        <v>65061</v>
      </c>
      <c r="B1021" s="3" t="s">
        <v>1253</v>
      </c>
      <c r="C1021" s="7" t="s">
        <v>222</v>
      </c>
      <c r="D1021" s="7" t="s">
        <v>221</v>
      </c>
      <c r="F1021" s="7" t="s">
        <v>241</v>
      </c>
      <c r="G1021" s="7" t="s">
        <v>1548</v>
      </c>
      <c r="H1021" s="7" t="s">
        <v>1362</v>
      </c>
      <c r="I1021" s="7" t="s">
        <v>1253</v>
      </c>
      <c r="K1021" s="7" t="s">
        <v>294</v>
      </c>
      <c r="L1021" s="11">
        <v>46.32</v>
      </c>
      <c r="M1021" s="11">
        <v>150530.67000000001</v>
      </c>
      <c r="N1021" s="9">
        <f t="shared" si="28"/>
        <v>46.32</v>
      </c>
    </row>
    <row r="1022" spans="1:14" ht="12.75" hidden="1" customHeight="1" x14ac:dyDescent="0.2">
      <c r="A1022">
        <v>65061</v>
      </c>
      <c r="B1022" s="3" t="s">
        <v>1253</v>
      </c>
      <c r="C1022" s="7" t="s">
        <v>218</v>
      </c>
      <c r="D1022" s="7" t="s">
        <v>221</v>
      </c>
      <c r="F1022" s="7" t="s">
        <v>241</v>
      </c>
      <c r="G1022" s="7" t="s">
        <v>1548</v>
      </c>
      <c r="H1022" s="7" t="s">
        <v>1362</v>
      </c>
      <c r="I1022" s="7" t="s">
        <v>1253</v>
      </c>
      <c r="K1022" s="7" t="s">
        <v>294</v>
      </c>
      <c r="L1022" s="11">
        <v>32.19</v>
      </c>
      <c r="M1022" s="11">
        <v>154078.79999999999</v>
      </c>
      <c r="N1022" s="9">
        <f t="shared" si="28"/>
        <v>32.19</v>
      </c>
    </row>
    <row r="1023" spans="1:14" ht="12.75" hidden="1" customHeight="1" x14ac:dyDescent="0.2">
      <c r="A1023">
        <v>65061</v>
      </c>
      <c r="B1023" s="3" t="s">
        <v>1253</v>
      </c>
      <c r="C1023" s="7" t="s">
        <v>639</v>
      </c>
      <c r="D1023" s="7" t="s">
        <v>221</v>
      </c>
      <c r="F1023" s="7" t="s">
        <v>640</v>
      </c>
      <c r="G1023" s="7" t="s">
        <v>1548</v>
      </c>
      <c r="H1023" s="7" t="s">
        <v>1362</v>
      </c>
      <c r="I1023" s="7" t="s">
        <v>1253</v>
      </c>
      <c r="K1023" s="7" t="s">
        <v>294</v>
      </c>
      <c r="L1023" s="11">
        <v>99.61</v>
      </c>
      <c r="M1023" s="11">
        <v>168794.32</v>
      </c>
      <c r="N1023" s="9">
        <f t="shared" si="28"/>
        <v>99.61</v>
      </c>
    </row>
    <row r="1024" spans="1:14" ht="12.75" hidden="1" customHeight="1" x14ac:dyDescent="0.2">
      <c r="A1024">
        <v>65061</v>
      </c>
      <c r="B1024" s="3" t="s">
        <v>1253</v>
      </c>
      <c r="C1024" s="7" t="s">
        <v>637</v>
      </c>
      <c r="D1024" s="7" t="s">
        <v>221</v>
      </c>
      <c r="F1024" s="7" t="s">
        <v>548</v>
      </c>
      <c r="G1024" s="7" t="s">
        <v>1548</v>
      </c>
      <c r="H1024" s="7" t="s">
        <v>1362</v>
      </c>
      <c r="I1024" s="7" t="s">
        <v>1253</v>
      </c>
      <c r="K1024" s="7" t="s">
        <v>294</v>
      </c>
      <c r="L1024" s="11">
        <v>56.09</v>
      </c>
      <c r="M1024" s="11">
        <v>169386.02</v>
      </c>
      <c r="N1024" s="9">
        <f t="shared" si="28"/>
        <v>56.09</v>
      </c>
    </row>
    <row r="1025" spans="1:14" ht="12.75" hidden="1" customHeight="1" x14ac:dyDescent="0.2">
      <c r="A1025">
        <v>65061</v>
      </c>
      <c r="B1025" s="3" t="s">
        <v>1253</v>
      </c>
      <c r="C1025" s="7" t="s">
        <v>637</v>
      </c>
      <c r="D1025" s="7" t="s">
        <v>221</v>
      </c>
      <c r="F1025" s="7" t="s">
        <v>548</v>
      </c>
      <c r="G1025" s="7" t="s">
        <v>1548</v>
      </c>
      <c r="H1025" s="7" t="s">
        <v>1362</v>
      </c>
      <c r="I1025" s="7" t="s">
        <v>1253</v>
      </c>
      <c r="K1025" s="7" t="s">
        <v>294</v>
      </c>
      <c r="L1025" s="11">
        <v>58.17</v>
      </c>
      <c r="M1025" s="11">
        <v>169493.44</v>
      </c>
      <c r="N1025" s="9">
        <f t="shared" si="28"/>
        <v>58.17</v>
      </c>
    </row>
    <row r="1026" spans="1:14" ht="12.75" hidden="1" customHeight="1" x14ac:dyDescent="0.2">
      <c r="A1026">
        <v>65061</v>
      </c>
      <c r="B1026" s="3" t="s">
        <v>1253</v>
      </c>
      <c r="C1026" s="7" t="s">
        <v>486</v>
      </c>
      <c r="D1026" s="7" t="s">
        <v>221</v>
      </c>
      <c r="F1026" s="7" t="s">
        <v>548</v>
      </c>
      <c r="G1026" s="7" t="s">
        <v>1548</v>
      </c>
      <c r="H1026" s="7" t="s">
        <v>1362</v>
      </c>
      <c r="I1026" s="7" t="s">
        <v>1253</v>
      </c>
      <c r="K1026" s="7" t="s">
        <v>294</v>
      </c>
      <c r="L1026" s="11">
        <v>46.25</v>
      </c>
      <c r="M1026" s="11">
        <v>169573.13</v>
      </c>
      <c r="N1026" s="9">
        <f t="shared" si="28"/>
        <v>46.25</v>
      </c>
    </row>
    <row r="1027" spans="1:14" ht="12.75" hidden="1" customHeight="1" x14ac:dyDescent="0.2">
      <c r="A1027">
        <v>65061</v>
      </c>
      <c r="B1027" s="3" t="s">
        <v>1253</v>
      </c>
      <c r="C1027" s="7" t="s">
        <v>486</v>
      </c>
      <c r="D1027" s="7" t="s">
        <v>221</v>
      </c>
      <c r="F1027" s="7" t="s">
        <v>241</v>
      </c>
      <c r="G1027" s="7" t="s">
        <v>1548</v>
      </c>
      <c r="H1027" s="7" t="s">
        <v>1362</v>
      </c>
      <c r="I1027" s="7" t="s">
        <v>1253</v>
      </c>
      <c r="K1027" s="7" t="s">
        <v>294</v>
      </c>
      <c r="L1027" s="11">
        <v>25.96</v>
      </c>
      <c r="M1027" s="11">
        <v>169555.9</v>
      </c>
      <c r="N1027" s="9">
        <f t="shared" si="28"/>
        <v>25.96</v>
      </c>
    </row>
    <row r="1028" spans="1:14" ht="12.75" hidden="1" customHeight="1" x14ac:dyDescent="0.2">
      <c r="A1028">
        <v>65061</v>
      </c>
      <c r="B1028" s="3" t="s">
        <v>1253</v>
      </c>
      <c r="C1028" s="7" t="s">
        <v>214</v>
      </c>
      <c r="D1028" s="7" t="s">
        <v>221</v>
      </c>
      <c r="F1028" s="7" t="s">
        <v>548</v>
      </c>
      <c r="G1028" s="7" t="s">
        <v>1548</v>
      </c>
      <c r="H1028" s="7" t="s">
        <v>1362</v>
      </c>
      <c r="I1028" s="7" t="s">
        <v>1253</v>
      </c>
      <c r="K1028" s="7" t="s">
        <v>294</v>
      </c>
      <c r="L1028" s="11">
        <v>17.63</v>
      </c>
      <c r="M1028" s="11">
        <v>170272.76</v>
      </c>
      <c r="N1028" s="9">
        <f t="shared" si="28"/>
        <v>17.63</v>
      </c>
    </row>
    <row r="1029" spans="1:14" ht="12.75" hidden="1" customHeight="1" x14ac:dyDescent="0.2">
      <c r="A1029">
        <v>65061</v>
      </c>
      <c r="B1029" s="3" t="s">
        <v>1253</v>
      </c>
      <c r="C1029" s="7" t="s">
        <v>214</v>
      </c>
      <c r="D1029" s="7" t="s">
        <v>221</v>
      </c>
      <c r="F1029" s="7" t="s">
        <v>589</v>
      </c>
      <c r="G1029" s="7" t="s">
        <v>1548</v>
      </c>
      <c r="H1029" s="7" t="s">
        <v>1362</v>
      </c>
      <c r="I1029" s="7" t="s">
        <v>1253</v>
      </c>
      <c r="K1029" s="7" t="s">
        <v>294</v>
      </c>
      <c r="L1029" s="11">
        <v>18.34</v>
      </c>
      <c r="M1029" s="11">
        <v>170291.1</v>
      </c>
      <c r="N1029" s="9">
        <f t="shared" si="28"/>
        <v>18.34</v>
      </c>
    </row>
    <row r="1030" spans="1:14" ht="12.75" hidden="1" customHeight="1" x14ac:dyDescent="0.2">
      <c r="A1030">
        <v>65061</v>
      </c>
      <c r="B1030" s="3" t="s">
        <v>1253</v>
      </c>
      <c r="C1030" s="7" t="s">
        <v>214</v>
      </c>
      <c r="D1030" s="7" t="s">
        <v>221</v>
      </c>
      <c r="F1030" s="7" t="s">
        <v>570</v>
      </c>
      <c r="G1030" s="7" t="s">
        <v>1548</v>
      </c>
      <c r="H1030" s="7" t="s">
        <v>1362</v>
      </c>
      <c r="I1030" s="7" t="s">
        <v>1253</v>
      </c>
      <c r="K1030" s="7" t="s">
        <v>294</v>
      </c>
      <c r="L1030" s="11">
        <v>47.9</v>
      </c>
      <c r="M1030" s="11">
        <v>170339</v>
      </c>
      <c r="N1030" s="9">
        <f t="shared" si="28"/>
        <v>47.9</v>
      </c>
    </row>
    <row r="1031" spans="1:14" ht="12.75" hidden="1" customHeight="1" x14ac:dyDescent="0.2">
      <c r="A1031">
        <v>65061</v>
      </c>
      <c r="B1031" s="3" t="s">
        <v>1253</v>
      </c>
      <c r="C1031" s="7" t="s">
        <v>214</v>
      </c>
      <c r="D1031" s="7" t="s">
        <v>221</v>
      </c>
      <c r="F1031" s="7" t="s">
        <v>548</v>
      </c>
      <c r="G1031" s="7" t="s">
        <v>1548</v>
      </c>
      <c r="H1031" s="7" t="s">
        <v>1362</v>
      </c>
      <c r="I1031" s="7" t="s">
        <v>1253</v>
      </c>
      <c r="K1031" s="7" t="s">
        <v>294</v>
      </c>
      <c r="L1031" s="11">
        <v>16.61</v>
      </c>
      <c r="M1031" s="11">
        <v>170355.61</v>
      </c>
      <c r="N1031" s="9">
        <f t="shared" ref="N1031:N1062" si="29">IF(A1031&lt;60000,-L1031,+L1031)</f>
        <v>16.61</v>
      </c>
    </row>
    <row r="1032" spans="1:14" ht="12.75" hidden="1" customHeight="1" x14ac:dyDescent="0.2">
      <c r="A1032">
        <v>65061</v>
      </c>
      <c r="B1032" s="3" t="s">
        <v>1253</v>
      </c>
      <c r="C1032" s="7" t="s">
        <v>214</v>
      </c>
      <c r="D1032" s="7" t="s">
        <v>221</v>
      </c>
      <c r="F1032" s="7" t="s">
        <v>241</v>
      </c>
      <c r="G1032" s="7" t="s">
        <v>1548</v>
      </c>
      <c r="H1032" s="7" t="s">
        <v>1362</v>
      </c>
      <c r="I1032" s="7" t="s">
        <v>1253</v>
      </c>
      <c r="K1032" s="7" t="s">
        <v>294</v>
      </c>
      <c r="L1032" s="11">
        <v>32.979999999999997</v>
      </c>
      <c r="M1032" s="11">
        <v>170388.59</v>
      </c>
      <c r="N1032" s="9">
        <f t="shared" si="29"/>
        <v>32.979999999999997</v>
      </c>
    </row>
    <row r="1033" spans="1:14" ht="12.75" hidden="1" customHeight="1" x14ac:dyDescent="0.2">
      <c r="A1033">
        <v>65061</v>
      </c>
      <c r="B1033" s="3" t="s">
        <v>1253</v>
      </c>
      <c r="C1033" s="7" t="s">
        <v>214</v>
      </c>
      <c r="D1033" s="7" t="s">
        <v>221</v>
      </c>
      <c r="F1033" s="7" t="s">
        <v>634</v>
      </c>
      <c r="G1033" s="7" t="s">
        <v>1548</v>
      </c>
      <c r="H1033" s="7" t="s">
        <v>1362</v>
      </c>
      <c r="I1033" s="7" t="s">
        <v>1253</v>
      </c>
      <c r="K1033" s="7" t="s">
        <v>294</v>
      </c>
      <c r="L1033" s="11">
        <v>20.440000000000001</v>
      </c>
      <c r="M1033" s="11">
        <v>170409.03</v>
      </c>
      <c r="N1033" s="9">
        <f t="shared" si="29"/>
        <v>20.440000000000001</v>
      </c>
    </row>
    <row r="1034" spans="1:14" ht="12.75" hidden="1" customHeight="1" x14ac:dyDescent="0.2">
      <c r="A1034">
        <v>65061</v>
      </c>
      <c r="B1034" s="3" t="s">
        <v>1253</v>
      </c>
      <c r="C1034" s="7" t="s">
        <v>617</v>
      </c>
      <c r="D1034" s="7" t="s">
        <v>200</v>
      </c>
      <c r="E1034" s="7">
        <v>1004</v>
      </c>
      <c r="F1034" s="7" t="s">
        <v>622</v>
      </c>
      <c r="G1034" s="7" t="s">
        <v>1548</v>
      </c>
      <c r="H1034" s="7" t="s">
        <v>1362</v>
      </c>
      <c r="I1034" s="7" t="s">
        <v>1253</v>
      </c>
      <c r="K1034" s="7" t="s">
        <v>294</v>
      </c>
      <c r="L1034" s="11">
        <v>20</v>
      </c>
      <c r="M1034" s="11">
        <v>177279.75</v>
      </c>
      <c r="N1034" s="9">
        <f t="shared" si="29"/>
        <v>20</v>
      </c>
    </row>
    <row r="1035" spans="1:14" ht="12.75" hidden="1" customHeight="1" x14ac:dyDescent="0.2">
      <c r="A1035">
        <v>65061</v>
      </c>
      <c r="B1035" s="3" t="s">
        <v>1253</v>
      </c>
      <c r="C1035" s="7" t="s">
        <v>611</v>
      </c>
      <c r="D1035" s="7" t="s">
        <v>221</v>
      </c>
      <c r="F1035" s="7" t="s">
        <v>614</v>
      </c>
      <c r="G1035" s="7" t="s">
        <v>1548</v>
      </c>
      <c r="H1035" s="7" t="s">
        <v>1362</v>
      </c>
      <c r="I1035" s="7" t="s">
        <v>1253</v>
      </c>
      <c r="K1035" s="7" t="s">
        <v>294</v>
      </c>
      <c r="L1035" s="11">
        <v>62.73</v>
      </c>
      <c r="M1035" s="11">
        <v>179971.64</v>
      </c>
      <c r="N1035" s="9">
        <f t="shared" si="29"/>
        <v>62.73</v>
      </c>
    </row>
    <row r="1036" spans="1:14" ht="12.75" hidden="1" customHeight="1" x14ac:dyDescent="0.2">
      <c r="A1036">
        <v>65061</v>
      </c>
      <c r="B1036" s="3" t="s">
        <v>1253</v>
      </c>
      <c r="C1036" s="7" t="s">
        <v>434</v>
      </c>
      <c r="D1036" s="7" t="s">
        <v>221</v>
      </c>
      <c r="F1036" s="7" t="s">
        <v>606</v>
      </c>
      <c r="G1036" s="7" t="s">
        <v>1548</v>
      </c>
      <c r="H1036" s="7" t="s">
        <v>1362</v>
      </c>
      <c r="I1036" s="7" t="s">
        <v>1253</v>
      </c>
      <c r="K1036" s="7" t="s">
        <v>294</v>
      </c>
      <c r="L1036" s="11">
        <v>40.89</v>
      </c>
      <c r="M1036" s="11">
        <v>180776.24</v>
      </c>
      <c r="N1036" s="9">
        <f t="shared" si="29"/>
        <v>40.89</v>
      </c>
    </row>
    <row r="1037" spans="1:14" ht="12.75" hidden="1" customHeight="1" x14ac:dyDescent="0.2">
      <c r="A1037">
        <v>65061</v>
      </c>
      <c r="B1037" s="3" t="s">
        <v>1253</v>
      </c>
      <c r="C1037" s="7" t="s">
        <v>585</v>
      </c>
      <c r="D1037" s="7" t="s">
        <v>221</v>
      </c>
      <c r="F1037" s="7" t="s">
        <v>548</v>
      </c>
      <c r="G1037" s="7" t="s">
        <v>1548</v>
      </c>
      <c r="H1037" s="7" t="s">
        <v>1362</v>
      </c>
      <c r="I1037" s="7" t="s">
        <v>1253</v>
      </c>
      <c r="K1037" s="7" t="s">
        <v>294</v>
      </c>
      <c r="L1037" s="11">
        <v>53.4</v>
      </c>
      <c r="M1037" s="11">
        <v>182655.01</v>
      </c>
      <c r="N1037" s="9">
        <f t="shared" si="29"/>
        <v>53.4</v>
      </c>
    </row>
    <row r="1038" spans="1:14" ht="12.75" hidden="1" customHeight="1" x14ac:dyDescent="0.2">
      <c r="A1038">
        <v>65061</v>
      </c>
      <c r="B1038" s="3" t="s">
        <v>1253</v>
      </c>
      <c r="C1038" s="7" t="s">
        <v>585</v>
      </c>
      <c r="D1038" s="7" t="s">
        <v>221</v>
      </c>
      <c r="F1038" s="7" t="s">
        <v>590</v>
      </c>
      <c r="G1038" s="7" t="s">
        <v>1548</v>
      </c>
      <c r="H1038" s="7" t="s">
        <v>1362</v>
      </c>
      <c r="I1038" s="7" t="s">
        <v>1253</v>
      </c>
      <c r="K1038" s="7" t="s">
        <v>294</v>
      </c>
      <c r="L1038" s="11">
        <v>5.96</v>
      </c>
      <c r="M1038" s="11">
        <v>182660.97</v>
      </c>
      <c r="N1038" s="9">
        <f t="shared" si="29"/>
        <v>5.96</v>
      </c>
    </row>
    <row r="1039" spans="1:14" ht="12.75" hidden="1" customHeight="1" x14ac:dyDescent="0.2">
      <c r="A1039">
        <v>65061</v>
      </c>
      <c r="B1039" s="3" t="s">
        <v>1253</v>
      </c>
      <c r="C1039" s="7" t="s">
        <v>585</v>
      </c>
      <c r="D1039" s="7" t="s">
        <v>242</v>
      </c>
      <c r="F1039" s="7" t="s">
        <v>555</v>
      </c>
      <c r="G1039" s="7" t="s">
        <v>1548</v>
      </c>
      <c r="H1039" s="7" t="s">
        <v>1362</v>
      </c>
      <c r="I1039" s="7" t="s">
        <v>1253</v>
      </c>
      <c r="K1039" s="7" t="s">
        <v>294</v>
      </c>
      <c r="L1039" s="11">
        <v>-29.65</v>
      </c>
      <c r="M1039" s="11">
        <v>182631.32</v>
      </c>
      <c r="N1039" s="9">
        <f t="shared" si="29"/>
        <v>-29.65</v>
      </c>
    </row>
    <row r="1040" spans="1:14" ht="12.75" hidden="1" customHeight="1" x14ac:dyDescent="0.2">
      <c r="A1040">
        <v>65061</v>
      </c>
      <c r="B1040" s="3" t="s">
        <v>1253</v>
      </c>
      <c r="C1040" s="7" t="s">
        <v>585</v>
      </c>
      <c r="D1040" s="7" t="s">
        <v>221</v>
      </c>
      <c r="F1040" s="7" t="s">
        <v>589</v>
      </c>
      <c r="G1040" s="7" t="s">
        <v>1548</v>
      </c>
      <c r="H1040" s="7" t="s">
        <v>1362</v>
      </c>
      <c r="I1040" s="7" t="s">
        <v>1253</v>
      </c>
      <c r="K1040" s="7" t="s">
        <v>294</v>
      </c>
      <c r="L1040" s="11">
        <v>54.11</v>
      </c>
      <c r="M1040" s="11">
        <v>182685.43</v>
      </c>
      <c r="N1040" s="9">
        <f t="shared" si="29"/>
        <v>54.11</v>
      </c>
    </row>
    <row r="1041" spans="1:14" ht="12.75" hidden="1" customHeight="1" x14ac:dyDescent="0.2">
      <c r="A1041">
        <v>65061</v>
      </c>
      <c r="B1041" s="3" t="s">
        <v>1253</v>
      </c>
      <c r="C1041" s="7" t="s">
        <v>585</v>
      </c>
      <c r="D1041" s="7" t="s">
        <v>242</v>
      </c>
      <c r="F1041" s="7" t="s">
        <v>555</v>
      </c>
      <c r="G1041" s="7" t="s">
        <v>1548</v>
      </c>
      <c r="H1041" s="7" t="s">
        <v>1362</v>
      </c>
      <c r="I1041" s="7" t="s">
        <v>1253</v>
      </c>
      <c r="K1041" s="7" t="s">
        <v>294</v>
      </c>
      <c r="L1041" s="11">
        <v>-12.9</v>
      </c>
      <c r="M1041" s="11">
        <v>182775.53</v>
      </c>
      <c r="N1041" s="9">
        <f t="shared" si="29"/>
        <v>-12.9</v>
      </c>
    </row>
    <row r="1042" spans="1:14" ht="12.75" hidden="1" customHeight="1" x14ac:dyDescent="0.2">
      <c r="A1042">
        <v>65061</v>
      </c>
      <c r="B1042" s="3" t="s">
        <v>1253</v>
      </c>
      <c r="C1042" s="7" t="s">
        <v>576</v>
      </c>
      <c r="D1042" s="7" t="s">
        <v>242</v>
      </c>
      <c r="F1042" s="7" t="s">
        <v>555</v>
      </c>
      <c r="G1042" s="7" t="s">
        <v>1548</v>
      </c>
      <c r="H1042" s="7" t="s">
        <v>1362</v>
      </c>
      <c r="I1042" s="7" t="s">
        <v>1253</v>
      </c>
      <c r="K1042" s="7" t="s">
        <v>294</v>
      </c>
      <c r="L1042" s="11">
        <v>-19.27</v>
      </c>
      <c r="M1042" s="11">
        <v>184830.64</v>
      </c>
      <c r="N1042" s="9">
        <f t="shared" si="29"/>
        <v>-19.27</v>
      </c>
    </row>
    <row r="1043" spans="1:14" ht="12.75" hidden="1" customHeight="1" x14ac:dyDescent="0.2">
      <c r="A1043">
        <v>65061</v>
      </c>
      <c r="B1043" s="3" t="s">
        <v>1253</v>
      </c>
      <c r="C1043" s="7" t="s">
        <v>576</v>
      </c>
      <c r="D1043" s="7" t="s">
        <v>242</v>
      </c>
      <c r="F1043" s="7" t="s">
        <v>555</v>
      </c>
      <c r="G1043" s="7" t="s">
        <v>1548</v>
      </c>
      <c r="H1043" s="7" t="s">
        <v>1362</v>
      </c>
      <c r="I1043" s="7" t="s">
        <v>1253</v>
      </c>
      <c r="K1043" s="7" t="s">
        <v>294</v>
      </c>
      <c r="L1043" s="11">
        <v>-44.5</v>
      </c>
      <c r="M1043" s="11">
        <v>184786.14</v>
      </c>
      <c r="N1043" s="9">
        <f t="shared" si="29"/>
        <v>-44.5</v>
      </c>
    </row>
    <row r="1044" spans="1:14" ht="12.75" hidden="1" customHeight="1" x14ac:dyDescent="0.2">
      <c r="A1044">
        <v>65061</v>
      </c>
      <c r="B1044" s="3" t="s">
        <v>1253</v>
      </c>
      <c r="C1044" s="7" t="s">
        <v>576</v>
      </c>
      <c r="D1044" s="7" t="s">
        <v>242</v>
      </c>
      <c r="F1044" s="7" t="s">
        <v>555</v>
      </c>
      <c r="G1044" s="7" t="s">
        <v>1548</v>
      </c>
      <c r="H1044" s="7" t="s">
        <v>1362</v>
      </c>
      <c r="I1044" s="7" t="s">
        <v>1253</v>
      </c>
      <c r="K1044" s="7" t="s">
        <v>294</v>
      </c>
      <c r="L1044" s="11">
        <v>-43.28</v>
      </c>
      <c r="M1044" s="11">
        <v>184742.86</v>
      </c>
      <c r="N1044" s="9">
        <f t="shared" si="29"/>
        <v>-43.28</v>
      </c>
    </row>
    <row r="1045" spans="1:14" ht="12.75" hidden="1" customHeight="1" x14ac:dyDescent="0.2">
      <c r="A1045">
        <v>65061</v>
      </c>
      <c r="B1045" s="3" t="s">
        <v>1253</v>
      </c>
      <c r="C1045" s="7" t="s">
        <v>204</v>
      </c>
      <c r="D1045" s="7" t="s">
        <v>242</v>
      </c>
      <c r="F1045" s="7" t="s">
        <v>555</v>
      </c>
      <c r="G1045" s="7" t="s">
        <v>1548</v>
      </c>
      <c r="H1045" s="7" t="s">
        <v>1362</v>
      </c>
      <c r="I1045" s="7" t="s">
        <v>1253</v>
      </c>
      <c r="K1045" s="7" t="s">
        <v>294</v>
      </c>
      <c r="L1045" s="11">
        <v>-93.73</v>
      </c>
      <c r="M1045" s="11">
        <v>193297.01</v>
      </c>
      <c r="N1045" s="9">
        <f t="shared" si="29"/>
        <v>-93.73</v>
      </c>
    </row>
    <row r="1046" spans="1:14" ht="12.75" hidden="1" customHeight="1" x14ac:dyDescent="0.2">
      <c r="A1046">
        <v>65062</v>
      </c>
      <c r="B1046" s="3" t="s">
        <v>1254</v>
      </c>
      <c r="C1046" s="7" t="s">
        <v>477</v>
      </c>
      <c r="D1046" s="7" t="s">
        <v>183</v>
      </c>
      <c r="E1046" s="7">
        <v>460</v>
      </c>
      <c r="G1046" s="7" t="s">
        <v>1548</v>
      </c>
      <c r="H1046" s="7" t="s">
        <v>1362</v>
      </c>
      <c r="I1046" s="7" t="s">
        <v>1254</v>
      </c>
      <c r="J1046" s="7" t="s">
        <v>531</v>
      </c>
      <c r="K1046" s="7" t="s">
        <v>180</v>
      </c>
      <c r="L1046" s="11">
        <v>102</v>
      </c>
      <c r="M1046" s="11">
        <v>4878.13</v>
      </c>
      <c r="N1046" s="9">
        <f t="shared" si="29"/>
        <v>102</v>
      </c>
    </row>
    <row r="1047" spans="1:14" ht="12.75" hidden="1" customHeight="1" x14ac:dyDescent="0.2">
      <c r="A1047">
        <v>65062</v>
      </c>
      <c r="B1047" s="3" t="s">
        <v>1254</v>
      </c>
      <c r="C1047" s="7" t="s">
        <v>477</v>
      </c>
      <c r="D1047" s="7" t="s">
        <v>183</v>
      </c>
      <c r="E1047" s="7">
        <v>460</v>
      </c>
      <c r="G1047" s="7" t="s">
        <v>1548</v>
      </c>
      <c r="H1047" s="7" t="s">
        <v>1362</v>
      </c>
      <c r="I1047" s="7" t="s">
        <v>1254</v>
      </c>
      <c r="J1047" s="7" t="s">
        <v>530</v>
      </c>
      <c r="K1047" s="7" t="s">
        <v>180</v>
      </c>
      <c r="L1047" s="11">
        <v>70</v>
      </c>
      <c r="M1047" s="11">
        <v>4948.13</v>
      </c>
      <c r="N1047" s="9">
        <f t="shared" si="29"/>
        <v>70</v>
      </c>
    </row>
    <row r="1048" spans="1:14" ht="12.75" hidden="1" customHeight="1" x14ac:dyDescent="0.2">
      <c r="A1048">
        <v>65062</v>
      </c>
      <c r="B1048" s="3" t="s">
        <v>1254</v>
      </c>
      <c r="C1048" s="7" t="s">
        <v>477</v>
      </c>
      <c r="D1048" s="7" t="s">
        <v>183</v>
      </c>
      <c r="E1048" s="7">
        <v>460</v>
      </c>
      <c r="G1048" s="7" t="s">
        <v>1548</v>
      </c>
      <c r="H1048" s="7" t="s">
        <v>1362</v>
      </c>
      <c r="I1048" s="7" t="s">
        <v>1254</v>
      </c>
      <c r="J1048" s="7" t="s">
        <v>529</v>
      </c>
      <c r="K1048" s="7" t="s">
        <v>180</v>
      </c>
      <c r="L1048" s="11">
        <v>2000</v>
      </c>
      <c r="M1048" s="11">
        <v>6948.13</v>
      </c>
      <c r="N1048" s="9">
        <f t="shared" si="29"/>
        <v>2000</v>
      </c>
    </row>
    <row r="1049" spans="1:14" ht="12.75" hidden="1" customHeight="1" x14ac:dyDescent="0.2">
      <c r="A1049">
        <v>65062</v>
      </c>
      <c r="B1049" s="3" t="s">
        <v>1254</v>
      </c>
      <c r="C1049" s="7" t="s">
        <v>486</v>
      </c>
      <c r="D1049" s="7" t="s">
        <v>183</v>
      </c>
      <c r="E1049" s="7">
        <v>617</v>
      </c>
      <c r="G1049" s="7" t="s">
        <v>1548</v>
      </c>
      <c r="H1049" s="7" t="s">
        <v>1362</v>
      </c>
      <c r="I1049" s="7" t="s">
        <v>1254</v>
      </c>
      <c r="J1049" s="7" t="s">
        <v>485</v>
      </c>
      <c r="K1049" s="7" t="s">
        <v>180</v>
      </c>
      <c r="L1049" s="11">
        <v>50</v>
      </c>
      <c r="M1049" s="11">
        <v>28737.48</v>
      </c>
      <c r="N1049" s="9">
        <f t="shared" si="29"/>
        <v>50</v>
      </c>
    </row>
    <row r="1050" spans="1:14" ht="12.75" hidden="1" customHeight="1" x14ac:dyDescent="0.2">
      <c r="A1050">
        <v>65063</v>
      </c>
      <c r="B1050" s="3" t="s">
        <v>1255</v>
      </c>
      <c r="C1050" s="7" t="s">
        <v>477</v>
      </c>
      <c r="D1050" s="7" t="s">
        <v>183</v>
      </c>
      <c r="E1050" s="7">
        <v>460</v>
      </c>
      <c r="G1050" s="7" t="s">
        <v>1548</v>
      </c>
      <c r="H1050" s="7" t="s">
        <v>1362</v>
      </c>
      <c r="I1050" s="7" t="s">
        <v>1255</v>
      </c>
      <c r="J1050" s="7" t="s">
        <v>476</v>
      </c>
      <c r="K1050" s="7" t="s">
        <v>180</v>
      </c>
      <c r="L1050" s="11">
        <v>120</v>
      </c>
      <c r="M1050" s="11">
        <v>7397</v>
      </c>
      <c r="N1050" s="9">
        <f t="shared" si="29"/>
        <v>120</v>
      </c>
    </row>
    <row r="1051" spans="1:14" ht="12.75" hidden="1" customHeight="1" x14ac:dyDescent="0.2">
      <c r="A1051">
        <v>67001</v>
      </c>
      <c r="B1051" s="3" t="s">
        <v>1268</v>
      </c>
      <c r="C1051" s="7" t="s">
        <v>293</v>
      </c>
      <c r="D1051" s="7" t="s">
        <v>200</v>
      </c>
      <c r="F1051" s="7" t="s">
        <v>296</v>
      </c>
      <c r="G1051" s="7" t="s">
        <v>1548</v>
      </c>
      <c r="H1051" s="70" t="s">
        <v>2129</v>
      </c>
      <c r="I1051" s="7" t="s">
        <v>1268</v>
      </c>
      <c r="K1051" s="7" t="s">
        <v>294</v>
      </c>
      <c r="L1051" s="11">
        <v>237.31</v>
      </c>
      <c r="M1051" s="11">
        <v>46779.82</v>
      </c>
      <c r="N1051" s="9">
        <f t="shared" si="29"/>
        <v>237.31</v>
      </c>
    </row>
    <row r="1052" spans="1:14" ht="12.75" customHeight="1" x14ac:dyDescent="0.2">
      <c r="A1052">
        <v>43400</v>
      </c>
      <c r="B1052" s="3" t="s">
        <v>1224</v>
      </c>
      <c r="C1052" s="7" t="s">
        <v>376</v>
      </c>
      <c r="D1052" s="7" t="s">
        <v>242</v>
      </c>
      <c r="F1052" s="7" t="s">
        <v>665</v>
      </c>
      <c r="G1052" s="7" t="s">
        <v>1621</v>
      </c>
      <c r="H1052" s="7" t="s">
        <v>1359</v>
      </c>
      <c r="I1052" s="7" t="s">
        <v>1224</v>
      </c>
      <c r="K1052" s="7" t="s">
        <v>565</v>
      </c>
      <c r="L1052" s="11">
        <v>100</v>
      </c>
      <c r="M1052" s="11">
        <v>37947.25</v>
      </c>
      <c r="N1052" s="9">
        <f t="shared" si="29"/>
        <v>-100</v>
      </c>
    </row>
    <row r="1053" spans="1:14" ht="12.75" customHeight="1" x14ac:dyDescent="0.2">
      <c r="A1053">
        <v>43400</v>
      </c>
      <c r="B1053" s="3" t="s">
        <v>1224</v>
      </c>
      <c r="C1053" s="7" t="s">
        <v>319</v>
      </c>
      <c r="D1053" s="7" t="s">
        <v>242</v>
      </c>
      <c r="F1053" s="7" t="s">
        <v>665</v>
      </c>
      <c r="G1053" s="7" t="s">
        <v>1621</v>
      </c>
      <c r="H1053" s="7" t="s">
        <v>1359</v>
      </c>
      <c r="I1053" s="7" t="s">
        <v>1224</v>
      </c>
      <c r="K1053" s="7" t="s">
        <v>565</v>
      </c>
      <c r="L1053" s="11">
        <v>200</v>
      </c>
      <c r="M1053" s="11">
        <v>88913.21</v>
      </c>
      <c r="N1053" s="9">
        <f t="shared" si="29"/>
        <v>-200</v>
      </c>
    </row>
    <row r="1054" spans="1:14" ht="12.75" customHeight="1" x14ac:dyDescent="0.2">
      <c r="A1054">
        <v>43400</v>
      </c>
      <c r="B1054" s="3" t="s">
        <v>1224</v>
      </c>
      <c r="C1054" s="7" t="s">
        <v>802</v>
      </c>
      <c r="D1054" s="7" t="s">
        <v>242</v>
      </c>
      <c r="F1054" s="7" t="s">
        <v>665</v>
      </c>
      <c r="G1054" s="7" t="s">
        <v>1621</v>
      </c>
      <c r="H1054" s="7" t="s">
        <v>1359</v>
      </c>
      <c r="I1054" s="7" t="s">
        <v>1224</v>
      </c>
      <c r="J1054" s="7" t="s">
        <v>1188</v>
      </c>
      <c r="K1054" s="7" t="s">
        <v>1180</v>
      </c>
      <c r="L1054" s="11">
        <v>1064</v>
      </c>
      <c r="M1054" s="11">
        <v>112352.26</v>
      </c>
      <c r="N1054" s="9">
        <f t="shared" si="29"/>
        <v>-1064</v>
      </c>
    </row>
    <row r="1055" spans="1:14" ht="12.75" customHeight="1" x14ac:dyDescent="0.2">
      <c r="A1055">
        <v>43400</v>
      </c>
      <c r="B1055" s="3" t="s">
        <v>1224</v>
      </c>
      <c r="C1055" s="7" t="s">
        <v>201</v>
      </c>
      <c r="D1055" s="7" t="s">
        <v>242</v>
      </c>
      <c r="F1055" s="7" t="s">
        <v>665</v>
      </c>
      <c r="G1055" s="7" t="s">
        <v>1621</v>
      </c>
      <c r="H1055" s="7" t="s">
        <v>1359</v>
      </c>
      <c r="I1055" s="7" t="s">
        <v>1224</v>
      </c>
      <c r="K1055" s="7" t="s">
        <v>1180</v>
      </c>
      <c r="L1055" s="11">
        <v>515</v>
      </c>
      <c r="M1055" s="11">
        <v>114353.26</v>
      </c>
      <c r="N1055" s="9">
        <f t="shared" si="29"/>
        <v>-515</v>
      </c>
    </row>
    <row r="1056" spans="1:14" ht="12.75" customHeight="1" x14ac:dyDescent="0.2">
      <c r="A1056">
        <v>43400</v>
      </c>
      <c r="B1056" s="3" t="s">
        <v>1224</v>
      </c>
      <c r="C1056" s="7" t="s">
        <v>253</v>
      </c>
      <c r="D1056" s="7" t="s">
        <v>242</v>
      </c>
      <c r="F1056" s="7" t="s">
        <v>665</v>
      </c>
      <c r="G1056" s="7" t="s">
        <v>1621</v>
      </c>
      <c r="H1056" s="7" t="s">
        <v>1359</v>
      </c>
      <c r="I1056" s="7" t="s">
        <v>1224</v>
      </c>
      <c r="K1056" s="7" t="s">
        <v>1180</v>
      </c>
      <c r="L1056" s="11">
        <v>1736.14</v>
      </c>
      <c r="M1056" s="11">
        <v>119494.11</v>
      </c>
      <c r="N1056" s="9">
        <f t="shared" si="29"/>
        <v>-1736.14</v>
      </c>
    </row>
    <row r="1057" spans="1:14" ht="12.75" customHeight="1" x14ac:dyDescent="0.2">
      <c r="A1057">
        <v>43400</v>
      </c>
      <c r="B1057" s="3" t="s">
        <v>1224</v>
      </c>
      <c r="C1057" s="7" t="s">
        <v>238</v>
      </c>
      <c r="D1057" s="7" t="s">
        <v>242</v>
      </c>
      <c r="F1057" s="7" t="s">
        <v>665</v>
      </c>
      <c r="G1057" s="7" t="s">
        <v>1621</v>
      </c>
      <c r="H1057" s="7" t="s">
        <v>1359</v>
      </c>
      <c r="I1057" s="7" t="s">
        <v>1224</v>
      </c>
      <c r="K1057" s="7" t="s">
        <v>1180</v>
      </c>
      <c r="L1057" s="11">
        <v>10758.27</v>
      </c>
      <c r="M1057" s="11">
        <v>157063.53</v>
      </c>
      <c r="N1057" s="9">
        <f t="shared" si="29"/>
        <v>-10758.27</v>
      </c>
    </row>
    <row r="1058" spans="1:14" ht="12.75" customHeight="1" x14ac:dyDescent="0.2">
      <c r="A1058">
        <v>43400</v>
      </c>
      <c r="B1058" s="3" t="s">
        <v>1224</v>
      </c>
      <c r="C1058" s="7" t="s">
        <v>238</v>
      </c>
      <c r="D1058" s="7" t="s">
        <v>242</v>
      </c>
      <c r="F1058" s="7" t="s">
        <v>665</v>
      </c>
      <c r="G1058" s="7" t="s">
        <v>1621</v>
      </c>
      <c r="H1058" s="7" t="s">
        <v>1359</v>
      </c>
      <c r="I1058" s="7" t="s">
        <v>1224</v>
      </c>
      <c r="K1058" s="7" t="s">
        <v>1180</v>
      </c>
      <c r="L1058" s="11">
        <v>20</v>
      </c>
      <c r="M1058" s="11">
        <v>157083.53</v>
      </c>
      <c r="N1058" s="9">
        <f t="shared" si="29"/>
        <v>-20</v>
      </c>
    </row>
    <row r="1059" spans="1:14" ht="12.75" customHeight="1" x14ac:dyDescent="0.2">
      <c r="A1059">
        <v>43400</v>
      </c>
      <c r="B1059" s="3" t="s">
        <v>1224</v>
      </c>
      <c r="C1059" s="7" t="s">
        <v>238</v>
      </c>
      <c r="D1059" s="7" t="s">
        <v>242</v>
      </c>
      <c r="F1059" s="7" t="s">
        <v>665</v>
      </c>
      <c r="G1059" s="7" t="s">
        <v>1621</v>
      </c>
      <c r="H1059" s="7" t="s">
        <v>1359</v>
      </c>
      <c r="I1059" s="7" t="s">
        <v>1224</v>
      </c>
      <c r="K1059" s="7" t="s">
        <v>1180</v>
      </c>
      <c r="L1059" s="11">
        <v>500</v>
      </c>
      <c r="M1059" s="11">
        <v>157583.53</v>
      </c>
      <c r="N1059" s="9">
        <f t="shared" si="29"/>
        <v>-500</v>
      </c>
    </row>
    <row r="1060" spans="1:14" ht="12.75" customHeight="1" x14ac:dyDescent="0.2">
      <c r="A1060">
        <v>43400</v>
      </c>
      <c r="B1060" s="3" t="s">
        <v>1224</v>
      </c>
      <c r="C1060" s="7" t="s">
        <v>493</v>
      </c>
      <c r="D1060" s="7" t="s">
        <v>242</v>
      </c>
      <c r="F1060" s="7" t="s">
        <v>665</v>
      </c>
      <c r="G1060" s="7" t="s">
        <v>1621</v>
      </c>
      <c r="H1060" s="7" t="s">
        <v>1359</v>
      </c>
      <c r="I1060" s="7" t="s">
        <v>1224</v>
      </c>
      <c r="K1060" s="7" t="s">
        <v>1180</v>
      </c>
      <c r="L1060" s="11">
        <v>3521.94</v>
      </c>
      <c r="M1060" s="11">
        <v>165732.95000000001</v>
      </c>
      <c r="N1060" s="9">
        <f t="shared" si="29"/>
        <v>-3521.94</v>
      </c>
    </row>
    <row r="1061" spans="1:14" ht="12.75" customHeight="1" x14ac:dyDescent="0.2">
      <c r="A1061">
        <v>43400</v>
      </c>
      <c r="B1061" s="3" t="s">
        <v>1224</v>
      </c>
      <c r="C1061" s="7" t="s">
        <v>415</v>
      </c>
      <c r="D1061" s="7" t="s">
        <v>242</v>
      </c>
      <c r="F1061" s="7" t="s">
        <v>665</v>
      </c>
      <c r="G1061" s="7" t="s">
        <v>1606</v>
      </c>
      <c r="H1061" s="7" t="s">
        <v>1359</v>
      </c>
      <c r="I1061" s="7" t="s">
        <v>1224</v>
      </c>
      <c r="K1061" s="7" t="s">
        <v>1173</v>
      </c>
      <c r="L1061" s="11">
        <v>108</v>
      </c>
      <c r="M1061" s="11">
        <v>92212.75</v>
      </c>
      <c r="N1061" s="9">
        <f t="shared" si="29"/>
        <v>-108</v>
      </c>
    </row>
    <row r="1062" spans="1:14" ht="12.75" customHeight="1" x14ac:dyDescent="0.2">
      <c r="A1062">
        <v>43400</v>
      </c>
      <c r="B1062" s="3" t="s">
        <v>1224</v>
      </c>
      <c r="C1062" s="7" t="s">
        <v>218</v>
      </c>
      <c r="D1062" s="7" t="s">
        <v>242</v>
      </c>
      <c r="F1062" s="7" t="s">
        <v>665</v>
      </c>
      <c r="G1062" s="7" t="s">
        <v>1606</v>
      </c>
      <c r="H1062" s="7" t="s">
        <v>1359</v>
      </c>
      <c r="I1062" s="7" t="s">
        <v>1224</v>
      </c>
      <c r="K1062" s="7" t="s">
        <v>1173</v>
      </c>
      <c r="L1062" s="11">
        <v>48</v>
      </c>
      <c r="M1062" s="11">
        <v>183715.31</v>
      </c>
      <c r="N1062" s="9">
        <f t="shared" si="29"/>
        <v>-48</v>
      </c>
    </row>
    <row r="1063" spans="1:14" ht="12.75" customHeight="1" x14ac:dyDescent="0.2">
      <c r="A1063">
        <v>43400</v>
      </c>
      <c r="B1063" s="3" t="s">
        <v>1224</v>
      </c>
      <c r="C1063" s="7" t="s">
        <v>1562</v>
      </c>
      <c r="D1063" s="7" t="s">
        <v>242</v>
      </c>
      <c r="F1063" s="7" t="s">
        <v>665</v>
      </c>
      <c r="G1063" s="7" t="s">
        <v>1563</v>
      </c>
      <c r="H1063" s="7" t="s">
        <v>1359</v>
      </c>
      <c r="I1063" s="7" t="s">
        <v>1224</v>
      </c>
      <c r="K1063" s="39" t="s">
        <v>1198</v>
      </c>
      <c r="L1063" s="40">
        <v>3050</v>
      </c>
      <c r="M1063" s="40">
        <v>221947.57</v>
      </c>
      <c r="N1063" s="41">
        <f>-L1063</f>
        <v>-3050</v>
      </c>
    </row>
    <row r="1064" spans="1:14" ht="12.75" hidden="1" customHeight="1" x14ac:dyDescent="0.2">
      <c r="A1064">
        <v>43440</v>
      </c>
      <c r="B1064" s="3" t="s">
        <v>1228</v>
      </c>
      <c r="C1064" s="7" t="s">
        <v>418</v>
      </c>
      <c r="D1064" s="7" t="s">
        <v>183</v>
      </c>
      <c r="E1064" s="7">
        <v>464</v>
      </c>
      <c r="G1064" s="7" t="s">
        <v>1573</v>
      </c>
      <c r="H1064" s="7" t="s">
        <v>1360</v>
      </c>
      <c r="I1064" s="7" t="s">
        <v>1228</v>
      </c>
      <c r="J1064" s="7" t="s">
        <v>1158</v>
      </c>
      <c r="K1064" s="7" t="s">
        <v>180</v>
      </c>
      <c r="L1064" s="11">
        <v>200</v>
      </c>
      <c r="M1064" s="11">
        <v>7435.21</v>
      </c>
      <c r="N1064" s="9">
        <f t="shared" ref="N1064:N1095" si="30">IF(A1064&lt;60000,-L1064,+L1064)</f>
        <v>-200</v>
      </c>
    </row>
    <row r="1065" spans="1:14" ht="12.75" hidden="1" customHeight="1" x14ac:dyDescent="0.2">
      <c r="A1065">
        <v>43440</v>
      </c>
      <c r="B1065" s="3" t="s">
        <v>1228</v>
      </c>
      <c r="C1065" s="7" t="s">
        <v>418</v>
      </c>
      <c r="D1065" s="7" t="s">
        <v>183</v>
      </c>
      <c r="E1065" s="7">
        <v>464</v>
      </c>
      <c r="G1065" s="7" t="s">
        <v>1573</v>
      </c>
      <c r="H1065" s="7" t="s">
        <v>1360</v>
      </c>
      <c r="I1065" s="7" t="s">
        <v>1228</v>
      </c>
      <c r="J1065" s="7" t="s">
        <v>1158</v>
      </c>
      <c r="K1065" s="7" t="s">
        <v>180</v>
      </c>
      <c r="L1065" s="11">
        <v>100</v>
      </c>
      <c r="M1065" s="11">
        <v>7535.21</v>
      </c>
      <c r="N1065" s="9">
        <f t="shared" si="30"/>
        <v>-100</v>
      </c>
    </row>
    <row r="1066" spans="1:14" ht="12.75" hidden="1" customHeight="1" x14ac:dyDescent="0.2">
      <c r="A1066">
        <v>43440</v>
      </c>
      <c r="B1066" s="3" t="s">
        <v>1228</v>
      </c>
      <c r="C1066" s="7" t="s">
        <v>418</v>
      </c>
      <c r="D1066" s="7" t="s">
        <v>183</v>
      </c>
      <c r="E1066" s="7">
        <v>464</v>
      </c>
      <c r="G1066" s="7" t="s">
        <v>1573</v>
      </c>
      <c r="H1066" s="7" t="s">
        <v>1360</v>
      </c>
      <c r="I1066" s="7" t="s">
        <v>1228</v>
      </c>
      <c r="J1066" s="7" t="s">
        <v>1157</v>
      </c>
      <c r="K1066" s="7" t="s">
        <v>180</v>
      </c>
      <c r="L1066" s="11">
        <v>140</v>
      </c>
      <c r="M1066" s="11">
        <v>7675.21</v>
      </c>
      <c r="N1066" s="9">
        <f t="shared" si="30"/>
        <v>-140</v>
      </c>
    </row>
    <row r="1067" spans="1:14" ht="12.75" hidden="1" customHeight="1" x14ac:dyDescent="0.2">
      <c r="A1067">
        <v>43440</v>
      </c>
      <c r="B1067" s="3" t="s">
        <v>1228</v>
      </c>
      <c r="C1067" s="7" t="s">
        <v>418</v>
      </c>
      <c r="D1067" s="7" t="s">
        <v>183</v>
      </c>
      <c r="E1067" s="7">
        <v>464</v>
      </c>
      <c r="G1067" s="7" t="s">
        <v>1573</v>
      </c>
      <c r="H1067" s="7" t="s">
        <v>1360</v>
      </c>
      <c r="I1067" s="7" t="s">
        <v>1228</v>
      </c>
      <c r="J1067" s="7" t="s">
        <v>523</v>
      </c>
      <c r="K1067" s="7" t="s">
        <v>180</v>
      </c>
      <c r="L1067" s="11">
        <v>190.25</v>
      </c>
      <c r="M1067" s="11">
        <v>7865.46</v>
      </c>
      <c r="N1067" s="9">
        <f t="shared" si="30"/>
        <v>-190.25</v>
      </c>
    </row>
    <row r="1068" spans="1:14" ht="12.75" hidden="1" customHeight="1" x14ac:dyDescent="0.2">
      <c r="A1068">
        <v>43440</v>
      </c>
      <c r="B1068" s="3" t="s">
        <v>1228</v>
      </c>
      <c r="C1068" s="7" t="s">
        <v>418</v>
      </c>
      <c r="D1068" s="7" t="s">
        <v>183</v>
      </c>
      <c r="E1068" s="7">
        <v>464</v>
      </c>
      <c r="G1068" s="7" t="s">
        <v>1573</v>
      </c>
      <c r="H1068" s="7" t="s">
        <v>1360</v>
      </c>
      <c r="I1068" s="7" t="s">
        <v>1228</v>
      </c>
      <c r="J1068" s="7" t="s">
        <v>1156</v>
      </c>
      <c r="K1068" s="7" t="s">
        <v>180</v>
      </c>
      <c r="L1068" s="11">
        <v>545</v>
      </c>
      <c r="M1068" s="11">
        <v>8410.4599999999991</v>
      </c>
      <c r="N1068" s="9">
        <f t="shared" si="30"/>
        <v>-545</v>
      </c>
    </row>
    <row r="1069" spans="1:14" ht="12.75" hidden="1" customHeight="1" x14ac:dyDescent="0.2">
      <c r="A1069">
        <v>43440</v>
      </c>
      <c r="B1069" s="3" t="s">
        <v>1228</v>
      </c>
      <c r="C1069" s="7" t="s">
        <v>418</v>
      </c>
      <c r="D1069" s="7" t="s">
        <v>183</v>
      </c>
      <c r="E1069" s="7">
        <v>464</v>
      </c>
      <c r="G1069" s="7" t="s">
        <v>1573</v>
      </c>
      <c r="H1069" s="7" t="s">
        <v>1360</v>
      </c>
      <c r="I1069" s="7" t="s">
        <v>1228</v>
      </c>
      <c r="J1069" s="7" t="s">
        <v>526</v>
      </c>
      <c r="K1069" s="7" t="s">
        <v>180</v>
      </c>
      <c r="L1069" s="11">
        <v>1000</v>
      </c>
      <c r="M1069" s="11">
        <v>9410.4599999999991</v>
      </c>
      <c r="N1069" s="9">
        <f t="shared" si="30"/>
        <v>-1000</v>
      </c>
    </row>
    <row r="1070" spans="1:14" ht="12.75" hidden="1" customHeight="1" x14ac:dyDescent="0.2">
      <c r="A1070">
        <v>43440</v>
      </c>
      <c r="B1070" s="3" t="s">
        <v>1228</v>
      </c>
      <c r="C1070" s="7" t="s">
        <v>418</v>
      </c>
      <c r="D1070" s="7" t="s">
        <v>183</v>
      </c>
      <c r="E1070" s="7">
        <v>464</v>
      </c>
      <c r="G1070" s="7" t="s">
        <v>1573</v>
      </c>
      <c r="H1070" s="7" t="s">
        <v>1360</v>
      </c>
      <c r="I1070" s="7" t="s">
        <v>1228</v>
      </c>
      <c r="J1070" s="7" t="s">
        <v>1155</v>
      </c>
      <c r="K1070" s="7" t="s">
        <v>180</v>
      </c>
      <c r="L1070" s="11">
        <v>42.5</v>
      </c>
      <c r="M1070" s="11">
        <v>9452.9599999999991</v>
      </c>
      <c r="N1070" s="9">
        <f t="shared" si="30"/>
        <v>-42.5</v>
      </c>
    </row>
    <row r="1071" spans="1:14" ht="12.75" hidden="1" customHeight="1" x14ac:dyDescent="0.2">
      <c r="A1071">
        <v>43440</v>
      </c>
      <c r="B1071" s="3" t="s">
        <v>1228</v>
      </c>
      <c r="C1071" s="7" t="s">
        <v>418</v>
      </c>
      <c r="D1071" s="7" t="s">
        <v>183</v>
      </c>
      <c r="E1071" s="7">
        <v>464</v>
      </c>
      <c r="G1071" s="7" t="s">
        <v>1573</v>
      </c>
      <c r="H1071" s="7" t="s">
        <v>1360</v>
      </c>
      <c r="I1071" s="7" t="s">
        <v>1228</v>
      </c>
      <c r="J1071" s="7" t="s">
        <v>525</v>
      </c>
      <c r="K1071" s="7" t="s">
        <v>180</v>
      </c>
      <c r="L1071" s="11">
        <v>129.99</v>
      </c>
      <c r="M1071" s="11">
        <v>9582.9500000000007</v>
      </c>
      <c r="N1071" s="9">
        <f t="shared" si="30"/>
        <v>-129.99</v>
      </c>
    </row>
    <row r="1072" spans="1:14" ht="12.75" hidden="1" customHeight="1" x14ac:dyDescent="0.2">
      <c r="A1072">
        <v>43440</v>
      </c>
      <c r="B1072" s="3" t="s">
        <v>1228</v>
      </c>
      <c r="C1072" s="7" t="s">
        <v>418</v>
      </c>
      <c r="D1072" s="7" t="s">
        <v>183</v>
      </c>
      <c r="E1072" s="7">
        <v>464</v>
      </c>
      <c r="G1072" s="7" t="s">
        <v>1573</v>
      </c>
      <c r="H1072" s="7" t="s">
        <v>1360</v>
      </c>
      <c r="I1072" s="7" t="s">
        <v>1228</v>
      </c>
      <c r="J1072" s="7" t="s">
        <v>523</v>
      </c>
      <c r="K1072" s="7" t="s">
        <v>180</v>
      </c>
      <c r="L1072" s="11">
        <v>199</v>
      </c>
      <c r="M1072" s="11">
        <v>9781.9500000000007</v>
      </c>
      <c r="N1072" s="9">
        <f t="shared" si="30"/>
        <v>-199</v>
      </c>
    </row>
    <row r="1073" spans="1:14" ht="12.75" hidden="1" customHeight="1" x14ac:dyDescent="0.2">
      <c r="A1073">
        <v>43440</v>
      </c>
      <c r="B1073" s="3" t="s">
        <v>1228</v>
      </c>
      <c r="C1073" s="7" t="s">
        <v>516</v>
      </c>
      <c r="D1073" s="7" t="s">
        <v>183</v>
      </c>
      <c r="E1073" s="7">
        <v>533</v>
      </c>
      <c r="G1073" s="7" t="s">
        <v>1573</v>
      </c>
      <c r="H1073" s="7" t="s">
        <v>1360</v>
      </c>
      <c r="I1073" s="7" t="s">
        <v>1228</v>
      </c>
      <c r="J1073" s="7" t="s">
        <v>1154</v>
      </c>
      <c r="K1073" s="7" t="s">
        <v>180</v>
      </c>
      <c r="L1073" s="11">
        <v>50</v>
      </c>
      <c r="M1073" s="11">
        <v>11839.36</v>
      </c>
      <c r="N1073" s="9">
        <f t="shared" si="30"/>
        <v>-50</v>
      </c>
    </row>
    <row r="1074" spans="1:14" ht="12.75" hidden="1" customHeight="1" x14ac:dyDescent="0.2">
      <c r="A1074">
        <v>43440</v>
      </c>
      <c r="B1074" s="3" t="s">
        <v>1228</v>
      </c>
      <c r="C1074" s="7" t="s">
        <v>516</v>
      </c>
      <c r="D1074" s="7" t="s">
        <v>183</v>
      </c>
      <c r="E1074" s="7">
        <v>533</v>
      </c>
      <c r="G1074" s="7" t="s">
        <v>1573</v>
      </c>
      <c r="H1074" s="7" t="s">
        <v>1360</v>
      </c>
      <c r="I1074" s="7" t="s">
        <v>1228</v>
      </c>
      <c r="J1074" s="7" t="s">
        <v>1154</v>
      </c>
      <c r="K1074" s="7" t="s">
        <v>180</v>
      </c>
      <c r="L1074" s="11">
        <v>25</v>
      </c>
      <c r="M1074" s="11">
        <v>11864.36</v>
      </c>
      <c r="N1074" s="9">
        <f t="shared" si="30"/>
        <v>-25</v>
      </c>
    </row>
    <row r="1075" spans="1:14" ht="12.75" hidden="1" customHeight="1" x14ac:dyDescent="0.2">
      <c r="A1075">
        <v>43440</v>
      </c>
      <c r="B1075" s="3" t="s">
        <v>1228</v>
      </c>
      <c r="C1075" s="7" t="s">
        <v>516</v>
      </c>
      <c r="D1075" s="7" t="s">
        <v>183</v>
      </c>
      <c r="E1075" s="7">
        <v>533</v>
      </c>
      <c r="G1075" s="7" t="s">
        <v>1573</v>
      </c>
      <c r="H1075" s="7" t="s">
        <v>1360</v>
      </c>
      <c r="I1075" s="7" t="s">
        <v>1228</v>
      </c>
      <c r="J1075" s="7" t="s">
        <v>1154</v>
      </c>
      <c r="K1075" s="7" t="s">
        <v>180</v>
      </c>
      <c r="L1075" s="11">
        <v>65</v>
      </c>
      <c r="M1075" s="11">
        <v>11929.36</v>
      </c>
      <c r="N1075" s="9">
        <f t="shared" si="30"/>
        <v>-65</v>
      </c>
    </row>
    <row r="1076" spans="1:14" ht="12.75" hidden="1" customHeight="1" x14ac:dyDescent="0.2">
      <c r="A1076">
        <v>43440</v>
      </c>
      <c r="B1076" s="3" t="s">
        <v>1228</v>
      </c>
      <c r="C1076" s="7" t="s">
        <v>516</v>
      </c>
      <c r="D1076" s="7" t="s">
        <v>183</v>
      </c>
      <c r="E1076" s="7">
        <v>533</v>
      </c>
      <c r="G1076" s="7" t="s">
        <v>1573</v>
      </c>
      <c r="H1076" s="7" t="s">
        <v>1360</v>
      </c>
      <c r="I1076" s="7" t="s">
        <v>1228</v>
      </c>
      <c r="J1076" s="7" t="s">
        <v>1154</v>
      </c>
      <c r="K1076" s="7" t="s">
        <v>180</v>
      </c>
      <c r="L1076" s="11">
        <v>16.989999999999998</v>
      </c>
      <c r="M1076" s="11">
        <v>11946.35</v>
      </c>
      <c r="N1076" s="9">
        <f t="shared" si="30"/>
        <v>-16.989999999999998</v>
      </c>
    </row>
    <row r="1077" spans="1:14" ht="12.75" hidden="1" customHeight="1" x14ac:dyDescent="0.2">
      <c r="A1077">
        <v>43440</v>
      </c>
      <c r="B1077" s="3" t="s">
        <v>1228</v>
      </c>
      <c r="C1077" s="7" t="s">
        <v>516</v>
      </c>
      <c r="D1077" s="7" t="s">
        <v>183</v>
      </c>
      <c r="E1077" s="7">
        <v>533</v>
      </c>
      <c r="G1077" s="7" t="s">
        <v>1573</v>
      </c>
      <c r="H1077" s="7" t="s">
        <v>1360</v>
      </c>
      <c r="I1077" s="7" t="s">
        <v>1228</v>
      </c>
      <c r="J1077" s="7" t="s">
        <v>1154</v>
      </c>
      <c r="K1077" s="7" t="s">
        <v>180</v>
      </c>
      <c r="L1077" s="11">
        <v>60</v>
      </c>
      <c r="M1077" s="11">
        <v>12006.35</v>
      </c>
      <c r="N1077" s="9">
        <f t="shared" si="30"/>
        <v>-60</v>
      </c>
    </row>
    <row r="1078" spans="1:14" ht="12.75" hidden="1" customHeight="1" x14ac:dyDescent="0.2">
      <c r="A1078">
        <v>43440</v>
      </c>
      <c r="B1078" s="3" t="s">
        <v>1228</v>
      </c>
      <c r="C1078" s="7" t="s">
        <v>516</v>
      </c>
      <c r="D1078" s="7" t="s">
        <v>183</v>
      </c>
      <c r="E1078" s="7">
        <v>533</v>
      </c>
      <c r="G1078" s="7" t="s">
        <v>1573</v>
      </c>
      <c r="H1078" s="7" t="s">
        <v>1360</v>
      </c>
      <c r="I1078" s="7" t="s">
        <v>1228</v>
      </c>
      <c r="J1078" s="7" t="s">
        <v>1154</v>
      </c>
      <c r="K1078" s="7" t="s">
        <v>180</v>
      </c>
      <c r="L1078" s="11">
        <v>40</v>
      </c>
      <c r="M1078" s="11">
        <v>12046.35</v>
      </c>
      <c r="N1078" s="9">
        <f t="shared" si="30"/>
        <v>-40</v>
      </c>
    </row>
    <row r="1079" spans="1:14" ht="12.75" hidden="1" customHeight="1" x14ac:dyDescent="0.2">
      <c r="A1079">
        <v>43440</v>
      </c>
      <c r="B1079" s="3" t="s">
        <v>1228</v>
      </c>
      <c r="C1079" s="7" t="s">
        <v>516</v>
      </c>
      <c r="D1079" s="7" t="s">
        <v>183</v>
      </c>
      <c r="E1079" s="7">
        <v>533</v>
      </c>
      <c r="G1079" s="7" t="s">
        <v>1573</v>
      </c>
      <c r="H1079" s="7" t="s">
        <v>1360</v>
      </c>
      <c r="I1079" s="7" t="s">
        <v>1228</v>
      </c>
      <c r="J1079" s="7" t="s">
        <v>1154</v>
      </c>
      <c r="K1079" s="7" t="s">
        <v>180</v>
      </c>
      <c r="L1079" s="11">
        <v>44.99</v>
      </c>
      <c r="M1079" s="11">
        <v>12091.34</v>
      </c>
      <c r="N1079" s="9">
        <f t="shared" si="30"/>
        <v>-44.99</v>
      </c>
    </row>
    <row r="1080" spans="1:14" ht="12.75" hidden="1" customHeight="1" x14ac:dyDescent="0.2">
      <c r="A1080">
        <v>43440</v>
      </c>
      <c r="B1080" s="3" t="s">
        <v>1228</v>
      </c>
      <c r="C1080" s="7" t="s">
        <v>516</v>
      </c>
      <c r="D1080" s="7" t="s">
        <v>183</v>
      </c>
      <c r="E1080" s="7">
        <v>533</v>
      </c>
      <c r="G1080" s="7" t="s">
        <v>1573</v>
      </c>
      <c r="H1080" s="7" t="s">
        <v>1360</v>
      </c>
      <c r="I1080" s="7" t="s">
        <v>1228</v>
      </c>
      <c r="J1080" s="7" t="s">
        <v>1154</v>
      </c>
      <c r="K1080" s="7" t="s">
        <v>180</v>
      </c>
      <c r="L1080" s="11">
        <v>45</v>
      </c>
      <c r="M1080" s="11">
        <v>12136.34</v>
      </c>
      <c r="N1080" s="9">
        <f t="shared" si="30"/>
        <v>-45</v>
      </c>
    </row>
    <row r="1081" spans="1:14" ht="12.75" hidden="1" customHeight="1" x14ac:dyDescent="0.2">
      <c r="A1081">
        <v>43440</v>
      </c>
      <c r="B1081" s="3" t="s">
        <v>1228</v>
      </c>
      <c r="C1081" s="7" t="s">
        <v>516</v>
      </c>
      <c r="D1081" s="7" t="s">
        <v>183</v>
      </c>
      <c r="E1081" s="7">
        <v>533</v>
      </c>
      <c r="G1081" s="7" t="s">
        <v>1573</v>
      </c>
      <c r="H1081" s="7" t="s">
        <v>1360</v>
      </c>
      <c r="I1081" s="7" t="s">
        <v>1228</v>
      </c>
      <c r="J1081" s="7" t="s">
        <v>1154</v>
      </c>
      <c r="K1081" s="7" t="s">
        <v>180</v>
      </c>
      <c r="L1081" s="11">
        <v>14</v>
      </c>
      <c r="M1081" s="11">
        <v>12150.34</v>
      </c>
      <c r="N1081" s="9">
        <f t="shared" si="30"/>
        <v>-14</v>
      </c>
    </row>
    <row r="1082" spans="1:14" ht="12.75" hidden="1" customHeight="1" x14ac:dyDescent="0.2">
      <c r="A1082">
        <v>43440</v>
      </c>
      <c r="B1082" s="3" t="s">
        <v>1228</v>
      </c>
      <c r="C1082" s="7" t="s">
        <v>516</v>
      </c>
      <c r="D1082" s="7" t="s">
        <v>183</v>
      </c>
      <c r="E1082" s="7">
        <v>533</v>
      </c>
      <c r="G1082" s="7" t="s">
        <v>1573</v>
      </c>
      <c r="H1082" s="7" t="s">
        <v>1360</v>
      </c>
      <c r="I1082" s="7" t="s">
        <v>1228</v>
      </c>
      <c r="J1082" s="7" t="s">
        <v>1154</v>
      </c>
      <c r="K1082" s="7" t="s">
        <v>180</v>
      </c>
      <c r="L1082" s="11">
        <v>14</v>
      </c>
      <c r="M1082" s="11">
        <v>12164.34</v>
      </c>
      <c r="N1082" s="9">
        <f t="shared" si="30"/>
        <v>-14</v>
      </c>
    </row>
    <row r="1083" spans="1:14" ht="12.75" hidden="1" customHeight="1" x14ac:dyDescent="0.2">
      <c r="A1083">
        <v>43440</v>
      </c>
      <c r="B1083" s="3" t="s">
        <v>1228</v>
      </c>
      <c r="C1083" s="7" t="s">
        <v>516</v>
      </c>
      <c r="D1083" s="7" t="s">
        <v>183</v>
      </c>
      <c r="E1083" s="7">
        <v>533</v>
      </c>
      <c r="G1083" s="7" t="s">
        <v>1573</v>
      </c>
      <c r="H1083" s="7" t="s">
        <v>1360</v>
      </c>
      <c r="I1083" s="7" t="s">
        <v>1228</v>
      </c>
      <c r="J1083" s="7" t="s">
        <v>1154</v>
      </c>
      <c r="K1083" s="7" t="s">
        <v>180</v>
      </c>
      <c r="L1083" s="11">
        <v>9.5</v>
      </c>
      <c r="M1083" s="11">
        <v>12173.84</v>
      </c>
      <c r="N1083" s="9">
        <f t="shared" si="30"/>
        <v>-9.5</v>
      </c>
    </row>
    <row r="1084" spans="1:14" ht="12.75" hidden="1" customHeight="1" x14ac:dyDescent="0.2">
      <c r="A1084">
        <v>43440</v>
      </c>
      <c r="B1084" s="3" t="s">
        <v>1228</v>
      </c>
      <c r="C1084" s="7" t="s">
        <v>516</v>
      </c>
      <c r="D1084" s="7" t="s">
        <v>183</v>
      </c>
      <c r="E1084" s="7">
        <v>533</v>
      </c>
      <c r="G1084" s="7" t="s">
        <v>1573</v>
      </c>
      <c r="H1084" s="7" t="s">
        <v>1360</v>
      </c>
      <c r="I1084" s="7" t="s">
        <v>1228</v>
      </c>
      <c r="J1084" s="7" t="s">
        <v>1154</v>
      </c>
      <c r="K1084" s="7" t="s">
        <v>180</v>
      </c>
      <c r="L1084" s="11">
        <v>10</v>
      </c>
      <c r="M1084" s="11">
        <v>12183.84</v>
      </c>
      <c r="N1084" s="9">
        <f t="shared" si="30"/>
        <v>-10</v>
      </c>
    </row>
    <row r="1085" spans="1:14" ht="12.75" hidden="1" customHeight="1" x14ac:dyDescent="0.2">
      <c r="A1085">
        <v>43440</v>
      </c>
      <c r="B1085" s="3" t="s">
        <v>1228</v>
      </c>
      <c r="C1085" s="7" t="s">
        <v>516</v>
      </c>
      <c r="D1085" s="7" t="s">
        <v>183</v>
      </c>
      <c r="E1085" s="7">
        <v>533</v>
      </c>
      <c r="G1085" s="7" t="s">
        <v>1573</v>
      </c>
      <c r="H1085" s="7" t="s">
        <v>1360</v>
      </c>
      <c r="I1085" s="7" t="s">
        <v>1228</v>
      </c>
      <c r="J1085" s="7" t="s">
        <v>1154</v>
      </c>
      <c r="K1085" s="7" t="s">
        <v>180</v>
      </c>
      <c r="L1085" s="11">
        <v>18</v>
      </c>
      <c r="M1085" s="11">
        <v>12201.84</v>
      </c>
      <c r="N1085" s="9">
        <f t="shared" si="30"/>
        <v>-18</v>
      </c>
    </row>
    <row r="1086" spans="1:14" ht="12.75" hidden="1" customHeight="1" x14ac:dyDescent="0.2">
      <c r="A1086">
        <v>43440</v>
      </c>
      <c r="B1086" s="3" t="s">
        <v>1228</v>
      </c>
      <c r="C1086" s="7" t="s">
        <v>516</v>
      </c>
      <c r="D1086" s="7" t="s">
        <v>183</v>
      </c>
      <c r="E1086" s="7">
        <v>533</v>
      </c>
      <c r="G1086" s="7" t="s">
        <v>1573</v>
      </c>
      <c r="H1086" s="7" t="s">
        <v>1360</v>
      </c>
      <c r="I1086" s="7" t="s">
        <v>1228</v>
      </c>
      <c r="J1086" s="7" t="s">
        <v>1154</v>
      </c>
      <c r="K1086" s="7" t="s">
        <v>180</v>
      </c>
      <c r="L1086" s="11">
        <v>8</v>
      </c>
      <c r="M1086" s="11">
        <v>12209.84</v>
      </c>
      <c r="N1086" s="9">
        <f t="shared" si="30"/>
        <v>-8</v>
      </c>
    </row>
    <row r="1087" spans="1:14" ht="12.75" hidden="1" customHeight="1" x14ac:dyDescent="0.2">
      <c r="A1087">
        <v>43440</v>
      </c>
      <c r="B1087" s="3" t="s">
        <v>1228</v>
      </c>
      <c r="C1087" s="7" t="s">
        <v>516</v>
      </c>
      <c r="D1087" s="7" t="s">
        <v>183</v>
      </c>
      <c r="E1087" s="7">
        <v>533</v>
      </c>
      <c r="G1087" s="7" t="s">
        <v>1573</v>
      </c>
      <c r="H1087" s="7" t="s">
        <v>1360</v>
      </c>
      <c r="I1087" s="7" t="s">
        <v>1228</v>
      </c>
      <c r="J1087" s="7" t="s">
        <v>1154</v>
      </c>
      <c r="K1087" s="7" t="s">
        <v>180</v>
      </c>
      <c r="L1087" s="11">
        <v>28</v>
      </c>
      <c r="M1087" s="11">
        <v>12237.84</v>
      </c>
      <c r="N1087" s="9">
        <f t="shared" si="30"/>
        <v>-28</v>
      </c>
    </row>
    <row r="1088" spans="1:14" ht="12.75" hidden="1" customHeight="1" x14ac:dyDescent="0.2">
      <c r="A1088">
        <v>43440</v>
      </c>
      <c r="B1088" s="3" t="s">
        <v>1228</v>
      </c>
      <c r="C1088" s="7" t="s">
        <v>516</v>
      </c>
      <c r="D1088" s="7" t="s">
        <v>183</v>
      </c>
      <c r="E1088" s="7">
        <v>533</v>
      </c>
      <c r="G1088" s="7" t="s">
        <v>1573</v>
      </c>
      <c r="H1088" s="7" t="s">
        <v>1360</v>
      </c>
      <c r="I1088" s="7" t="s">
        <v>1228</v>
      </c>
      <c r="J1088" s="7" t="s">
        <v>1154</v>
      </c>
      <c r="K1088" s="7" t="s">
        <v>180</v>
      </c>
      <c r="L1088" s="11">
        <v>16.989999999999998</v>
      </c>
      <c r="M1088" s="11">
        <v>12254.83</v>
      </c>
      <c r="N1088" s="9">
        <f t="shared" si="30"/>
        <v>-16.989999999999998</v>
      </c>
    </row>
    <row r="1089" spans="1:14" ht="12.75" hidden="1" customHeight="1" x14ac:dyDescent="0.2">
      <c r="A1089">
        <v>43440</v>
      </c>
      <c r="B1089" s="3" t="s">
        <v>1228</v>
      </c>
      <c r="C1089" s="7" t="s">
        <v>516</v>
      </c>
      <c r="D1089" s="7" t="s">
        <v>183</v>
      </c>
      <c r="E1089" s="7">
        <v>533</v>
      </c>
      <c r="G1089" s="7" t="s">
        <v>1573</v>
      </c>
      <c r="H1089" s="7" t="s">
        <v>1360</v>
      </c>
      <c r="I1089" s="7" t="s">
        <v>1228</v>
      </c>
      <c r="J1089" s="7" t="s">
        <v>1154</v>
      </c>
      <c r="K1089" s="7" t="s">
        <v>180</v>
      </c>
      <c r="L1089" s="11">
        <v>20</v>
      </c>
      <c r="M1089" s="11">
        <v>12274.83</v>
      </c>
      <c r="N1089" s="9">
        <f t="shared" si="30"/>
        <v>-20</v>
      </c>
    </row>
    <row r="1090" spans="1:14" ht="12.75" hidden="1" customHeight="1" x14ac:dyDescent="0.2">
      <c r="A1090">
        <v>43440</v>
      </c>
      <c r="B1090" s="3" t="s">
        <v>1228</v>
      </c>
      <c r="C1090" s="7" t="s">
        <v>516</v>
      </c>
      <c r="D1090" s="7" t="s">
        <v>183</v>
      </c>
      <c r="E1090" s="7">
        <v>533</v>
      </c>
      <c r="G1090" s="7" t="s">
        <v>1573</v>
      </c>
      <c r="H1090" s="7" t="s">
        <v>1360</v>
      </c>
      <c r="I1090" s="7" t="s">
        <v>1228</v>
      </c>
      <c r="J1090" s="7" t="s">
        <v>1154</v>
      </c>
      <c r="K1090" s="7" t="s">
        <v>180</v>
      </c>
      <c r="L1090" s="11">
        <v>9.99</v>
      </c>
      <c r="M1090" s="11">
        <v>12284.82</v>
      </c>
      <c r="N1090" s="9">
        <f t="shared" si="30"/>
        <v>-9.99</v>
      </c>
    </row>
    <row r="1091" spans="1:14" ht="12.75" hidden="1" customHeight="1" x14ac:dyDescent="0.2">
      <c r="A1091">
        <v>43440</v>
      </c>
      <c r="B1091" s="3" t="s">
        <v>1228</v>
      </c>
      <c r="C1091" s="7" t="s">
        <v>516</v>
      </c>
      <c r="D1091" s="7" t="s">
        <v>183</v>
      </c>
      <c r="E1091" s="7">
        <v>533</v>
      </c>
      <c r="G1091" s="7" t="s">
        <v>1573</v>
      </c>
      <c r="H1091" s="7" t="s">
        <v>1360</v>
      </c>
      <c r="I1091" s="7" t="s">
        <v>1228</v>
      </c>
      <c r="J1091" s="7" t="s">
        <v>1154</v>
      </c>
      <c r="K1091" s="7" t="s">
        <v>180</v>
      </c>
      <c r="L1091" s="11">
        <v>25</v>
      </c>
      <c r="M1091" s="11">
        <v>12309.82</v>
      </c>
      <c r="N1091" s="9">
        <f t="shared" si="30"/>
        <v>-25</v>
      </c>
    </row>
    <row r="1092" spans="1:14" ht="12.75" hidden="1" customHeight="1" x14ac:dyDescent="0.2">
      <c r="A1092">
        <v>43440</v>
      </c>
      <c r="B1092" s="3" t="s">
        <v>1228</v>
      </c>
      <c r="C1092" s="7" t="s">
        <v>516</v>
      </c>
      <c r="D1092" s="7" t="s">
        <v>183</v>
      </c>
      <c r="E1092" s="7">
        <v>533</v>
      </c>
      <c r="G1092" s="7" t="s">
        <v>1573</v>
      </c>
      <c r="H1092" s="7" t="s">
        <v>1360</v>
      </c>
      <c r="I1092" s="7" t="s">
        <v>1228</v>
      </c>
      <c r="J1092" s="7" t="s">
        <v>1154</v>
      </c>
      <c r="K1092" s="7" t="s">
        <v>180</v>
      </c>
      <c r="L1092" s="11">
        <v>9.99</v>
      </c>
      <c r="M1092" s="11">
        <v>12319.81</v>
      </c>
      <c r="N1092" s="9">
        <f t="shared" si="30"/>
        <v>-9.99</v>
      </c>
    </row>
    <row r="1093" spans="1:14" ht="12.75" hidden="1" customHeight="1" x14ac:dyDescent="0.2">
      <c r="A1093">
        <v>43440</v>
      </c>
      <c r="B1093" s="3" t="s">
        <v>1228</v>
      </c>
      <c r="C1093" s="7" t="s">
        <v>507</v>
      </c>
      <c r="D1093" s="7" t="s">
        <v>183</v>
      </c>
      <c r="E1093" s="7">
        <v>534</v>
      </c>
      <c r="G1093" s="7" t="s">
        <v>1573</v>
      </c>
      <c r="H1093" s="7" t="s">
        <v>1360</v>
      </c>
      <c r="I1093" s="7" t="s">
        <v>1228</v>
      </c>
      <c r="J1093" s="7" t="s">
        <v>506</v>
      </c>
      <c r="K1093" s="7" t="s">
        <v>180</v>
      </c>
      <c r="L1093" s="11">
        <v>40</v>
      </c>
      <c r="M1093" s="11">
        <v>14419.38</v>
      </c>
      <c r="N1093" s="9">
        <f t="shared" si="30"/>
        <v>-40</v>
      </c>
    </row>
    <row r="1094" spans="1:14" ht="12.75" hidden="1" customHeight="1" x14ac:dyDescent="0.2">
      <c r="A1094">
        <v>43440</v>
      </c>
      <c r="B1094" s="3" t="s">
        <v>1228</v>
      </c>
      <c r="C1094" s="7" t="s">
        <v>507</v>
      </c>
      <c r="D1094" s="7" t="s">
        <v>183</v>
      </c>
      <c r="E1094" s="7">
        <v>534</v>
      </c>
      <c r="G1094" s="7" t="s">
        <v>1573</v>
      </c>
      <c r="H1094" s="7" t="s">
        <v>1360</v>
      </c>
      <c r="I1094" s="7" t="s">
        <v>1228</v>
      </c>
      <c r="J1094" s="7" t="s">
        <v>506</v>
      </c>
      <c r="K1094" s="7" t="s">
        <v>180</v>
      </c>
      <c r="L1094" s="11">
        <v>75</v>
      </c>
      <c r="M1094" s="11">
        <v>14494.38</v>
      </c>
      <c r="N1094" s="9">
        <f t="shared" si="30"/>
        <v>-75</v>
      </c>
    </row>
    <row r="1095" spans="1:14" ht="12.75" hidden="1" customHeight="1" x14ac:dyDescent="0.2">
      <c r="A1095">
        <v>43440</v>
      </c>
      <c r="B1095" s="3" t="s">
        <v>1228</v>
      </c>
      <c r="C1095" s="7" t="s">
        <v>507</v>
      </c>
      <c r="D1095" s="7" t="s">
        <v>183</v>
      </c>
      <c r="E1095" s="7">
        <v>534</v>
      </c>
      <c r="G1095" s="7" t="s">
        <v>1573</v>
      </c>
      <c r="H1095" s="7" t="s">
        <v>1360</v>
      </c>
      <c r="I1095" s="7" t="s">
        <v>1228</v>
      </c>
      <c r="J1095" s="7" t="s">
        <v>506</v>
      </c>
      <c r="K1095" s="7" t="s">
        <v>180</v>
      </c>
      <c r="L1095" s="11">
        <v>369</v>
      </c>
      <c r="M1095" s="11">
        <v>14863.38</v>
      </c>
      <c r="N1095" s="9">
        <f t="shared" si="30"/>
        <v>-369</v>
      </c>
    </row>
    <row r="1096" spans="1:14" ht="12.75" hidden="1" customHeight="1" x14ac:dyDescent="0.2">
      <c r="A1096">
        <v>43440</v>
      </c>
      <c r="B1096" s="3" t="s">
        <v>1228</v>
      </c>
      <c r="C1096" s="7" t="s">
        <v>507</v>
      </c>
      <c r="D1096" s="7" t="s">
        <v>183</v>
      </c>
      <c r="E1096" s="7">
        <v>534</v>
      </c>
      <c r="G1096" s="7" t="s">
        <v>1573</v>
      </c>
      <c r="H1096" s="7" t="s">
        <v>1360</v>
      </c>
      <c r="I1096" s="7" t="s">
        <v>1228</v>
      </c>
      <c r="J1096" s="7" t="s">
        <v>506</v>
      </c>
      <c r="K1096" s="7" t="s">
        <v>180</v>
      </c>
      <c r="L1096" s="11">
        <v>12</v>
      </c>
      <c r="M1096" s="11">
        <v>14875.38</v>
      </c>
      <c r="N1096" s="9">
        <f t="shared" ref="N1096:N1127" si="31">IF(A1096&lt;60000,-L1096,+L1096)</f>
        <v>-12</v>
      </c>
    </row>
    <row r="1097" spans="1:14" ht="12.75" hidden="1" customHeight="1" x14ac:dyDescent="0.2">
      <c r="A1097">
        <v>43440</v>
      </c>
      <c r="B1097" s="3" t="s">
        <v>1228</v>
      </c>
      <c r="C1097" s="7" t="s">
        <v>507</v>
      </c>
      <c r="D1097" s="7" t="s">
        <v>183</v>
      </c>
      <c r="E1097" s="7">
        <v>534</v>
      </c>
      <c r="G1097" s="7" t="s">
        <v>1573</v>
      </c>
      <c r="H1097" s="7" t="s">
        <v>1360</v>
      </c>
      <c r="I1097" s="7" t="s">
        <v>1228</v>
      </c>
      <c r="J1097" s="7" t="s">
        <v>506</v>
      </c>
      <c r="K1097" s="7" t="s">
        <v>180</v>
      </c>
      <c r="L1097" s="11">
        <v>8</v>
      </c>
      <c r="M1097" s="11">
        <v>14883.38</v>
      </c>
      <c r="N1097" s="9">
        <f t="shared" si="31"/>
        <v>-8</v>
      </c>
    </row>
    <row r="1098" spans="1:14" ht="12.75" hidden="1" customHeight="1" x14ac:dyDescent="0.2">
      <c r="A1098">
        <v>43440</v>
      </c>
      <c r="B1098" s="3" t="s">
        <v>1228</v>
      </c>
      <c r="C1098" s="7" t="s">
        <v>507</v>
      </c>
      <c r="D1098" s="7" t="s">
        <v>183</v>
      </c>
      <c r="E1098" s="7">
        <v>534</v>
      </c>
      <c r="G1098" s="7" t="s">
        <v>1573</v>
      </c>
      <c r="H1098" s="7" t="s">
        <v>1360</v>
      </c>
      <c r="I1098" s="7" t="s">
        <v>1228</v>
      </c>
      <c r="J1098" s="7" t="s">
        <v>506</v>
      </c>
      <c r="K1098" s="7" t="s">
        <v>180</v>
      </c>
      <c r="L1098" s="11">
        <v>30</v>
      </c>
      <c r="M1098" s="11">
        <v>14913.38</v>
      </c>
      <c r="N1098" s="9">
        <f t="shared" si="31"/>
        <v>-30</v>
      </c>
    </row>
    <row r="1099" spans="1:14" ht="12.75" hidden="1" customHeight="1" x14ac:dyDescent="0.2">
      <c r="A1099">
        <v>43440</v>
      </c>
      <c r="B1099" s="3" t="s">
        <v>1228</v>
      </c>
      <c r="C1099" s="7" t="s">
        <v>507</v>
      </c>
      <c r="D1099" s="7" t="s">
        <v>183</v>
      </c>
      <c r="E1099" s="7">
        <v>534</v>
      </c>
      <c r="G1099" s="7" t="s">
        <v>1573</v>
      </c>
      <c r="H1099" s="7" t="s">
        <v>1360</v>
      </c>
      <c r="I1099" s="7" t="s">
        <v>1228</v>
      </c>
      <c r="J1099" s="7" t="s">
        <v>506</v>
      </c>
      <c r="K1099" s="7" t="s">
        <v>180</v>
      </c>
      <c r="L1099" s="11">
        <v>15</v>
      </c>
      <c r="M1099" s="11">
        <v>14928.38</v>
      </c>
      <c r="N1099" s="9">
        <f t="shared" si="31"/>
        <v>-15</v>
      </c>
    </row>
    <row r="1100" spans="1:14" ht="12.75" hidden="1" customHeight="1" x14ac:dyDescent="0.2">
      <c r="A1100">
        <v>43440</v>
      </c>
      <c r="B1100" s="3" t="s">
        <v>1228</v>
      </c>
      <c r="C1100" s="7" t="s">
        <v>507</v>
      </c>
      <c r="D1100" s="7" t="s">
        <v>183</v>
      </c>
      <c r="E1100" s="7">
        <v>534</v>
      </c>
      <c r="G1100" s="7" t="s">
        <v>1573</v>
      </c>
      <c r="H1100" s="7" t="s">
        <v>1360</v>
      </c>
      <c r="I1100" s="7" t="s">
        <v>1228</v>
      </c>
      <c r="J1100" s="7" t="s">
        <v>506</v>
      </c>
      <c r="K1100" s="7" t="s">
        <v>180</v>
      </c>
      <c r="L1100" s="11">
        <v>16</v>
      </c>
      <c r="M1100" s="11">
        <v>14944.38</v>
      </c>
      <c r="N1100" s="9">
        <f t="shared" si="31"/>
        <v>-16</v>
      </c>
    </row>
    <row r="1101" spans="1:14" ht="12.75" hidden="1" customHeight="1" x14ac:dyDescent="0.2">
      <c r="A1101">
        <v>43440</v>
      </c>
      <c r="B1101" s="3" t="s">
        <v>1228</v>
      </c>
      <c r="C1101" s="7" t="s">
        <v>507</v>
      </c>
      <c r="D1101" s="7" t="s">
        <v>183</v>
      </c>
      <c r="E1101" s="7">
        <v>534</v>
      </c>
      <c r="G1101" s="7" t="s">
        <v>1573</v>
      </c>
      <c r="H1101" s="7" t="s">
        <v>1360</v>
      </c>
      <c r="I1101" s="7" t="s">
        <v>1228</v>
      </c>
      <c r="J1101" s="7" t="s">
        <v>506</v>
      </c>
      <c r="K1101" s="7" t="s">
        <v>180</v>
      </c>
      <c r="L1101" s="11">
        <v>3</v>
      </c>
      <c r="M1101" s="11">
        <v>14947.38</v>
      </c>
      <c r="N1101" s="9">
        <f t="shared" si="31"/>
        <v>-3</v>
      </c>
    </row>
    <row r="1102" spans="1:14" ht="12.75" hidden="1" customHeight="1" x14ac:dyDescent="0.2">
      <c r="A1102">
        <v>43440</v>
      </c>
      <c r="B1102" s="3" t="s">
        <v>1228</v>
      </c>
      <c r="C1102" s="7" t="s">
        <v>507</v>
      </c>
      <c r="D1102" s="7" t="s">
        <v>183</v>
      </c>
      <c r="E1102" s="7">
        <v>534</v>
      </c>
      <c r="G1102" s="7" t="s">
        <v>1573</v>
      </c>
      <c r="H1102" s="7" t="s">
        <v>1360</v>
      </c>
      <c r="I1102" s="7" t="s">
        <v>1228</v>
      </c>
      <c r="J1102" s="7" t="s">
        <v>506</v>
      </c>
      <c r="K1102" s="7" t="s">
        <v>180</v>
      </c>
      <c r="L1102" s="11">
        <v>36</v>
      </c>
      <c r="M1102" s="11">
        <v>14983.38</v>
      </c>
      <c r="N1102" s="9">
        <f t="shared" si="31"/>
        <v>-36</v>
      </c>
    </row>
    <row r="1103" spans="1:14" ht="12.75" hidden="1" customHeight="1" x14ac:dyDescent="0.2">
      <c r="A1103">
        <v>43440</v>
      </c>
      <c r="B1103" s="3" t="s">
        <v>1228</v>
      </c>
      <c r="C1103" s="7" t="s">
        <v>507</v>
      </c>
      <c r="D1103" s="7" t="s">
        <v>183</v>
      </c>
      <c r="E1103" s="7">
        <v>534</v>
      </c>
      <c r="G1103" s="7" t="s">
        <v>1573</v>
      </c>
      <c r="H1103" s="7" t="s">
        <v>1360</v>
      </c>
      <c r="I1103" s="7" t="s">
        <v>1228</v>
      </c>
      <c r="J1103" s="7" t="s">
        <v>506</v>
      </c>
      <c r="K1103" s="7" t="s">
        <v>180</v>
      </c>
      <c r="L1103" s="11">
        <v>15.25</v>
      </c>
      <c r="M1103" s="11">
        <v>14998.63</v>
      </c>
      <c r="N1103" s="9">
        <f t="shared" si="31"/>
        <v>-15.25</v>
      </c>
    </row>
    <row r="1104" spans="1:14" ht="12.75" hidden="1" customHeight="1" x14ac:dyDescent="0.2">
      <c r="A1104">
        <v>43440</v>
      </c>
      <c r="B1104" s="3" t="s">
        <v>1228</v>
      </c>
      <c r="C1104" s="7" t="s">
        <v>507</v>
      </c>
      <c r="D1104" s="7" t="s">
        <v>183</v>
      </c>
      <c r="E1104" s="7">
        <v>534</v>
      </c>
      <c r="G1104" s="7" t="s">
        <v>1573</v>
      </c>
      <c r="H1104" s="7" t="s">
        <v>1360</v>
      </c>
      <c r="I1104" s="7" t="s">
        <v>1228</v>
      </c>
      <c r="J1104" s="7" t="s">
        <v>506</v>
      </c>
      <c r="K1104" s="7" t="s">
        <v>180</v>
      </c>
      <c r="L1104" s="11">
        <v>115</v>
      </c>
      <c r="M1104" s="11">
        <v>15113.63</v>
      </c>
      <c r="N1104" s="9">
        <f t="shared" si="31"/>
        <v>-115</v>
      </c>
    </row>
    <row r="1105" spans="1:14" ht="12.75" hidden="1" customHeight="1" x14ac:dyDescent="0.2">
      <c r="A1105">
        <v>43440</v>
      </c>
      <c r="B1105" s="3" t="s">
        <v>1228</v>
      </c>
      <c r="C1105" s="7" t="s">
        <v>507</v>
      </c>
      <c r="D1105" s="7" t="s">
        <v>183</v>
      </c>
      <c r="E1105" s="7">
        <v>534</v>
      </c>
      <c r="G1105" s="7" t="s">
        <v>1573</v>
      </c>
      <c r="H1105" s="7" t="s">
        <v>1360</v>
      </c>
      <c r="I1105" s="7" t="s">
        <v>1228</v>
      </c>
      <c r="J1105" s="7" t="s">
        <v>506</v>
      </c>
      <c r="K1105" s="7" t="s">
        <v>180</v>
      </c>
      <c r="L1105" s="11">
        <v>30</v>
      </c>
      <c r="M1105" s="11">
        <v>15143.63</v>
      </c>
      <c r="N1105" s="9">
        <f t="shared" si="31"/>
        <v>-30</v>
      </c>
    </row>
    <row r="1106" spans="1:14" ht="12.75" hidden="1" customHeight="1" x14ac:dyDescent="0.2">
      <c r="A1106">
        <v>43440</v>
      </c>
      <c r="B1106" s="3" t="s">
        <v>1228</v>
      </c>
      <c r="C1106" s="7" t="s">
        <v>507</v>
      </c>
      <c r="D1106" s="7" t="s">
        <v>183</v>
      </c>
      <c r="E1106" s="7">
        <v>534</v>
      </c>
      <c r="G1106" s="7" t="s">
        <v>1573</v>
      </c>
      <c r="H1106" s="7" t="s">
        <v>1360</v>
      </c>
      <c r="I1106" s="7" t="s">
        <v>1228</v>
      </c>
      <c r="J1106" s="7" t="s">
        <v>506</v>
      </c>
      <c r="K1106" s="7" t="s">
        <v>180</v>
      </c>
      <c r="L1106" s="11">
        <v>34</v>
      </c>
      <c r="M1106" s="11">
        <v>15177.63</v>
      </c>
      <c r="N1106" s="9">
        <f t="shared" si="31"/>
        <v>-34</v>
      </c>
    </row>
    <row r="1107" spans="1:14" ht="12.75" hidden="1" customHeight="1" x14ac:dyDescent="0.2">
      <c r="A1107">
        <v>43440</v>
      </c>
      <c r="B1107" s="3" t="s">
        <v>1228</v>
      </c>
      <c r="C1107" s="7" t="s">
        <v>507</v>
      </c>
      <c r="D1107" s="7" t="s">
        <v>183</v>
      </c>
      <c r="E1107" s="7">
        <v>534</v>
      </c>
      <c r="G1107" s="7" t="s">
        <v>1573</v>
      </c>
      <c r="H1107" s="7" t="s">
        <v>1360</v>
      </c>
      <c r="I1107" s="7" t="s">
        <v>1228</v>
      </c>
      <c r="J1107" s="7" t="s">
        <v>506</v>
      </c>
      <c r="K1107" s="7" t="s">
        <v>180</v>
      </c>
      <c r="L1107" s="11">
        <v>20</v>
      </c>
      <c r="M1107" s="11">
        <v>15197.63</v>
      </c>
      <c r="N1107" s="9">
        <f t="shared" si="31"/>
        <v>-20</v>
      </c>
    </row>
    <row r="1108" spans="1:14" ht="12.75" hidden="1" customHeight="1" x14ac:dyDescent="0.2">
      <c r="A1108">
        <v>43440</v>
      </c>
      <c r="B1108" s="3" t="s">
        <v>1228</v>
      </c>
      <c r="C1108" s="7" t="s">
        <v>507</v>
      </c>
      <c r="D1108" s="7" t="s">
        <v>183</v>
      </c>
      <c r="E1108" s="7">
        <v>534</v>
      </c>
      <c r="G1108" s="7" t="s">
        <v>1573</v>
      </c>
      <c r="H1108" s="7" t="s">
        <v>1360</v>
      </c>
      <c r="I1108" s="7" t="s">
        <v>1228</v>
      </c>
      <c r="J1108" s="7" t="s">
        <v>506</v>
      </c>
      <c r="K1108" s="7" t="s">
        <v>180</v>
      </c>
      <c r="L1108" s="11">
        <v>35</v>
      </c>
      <c r="M1108" s="11">
        <v>15232.63</v>
      </c>
      <c r="N1108" s="9">
        <f t="shared" si="31"/>
        <v>-35</v>
      </c>
    </row>
    <row r="1109" spans="1:14" ht="12.75" hidden="1" customHeight="1" x14ac:dyDescent="0.2">
      <c r="A1109">
        <v>43440</v>
      </c>
      <c r="B1109" s="3" t="s">
        <v>1228</v>
      </c>
      <c r="C1109" s="7" t="s">
        <v>507</v>
      </c>
      <c r="D1109" s="7" t="s">
        <v>183</v>
      </c>
      <c r="E1109" s="7">
        <v>534</v>
      </c>
      <c r="G1109" s="7" t="s">
        <v>1573</v>
      </c>
      <c r="H1109" s="7" t="s">
        <v>1360</v>
      </c>
      <c r="I1109" s="7" t="s">
        <v>1228</v>
      </c>
      <c r="J1109" s="7" t="s">
        <v>506</v>
      </c>
      <c r="K1109" s="7" t="s">
        <v>180</v>
      </c>
      <c r="L1109" s="11">
        <v>375</v>
      </c>
      <c r="M1109" s="11">
        <v>15607.63</v>
      </c>
      <c r="N1109" s="9">
        <f t="shared" si="31"/>
        <v>-375</v>
      </c>
    </row>
    <row r="1110" spans="1:14" ht="12.75" hidden="1" customHeight="1" x14ac:dyDescent="0.2">
      <c r="A1110">
        <v>43440</v>
      </c>
      <c r="B1110" s="3" t="s">
        <v>1228</v>
      </c>
      <c r="C1110" s="7" t="s">
        <v>507</v>
      </c>
      <c r="D1110" s="7" t="s">
        <v>183</v>
      </c>
      <c r="E1110" s="7">
        <v>534</v>
      </c>
      <c r="G1110" s="7" t="s">
        <v>1573</v>
      </c>
      <c r="H1110" s="7" t="s">
        <v>1360</v>
      </c>
      <c r="I1110" s="7" t="s">
        <v>1228</v>
      </c>
      <c r="J1110" s="7" t="s">
        <v>506</v>
      </c>
      <c r="K1110" s="7" t="s">
        <v>180</v>
      </c>
      <c r="L1110" s="11">
        <v>10</v>
      </c>
      <c r="M1110" s="11">
        <v>15617.63</v>
      </c>
      <c r="N1110" s="9">
        <f t="shared" si="31"/>
        <v>-10</v>
      </c>
    </row>
    <row r="1111" spans="1:14" ht="12.75" hidden="1" customHeight="1" x14ac:dyDescent="0.2">
      <c r="A1111">
        <v>43440</v>
      </c>
      <c r="B1111" s="3" t="s">
        <v>1228</v>
      </c>
      <c r="C1111" s="7" t="s">
        <v>507</v>
      </c>
      <c r="D1111" s="7" t="s">
        <v>183</v>
      </c>
      <c r="E1111" s="7">
        <v>534</v>
      </c>
      <c r="G1111" s="7" t="s">
        <v>1573</v>
      </c>
      <c r="H1111" s="7" t="s">
        <v>1360</v>
      </c>
      <c r="I1111" s="7" t="s">
        <v>1228</v>
      </c>
      <c r="J1111" s="7" t="s">
        <v>506</v>
      </c>
      <c r="K1111" s="7" t="s">
        <v>180</v>
      </c>
      <c r="L1111" s="11">
        <v>25</v>
      </c>
      <c r="M1111" s="11">
        <v>15642.63</v>
      </c>
      <c r="N1111" s="9">
        <f t="shared" si="31"/>
        <v>-25</v>
      </c>
    </row>
    <row r="1112" spans="1:14" ht="12.75" hidden="1" customHeight="1" x14ac:dyDescent="0.2">
      <c r="A1112">
        <v>43440</v>
      </c>
      <c r="B1112" s="3" t="s">
        <v>1228</v>
      </c>
      <c r="C1112" s="7" t="s">
        <v>507</v>
      </c>
      <c r="D1112" s="7" t="s">
        <v>183</v>
      </c>
      <c r="E1112" s="7">
        <v>534</v>
      </c>
      <c r="G1112" s="7" t="s">
        <v>1573</v>
      </c>
      <c r="H1112" s="7" t="s">
        <v>1360</v>
      </c>
      <c r="I1112" s="7" t="s">
        <v>1228</v>
      </c>
      <c r="J1112" s="7" t="s">
        <v>506</v>
      </c>
      <c r="K1112" s="7" t="s">
        <v>180</v>
      </c>
      <c r="L1112" s="11">
        <v>15</v>
      </c>
      <c r="M1112" s="11">
        <v>15657.63</v>
      </c>
      <c r="N1112" s="9">
        <f t="shared" si="31"/>
        <v>-15</v>
      </c>
    </row>
    <row r="1113" spans="1:14" ht="12.75" hidden="1" customHeight="1" x14ac:dyDescent="0.2">
      <c r="A1113">
        <v>43440</v>
      </c>
      <c r="B1113" s="3" t="s">
        <v>1228</v>
      </c>
      <c r="C1113" s="7" t="s">
        <v>507</v>
      </c>
      <c r="D1113" s="7" t="s">
        <v>183</v>
      </c>
      <c r="E1113" s="7">
        <v>534</v>
      </c>
      <c r="G1113" s="7" t="s">
        <v>1573</v>
      </c>
      <c r="H1113" s="7" t="s">
        <v>1360</v>
      </c>
      <c r="I1113" s="7" t="s">
        <v>1228</v>
      </c>
      <c r="J1113" s="7" t="s">
        <v>506</v>
      </c>
      <c r="K1113" s="7" t="s">
        <v>180</v>
      </c>
      <c r="L1113" s="11">
        <v>300</v>
      </c>
      <c r="M1113" s="11">
        <v>15957.63</v>
      </c>
      <c r="N1113" s="9">
        <f t="shared" si="31"/>
        <v>-300</v>
      </c>
    </row>
    <row r="1114" spans="1:14" ht="12.75" hidden="1" customHeight="1" x14ac:dyDescent="0.2">
      <c r="A1114">
        <v>43440</v>
      </c>
      <c r="B1114" s="3" t="s">
        <v>1228</v>
      </c>
      <c r="C1114" s="7" t="s">
        <v>507</v>
      </c>
      <c r="D1114" s="7" t="s">
        <v>183</v>
      </c>
      <c r="E1114" s="7">
        <v>534</v>
      </c>
      <c r="G1114" s="7" t="s">
        <v>1573</v>
      </c>
      <c r="H1114" s="7" t="s">
        <v>1360</v>
      </c>
      <c r="I1114" s="7" t="s">
        <v>1228</v>
      </c>
      <c r="J1114" s="7" t="s">
        <v>506</v>
      </c>
      <c r="K1114" s="7" t="s">
        <v>180</v>
      </c>
      <c r="L1114" s="11">
        <v>25</v>
      </c>
      <c r="M1114" s="11">
        <v>15982.63</v>
      </c>
      <c r="N1114" s="9">
        <f t="shared" si="31"/>
        <v>-25</v>
      </c>
    </row>
    <row r="1115" spans="1:14" ht="12.75" hidden="1" customHeight="1" x14ac:dyDescent="0.2">
      <c r="A1115">
        <v>43440</v>
      </c>
      <c r="B1115" s="3" t="s">
        <v>1228</v>
      </c>
      <c r="C1115" s="7" t="s">
        <v>507</v>
      </c>
      <c r="D1115" s="7" t="s">
        <v>183</v>
      </c>
      <c r="E1115" s="7">
        <v>534</v>
      </c>
      <c r="G1115" s="7" t="s">
        <v>1573</v>
      </c>
      <c r="H1115" s="7" t="s">
        <v>1360</v>
      </c>
      <c r="I1115" s="7" t="s">
        <v>1228</v>
      </c>
      <c r="J1115" s="7" t="s">
        <v>506</v>
      </c>
      <c r="K1115" s="7" t="s">
        <v>180</v>
      </c>
      <c r="L1115" s="11">
        <v>1500</v>
      </c>
      <c r="M1115" s="11">
        <v>17482.63</v>
      </c>
      <c r="N1115" s="9">
        <f t="shared" si="31"/>
        <v>-1500</v>
      </c>
    </row>
    <row r="1116" spans="1:14" ht="12.75" hidden="1" customHeight="1" x14ac:dyDescent="0.2">
      <c r="A1116">
        <v>43440</v>
      </c>
      <c r="B1116" s="3" t="s">
        <v>1228</v>
      </c>
      <c r="C1116" s="7" t="s">
        <v>507</v>
      </c>
      <c r="D1116" s="7" t="s">
        <v>183</v>
      </c>
      <c r="E1116" s="7">
        <v>534</v>
      </c>
      <c r="G1116" s="7" t="s">
        <v>1573</v>
      </c>
      <c r="H1116" s="7" t="s">
        <v>1360</v>
      </c>
      <c r="I1116" s="7" t="s">
        <v>1228</v>
      </c>
      <c r="J1116" s="7" t="s">
        <v>506</v>
      </c>
      <c r="K1116" s="7" t="s">
        <v>180</v>
      </c>
      <c r="L1116" s="11">
        <v>40</v>
      </c>
      <c r="M1116" s="11">
        <v>17522.63</v>
      </c>
      <c r="N1116" s="9">
        <f t="shared" si="31"/>
        <v>-40</v>
      </c>
    </row>
    <row r="1117" spans="1:14" ht="12.75" hidden="1" customHeight="1" x14ac:dyDescent="0.2">
      <c r="A1117">
        <v>43440</v>
      </c>
      <c r="B1117" s="3" t="s">
        <v>1228</v>
      </c>
      <c r="C1117" s="7" t="s">
        <v>507</v>
      </c>
      <c r="D1117" s="7" t="s">
        <v>183</v>
      </c>
      <c r="E1117" s="7">
        <v>534</v>
      </c>
      <c r="G1117" s="7" t="s">
        <v>1573</v>
      </c>
      <c r="H1117" s="7" t="s">
        <v>1360</v>
      </c>
      <c r="I1117" s="7" t="s">
        <v>1228</v>
      </c>
      <c r="J1117" s="7" t="s">
        <v>506</v>
      </c>
      <c r="K1117" s="7" t="s">
        <v>180</v>
      </c>
      <c r="L1117" s="11">
        <v>1200</v>
      </c>
      <c r="M1117" s="11">
        <v>18722.63</v>
      </c>
      <c r="N1117" s="9">
        <f t="shared" si="31"/>
        <v>-1200</v>
      </c>
    </row>
    <row r="1118" spans="1:14" ht="12.75" hidden="1" customHeight="1" x14ac:dyDescent="0.2">
      <c r="A1118">
        <v>43440</v>
      </c>
      <c r="B1118" s="3" t="s">
        <v>1228</v>
      </c>
      <c r="C1118" s="7" t="s">
        <v>507</v>
      </c>
      <c r="D1118" s="7" t="s">
        <v>183</v>
      </c>
      <c r="E1118" s="7">
        <v>534</v>
      </c>
      <c r="G1118" s="7" t="s">
        <v>1573</v>
      </c>
      <c r="H1118" s="7" t="s">
        <v>1360</v>
      </c>
      <c r="I1118" s="7" t="s">
        <v>1228</v>
      </c>
      <c r="J1118" s="7" t="s">
        <v>506</v>
      </c>
      <c r="K1118" s="7" t="s">
        <v>180</v>
      </c>
      <c r="L1118" s="11">
        <v>535</v>
      </c>
      <c r="M1118" s="11">
        <v>19257.63</v>
      </c>
      <c r="N1118" s="9">
        <f t="shared" si="31"/>
        <v>-535</v>
      </c>
    </row>
    <row r="1119" spans="1:14" ht="12.75" hidden="1" customHeight="1" x14ac:dyDescent="0.2">
      <c r="A1119">
        <v>43440</v>
      </c>
      <c r="B1119" s="3" t="s">
        <v>1228</v>
      </c>
      <c r="C1119" s="7" t="s">
        <v>507</v>
      </c>
      <c r="D1119" s="7" t="s">
        <v>183</v>
      </c>
      <c r="E1119" s="7">
        <v>534</v>
      </c>
      <c r="G1119" s="7" t="s">
        <v>1573</v>
      </c>
      <c r="H1119" s="7" t="s">
        <v>1360</v>
      </c>
      <c r="I1119" s="7" t="s">
        <v>1228</v>
      </c>
      <c r="J1119" s="7" t="s">
        <v>506</v>
      </c>
      <c r="K1119" s="7" t="s">
        <v>180</v>
      </c>
      <c r="L1119" s="11">
        <v>90</v>
      </c>
      <c r="M1119" s="11">
        <v>19347.63</v>
      </c>
      <c r="N1119" s="9">
        <f t="shared" si="31"/>
        <v>-90</v>
      </c>
    </row>
    <row r="1120" spans="1:14" ht="12.75" hidden="1" customHeight="1" x14ac:dyDescent="0.2">
      <c r="A1120">
        <v>43440</v>
      </c>
      <c r="B1120" s="3" t="s">
        <v>1228</v>
      </c>
      <c r="C1120" s="7" t="s">
        <v>507</v>
      </c>
      <c r="D1120" s="7" t="s">
        <v>183</v>
      </c>
      <c r="E1120" s="7">
        <v>534</v>
      </c>
      <c r="G1120" s="7" t="s">
        <v>1573</v>
      </c>
      <c r="H1120" s="7" t="s">
        <v>1360</v>
      </c>
      <c r="I1120" s="7" t="s">
        <v>1228</v>
      </c>
      <c r="J1120" s="7" t="s">
        <v>506</v>
      </c>
      <c r="K1120" s="7" t="s">
        <v>180</v>
      </c>
      <c r="L1120" s="11">
        <v>24</v>
      </c>
      <c r="M1120" s="11">
        <v>19371.63</v>
      </c>
      <c r="N1120" s="9">
        <f t="shared" si="31"/>
        <v>-24</v>
      </c>
    </row>
    <row r="1121" spans="1:14" ht="12.75" hidden="1" customHeight="1" x14ac:dyDescent="0.2">
      <c r="A1121">
        <v>65015</v>
      </c>
      <c r="B1121" s="3" t="s">
        <v>1244</v>
      </c>
      <c r="C1121" s="7" t="s">
        <v>369</v>
      </c>
      <c r="D1121" s="7" t="s">
        <v>200</v>
      </c>
      <c r="F1121" s="7" t="s">
        <v>1062</v>
      </c>
      <c r="G1121" s="7" t="s">
        <v>1573</v>
      </c>
      <c r="H1121" s="7" t="s">
        <v>1362</v>
      </c>
      <c r="I1121" s="7" t="s">
        <v>1244</v>
      </c>
      <c r="K1121" s="7" t="s">
        <v>842</v>
      </c>
      <c r="L1121" s="11">
        <v>20</v>
      </c>
      <c r="M1121" s="11">
        <v>714.54</v>
      </c>
      <c r="N1121" s="9">
        <f t="shared" si="31"/>
        <v>20</v>
      </c>
    </row>
    <row r="1122" spans="1:14" ht="12.75" hidden="1" customHeight="1" x14ac:dyDescent="0.2">
      <c r="A1122">
        <v>65020</v>
      </c>
      <c r="B1122" s="3" t="s">
        <v>1245</v>
      </c>
      <c r="C1122" s="7" t="s">
        <v>926</v>
      </c>
      <c r="D1122" s="7" t="s">
        <v>200</v>
      </c>
      <c r="F1122" s="7" t="s">
        <v>1047</v>
      </c>
      <c r="G1122" s="7" t="s">
        <v>1573</v>
      </c>
      <c r="H1122" s="7" t="s">
        <v>1362</v>
      </c>
      <c r="I1122" s="7" t="s">
        <v>1245</v>
      </c>
      <c r="K1122" s="7" t="s">
        <v>842</v>
      </c>
      <c r="L1122" s="11">
        <v>13.91</v>
      </c>
      <c r="M1122" s="11">
        <v>559.30999999999995</v>
      </c>
      <c r="N1122" s="9">
        <f t="shared" si="31"/>
        <v>13.91</v>
      </c>
    </row>
    <row r="1123" spans="1:14" ht="12.75" hidden="1" customHeight="1" x14ac:dyDescent="0.2">
      <c r="A1123">
        <v>65020</v>
      </c>
      <c r="B1123" s="3" t="s">
        <v>1245</v>
      </c>
      <c r="C1123" s="7" t="s">
        <v>849</v>
      </c>
      <c r="D1123" s="7" t="s">
        <v>200</v>
      </c>
      <c r="F1123" s="7" t="s">
        <v>338</v>
      </c>
      <c r="G1123" s="7" t="s">
        <v>1573</v>
      </c>
      <c r="H1123" s="7" t="s">
        <v>1362</v>
      </c>
      <c r="I1123" s="7" t="s">
        <v>1245</v>
      </c>
      <c r="K1123" s="7" t="s">
        <v>842</v>
      </c>
      <c r="L1123" s="11">
        <v>42.35</v>
      </c>
      <c r="M1123" s="11">
        <v>803.31</v>
      </c>
      <c r="N1123" s="9">
        <f t="shared" si="31"/>
        <v>42.35</v>
      </c>
    </row>
    <row r="1124" spans="1:14" ht="12.75" hidden="1" customHeight="1" x14ac:dyDescent="0.2">
      <c r="A1124">
        <v>65025</v>
      </c>
      <c r="B1124" s="3" t="s">
        <v>1246</v>
      </c>
      <c r="C1124" s="7" t="s">
        <v>334</v>
      </c>
      <c r="D1124" s="7" t="s">
        <v>200</v>
      </c>
      <c r="F1124" s="7" t="s">
        <v>446</v>
      </c>
      <c r="G1124" s="7" t="s">
        <v>1573</v>
      </c>
      <c r="H1124" s="7" t="s">
        <v>1362</v>
      </c>
      <c r="I1124" s="7" t="s">
        <v>1246</v>
      </c>
      <c r="K1124" s="7" t="s">
        <v>842</v>
      </c>
      <c r="L1124" s="11">
        <v>12</v>
      </c>
      <c r="M1124" s="11">
        <v>428.72</v>
      </c>
      <c r="N1124" s="9">
        <f t="shared" si="31"/>
        <v>12</v>
      </c>
    </row>
    <row r="1125" spans="1:14" ht="12.75" hidden="1" customHeight="1" x14ac:dyDescent="0.2">
      <c r="A1125">
        <v>65025</v>
      </c>
      <c r="B1125" s="3" t="s">
        <v>1246</v>
      </c>
      <c r="C1125" s="7" t="s">
        <v>406</v>
      </c>
      <c r="D1125" s="7" t="s">
        <v>200</v>
      </c>
      <c r="F1125" s="7" t="s">
        <v>446</v>
      </c>
      <c r="G1125" s="7" t="s">
        <v>1573</v>
      </c>
      <c r="H1125" s="7" t="s">
        <v>1362</v>
      </c>
      <c r="I1125" s="7" t="s">
        <v>1246</v>
      </c>
      <c r="K1125" s="7" t="s">
        <v>842</v>
      </c>
      <c r="L1125" s="11">
        <v>12</v>
      </c>
      <c r="M1125" s="11">
        <v>703.62</v>
      </c>
      <c r="N1125" s="9">
        <f t="shared" si="31"/>
        <v>12</v>
      </c>
    </row>
    <row r="1126" spans="1:14" ht="12.75" hidden="1" customHeight="1" x14ac:dyDescent="0.2">
      <c r="A1126">
        <v>65025</v>
      </c>
      <c r="B1126" s="3" t="s">
        <v>1246</v>
      </c>
      <c r="C1126" s="7" t="s">
        <v>194</v>
      </c>
      <c r="D1126" s="7" t="s">
        <v>221</v>
      </c>
      <c r="F1126" s="7" t="s">
        <v>446</v>
      </c>
      <c r="G1126" s="7" t="s">
        <v>1573</v>
      </c>
      <c r="H1126" s="7" t="s">
        <v>1362</v>
      </c>
      <c r="I1126" s="7" t="s">
        <v>1246</v>
      </c>
      <c r="K1126" s="7" t="s">
        <v>842</v>
      </c>
      <c r="L1126" s="11">
        <v>12</v>
      </c>
      <c r="M1126" s="11">
        <v>887.33</v>
      </c>
      <c r="N1126" s="9">
        <f t="shared" si="31"/>
        <v>12</v>
      </c>
    </row>
    <row r="1127" spans="1:14" ht="12.75" hidden="1" customHeight="1" x14ac:dyDescent="0.2">
      <c r="A1127">
        <v>65025</v>
      </c>
      <c r="B1127" s="3" t="s">
        <v>1246</v>
      </c>
      <c r="C1127" s="7" t="s">
        <v>222</v>
      </c>
      <c r="D1127" s="7" t="s">
        <v>221</v>
      </c>
      <c r="F1127" s="7" t="s">
        <v>446</v>
      </c>
      <c r="G1127" s="7" t="s">
        <v>1573</v>
      </c>
      <c r="H1127" s="7" t="s">
        <v>1362</v>
      </c>
      <c r="I1127" s="7" t="s">
        <v>1246</v>
      </c>
      <c r="K1127" s="7" t="s">
        <v>842</v>
      </c>
      <c r="L1127" s="11">
        <v>12</v>
      </c>
      <c r="M1127" s="11">
        <v>1354.96</v>
      </c>
      <c r="N1127" s="9">
        <f t="shared" si="31"/>
        <v>12</v>
      </c>
    </row>
    <row r="1128" spans="1:14" ht="12.75" hidden="1" customHeight="1" x14ac:dyDescent="0.2">
      <c r="A1128">
        <v>65036</v>
      </c>
      <c r="B1128" s="3" t="s">
        <v>1249</v>
      </c>
      <c r="C1128" s="7" t="s">
        <v>369</v>
      </c>
      <c r="D1128" s="7" t="s">
        <v>200</v>
      </c>
      <c r="F1128" s="7" t="s">
        <v>1026</v>
      </c>
      <c r="G1128" s="7" t="s">
        <v>1573</v>
      </c>
      <c r="H1128" s="7" t="s">
        <v>1362</v>
      </c>
      <c r="I1128" s="7" t="s">
        <v>1249</v>
      </c>
      <c r="K1128" s="7" t="s">
        <v>842</v>
      </c>
      <c r="L1128" s="11">
        <v>35.65</v>
      </c>
      <c r="M1128" s="11">
        <v>584.63</v>
      </c>
      <c r="N1128" s="9">
        <f t="shared" ref="N1128:N1159" si="32">IF(A1128&lt;60000,-L1128,+L1128)</f>
        <v>35.65</v>
      </c>
    </row>
    <row r="1129" spans="1:14" ht="12.75" hidden="1" customHeight="1" x14ac:dyDescent="0.2">
      <c r="A1129">
        <v>65036</v>
      </c>
      <c r="B1129" s="3" t="s">
        <v>1249</v>
      </c>
      <c r="C1129" s="7" t="s">
        <v>308</v>
      </c>
      <c r="D1129" s="7" t="s">
        <v>200</v>
      </c>
      <c r="F1129" s="7" t="s">
        <v>1021</v>
      </c>
      <c r="G1129" s="7" t="s">
        <v>1573</v>
      </c>
      <c r="H1129" s="7" t="s">
        <v>1362</v>
      </c>
      <c r="I1129" s="7" t="s">
        <v>1249</v>
      </c>
      <c r="K1129" s="7" t="s">
        <v>842</v>
      </c>
      <c r="L1129" s="11">
        <v>78.33</v>
      </c>
      <c r="M1129" s="11">
        <v>3732.12</v>
      </c>
      <c r="N1129" s="9">
        <f t="shared" si="32"/>
        <v>78.33</v>
      </c>
    </row>
    <row r="1130" spans="1:14" ht="12.75" hidden="1" customHeight="1" x14ac:dyDescent="0.2">
      <c r="A1130">
        <v>65040</v>
      </c>
      <c r="B1130" s="3" t="s">
        <v>1250</v>
      </c>
      <c r="C1130" s="7" t="s">
        <v>327</v>
      </c>
      <c r="D1130" s="7" t="s">
        <v>200</v>
      </c>
      <c r="F1130" s="7" t="s">
        <v>243</v>
      </c>
      <c r="G1130" s="7" t="s">
        <v>1573</v>
      </c>
      <c r="H1130" s="7" t="s">
        <v>1362</v>
      </c>
      <c r="I1130" s="7" t="s">
        <v>1250</v>
      </c>
      <c r="K1130" s="7" t="s">
        <v>842</v>
      </c>
      <c r="L1130" s="11">
        <v>99.99</v>
      </c>
      <c r="M1130" s="11">
        <v>875.78</v>
      </c>
      <c r="N1130" s="9">
        <f t="shared" si="32"/>
        <v>99.99</v>
      </c>
    </row>
    <row r="1131" spans="1:14" ht="12.75" hidden="1" customHeight="1" x14ac:dyDescent="0.2">
      <c r="A1131">
        <v>65061</v>
      </c>
      <c r="B1131" s="3" t="s">
        <v>1253</v>
      </c>
      <c r="C1131" s="7" t="s">
        <v>392</v>
      </c>
      <c r="D1131" s="7" t="s">
        <v>200</v>
      </c>
      <c r="F1131" s="7" t="s">
        <v>756</v>
      </c>
      <c r="G1131" s="7" t="s">
        <v>1573</v>
      </c>
      <c r="H1131" s="7" t="s">
        <v>1362</v>
      </c>
      <c r="I1131" s="7" t="s">
        <v>1253</v>
      </c>
      <c r="K1131" s="7" t="s">
        <v>842</v>
      </c>
      <c r="L1131" s="11">
        <v>2595</v>
      </c>
      <c r="M1131" s="11">
        <v>8829.41</v>
      </c>
      <c r="N1131" s="9">
        <f t="shared" si="32"/>
        <v>2595</v>
      </c>
    </row>
    <row r="1132" spans="1:14" ht="12.75" hidden="1" customHeight="1" x14ac:dyDescent="0.2">
      <c r="A1132">
        <v>65061</v>
      </c>
      <c r="B1132" s="3" t="s">
        <v>1253</v>
      </c>
      <c r="C1132" s="7" t="s">
        <v>932</v>
      </c>
      <c r="D1132" s="7" t="s">
        <v>200</v>
      </c>
      <c r="F1132" s="7" t="s">
        <v>355</v>
      </c>
      <c r="G1132" s="7" t="s">
        <v>1573</v>
      </c>
      <c r="H1132" s="7" t="s">
        <v>1362</v>
      </c>
      <c r="I1132" s="7" t="s">
        <v>1253</v>
      </c>
      <c r="K1132" s="7" t="s">
        <v>842</v>
      </c>
      <c r="L1132" s="11">
        <v>105.87</v>
      </c>
      <c r="M1132" s="11">
        <v>24128.81</v>
      </c>
      <c r="N1132" s="9">
        <f t="shared" si="32"/>
        <v>105.87</v>
      </c>
    </row>
    <row r="1133" spans="1:14" ht="12.75" hidden="1" customHeight="1" x14ac:dyDescent="0.2">
      <c r="A1133">
        <v>65061</v>
      </c>
      <c r="B1133" s="3" t="s">
        <v>1253</v>
      </c>
      <c r="C1133" s="7" t="s">
        <v>932</v>
      </c>
      <c r="D1133" s="7" t="s">
        <v>200</v>
      </c>
      <c r="F1133" s="7" t="s">
        <v>366</v>
      </c>
      <c r="G1133" s="7" t="s">
        <v>1573</v>
      </c>
      <c r="H1133" s="7" t="s">
        <v>1362</v>
      </c>
      <c r="I1133" s="7" t="s">
        <v>1253</v>
      </c>
      <c r="K1133" s="7" t="s">
        <v>842</v>
      </c>
      <c r="L1133" s="11">
        <v>20</v>
      </c>
      <c r="M1133" s="11">
        <v>24148.81</v>
      </c>
      <c r="N1133" s="9">
        <f t="shared" si="32"/>
        <v>20</v>
      </c>
    </row>
    <row r="1134" spans="1:14" ht="12.75" hidden="1" customHeight="1" x14ac:dyDescent="0.2">
      <c r="A1134">
        <v>65061</v>
      </c>
      <c r="B1134" s="3" t="s">
        <v>1253</v>
      </c>
      <c r="C1134" s="7" t="s">
        <v>374</v>
      </c>
      <c r="D1134" s="7" t="s">
        <v>200</v>
      </c>
      <c r="F1134" s="7" t="s">
        <v>241</v>
      </c>
      <c r="G1134" s="7" t="s">
        <v>1573</v>
      </c>
      <c r="H1134" s="7" t="s">
        <v>1362</v>
      </c>
      <c r="I1134" s="7" t="s">
        <v>1253</v>
      </c>
      <c r="K1134" s="7" t="s">
        <v>842</v>
      </c>
      <c r="L1134" s="11">
        <v>41.36</v>
      </c>
      <c r="M1134" s="11">
        <v>32010.81</v>
      </c>
      <c r="N1134" s="9">
        <f t="shared" si="32"/>
        <v>41.36</v>
      </c>
    </row>
    <row r="1135" spans="1:14" ht="12.75" hidden="1" customHeight="1" x14ac:dyDescent="0.2">
      <c r="A1135">
        <v>65061</v>
      </c>
      <c r="B1135" s="3" t="s">
        <v>1253</v>
      </c>
      <c r="C1135" s="7" t="s">
        <v>374</v>
      </c>
      <c r="D1135" s="7" t="s">
        <v>200</v>
      </c>
      <c r="F1135" s="7" t="s">
        <v>846</v>
      </c>
      <c r="G1135" s="7" t="s">
        <v>1573</v>
      </c>
      <c r="H1135" s="7" t="s">
        <v>1362</v>
      </c>
      <c r="I1135" s="7" t="s">
        <v>1253</v>
      </c>
      <c r="K1135" s="7" t="s">
        <v>842</v>
      </c>
      <c r="L1135" s="11">
        <v>43.2</v>
      </c>
      <c r="M1135" s="11">
        <v>32054.01</v>
      </c>
      <c r="N1135" s="9">
        <f t="shared" si="32"/>
        <v>43.2</v>
      </c>
    </row>
    <row r="1136" spans="1:14" ht="12.75" hidden="1" customHeight="1" x14ac:dyDescent="0.2">
      <c r="A1136">
        <v>65061</v>
      </c>
      <c r="B1136" s="3" t="s">
        <v>1253</v>
      </c>
      <c r="C1136" s="7" t="s">
        <v>372</v>
      </c>
      <c r="D1136" s="7" t="s">
        <v>200</v>
      </c>
      <c r="E1136" s="7">
        <v>414</v>
      </c>
      <c r="F1136" s="7" t="s">
        <v>703</v>
      </c>
      <c r="G1136" s="7" t="s">
        <v>1573</v>
      </c>
      <c r="H1136" s="7" t="s">
        <v>1362</v>
      </c>
      <c r="I1136" s="7" t="s">
        <v>1253</v>
      </c>
      <c r="J1136" s="7" t="s">
        <v>923</v>
      </c>
      <c r="K1136" s="7" t="s">
        <v>198</v>
      </c>
      <c r="L1136" s="11">
        <v>2587.86</v>
      </c>
      <c r="M1136" s="11">
        <v>36108.43</v>
      </c>
      <c r="N1136" s="9">
        <f t="shared" si="32"/>
        <v>2587.86</v>
      </c>
    </row>
    <row r="1137" spans="1:14" ht="12.75" hidden="1" customHeight="1" x14ac:dyDescent="0.2">
      <c r="A1137">
        <v>65061</v>
      </c>
      <c r="B1137" s="3" t="s">
        <v>1253</v>
      </c>
      <c r="C1137" s="7" t="s">
        <v>372</v>
      </c>
      <c r="D1137" s="7" t="s">
        <v>200</v>
      </c>
      <c r="F1137" s="7" t="s">
        <v>919</v>
      </c>
      <c r="G1137" s="7" t="s">
        <v>1573</v>
      </c>
      <c r="H1137" s="7" t="s">
        <v>1362</v>
      </c>
      <c r="I1137" s="7" t="s">
        <v>1253</v>
      </c>
      <c r="K1137" s="7" t="s">
        <v>842</v>
      </c>
      <c r="L1137" s="11">
        <v>33.28</v>
      </c>
      <c r="M1137" s="11">
        <v>37489.56</v>
      </c>
      <c r="N1137" s="9">
        <f t="shared" si="32"/>
        <v>33.28</v>
      </c>
    </row>
    <row r="1138" spans="1:14" ht="12.75" hidden="1" customHeight="1" x14ac:dyDescent="0.2">
      <c r="A1138">
        <v>65061</v>
      </c>
      <c r="B1138" s="3" t="s">
        <v>1253</v>
      </c>
      <c r="C1138" s="7" t="s">
        <v>369</v>
      </c>
      <c r="D1138" s="7" t="s">
        <v>200</v>
      </c>
      <c r="F1138" s="7" t="s">
        <v>912</v>
      </c>
      <c r="G1138" s="7" t="s">
        <v>1573</v>
      </c>
      <c r="H1138" s="7" t="s">
        <v>1362</v>
      </c>
      <c r="I1138" s="7" t="s">
        <v>1253</v>
      </c>
      <c r="K1138" s="7" t="s">
        <v>842</v>
      </c>
      <c r="L1138" s="11">
        <v>111.1</v>
      </c>
      <c r="M1138" s="11">
        <v>40059.57</v>
      </c>
      <c r="N1138" s="9">
        <f t="shared" si="32"/>
        <v>111.1</v>
      </c>
    </row>
    <row r="1139" spans="1:14" ht="12.75" hidden="1" customHeight="1" x14ac:dyDescent="0.2">
      <c r="A1139">
        <v>65061</v>
      </c>
      <c r="B1139" s="3" t="s">
        <v>1253</v>
      </c>
      <c r="C1139" s="7" t="s">
        <v>907</v>
      </c>
      <c r="D1139" s="7" t="s">
        <v>200</v>
      </c>
      <c r="F1139" s="7" t="s">
        <v>909</v>
      </c>
      <c r="G1139" s="7" t="s">
        <v>1573</v>
      </c>
      <c r="H1139" s="7" t="s">
        <v>1362</v>
      </c>
      <c r="I1139" s="7" t="s">
        <v>1253</v>
      </c>
      <c r="K1139" s="7" t="s">
        <v>842</v>
      </c>
      <c r="L1139" s="11">
        <v>1.71</v>
      </c>
      <c r="M1139" s="11">
        <v>40590.65</v>
      </c>
      <c r="N1139" s="9">
        <f t="shared" si="32"/>
        <v>1.71</v>
      </c>
    </row>
    <row r="1140" spans="1:14" ht="12.75" hidden="1" customHeight="1" x14ac:dyDescent="0.2">
      <c r="A1140">
        <v>65061</v>
      </c>
      <c r="B1140" s="3" t="s">
        <v>1253</v>
      </c>
      <c r="C1140" s="7" t="s">
        <v>897</v>
      </c>
      <c r="D1140" s="7" t="s">
        <v>200</v>
      </c>
      <c r="F1140" s="7" t="s">
        <v>563</v>
      </c>
      <c r="G1140" s="7" t="s">
        <v>1573</v>
      </c>
      <c r="H1140" s="7" t="s">
        <v>1362</v>
      </c>
      <c r="I1140" s="7" t="s">
        <v>1253</v>
      </c>
      <c r="K1140" s="7" t="s">
        <v>842</v>
      </c>
      <c r="L1140" s="11">
        <v>299.10000000000002</v>
      </c>
      <c r="M1140" s="11">
        <v>45261.72</v>
      </c>
      <c r="N1140" s="9">
        <f t="shared" si="32"/>
        <v>299.10000000000002</v>
      </c>
    </row>
    <row r="1141" spans="1:14" ht="12.75" hidden="1" customHeight="1" x14ac:dyDescent="0.2">
      <c r="A1141">
        <v>65061</v>
      </c>
      <c r="B1141" s="3" t="s">
        <v>1253</v>
      </c>
      <c r="C1141" s="7" t="s">
        <v>353</v>
      </c>
      <c r="D1141" s="7" t="s">
        <v>200</v>
      </c>
      <c r="F1141" s="7" t="s">
        <v>563</v>
      </c>
      <c r="G1141" s="7" t="s">
        <v>1573</v>
      </c>
      <c r="H1141" s="7" t="s">
        <v>1362</v>
      </c>
      <c r="I1141" s="7" t="s">
        <v>1253</v>
      </c>
      <c r="K1141" s="7" t="s">
        <v>842</v>
      </c>
      <c r="L1141" s="11">
        <v>162.88999999999999</v>
      </c>
      <c r="M1141" s="11">
        <v>52434.39</v>
      </c>
      <c r="N1141" s="9">
        <f t="shared" si="32"/>
        <v>162.88999999999999</v>
      </c>
    </row>
    <row r="1142" spans="1:14" ht="12.75" hidden="1" customHeight="1" x14ac:dyDescent="0.2">
      <c r="A1142">
        <v>65061</v>
      </c>
      <c r="B1142" s="3" t="s">
        <v>1253</v>
      </c>
      <c r="C1142" s="7" t="s">
        <v>353</v>
      </c>
      <c r="D1142" s="7" t="s">
        <v>200</v>
      </c>
      <c r="F1142" s="7" t="s">
        <v>564</v>
      </c>
      <c r="G1142" s="7" t="s">
        <v>1573</v>
      </c>
      <c r="H1142" s="7" t="s">
        <v>1362</v>
      </c>
      <c r="I1142" s="7" t="s">
        <v>1253</v>
      </c>
      <c r="K1142" s="7" t="s">
        <v>842</v>
      </c>
      <c r="L1142" s="11">
        <v>155.47</v>
      </c>
      <c r="M1142" s="11">
        <v>53731.6</v>
      </c>
      <c r="N1142" s="9">
        <f t="shared" si="32"/>
        <v>155.47</v>
      </c>
    </row>
    <row r="1143" spans="1:14" ht="12.75" hidden="1" customHeight="1" x14ac:dyDescent="0.2">
      <c r="A1143">
        <v>65061</v>
      </c>
      <c r="B1143" s="3" t="s">
        <v>1253</v>
      </c>
      <c r="C1143" s="7" t="s">
        <v>353</v>
      </c>
      <c r="D1143" s="7" t="s">
        <v>200</v>
      </c>
      <c r="F1143" s="7" t="s">
        <v>882</v>
      </c>
      <c r="G1143" s="7" t="s">
        <v>1573</v>
      </c>
      <c r="H1143" s="7" t="s">
        <v>1362</v>
      </c>
      <c r="I1143" s="7" t="s">
        <v>1253</v>
      </c>
      <c r="K1143" s="7" t="s">
        <v>842</v>
      </c>
      <c r="L1143" s="11">
        <v>85.8</v>
      </c>
      <c r="M1143" s="11">
        <v>54142.78</v>
      </c>
      <c r="N1143" s="9">
        <f t="shared" si="32"/>
        <v>85.8</v>
      </c>
    </row>
    <row r="1144" spans="1:14" ht="12.75" hidden="1" customHeight="1" x14ac:dyDescent="0.2">
      <c r="A1144">
        <v>65061</v>
      </c>
      <c r="B1144" s="3" t="s">
        <v>1253</v>
      </c>
      <c r="C1144" s="7" t="s">
        <v>344</v>
      </c>
      <c r="D1144" s="7" t="s">
        <v>200</v>
      </c>
      <c r="F1144" s="7" t="s">
        <v>879</v>
      </c>
      <c r="G1144" s="7" t="s">
        <v>1573</v>
      </c>
      <c r="H1144" s="7" t="s">
        <v>1362</v>
      </c>
      <c r="I1144" s="7" t="s">
        <v>1253</v>
      </c>
      <c r="K1144" s="7" t="s">
        <v>842</v>
      </c>
      <c r="L1144" s="11">
        <v>82.11</v>
      </c>
      <c r="M1144" s="11">
        <v>56416.68</v>
      </c>
      <c r="N1144" s="9">
        <f t="shared" si="32"/>
        <v>82.11</v>
      </c>
    </row>
    <row r="1145" spans="1:14" ht="12.75" hidden="1" customHeight="1" x14ac:dyDescent="0.2">
      <c r="A1145">
        <v>65061</v>
      </c>
      <c r="B1145" s="3" t="s">
        <v>1253</v>
      </c>
      <c r="C1145" s="7" t="s">
        <v>344</v>
      </c>
      <c r="D1145" s="7" t="s">
        <v>200</v>
      </c>
      <c r="F1145" s="7" t="s">
        <v>878</v>
      </c>
      <c r="G1145" s="7" t="s">
        <v>1573</v>
      </c>
      <c r="H1145" s="7" t="s">
        <v>1362</v>
      </c>
      <c r="I1145" s="7" t="s">
        <v>1253</v>
      </c>
      <c r="K1145" s="7" t="s">
        <v>842</v>
      </c>
      <c r="L1145" s="11">
        <v>12</v>
      </c>
      <c r="M1145" s="11">
        <v>57229.78</v>
      </c>
      <c r="N1145" s="9">
        <f t="shared" si="32"/>
        <v>12</v>
      </c>
    </row>
    <row r="1146" spans="1:14" ht="12.75" hidden="1" customHeight="1" x14ac:dyDescent="0.2">
      <c r="A1146">
        <v>65061</v>
      </c>
      <c r="B1146" s="3" t="s">
        <v>1253</v>
      </c>
      <c r="C1146" s="7" t="s">
        <v>327</v>
      </c>
      <c r="D1146" s="7" t="s">
        <v>200</v>
      </c>
      <c r="F1146" s="7" t="s">
        <v>570</v>
      </c>
      <c r="G1146" s="7" t="s">
        <v>1573</v>
      </c>
      <c r="H1146" s="7" t="s">
        <v>1362</v>
      </c>
      <c r="I1146" s="7" t="s">
        <v>1253</v>
      </c>
      <c r="K1146" s="7" t="s">
        <v>842</v>
      </c>
      <c r="L1146" s="11">
        <v>670.51</v>
      </c>
      <c r="M1146" s="11">
        <v>62549.83</v>
      </c>
      <c r="N1146" s="9">
        <f t="shared" si="32"/>
        <v>670.51</v>
      </c>
    </row>
    <row r="1147" spans="1:14" ht="12.75" hidden="1" customHeight="1" x14ac:dyDescent="0.2">
      <c r="A1147">
        <v>65061</v>
      </c>
      <c r="B1147" s="3" t="s">
        <v>1253</v>
      </c>
      <c r="C1147" s="7" t="s">
        <v>327</v>
      </c>
      <c r="D1147" s="7" t="s">
        <v>200</v>
      </c>
      <c r="F1147" s="7" t="s">
        <v>648</v>
      </c>
      <c r="G1147" s="7" t="s">
        <v>1573</v>
      </c>
      <c r="H1147" s="7" t="s">
        <v>1362</v>
      </c>
      <c r="I1147" s="7" t="s">
        <v>1253</v>
      </c>
      <c r="K1147" s="7" t="s">
        <v>842</v>
      </c>
      <c r="L1147" s="11">
        <v>196.83</v>
      </c>
      <c r="M1147" s="11">
        <v>63388.83</v>
      </c>
      <c r="N1147" s="9">
        <f t="shared" si="32"/>
        <v>196.83</v>
      </c>
    </row>
    <row r="1148" spans="1:14" ht="12.75" hidden="1" customHeight="1" x14ac:dyDescent="0.2">
      <c r="A1148">
        <v>65061</v>
      </c>
      <c r="B1148" s="3" t="s">
        <v>1253</v>
      </c>
      <c r="C1148" s="7" t="s">
        <v>327</v>
      </c>
      <c r="D1148" s="7" t="s">
        <v>200</v>
      </c>
      <c r="F1148" s="7" t="s">
        <v>563</v>
      </c>
      <c r="G1148" s="7" t="s">
        <v>1573</v>
      </c>
      <c r="H1148" s="7" t="s">
        <v>1362</v>
      </c>
      <c r="I1148" s="7" t="s">
        <v>1253</v>
      </c>
      <c r="K1148" s="7" t="s">
        <v>842</v>
      </c>
      <c r="L1148" s="11">
        <v>792.27</v>
      </c>
      <c r="M1148" s="11">
        <v>64308.26</v>
      </c>
      <c r="N1148" s="9">
        <f t="shared" si="32"/>
        <v>792.27</v>
      </c>
    </row>
    <row r="1149" spans="1:14" ht="12.75" hidden="1" customHeight="1" x14ac:dyDescent="0.2">
      <c r="A1149">
        <v>65061</v>
      </c>
      <c r="B1149" s="3" t="s">
        <v>1253</v>
      </c>
      <c r="C1149" s="7" t="s">
        <v>327</v>
      </c>
      <c r="D1149" s="7" t="s">
        <v>200</v>
      </c>
      <c r="F1149" s="7" t="s">
        <v>846</v>
      </c>
      <c r="G1149" s="7" t="s">
        <v>1573</v>
      </c>
      <c r="H1149" s="7" t="s">
        <v>1362</v>
      </c>
      <c r="I1149" s="7" t="s">
        <v>1253</v>
      </c>
      <c r="K1149" s="7" t="s">
        <v>842</v>
      </c>
      <c r="L1149" s="11">
        <v>22.97</v>
      </c>
      <c r="M1149" s="11">
        <v>64331.23</v>
      </c>
      <c r="N1149" s="9">
        <f t="shared" si="32"/>
        <v>22.97</v>
      </c>
    </row>
    <row r="1150" spans="1:14" ht="12.75" hidden="1" customHeight="1" x14ac:dyDescent="0.2">
      <c r="A1150">
        <v>65061</v>
      </c>
      <c r="B1150" s="3" t="s">
        <v>1253</v>
      </c>
      <c r="C1150" s="7" t="s">
        <v>868</v>
      </c>
      <c r="D1150" s="7" t="s">
        <v>200</v>
      </c>
      <c r="F1150" s="7" t="s">
        <v>548</v>
      </c>
      <c r="G1150" s="7" t="s">
        <v>1573</v>
      </c>
      <c r="H1150" s="7" t="s">
        <v>1362</v>
      </c>
      <c r="I1150" s="7" t="s">
        <v>1253</v>
      </c>
      <c r="K1150" s="7" t="s">
        <v>842</v>
      </c>
      <c r="L1150" s="11">
        <v>184.85</v>
      </c>
      <c r="M1150" s="11">
        <v>65113.61</v>
      </c>
      <c r="N1150" s="9">
        <f t="shared" si="32"/>
        <v>184.85</v>
      </c>
    </row>
    <row r="1151" spans="1:14" ht="12.75" hidden="1" customHeight="1" x14ac:dyDescent="0.2">
      <c r="A1151">
        <v>65061</v>
      </c>
      <c r="B1151" s="3" t="s">
        <v>1253</v>
      </c>
      <c r="C1151" s="7" t="s">
        <v>323</v>
      </c>
      <c r="D1151" s="7" t="s">
        <v>200</v>
      </c>
      <c r="F1151" s="7" t="s">
        <v>352</v>
      </c>
      <c r="G1151" s="7" t="s">
        <v>1573</v>
      </c>
      <c r="H1151" s="7" t="s">
        <v>1362</v>
      </c>
      <c r="I1151" s="7" t="s">
        <v>1253</v>
      </c>
      <c r="K1151" s="7" t="s">
        <v>842</v>
      </c>
      <c r="L1151" s="11">
        <v>150.28</v>
      </c>
      <c r="M1151" s="11">
        <v>65799.41</v>
      </c>
      <c r="N1151" s="9">
        <f t="shared" si="32"/>
        <v>150.28</v>
      </c>
    </row>
    <row r="1152" spans="1:14" ht="12.75" hidden="1" customHeight="1" x14ac:dyDescent="0.2">
      <c r="A1152">
        <v>65061</v>
      </c>
      <c r="B1152" s="3" t="s">
        <v>1253</v>
      </c>
      <c r="C1152" s="7" t="s">
        <v>319</v>
      </c>
      <c r="D1152" s="7" t="s">
        <v>242</v>
      </c>
      <c r="F1152" s="7" t="s">
        <v>563</v>
      </c>
      <c r="G1152" s="7" t="s">
        <v>1573</v>
      </c>
      <c r="H1152" s="7" t="s">
        <v>1362</v>
      </c>
      <c r="I1152" s="7" t="s">
        <v>1253</v>
      </c>
      <c r="K1152" s="7" t="s">
        <v>842</v>
      </c>
      <c r="L1152" s="11">
        <v>-213.29</v>
      </c>
      <c r="M1152" s="11">
        <v>66948.649999999994</v>
      </c>
      <c r="N1152" s="9">
        <f t="shared" si="32"/>
        <v>-213.29</v>
      </c>
    </row>
    <row r="1153" spans="1:14" ht="12.75" hidden="1" customHeight="1" x14ac:dyDescent="0.2">
      <c r="A1153">
        <v>65061</v>
      </c>
      <c r="B1153" s="3" t="s">
        <v>1253</v>
      </c>
      <c r="C1153" s="7" t="s">
        <v>315</v>
      </c>
      <c r="D1153" s="7" t="s">
        <v>200</v>
      </c>
      <c r="F1153" s="7" t="s">
        <v>548</v>
      </c>
      <c r="G1153" s="7" t="s">
        <v>1573</v>
      </c>
      <c r="H1153" s="7" t="s">
        <v>1362</v>
      </c>
      <c r="I1153" s="7" t="s">
        <v>1253</v>
      </c>
      <c r="K1153" s="7" t="s">
        <v>842</v>
      </c>
      <c r="L1153" s="11">
        <v>101.52</v>
      </c>
      <c r="M1153" s="11">
        <v>68232.87</v>
      </c>
      <c r="N1153" s="9">
        <f t="shared" si="32"/>
        <v>101.52</v>
      </c>
    </row>
    <row r="1154" spans="1:14" ht="12.75" hidden="1" customHeight="1" x14ac:dyDescent="0.2">
      <c r="A1154">
        <v>65061</v>
      </c>
      <c r="B1154" s="3" t="s">
        <v>1253</v>
      </c>
      <c r="C1154" s="7" t="s">
        <v>315</v>
      </c>
      <c r="D1154" s="7" t="s">
        <v>200</v>
      </c>
      <c r="F1154" s="7" t="s">
        <v>846</v>
      </c>
      <c r="G1154" s="7" t="s">
        <v>1573</v>
      </c>
      <c r="H1154" s="7" t="s">
        <v>1362</v>
      </c>
      <c r="I1154" s="7" t="s">
        <v>1253</v>
      </c>
      <c r="K1154" s="7" t="s">
        <v>842</v>
      </c>
      <c r="L1154" s="11">
        <v>111.31</v>
      </c>
      <c r="M1154" s="11">
        <v>68524.31</v>
      </c>
      <c r="N1154" s="9">
        <f t="shared" si="32"/>
        <v>111.31</v>
      </c>
    </row>
    <row r="1155" spans="1:14" ht="12.75" hidden="1" customHeight="1" x14ac:dyDescent="0.2">
      <c r="A1155">
        <v>65061</v>
      </c>
      <c r="B1155" s="3" t="s">
        <v>1253</v>
      </c>
      <c r="C1155" s="7" t="s">
        <v>845</v>
      </c>
      <c r="D1155" s="7" t="s">
        <v>200</v>
      </c>
      <c r="F1155" s="7" t="s">
        <v>548</v>
      </c>
      <c r="G1155" s="7" t="s">
        <v>1573</v>
      </c>
      <c r="H1155" s="7" t="s">
        <v>1362</v>
      </c>
      <c r="I1155" s="7" t="s">
        <v>1253</v>
      </c>
      <c r="K1155" s="7" t="s">
        <v>842</v>
      </c>
      <c r="L1155" s="11">
        <v>784.6</v>
      </c>
      <c r="M1155" s="11">
        <v>74286.73</v>
      </c>
      <c r="N1155" s="9">
        <f t="shared" si="32"/>
        <v>784.6</v>
      </c>
    </row>
    <row r="1156" spans="1:14" ht="12.75" hidden="1" customHeight="1" x14ac:dyDescent="0.2">
      <c r="A1156">
        <v>65061</v>
      </c>
      <c r="B1156" s="3" t="s">
        <v>1253</v>
      </c>
      <c r="C1156" s="7" t="s">
        <v>845</v>
      </c>
      <c r="D1156" s="7" t="s">
        <v>200</v>
      </c>
      <c r="F1156" s="7" t="s">
        <v>847</v>
      </c>
      <c r="G1156" s="7" t="s">
        <v>1573</v>
      </c>
      <c r="H1156" s="7" t="s">
        <v>1362</v>
      </c>
      <c r="I1156" s="7" t="s">
        <v>1253</v>
      </c>
      <c r="K1156" s="7" t="s">
        <v>842</v>
      </c>
      <c r="L1156" s="11">
        <v>324.51</v>
      </c>
      <c r="M1156" s="11">
        <v>74587.27</v>
      </c>
      <c r="N1156" s="9">
        <f t="shared" si="32"/>
        <v>324.51</v>
      </c>
    </row>
    <row r="1157" spans="1:14" ht="12.75" hidden="1" customHeight="1" x14ac:dyDescent="0.2">
      <c r="A1157">
        <v>65061</v>
      </c>
      <c r="B1157" s="3" t="s">
        <v>1253</v>
      </c>
      <c r="C1157" s="7" t="s">
        <v>845</v>
      </c>
      <c r="D1157" s="7" t="s">
        <v>200</v>
      </c>
      <c r="F1157" s="7" t="s">
        <v>846</v>
      </c>
      <c r="G1157" s="7" t="s">
        <v>1573</v>
      </c>
      <c r="H1157" s="7" t="s">
        <v>1362</v>
      </c>
      <c r="I1157" s="7" t="s">
        <v>1253</v>
      </c>
      <c r="K1157" s="7" t="s">
        <v>842</v>
      </c>
      <c r="L1157" s="11">
        <v>102.42</v>
      </c>
      <c r="M1157" s="11">
        <v>74689.69</v>
      </c>
      <c r="N1157" s="9">
        <f t="shared" si="32"/>
        <v>102.42</v>
      </c>
    </row>
    <row r="1158" spans="1:14" ht="12.75" hidden="1" customHeight="1" x14ac:dyDescent="0.2">
      <c r="A1158">
        <v>65061</v>
      </c>
      <c r="B1158" s="3" t="s">
        <v>1253</v>
      </c>
      <c r="C1158" s="7" t="s">
        <v>843</v>
      </c>
      <c r="D1158" s="7" t="s">
        <v>200</v>
      </c>
      <c r="F1158" s="7" t="s">
        <v>568</v>
      </c>
      <c r="G1158" s="7" t="s">
        <v>1573</v>
      </c>
      <c r="H1158" s="7" t="s">
        <v>1362</v>
      </c>
      <c r="I1158" s="7" t="s">
        <v>1253</v>
      </c>
      <c r="K1158" s="7" t="s">
        <v>842</v>
      </c>
      <c r="L1158" s="11">
        <v>158.4</v>
      </c>
      <c r="M1158" s="11">
        <v>75012.61</v>
      </c>
      <c r="N1158" s="9">
        <f t="shared" si="32"/>
        <v>158.4</v>
      </c>
    </row>
    <row r="1159" spans="1:14" ht="12.75" hidden="1" customHeight="1" x14ac:dyDescent="0.2">
      <c r="A1159">
        <v>65061</v>
      </c>
      <c r="B1159" s="3" t="s">
        <v>1253</v>
      </c>
      <c r="C1159" s="7" t="s">
        <v>843</v>
      </c>
      <c r="D1159" s="7" t="s">
        <v>200</v>
      </c>
      <c r="F1159" s="7" t="s">
        <v>352</v>
      </c>
      <c r="G1159" s="7" t="s">
        <v>1573</v>
      </c>
      <c r="H1159" s="7" t="s">
        <v>1362</v>
      </c>
      <c r="I1159" s="7" t="s">
        <v>1253</v>
      </c>
      <c r="K1159" s="7" t="s">
        <v>842</v>
      </c>
      <c r="L1159" s="11">
        <v>33.119999999999997</v>
      </c>
      <c r="M1159" s="11">
        <v>74909.2</v>
      </c>
      <c r="N1159" s="9">
        <f t="shared" si="32"/>
        <v>33.119999999999997</v>
      </c>
    </row>
    <row r="1160" spans="1:14" ht="12.75" hidden="1" customHeight="1" x14ac:dyDescent="0.2">
      <c r="A1160">
        <v>65061</v>
      </c>
      <c r="B1160" s="3" t="s">
        <v>1253</v>
      </c>
      <c r="C1160" s="7" t="s">
        <v>233</v>
      </c>
      <c r="D1160" s="7" t="s">
        <v>200</v>
      </c>
      <c r="E1160" s="7">
        <v>458</v>
      </c>
      <c r="F1160" s="7" t="s">
        <v>730</v>
      </c>
      <c r="G1160" s="7" t="s">
        <v>1573</v>
      </c>
      <c r="H1160" s="7" t="s">
        <v>1362</v>
      </c>
      <c r="I1160" s="7" t="s">
        <v>1253</v>
      </c>
      <c r="J1160" s="7" t="s">
        <v>729</v>
      </c>
      <c r="K1160" s="7" t="s">
        <v>198</v>
      </c>
      <c r="L1160" s="11">
        <v>784.48</v>
      </c>
      <c r="M1160" s="11">
        <v>134914.63</v>
      </c>
      <c r="N1160" s="9">
        <f t="shared" ref="N1160:N1191" si="33">IF(A1160&lt;60000,-L1160,+L1160)</f>
        <v>784.48</v>
      </c>
    </row>
    <row r="1161" spans="1:14" ht="12.75" hidden="1" customHeight="1" x14ac:dyDescent="0.2">
      <c r="A1161">
        <v>65061</v>
      </c>
      <c r="B1161" s="3" t="s">
        <v>1253</v>
      </c>
      <c r="C1161" s="7" t="s">
        <v>493</v>
      </c>
      <c r="D1161" s="7" t="s">
        <v>200</v>
      </c>
      <c r="E1161" s="7">
        <v>462</v>
      </c>
      <c r="F1161" s="7" t="s">
        <v>703</v>
      </c>
      <c r="G1161" s="7" t="s">
        <v>1573</v>
      </c>
      <c r="H1161" s="7" t="s">
        <v>1362</v>
      </c>
      <c r="I1161" s="7" t="s">
        <v>1253</v>
      </c>
      <c r="J1161" s="7" t="s">
        <v>702</v>
      </c>
      <c r="K1161" s="7" t="s">
        <v>198</v>
      </c>
      <c r="L1161" s="11">
        <v>295.69</v>
      </c>
      <c r="M1161" s="11">
        <v>143340.51</v>
      </c>
      <c r="N1161" s="9">
        <f t="shared" si="33"/>
        <v>295.69</v>
      </c>
    </row>
    <row r="1162" spans="1:14" ht="12.75" hidden="1" customHeight="1" x14ac:dyDescent="0.2">
      <c r="A1162">
        <v>65062</v>
      </c>
      <c r="B1162" s="3" t="s">
        <v>1254</v>
      </c>
      <c r="C1162" s="7" t="s">
        <v>418</v>
      </c>
      <c r="D1162" s="7" t="s">
        <v>183</v>
      </c>
      <c r="E1162" s="7">
        <v>464</v>
      </c>
      <c r="G1162" s="7" t="s">
        <v>1573</v>
      </c>
      <c r="H1162" s="7" t="s">
        <v>1362</v>
      </c>
      <c r="I1162" s="7" t="s">
        <v>1254</v>
      </c>
      <c r="J1162" s="7" t="s">
        <v>527</v>
      </c>
      <c r="K1162" s="7" t="s">
        <v>180</v>
      </c>
      <c r="L1162" s="11">
        <v>545</v>
      </c>
      <c r="M1162" s="11">
        <v>7780.21</v>
      </c>
      <c r="N1162" s="9">
        <f t="shared" si="33"/>
        <v>545</v>
      </c>
    </row>
    <row r="1163" spans="1:14" ht="12.75" hidden="1" customHeight="1" x14ac:dyDescent="0.2">
      <c r="A1163">
        <v>65062</v>
      </c>
      <c r="B1163" s="3" t="s">
        <v>1254</v>
      </c>
      <c r="C1163" s="7" t="s">
        <v>418</v>
      </c>
      <c r="D1163" s="7" t="s">
        <v>183</v>
      </c>
      <c r="E1163" s="7">
        <v>464</v>
      </c>
      <c r="G1163" s="7" t="s">
        <v>1573</v>
      </c>
      <c r="H1163" s="7" t="s">
        <v>1362</v>
      </c>
      <c r="I1163" s="7" t="s">
        <v>1254</v>
      </c>
      <c r="J1163" s="7" t="s">
        <v>526</v>
      </c>
      <c r="K1163" s="7" t="s">
        <v>180</v>
      </c>
      <c r="L1163" s="11">
        <v>1000</v>
      </c>
      <c r="M1163" s="11">
        <v>8780.2099999999991</v>
      </c>
      <c r="N1163" s="9">
        <f t="shared" si="33"/>
        <v>1000</v>
      </c>
    </row>
    <row r="1164" spans="1:14" ht="12.75" hidden="1" customHeight="1" x14ac:dyDescent="0.2">
      <c r="A1164">
        <v>65062</v>
      </c>
      <c r="B1164" s="3" t="s">
        <v>1254</v>
      </c>
      <c r="C1164" s="7" t="s">
        <v>418</v>
      </c>
      <c r="D1164" s="7" t="s">
        <v>183</v>
      </c>
      <c r="E1164" s="7">
        <v>464</v>
      </c>
      <c r="G1164" s="7" t="s">
        <v>1573</v>
      </c>
      <c r="H1164" s="7" t="s">
        <v>1362</v>
      </c>
      <c r="I1164" s="7" t="s">
        <v>1254</v>
      </c>
      <c r="J1164" s="7" t="s">
        <v>523</v>
      </c>
      <c r="K1164" s="7" t="s">
        <v>180</v>
      </c>
      <c r="L1164" s="11">
        <v>199</v>
      </c>
      <c r="M1164" s="11">
        <v>8979.2099999999991</v>
      </c>
      <c r="N1164" s="9">
        <f t="shared" si="33"/>
        <v>199</v>
      </c>
    </row>
    <row r="1165" spans="1:14" ht="12.75" hidden="1" customHeight="1" x14ac:dyDescent="0.2">
      <c r="A1165">
        <v>65062</v>
      </c>
      <c r="B1165" s="3" t="s">
        <v>1254</v>
      </c>
      <c r="C1165" s="7" t="s">
        <v>418</v>
      </c>
      <c r="D1165" s="7" t="s">
        <v>183</v>
      </c>
      <c r="E1165" s="7">
        <v>464</v>
      </c>
      <c r="G1165" s="7" t="s">
        <v>1573</v>
      </c>
      <c r="H1165" s="7" t="s">
        <v>1362</v>
      </c>
      <c r="I1165" s="7" t="s">
        <v>1254</v>
      </c>
      <c r="J1165" s="7" t="s">
        <v>525</v>
      </c>
      <c r="K1165" s="7" t="s">
        <v>180</v>
      </c>
      <c r="L1165" s="11">
        <v>129.99</v>
      </c>
      <c r="M1165" s="11">
        <v>9109.2000000000007</v>
      </c>
      <c r="N1165" s="9">
        <f t="shared" si="33"/>
        <v>129.99</v>
      </c>
    </row>
    <row r="1166" spans="1:14" ht="12.75" hidden="1" customHeight="1" x14ac:dyDescent="0.2">
      <c r="A1166">
        <v>65062</v>
      </c>
      <c r="B1166" s="3" t="s">
        <v>1254</v>
      </c>
      <c r="C1166" s="7" t="s">
        <v>418</v>
      </c>
      <c r="D1166" s="7" t="s">
        <v>183</v>
      </c>
      <c r="E1166" s="7">
        <v>464</v>
      </c>
      <c r="G1166" s="7" t="s">
        <v>1573</v>
      </c>
      <c r="H1166" s="7" t="s">
        <v>1362</v>
      </c>
      <c r="I1166" s="7" t="s">
        <v>1254</v>
      </c>
      <c r="J1166" s="7" t="s">
        <v>524</v>
      </c>
      <c r="K1166" s="7" t="s">
        <v>180</v>
      </c>
      <c r="L1166" s="11">
        <v>190.25</v>
      </c>
      <c r="M1166" s="11">
        <v>9299.4500000000007</v>
      </c>
      <c r="N1166" s="9">
        <f t="shared" si="33"/>
        <v>190.25</v>
      </c>
    </row>
    <row r="1167" spans="1:14" ht="12.75" hidden="1" customHeight="1" x14ac:dyDescent="0.2">
      <c r="A1167">
        <v>65062</v>
      </c>
      <c r="B1167" s="3" t="s">
        <v>1254</v>
      </c>
      <c r="C1167" s="7" t="s">
        <v>418</v>
      </c>
      <c r="D1167" s="7" t="s">
        <v>183</v>
      </c>
      <c r="E1167" s="7">
        <v>464</v>
      </c>
      <c r="G1167" s="7" t="s">
        <v>1573</v>
      </c>
      <c r="H1167" s="7" t="s">
        <v>1362</v>
      </c>
      <c r="I1167" s="7" t="s">
        <v>1254</v>
      </c>
      <c r="J1167" s="7" t="s">
        <v>523</v>
      </c>
      <c r="K1167" s="7" t="s">
        <v>180</v>
      </c>
      <c r="L1167" s="11">
        <v>42.5</v>
      </c>
      <c r="M1167" s="11">
        <v>9341.9500000000007</v>
      </c>
      <c r="N1167" s="9">
        <f t="shared" si="33"/>
        <v>42.5</v>
      </c>
    </row>
    <row r="1168" spans="1:14" ht="12.75" hidden="1" customHeight="1" x14ac:dyDescent="0.2">
      <c r="A1168">
        <v>65062</v>
      </c>
      <c r="B1168" s="3" t="s">
        <v>1254</v>
      </c>
      <c r="C1168" s="7" t="s">
        <v>418</v>
      </c>
      <c r="D1168" s="7" t="s">
        <v>183</v>
      </c>
      <c r="E1168" s="7">
        <v>464</v>
      </c>
      <c r="G1168" s="7" t="s">
        <v>1573</v>
      </c>
      <c r="H1168" s="7" t="s">
        <v>1362</v>
      </c>
      <c r="I1168" s="7" t="s">
        <v>1254</v>
      </c>
      <c r="J1168" s="7" t="s">
        <v>522</v>
      </c>
      <c r="K1168" s="7" t="s">
        <v>180</v>
      </c>
      <c r="L1168" s="11">
        <v>200</v>
      </c>
      <c r="M1168" s="11">
        <v>9541.9500000000007</v>
      </c>
      <c r="N1168" s="9">
        <f t="shared" si="33"/>
        <v>200</v>
      </c>
    </row>
    <row r="1169" spans="1:14" ht="12.75" hidden="1" customHeight="1" x14ac:dyDescent="0.2">
      <c r="A1169">
        <v>65062</v>
      </c>
      <c r="B1169" s="3" t="s">
        <v>1254</v>
      </c>
      <c r="C1169" s="7" t="s">
        <v>418</v>
      </c>
      <c r="D1169" s="7" t="s">
        <v>183</v>
      </c>
      <c r="E1169" s="7">
        <v>464</v>
      </c>
      <c r="G1169" s="7" t="s">
        <v>1573</v>
      </c>
      <c r="H1169" s="7" t="s">
        <v>1362</v>
      </c>
      <c r="I1169" s="7" t="s">
        <v>1254</v>
      </c>
      <c r="J1169" s="7" t="s">
        <v>521</v>
      </c>
      <c r="K1169" s="7" t="s">
        <v>180</v>
      </c>
      <c r="L1169" s="11">
        <v>100</v>
      </c>
      <c r="M1169" s="11">
        <v>9641.9500000000007</v>
      </c>
      <c r="N1169" s="9">
        <f t="shared" si="33"/>
        <v>100</v>
      </c>
    </row>
    <row r="1170" spans="1:14" ht="12.75" hidden="1" customHeight="1" x14ac:dyDescent="0.2">
      <c r="A1170">
        <v>65062</v>
      </c>
      <c r="B1170" s="3" t="s">
        <v>1254</v>
      </c>
      <c r="C1170" s="7" t="s">
        <v>418</v>
      </c>
      <c r="D1170" s="7" t="s">
        <v>183</v>
      </c>
      <c r="E1170" s="7">
        <v>464</v>
      </c>
      <c r="G1170" s="7" t="s">
        <v>1573</v>
      </c>
      <c r="H1170" s="7" t="s">
        <v>1362</v>
      </c>
      <c r="I1170" s="7" t="s">
        <v>1254</v>
      </c>
      <c r="J1170" s="7" t="s">
        <v>520</v>
      </c>
      <c r="K1170" s="7" t="s">
        <v>180</v>
      </c>
      <c r="L1170" s="11">
        <v>140</v>
      </c>
      <c r="M1170" s="11">
        <v>9781.9500000000007</v>
      </c>
      <c r="N1170" s="9">
        <f t="shared" si="33"/>
        <v>140</v>
      </c>
    </row>
    <row r="1171" spans="1:14" ht="12.75" hidden="1" customHeight="1" x14ac:dyDescent="0.2">
      <c r="A1171">
        <v>65062</v>
      </c>
      <c r="B1171" s="3" t="s">
        <v>1254</v>
      </c>
      <c r="C1171" s="7" t="s">
        <v>516</v>
      </c>
      <c r="D1171" s="7" t="s">
        <v>183</v>
      </c>
      <c r="E1171" s="7">
        <v>533</v>
      </c>
      <c r="G1171" s="7" t="s">
        <v>1573</v>
      </c>
      <c r="H1171" s="7" t="s">
        <v>1362</v>
      </c>
      <c r="I1171" s="7" t="s">
        <v>1254</v>
      </c>
      <c r="J1171" s="7" t="s">
        <v>515</v>
      </c>
      <c r="K1171" s="7" t="s">
        <v>180</v>
      </c>
      <c r="L1171" s="11">
        <v>16.989999999999998</v>
      </c>
      <c r="M1171" s="11">
        <v>11806.35</v>
      </c>
      <c r="N1171" s="9">
        <f t="shared" si="33"/>
        <v>16.989999999999998</v>
      </c>
    </row>
    <row r="1172" spans="1:14" ht="12.75" hidden="1" customHeight="1" x14ac:dyDescent="0.2">
      <c r="A1172">
        <v>65062</v>
      </c>
      <c r="B1172" s="3" t="s">
        <v>1254</v>
      </c>
      <c r="C1172" s="7" t="s">
        <v>516</v>
      </c>
      <c r="D1172" s="7" t="s">
        <v>183</v>
      </c>
      <c r="E1172" s="7">
        <v>533</v>
      </c>
      <c r="G1172" s="7" t="s">
        <v>1573</v>
      </c>
      <c r="H1172" s="7" t="s">
        <v>1362</v>
      </c>
      <c r="I1172" s="7" t="s">
        <v>1254</v>
      </c>
      <c r="J1172" s="7" t="s">
        <v>515</v>
      </c>
      <c r="K1172" s="7" t="s">
        <v>180</v>
      </c>
      <c r="L1172" s="11">
        <v>20</v>
      </c>
      <c r="M1172" s="11">
        <v>11826.35</v>
      </c>
      <c r="N1172" s="9">
        <f t="shared" si="33"/>
        <v>20</v>
      </c>
    </row>
    <row r="1173" spans="1:14" ht="12.75" hidden="1" customHeight="1" x14ac:dyDescent="0.2">
      <c r="A1173">
        <v>65062</v>
      </c>
      <c r="B1173" s="3" t="s">
        <v>1254</v>
      </c>
      <c r="C1173" s="7" t="s">
        <v>516</v>
      </c>
      <c r="D1173" s="7" t="s">
        <v>183</v>
      </c>
      <c r="E1173" s="7">
        <v>533</v>
      </c>
      <c r="G1173" s="7" t="s">
        <v>1573</v>
      </c>
      <c r="H1173" s="7" t="s">
        <v>1362</v>
      </c>
      <c r="I1173" s="7" t="s">
        <v>1254</v>
      </c>
      <c r="J1173" s="7" t="s">
        <v>515</v>
      </c>
      <c r="K1173" s="7" t="s">
        <v>180</v>
      </c>
      <c r="L1173" s="11">
        <v>9.99</v>
      </c>
      <c r="M1173" s="11">
        <v>11836.34</v>
      </c>
      <c r="N1173" s="9">
        <f t="shared" si="33"/>
        <v>9.99</v>
      </c>
    </row>
    <row r="1174" spans="1:14" ht="12.75" hidden="1" customHeight="1" x14ac:dyDescent="0.2">
      <c r="A1174">
        <v>65062</v>
      </c>
      <c r="B1174" s="3" t="s">
        <v>1254</v>
      </c>
      <c r="C1174" s="7" t="s">
        <v>516</v>
      </c>
      <c r="D1174" s="7" t="s">
        <v>183</v>
      </c>
      <c r="E1174" s="7">
        <v>533</v>
      </c>
      <c r="G1174" s="7" t="s">
        <v>1573</v>
      </c>
      <c r="H1174" s="7" t="s">
        <v>1362</v>
      </c>
      <c r="I1174" s="7" t="s">
        <v>1254</v>
      </c>
      <c r="J1174" s="7" t="s">
        <v>515</v>
      </c>
      <c r="K1174" s="7" t="s">
        <v>180</v>
      </c>
      <c r="L1174" s="11">
        <v>25</v>
      </c>
      <c r="M1174" s="11">
        <v>11861.34</v>
      </c>
      <c r="N1174" s="9">
        <f t="shared" si="33"/>
        <v>25</v>
      </c>
    </row>
    <row r="1175" spans="1:14" ht="12.75" hidden="1" customHeight="1" x14ac:dyDescent="0.2">
      <c r="A1175">
        <v>65062</v>
      </c>
      <c r="B1175" s="3" t="s">
        <v>1254</v>
      </c>
      <c r="C1175" s="7" t="s">
        <v>516</v>
      </c>
      <c r="D1175" s="7" t="s">
        <v>183</v>
      </c>
      <c r="E1175" s="7">
        <v>533</v>
      </c>
      <c r="G1175" s="7" t="s">
        <v>1573</v>
      </c>
      <c r="H1175" s="7" t="s">
        <v>1362</v>
      </c>
      <c r="I1175" s="7" t="s">
        <v>1254</v>
      </c>
      <c r="J1175" s="7" t="s">
        <v>515</v>
      </c>
      <c r="K1175" s="7" t="s">
        <v>180</v>
      </c>
      <c r="L1175" s="11">
        <v>9.99</v>
      </c>
      <c r="M1175" s="11">
        <v>11871.33</v>
      </c>
      <c r="N1175" s="9">
        <f t="shared" si="33"/>
        <v>9.99</v>
      </c>
    </row>
    <row r="1176" spans="1:14" ht="12.75" hidden="1" customHeight="1" x14ac:dyDescent="0.2">
      <c r="A1176">
        <v>65062</v>
      </c>
      <c r="B1176" s="3" t="s">
        <v>1254</v>
      </c>
      <c r="C1176" s="7" t="s">
        <v>516</v>
      </c>
      <c r="D1176" s="7" t="s">
        <v>183</v>
      </c>
      <c r="E1176" s="7">
        <v>533</v>
      </c>
      <c r="G1176" s="7" t="s">
        <v>1573</v>
      </c>
      <c r="H1176" s="7" t="s">
        <v>1362</v>
      </c>
      <c r="I1176" s="7" t="s">
        <v>1254</v>
      </c>
      <c r="J1176" s="7" t="s">
        <v>515</v>
      </c>
      <c r="K1176" s="7" t="s">
        <v>180</v>
      </c>
      <c r="L1176" s="11">
        <v>50</v>
      </c>
      <c r="M1176" s="11">
        <v>11921.33</v>
      </c>
      <c r="N1176" s="9">
        <f t="shared" si="33"/>
        <v>50</v>
      </c>
    </row>
    <row r="1177" spans="1:14" ht="12.75" hidden="1" customHeight="1" x14ac:dyDescent="0.2">
      <c r="A1177">
        <v>65062</v>
      </c>
      <c r="B1177" s="3" t="s">
        <v>1254</v>
      </c>
      <c r="C1177" s="7" t="s">
        <v>516</v>
      </c>
      <c r="D1177" s="7" t="s">
        <v>183</v>
      </c>
      <c r="E1177" s="7">
        <v>533</v>
      </c>
      <c r="G1177" s="7" t="s">
        <v>1573</v>
      </c>
      <c r="H1177" s="7" t="s">
        <v>1362</v>
      </c>
      <c r="I1177" s="7" t="s">
        <v>1254</v>
      </c>
      <c r="J1177" s="7" t="s">
        <v>515</v>
      </c>
      <c r="K1177" s="7" t="s">
        <v>180</v>
      </c>
      <c r="L1177" s="11">
        <v>25</v>
      </c>
      <c r="M1177" s="11">
        <v>11946.33</v>
      </c>
      <c r="N1177" s="9">
        <f t="shared" si="33"/>
        <v>25</v>
      </c>
    </row>
    <row r="1178" spans="1:14" ht="12.75" hidden="1" customHeight="1" x14ac:dyDescent="0.2">
      <c r="A1178">
        <v>65062</v>
      </c>
      <c r="B1178" s="3" t="s">
        <v>1254</v>
      </c>
      <c r="C1178" s="7" t="s">
        <v>516</v>
      </c>
      <c r="D1178" s="7" t="s">
        <v>183</v>
      </c>
      <c r="E1178" s="7">
        <v>533</v>
      </c>
      <c r="G1178" s="7" t="s">
        <v>1573</v>
      </c>
      <c r="H1178" s="7" t="s">
        <v>1362</v>
      </c>
      <c r="I1178" s="7" t="s">
        <v>1254</v>
      </c>
      <c r="J1178" s="7" t="s">
        <v>515</v>
      </c>
      <c r="K1178" s="7" t="s">
        <v>180</v>
      </c>
      <c r="L1178" s="11">
        <v>65</v>
      </c>
      <c r="M1178" s="11">
        <v>12011.33</v>
      </c>
      <c r="N1178" s="9">
        <f t="shared" si="33"/>
        <v>65</v>
      </c>
    </row>
    <row r="1179" spans="1:14" ht="12.75" hidden="1" customHeight="1" x14ac:dyDescent="0.2">
      <c r="A1179">
        <v>65062</v>
      </c>
      <c r="B1179" s="3" t="s">
        <v>1254</v>
      </c>
      <c r="C1179" s="7" t="s">
        <v>516</v>
      </c>
      <c r="D1179" s="7" t="s">
        <v>183</v>
      </c>
      <c r="E1179" s="7">
        <v>533</v>
      </c>
      <c r="G1179" s="7" t="s">
        <v>1573</v>
      </c>
      <c r="H1179" s="7" t="s">
        <v>1362</v>
      </c>
      <c r="I1179" s="7" t="s">
        <v>1254</v>
      </c>
      <c r="J1179" s="7" t="s">
        <v>515</v>
      </c>
      <c r="K1179" s="7" t="s">
        <v>180</v>
      </c>
      <c r="L1179" s="11">
        <v>16.989999999999998</v>
      </c>
      <c r="M1179" s="11">
        <v>12028.32</v>
      </c>
      <c r="N1179" s="9">
        <f t="shared" si="33"/>
        <v>16.989999999999998</v>
      </c>
    </row>
    <row r="1180" spans="1:14" ht="12.75" hidden="1" customHeight="1" x14ac:dyDescent="0.2">
      <c r="A1180">
        <v>65062</v>
      </c>
      <c r="B1180" s="3" t="s">
        <v>1254</v>
      </c>
      <c r="C1180" s="7" t="s">
        <v>516</v>
      </c>
      <c r="D1180" s="7" t="s">
        <v>183</v>
      </c>
      <c r="E1180" s="7">
        <v>533</v>
      </c>
      <c r="G1180" s="7" t="s">
        <v>1573</v>
      </c>
      <c r="H1180" s="7" t="s">
        <v>1362</v>
      </c>
      <c r="I1180" s="7" t="s">
        <v>1254</v>
      </c>
      <c r="J1180" s="7" t="s">
        <v>515</v>
      </c>
      <c r="K1180" s="7" t="s">
        <v>180</v>
      </c>
      <c r="L1180" s="11">
        <v>60</v>
      </c>
      <c r="M1180" s="11">
        <v>12088.32</v>
      </c>
      <c r="N1180" s="9">
        <f t="shared" si="33"/>
        <v>60</v>
      </c>
    </row>
    <row r="1181" spans="1:14" ht="12.75" hidden="1" customHeight="1" x14ac:dyDescent="0.2">
      <c r="A1181">
        <v>65062</v>
      </c>
      <c r="B1181" s="3" t="s">
        <v>1254</v>
      </c>
      <c r="C1181" s="7" t="s">
        <v>516</v>
      </c>
      <c r="D1181" s="7" t="s">
        <v>183</v>
      </c>
      <c r="E1181" s="7">
        <v>533</v>
      </c>
      <c r="G1181" s="7" t="s">
        <v>1573</v>
      </c>
      <c r="H1181" s="7" t="s">
        <v>1362</v>
      </c>
      <c r="I1181" s="7" t="s">
        <v>1254</v>
      </c>
      <c r="J1181" s="7" t="s">
        <v>515</v>
      </c>
      <c r="K1181" s="7" t="s">
        <v>180</v>
      </c>
      <c r="L1181" s="11">
        <v>40</v>
      </c>
      <c r="M1181" s="11">
        <v>12128.32</v>
      </c>
      <c r="N1181" s="9">
        <f t="shared" si="33"/>
        <v>40</v>
      </c>
    </row>
    <row r="1182" spans="1:14" ht="12.75" hidden="1" customHeight="1" x14ac:dyDescent="0.2">
      <c r="A1182">
        <v>65062</v>
      </c>
      <c r="B1182" s="3" t="s">
        <v>1254</v>
      </c>
      <c r="C1182" s="7" t="s">
        <v>516</v>
      </c>
      <c r="D1182" s="7" t="s">
        <v>183</v>
      </c>
      <c r="E1182" s="7">
        <v>533</v>
      </c>
      <c r="G1182" s="7" t="s">
        <v>1573</v>
      </c>
      <c r="H1182" s="7" t="s">
        <v>1362</v>
      </c>
      <c r="I1182" s="7" t="s">
        <v>1254</v>
      </c>
      <c r="J1182" s="7" t="s">
        <v>515</v>
      </c>
      <c r="K1182" s="7" t="s">
        <v>180</v>
      </c>
      <c r="L1182" s="11">
        <v>44.99</v>
      </c>
      <c r="M1182" s="11">
        <v>12173.31</v>
      </c>
      <c r="N1182" s="9">
        <f t="shared" si="33"/>
        <v>44.99</v>
      </c>
    </row>
    <row r="1183" spans="1:14" ht="12.75" hidden="1" customHeight="1" x14ac:dyDescent="0.2">
      <c r="A1183">
        <v>65062</v>
      </c>
      <c r="B1183" s="3" t="s">
        <v>1254</v>
      </c>
      <c r="C1183" s="7" t="s">
        <v>516</v>
      </c>
      <c r="D1183" s="7" t="s">
        <v>183</v>
      </c>
      <c r="E1183" s="7">
        <v>533</v>
      </c>
      <c r="G1183" s="7" t="s">
        <v>1573</v>
      </c>
      <c r="H1183" s="7" t="s">
        <v>1362</v>
      </c>
      <c r="I1183" s="7" t="s">
        <v>1254</v>
      </c>
      <c r="J1183" s="7" t="s">
        <v>515</v>
      </c>
      <c r="K1183" s="7" t="s">
        <v>180</v>
      </c>
      <c r="L1183" s="11">
        <v>45</v>
      </c>
      <c r="M1183" s="11">
        <v>12218.31</v>
      </c>
      <c r="N1183" s="9">
        <f t="shared" si="33"/>
        <v>45</v>
      </c>
    </row>
    <row r="1184" spans="1:14" ht="12.75" hidden="1" customHeight="1" x14ac:dyDescent="0.2">
      <c r="A1184">
        <v>65062</v>
      </c>
      <c r="B1184" s="3" t="s">
        <v>1254</v>
      </c>
      <c r="C1184" s="7" t="s">
        <v>516</v>
      </c>
      <c r="D1184" s="7" t="s">
        <v>183</v>
      </c>
      <c r="E1184" s="7">
        <v>533</v>
      </c>
      <c r="G1184" s="7" t="s">
        <v>1573</v>
      </c>
      <c r="H1184" s="7" t="s">
        <v>1362</v>
      </c>
      <c r="I1184" s="7" t="s">
        <v>1254</v>
      </c>
      <c r="J1184" s="7" t="s">
        <v>515</v>
      </c>
      <c r="K1184" s="7" t="s">
        <v>180</v>
      </c>
      <c r="L1184" s="11">
        <v>14</v>
      </c>
      <c r="M1184" s="11">
        <v>12232.31</v>
      </c>
      <c r="N1184" s="9">
        <f t="shared" si="33"/>
        <v>14</v>
      </c>
    </row>
    <row r="1185" spans="1:14" ht="12.75" hidden="1" customHeight="1" x14ac:dyDescent="0.2">
      <c r="A1185">
        <v>65062</v>
      </c>
      <c r="B1185" s="3" t="s">
        <v>1254</v>
      </c>
      <c r="C1185" s="7" t="s">
        <v>516</v>
      </c>
      <c r="D1185" s="7" t="s">
        <v>183</v>
      </c>
      <c r="E1185" s="7">
        <v>533</v>
      </c>
      <c r="G1185" s="7" t="s">
        <v>1573</v>
      </c>
      <c r="H1185" s="7" t="s">
        <v>1362</v>
      </c>
      <c r="I1185" s="7" t="s">
        <v>1254</v>
      </c>
      <c r="J1185" s="7" t="s">
        <v>515</v>
      </c>
      <c r="K1185" s="7" t="s">
        <v>180</v>
      </c>
      <c r="L1185" s="11">
        <v>14</v>
      </c>
      <c r="M1185" s="11">
        <v>12246.31</v>
      </c>
      <c r="N1185" s="9">
        <f t="shared" si="33"/>
        <v>14</v>
      </c>
    </row>
    <row r="1186" spans="1:14" ht="12.75" hidden="1" customHeight="1" x14ac:dyDescent="0.2">
      <c r="A1186">
        <v>65062</v>
      </c>
      <c r="B1186" s="3" t="s">
        <v>1254</v>
      </c>
      <c r="C1186" s="7" t="s">
        <v>516</v>
      </c>
      <c r="D1186" s="7" t="s">
        <v>183</v>
      </c>
      <c r="E1186" s="7">
        <v>533</v>
      </c>
      <c r="G1186" s="7" t="s">
        <v>1573</v>
      </c>
      <c r="H1186" s="7" t="s">
        <v>1362</v>
      </c>
      <c r="I1186" s="7" t="s">
        <v>1254</v>
      </c>
      <c r="J1186" s="7" t="s">
        <v>515</v>
      </c>
      <c r="K1186" s="7" t="s">
        <v>180</v>
      </c>
      <c r="L1186" s="11">
        <v>9.5</v>
      </c>
      <c r="M1186" s="11">
        <v>12255.81</v>
      </c>
      <c r="N1186" s="9">
        <f t="shared" si="33"/>
        <v>9.5</v>
      </c>
    </row>
    <row r="1187" spans="1:14" ht="12.75" hidden="1" customHeight="1" x14ac:dyDescent="0.2">
      <c r="A1187">
        <v>65062</v>
      </c>
      <c r="B1187" s="3" t="s">
        <v>1254</v>
      </c>
      <c r="C1187" s="7" t="s">
        <v>516</v>
      </c>
      <c r="D1187" s="7" t="s">
        <v>183</v>
      </c>
      <c r="E1187" s="7">
        <v>533</v>
      </c>
      <c r="G1187" s="7" t="s">
        <v>1573</v>
      </c>
      <c r="H1187" s="7" t="s">
        <v>1362</v>
      </c>
      <c r="I1187" s="7" t="s">
        <v>1254</v>
      </c>
      <c r="J1187" s="7" t="s">
        <v>515</v>
      </c>
      <c r="K1187" s="7" t="s">
        <v>180</v>
      </c>
      <c r="L1187" s="11">
        <v>10</v>
      </c>
      <c r="M1187" s="11">
        <v>12265.81</v>
      </c>
      <c r="N1187" s="9">
        <f t="shared" si="33"/>
        <v>10</v>
      </c>
    </row>
    <row r="1188" spans="1:14" ht="12.75" hidden="1" customHeight="1" x14ac:dyDescent="0.2">
      <c r="A1188">
        <v>65062</v>
      </c>
      <c r="B1188" s="3" t="s">
        <v>1254</v>
      </c>
      <c r="C1188" s="7" t="s">
        <v>516</v>
      </c>
      <c r="D1188" s="7" t="s">
        <v>183</v>
      </c>
      <c r="E1188" s="7">
        <v>533</v>
      </c>
      <c r="G1188" s="7" t="s">
        <v>1573</v>
      </c>
      <c r="H1188" s="7" t="s">
        <v>1362</v>
      </c>
      <c r="I1188" s="7" t="s">
        <v>1254</v>
      </c>
      <c r="J1188" s="7" t="s">
        <v>515</v>
      </c>
      <c r="K1188" s="7" t="s">
        <v>180</v>
      </c>
      <c r="L1188" s="11">
        <v>18</v>
      </c>
      <c r="M1188" s="11">
        <v>12283.81</v>
      </c>
      <c r="N1188" s="9">
        <f t="shared" si="33"/>
        <v>18</v>
      </c>
    </row>
    <row r="1189" spans="1:14" ht="12.75" hidden="1" customHeight="1" x14ac:dyDescent="0.2">
      <c r="A1189">
        <v>65062</v>
      </c>
      <c r="B1189" s="3" t="s">
        <v>1254</v>
      </c>
      <c r="C1189" s="7" t="s">
        <v>516</v>
      </c>
      <c r="D1189" s="7" t="s">
        <v>183</v>
      </c>
      <c r="E1189" s="7">
        <v>533</v>
      </c>
      <c r="G1189" s="7" t="s">
        <v>1573</v>
      </c>
      <c r="H1189" s="7" t="s">
        <v>1362</v>
      </c>
      <c r="I1189" s="7" t="s">
        <v>1254</v>
      </c>
      <c r="J1189" s="7" t="s">
        <v>515</v>
      </c>
      <c r="K1189" s="7" t="s">
        <v>180</v>
      </c>
      <c r="L1189" s="11">
        <v>8</v>
      </c>
      <c r="M1189" s="11">
        <v>12291.81</v>
      </c>
      <c r="N1189" s="9">
        <f t="shared" si="33"/>
        <v>8</v>
      </c>
    </row>
    <row r="1190" spans="1:14" ht="12.75" hidden="1" customHeight="1" x14ac:dyDescent="0.2">
      <c r="A1190">
        <v>65062</v>
      </c>
      <c r="B1190" s="3" t="s">
        <v>1254</v>
      </c>
      <c r="C1190" s="7" t="s">
        <v>516</v>
      </c>
      <c r="D1190" s="7" t="s">
        <v>183</v>
      </c>
      <c r="E1190" s="7">
        <v>533</v>
      </c>
      <c r="G1190" s="7" t="s">
        <v>1573</v>
      </c>
      <c r="H1190" s="7" t="s">
        <v>1362</v>
      </c>
      <c r="I1190" s="7" t="s">
        <v>1254</v>
      </c>
      <c r="J1190" s="7" t="s">
        <v>515</v>
      </c>
      <c r="K1190" s="7" t="s">
        <v>180</v>
      </c>
      <c r="L1190" s="11">
        <v>28</v>
      </c>
      <c r="M1190" s="11">
        <v>12319.81</v>
      </c>
      <c r="N1190" s="9">
        <f t="shared" si="33"/>
        <v>28</v>
      </c>
    </row>
    <row r="1191" spans="1:14" ht="12.75" hidden="1" customHeight="1" x14ac:dyDescent="0.2">
      <c r="A1191">
        <v>65062</v>
      </c>
      <c r="B1191" s="3" t="s">
        <v>1254</v>
      </c>
      <c r="C1191" s="7" t="s">
        <v>507</v>
      </c>
      <c r="D1191" s="7" t="s">
        <v>183</v>
      </c>
      <c r="E1191" s="7">
        <v>534</v>
      </c>
      <c r="G1191" s="7" t="s">
        <v>1573</v>
      </c>
      <c r="H1191" s="7" t="s">
        <v>1362</v>
      </c>
      <c r="I1191" s="7" t="s">
        <v>1254</v>
      </c>
      <c r="J1191" s="7" t="s">
        <v>506</v>
      </c>
      <c r="K1191" s="7" t="s">
        <v>180</v>
      </c>
      <c r="L1191" s="11">
        <v>3</v>
      </c>
      <c r="M1191" s="11">
        <v>14382.38</v>
      </c>
      <c r="N1191" s="9">
        <f t="shared" si="33"/>
        <v>3</v>
      </c>
    </row>
    <row r="1192" spans="1:14" ht="12.75" hidden="1" customHeight="1" x14ac:dyDescent="0.2">
      <c r="A1192">
        <v>65062</v>
      </c>
      <c r="B1192" s="3" t="s">
        <v>1254</v>
      </c>
      <c r="C1192" s="7" t="s">
        <v>507</v>
      </c>
      <c r="D1192" s="7" t="s">
        <v>183</v>
      </c>
      <c r="E1192" s="7">
        <v>534</v>
      </c>
      <c r="G1192" s="7" t="s">
        <v>1573</v>
      </c>
      <c r="H1192" s="7" t="s">
        <v>1362</v>
      </c>
      <c r="I1192" s="7" t="s">
        <v>1254</v>
      </c>
      <c r="J1192" s="7" t="s">
        <v>506</v>
      </c>
      <c r="K1192" s="7" t="s">
        <v>180</v>
      </c>
      <c r="L1192" s="11">
        <v>36</v>
      </c>
      <c r="M1192" s="11">
        <v>14418.38</v>
      </c>
      <c r="N1192" s="9">
        <f t="shared" ref="N1192:N1219" si="34">IF(A1192&lt;60000,-L1192,+L1192)</f>
        <v>36</v>
      </c>
    </row>
    <row r="1193" spans="1:14" ht="12.75" hidden="1" customHeight="1" x14ac:dyDescent="0.2">
      <c r="A1193">
        <v>65062</v>
      </c>
      <c r="B1193" s="3" t="s">
        <v>1254</v>
      </c>
      <c r="C1193" s="7" t="s">
        <v>507</v>
      </c>
      <c r="D1193" s="7" t="s">
        <v>183</v>
      </c>
      <c r="E1193" s="7">
        <v>534</v>
      </c>
      <c r="G1193" s="7" t="s">
        <v>1573</v>
      </c>
      <c r="H1193" s="7" t="s">
        <v>1362</v>
      </c>
      <c r="I1193" s="7" t="s">
        <v>1254</v>
      </c>
      <c r="J1193" s="7" t="s">
        <v>506</v>
      </c>
      <c r="K1193" s="7" t="s">
        <v>180</v>
      </c>
      <c r="L1193" s="11">
        <v>15.25</v>
      </c>
      <c r="M1193" s="11">
        <v>14433.63</v>
      </c>
      <c r="N1193" s="9">
        <f t="shared" si="34"/>
        <v>15.25</v>
      </c>
    </row>
    <row r="1194" spans="1:14" ht="12.75" hidden="1" customHeight="1" x14ac:dyDescent="0.2">
      <c r="A1194">
        <v>65062</v>
      </c>
      <c r="B1194" s="3" t="s">
        <v>1254</v>
      </c>
      <c r="C1194" s="7" t="s">
        <v>507</v>
      </c>
      <c r="D1194" s="7" t="s">
        <v>183</v>
      </c>
      <c r="E1194" s="7">
        <v>534</v>
      </c>
      <c r="G1194" s="7" t="s">
        <v>1573</v>
      </c>
      <c r="H1194" s="7" t="s">
        <v>1362</v>
      </c>
      <c r="I1194" s="7" t="s">
        <v>1254</v>
      </c>
      <c r="J1194" s="7" t="s">
        <v>506</v>
      </c>
      <c r="K1194" s="7" t="s">
        <v>180</v>
      </c>
      <c r="L1194" s="11">
        <v>115</v>
      </c>
      <c r="M1194" s="11">
        <v>14548.63</v>
      </c>
      <c r="N1194" s="9">
        <f t="shared" si="34"/>
        <v>115</v>
      </c>
    </row>
    <row r="1195" spans="1:14" ht="12.75" hidden="1" customHeight="1" x14ac:dyDescent="0.2">
      <c r="A1195">
        <v>65062</v>
      </c>
      <c r="B1195" s="3" t="s">
        <v>1254</v>
      </c>
      <c r="C1195" s="7" t="s">
        <v>507</v>
      </c>
      <c r="D1195" s="7" t="s">
        <v>183</v>
      </c>
      <c r="E1195" s="7">
        <v>534</v>
      </c>
      <c r="G1195" s="7" t="s">
        <v>1573</v>
      </c>
      <c r="H1195" s="7" t="s">
        <v>1362</v>
      </c>
      <c r="I1195" s="7" t="s">
        <v>1254</v>
      </c>
      <c r="J1195" s="7" t="s">
        <v>506</v>
      </c>
      <c r="K1195" s="7" t="s">
        <v>180</v>
      </c>
      <c r="L1195" s="11">
        <v>30</v>
      </c>
      <c r="M1195" s="11">
        <v>14578.63</v>
      </c>
      <c r="N1195" s="9">
        <f t="shared" si="34"/>
        <v>30</v>
      </c>
    </row>
    <row r="1196" spans="1:14" ht="12.75" hidden="1" customHeight="1" x14ac:dyDescent="0.2">
      <c r="A1196">
        <v>65062</v>
      </c>
      <c r="B1196" s="3" t="s">
        <v>1254</v>
      </c>
      <c r="C1196" s="7" t="s">
        <v>507</v>
      </c>
      <c r="D1196" s="7" t="s">
        <v>183</v>
      </c>
      <c r="E1196" s="7">
        <v>534</v>
      </c>
      <c r="G1196" s="7" t="s">
        <v>1573</v>
      </c>
      <c r="H1196" s="7" t="s">
        <v>1362</v>
      </c>
      <c r="I1196" s="7" t="s">
        <v>1254</v>
      </c>
      <c r="J1196" s="7" t="s">
        <v>506</v>
      </c>
      <c r="K1196" s="7" t="s">
        <v>180</v>
      </c>
      <c r="L1196" s="11">
        <v>34</v>
      </c>
      <c r="M1196" s="11">
        <v>14612.63</v>
      </c>
      <c r="N1196" s="9">
        <f t="shared" si="34"/>
        <v>34</v>
      </c>
    </row>
    <row r="1197" spans="1:14" ht="12.75" hidden="1" customHeight="1" x14ac:dyDescent="0.2">
      <c r="A1197">
        <v>65062</v>
      </c>
      <c r="B1197" s="3" t="s">
        <v>1254</v>
      </c>
      <c r="C1197" s="7" t="s">
        <v>507</v>
      </c>
      <c r="D1197" s="7" t="s">
        <v>183</v>
      </c>
      <c r="E1197" s="7">
        <v>534</v>
      </c>
      <c r="G1197" s="7" t="s">
        <v>1573</v>
      </c>
      <c r="H1197" s="7" t="s">
        <v>1362</v>
      </c>
      <c r="I1197" s="7" t="s">
        <v>1254</v>
      </c>
      <c r="J1197" s="7" t="s">
        <v>506</v>
      </c>
      <c r="K1197" s="7" t="s">
        <v>180</v>
      </c>
      <c r="L1197" s="11">
        <v>20</v>
      </c>
      <c r="M1197" s="11">
        <v>14632.63</v>
      </c>
      <c r="N1197" s="9">
        <f t="shared" si="34"/>
        <v>20</v>
      </c>
    </row>
    <row r="1198" spans="1:14" ht="12.75" hidden="1" customHeight="1" x14ac:dyDescent="0.2">
      <c r="A1198">
        <v>65062</v>
      </c>
      <c r="B1198" s="3" t="s">
        <v>1254</v>
      </c>
      <c r="C1198" s="7" t="s">
        <v>507</v>
      </c>
      <c r="D1198" s="7" t="s">
        <v>183</v>
      </c>
      <c r="E1198" s="7">
        <v>534</v>
      </c>
      <c r="G1198" s="7" t="s">
        <v>1573</v>
      </c>
      <c r="H1198" s="7" t="s">
        <v>1362</v>
      </c>
      <c r="I1198" s="7" t="s">
        <v>1254</v>
      </c>
      <c r="J1198" s="7" t="s">
        <v>506</v>
      </c>
      <c r="K1198" s="7" t="s">
        <v>180</v>
      </c>
      <c r="L1198" s="11">
        <v>35</v>
      </c>
      <c r="M1198" s="11">
        <v>14667.63</v>
      </c>
      <c r="N1198" s="9">
        <f t="shared" si="34"/>
        <v>35</v>
      </c>
    </row>
    <row r="1199" spans="1:14" ht="12.75" hidden="1" customHeight="1" x14ac:dyDescent="0.2">
      <c r="A1199">
        <v>65062</v>
      </c>
      <c r="B1199" s="3" t="s">
        <v>1254</v>
      </c>
      <c r="C1199" s="7" t="s">
        <v>507</v>
      </c>
      <c r="D1199" s="7" t="s">
        <v>183</v>
      </c>
      <c r="E1199" s="7">
        <v>534</v>
      </c>
      <c r="G1199" s="7" t="s">
        <v>1573</v>
      </c>
      <c r="H1199" s="7" t="s">
        <v>1362</v>
      </c>
      <c r="I1199" s="7" t="s">
        <v>1254</v>
      </c>
      <c r="J1199" s="7" t="s">
        <v>506</v>
      </c>
      <c r="K1199" s="7" t="s">
        <v>180</v>
      </c>
      <c r="L1199" s="11">
        <v>375</v>
      </c>
      <c r="M1199" s="11">
        <v>15042.63</v>
      </c>
      <c r="N1199" s="9">
        <f t="shared" si="34"/>
        <v>375</v>
      </c>
    </row>
    <row r="1200" spans="1:14" ht="12.75" hidden="1" customHeight="1" x14ac:dyDescent="0.2">
      <c r="A1200">
        <v>65062</v>
      </c>
      <c r="B1200" s="3" t="s">
        <v>1254</v>
      </c>
      <c r="C1200" s="7" t="s">
        <v>507</v>
      </c>
      <c r="D1200" s="7" t="s">
        <v>183</v>
      </c>
      <c r="E1200" s="7">
        <v>534</v>
      </c>
      <c r="G1200" s="7" t="s">
        <v>1573</v>
      </c>
      <c r="H1200" s="7" t="s">
        <v>1362</v>
      </c>
      <c r="I1200" s="7" t="s">
        <v>1254</v>
      </c>
      <c r="J1200" s="7" t="s">
        <v>506</v>
      </c>
      <c r="K1200" s="7" t="s">
        <v>180</v>
      </c>
      <c r="L1200" s="11">
        <v>10</v>
      </c>
      <c r="M1200" s="11">
        <v>15052.63</v>
      </c>
      <c r="N1200" s="9">
        <f t="shared" si="34"/>
        <v>10</v>
      </c>
    </row>
    <row r="1201" spans="1:14" ht="12.75" hidden="1" customHeight="1" x14ac:dyDescent="0.2">
      <c r="A1201">
        <v>65062</v>
      </c>
      <c r="B1201" s="3" t="s">
        <v>1254</v>
      </c>
      <c r="C1201" s="7" t="s">
        <v>507</v>
      </c>
      <c r="D1201" s="7" t="s">
        <v>183</v>
      </c>
      <c r="E1201" s="7">
        <v>534</v>
      </c>
      <c r="G1201" s="7" t="s">
        <v>1573</v>
      </c>
      <c r="H1201" s="7" t="s">
        <v>1362</v>
      </c>
      <c r="I1201" s="7" t="s">
        <v>1254</v>
      </c>
      <c r="J1201" s="7" t="s">
        <v>506</v>
      </c>
      <c r="K1201" s="7" t="s">
        <v>180</v>
      </c>
      <c r="L1201" s="11">
        <v>25</v>
      </c>
      <c r="M1201" s="11">
        <v>15077.63</v>
      </c>
      <c r="N1201" s="9">
        <f t="shared" si="34"/>
        <v>25</v>
      </c>
    </row>
    <row r="1202" spans="1:14" ht="12.75" hidden="1" customHeight="1" x14ac:dyDescent="0.2">
      <c r="A1202">
        <v>65062</v>
      </c>
      <c r="B1202" s="3" t="s">
        <v>1254</v>
      </c>
      <c r="C1202" s="7" t="s">
        <v>507</v>
      </c>
      <c r="D1202" s="7" t="s">
        <v>183</v>
      </c>
      <c r="E1202" s="7">
        <v>534</v>
      </c>
      <c r="G1202" s="7" t="s">
        <v>1573</v>
      </c>
      <c r="H1202" s="7" t="s">
        <v>1362</v>
      </c>
      <c r="I1202" s="7" t="s">
        <v>1254</v>
      </c>
      <c r="J1202" s="7" t="s">
        <v>506</v>
      </c>
      <c r="K1202" s="7" t="s">
        <v>180</v>
      </c>
      <c r="L1202" s="11">
        <v>15</v>
      </c>
      <c r="M1202" s="11">
        <v>15092.63</v>
      </c>
      <c r="N1202" s="9">
        <f t="shared" si="34"/>
        <v>15</v>
      </c>
    </row>
    <row r="1203" spans="1:14" ht="12.75" hidden="1" customHeight="1" x14ac:dyDescent="0.2">
      <c r="A1203">
        <v>65062</v>
      </c>
      <c r="B1203" s="3" t="s">
        <v>1254</v>
      </c>
      <c r="C1203" s="7" t="s">
        <v>507</v>
      </c>
      <c r="D1203" s="7" t="s">
        <v>183</v>
      </c>
      <c r="E1203" s="7">
        <v>534</v>
      </c>
      <c r="G1203" s="7" t="s">
        <v>1573</v>
      </c>
      <c r="H1203" s="7" t="s">
        <v>1362</v>
      </c>
      <c r="I1203" s="7" t="s">
        <v>1254</v>
      </c>
      <c r="J1203" s="7" t="s">
        <v>506</v>
      </c>
      <c r="K1203" s="7" t="s">
        <v>180</v>
      </c>
      <c r="L1203" s="11">
        <v>30</v>
      </c>
      <c r="M1203" s="11">
        <v>15122.63</v>
      </c>
      <c r="N1203" s="9">
        <f t="shared" si="34"/>
        <v>30</v>
      </c>
    </row>
    <row r="1204" spans="1:14" ht="12.75" hidden="1" customHeight="1" x14ac:dyDescent="0.2">
      <c r="A1204">
        <v>65062</v>
      </c>
      <c r="B1204" s="3" t="s">
        <v>1254</v>
      </c>
      <c r="C1204" s="7" t="s">
        <v>507</v>
      </c>
      <c r="D1204" s="7" t="s">
        <v>183</v>
      </c>
      <c r="E1204" s="7">
        <v>534</v>
      </c>
      <c r="G1204" s="7" t="s">
        <v>1573</v>
      </c>
      <c r="H1204" s="7" t="s">
        <v>1362</v>
      </c>
      <c r="I1204" s="7" t="s">
        <v>1254</v>
      </c>
      <c r="J1204" s="7" t="s">
        <v>506</v>
      </c>
      <c r="K1204" s="7" t="s">
        <v>180</v>
      </c>
      <c r="L1204" s="11">
        <v>300</v>
      </c>
      <c r="M1204" s="11">
        <v>15422.63</v>
      </c>
      <c r="N1204" s="9">
        <f t="shared" si="34"/>
        <v>300</v>
      </c>
    </row>
    <row r="1205" spans="1:14" ht="12.75" hidden="1" customHeight="1" x14ac:dyDescent="0.2">
      <c r="A1205">
        <v>65062</v>
      </c>
      <c r="B1205" s="3" t="s">
        <v>1254</v>
      </c>
      <c r="C1205" s="7" t="s">
        <v>507</v>
      </c>
      <c r="D1205" s="7" t="s">
        <v>183</v>
      </c>
      <c r="E1205" s="7">
        <v>534</v>
      </c>
      <c r="G1205" s="7" t="s">
        <v>1573</v>
      </c>
      <c r="H1205" s="7" t="s">
        <v>1362</v>
      </c>
      <c r="I1205" s="7" t="s">
        <v>1254</v>
      </c>
      <c r="J1205" s="7" t="s">
        <v>506</v>
      </c>
      <c r="K1205" s="7" t="s">
        <v>180</v>
      </c>
      <c r="L1205" s="11">
        <v>25</v>
      </c>
      <c r="M1205" s="11">
        <v>15447.63</v>
      </c>
      <c r="N1205" s="9">
        <f t="shared" si="34"/>
        <v>25</v>
      </c>
    </row>
    <row r="1206" spans="1:14" ht="12.75" hidden="1" customHeight="1" x14ac:dyDescent="0.2">
      <c r="A1206">
        <v>65062</v>
      </c>
      <c r="B1206" s="3" t="s">
        <v>1254</v>
      </c>
      <c r="C1206" s="7" t="s">
        <v>507</v>
      </c>
      <c r="D1206" s="7" t="s">
        <v>183</v>
      </c>
      <c r="E1206" s="7">
        <v>534</v>
      </c>
      <c r="G1206" s="7" t="s">
        <v>1573</v>
      </c>
      <c r="H1206" s="7" t="s">
        <v>1362</v>
      </c>
      <c r="I1206" s="7" t="s">
        <v>1254</v>
      </c>
      <c r="J1206" s="7" t="s">
        <v>506</v>
      </c>
      <c r="K1206" s="7" t="s">
        <v>180</v>
      </c>
      <c r="L1206" s="11">
        <v>1500</v>
      </c>
      <c r="M1206" s="11">
        <v>16947.63</v>
      </c>
      <c r="N1206" s="9">
        <f t="shared" si="34"/>
        <v>1500</v>
      </c>
    </row>
    <row r="1207" spans="1:14" ht="12.75" hidden="1" customHeight="1" x14ac:dyDescent="0.2">
      <c r="A1207">
        <v>65062</v>
      </c>
      <c r="B1207" s="3" t="s">
        <v>1254</v>
      </c>
      <c r="C1207" s="7" t="s">
        <v>507</v>
      </c>
      <c r="D1207" s="7" t="s">
        <v>183</v>
      </c>
      <c r="E1207" s="7">
        <v>534</v>
      </c>
      <c r="G1207" s="7" t="s">
        <v>1573</v>
      </c>
      <c r="H1207" s="7" t="s">
        <v>1362</v>
      </c>
      <c r="I1207" s="7" t="s">
        <v>1254</v>
      </c>
      <c r="J1207" s="7" t="s">
        <v>506</v>
      </c>
      <c r="K1207" s="7" t="s">
        <v>180</v>
      </c>
      <c r="L1207" s="11">
        <v>40</v>
      </c>
      <c r="M1207" s="11">
        <v>16987.63</v>
      </c>
      <c r="N1207" s="9">
        <f t="shared" si="34"/>
        <v>40</v>
      </c>
    </row>
    <row r="1208" spans="1:14" ht="12.75" hidden="1" customHeight="1" x14ac:dyDescent="0.2">
      <c r="A1208">
        <v>65062</v>
      </c>
      <c r="B1208" s="3" t="s">
        <v>1254</v>
      </c>
      <c r="C1208" s="7" t="s">
        <v>507</v>
      </c>
      <c r="D1208" s="7" t="s">
        <v>183</v>
      </c>
      <c r="E1208" s="7">
        <v>534</v>
      </c>
      <c r="G1208" s="7" t="s">
        <v>1573</v>
      </c>
      <c r="H1208" s="7" t="s">
        <v>1362</v>
      </c>
      <c r="I1208" s="7" t="s">
        <v>1254</v>
      </c>
      <c r="J1208" s="7" t="s">
        <v>506</v>
      </c>
      <c r="K1208" s="7" t="s">
        <v>180</v>
      </c>
      <c r="L1208" s="11">
        <v>1200</v>
      </c>
      <c r="M1208" s="11">
        <v>18187.63</v>
      </c>
      <c r="N1208" s="9">
        <f t="shared" si="34"/>
        <v>1200</v>
      </c>
    </row>
    <row r="1209" spans="1:14" ht="12.75" hidden="1" customHeight="1" x14ac:dyDescent="0.2">
      <c r="A1209">
        <v>65062</v>
      </c>
      <c r="B1209" s="3" t="s">
        <v>1254</v>
      </c>
      <c r="C1209" s="7" t="s">
        <v>507</v>
      </c>
      <c r="D1209" s="7" t="s">
        <v>183</v>
      </c>
      <c r="E1209" s="7">
        <v>534</v>
      </c>
      <c r="G1209" s="7" t="s">
        <v>1573</v>
      </c>
      <c r="H1209" s="7" t="s">
        <v>1362</v>
      </c>
      <c r="I1209" s="7" t="s">
        <v>1254</v>
      </c>
      <c r="J1209" s="7" t="s">
        <v>506</v>
      </c>
      <c r="K1209" s="7" t="s">
        <v>180</v>
      </c>
      <c r="L1209" s="11">
        <v>535</v>
      </c>
      <c r="M1209" s="11">
        <v>18722.63</v>
      </c>
      <c r="N1209" s="9">
        <f t="shared" si="34"/>
        <v>535</v>
      </c>
    </row>
    <row r="1210" spans="1:14" ht="12.75" hidden="1" customHeight="1" x14ac:dyDescent="0.2">
      <c r="A1210">
        <v>65062</v>
      </c>
      <c r="B1210" s="3" t="s">
        <v>1254</v>
      </c>
      <c r="C1210" s="7" t="s">
        <v>507</v>
      </c>
      <c r="D1210" s="7" t="s">
        <v>183</v>
      </c>
      <c r="E1210" s="7">
        <v>534</v>
      </c>
      <c r="G1210" s="7" t="s">
        <v>1573</v>
      </c>
      <c r="H1210" s="7" t="s">
        <v>1362</v>
      </c>
      <c r="I1210" s="7" t="s">
        <v>1254</v>
      </c>
      <c r="J1210" s="7" t="s">
        <v>506</v>
      </c>
      <c r="K1210" s="7" t="s">
        <v>180</v>
      </c>
      <c r="L1210" s="11">
        <v>90</v>
      </c>
      <c r="M1210" s="11">
        <v>18812.63</v>
      </c>
      <c r="N1210" s="9">
        <f t="shared" si="34"/>
        <v>90</v>
      </c>
    </row>
    <row r="1211" spans="1:14" ht="12.75" hidden="1" customHeight="1" x14ac:dyDescent="0.2">
      <c r="A1211">
        <v>65062</v>
      </c>
      <c r="B1211" s="3" t="s">
        <v>1254</v>
      </c>
      <c r="C1211" s="7" t="s">
        <v>507</v>
      </c>
      <c r="D1211" s="7" t="s">
        <v>183</v>
      </c>
      <c r="E1211" s="7">
        <v>534</v>
      </c>
      <c r="G1211" s="7" t="s">
        <v>1573</v>
      </c>
      <c r="H1211" s="7" t="s">
        <v>1362</v>
      </c>
      <c r="I1211" s="7" t="s">
        <v>1254</v>
      </c>
      <c r="J1211" s="7" t="s">
        <v>506</v>
      </c>
      <c r="K1211" s="7" t="s">
        <v>180</v>
      </c>
      <c r="L1211" s="11">
        <v>24</v>
      </c>
      <c r="M1211" s="11">
        <v>18836.63</v>
      </c>
      <c r="N1211" s="9">
        <f t="shared" si="34"/>
        <v>24</v>
      </c>
    </row>
    <row r="1212" spans="1:14" ht="12.75" hidden="1" customHeight="1" x14ac:dyDescent="0.2">
      <c r="A1212">
        <v>65062</v>
      </c>
      <c r="B1212" s="3" t="s">
        <v>1254</v>
      </c>
      <c r="C1212" s="7" t="s">
        <v>507</v>
      </c>
      <c r="D1212" s="7" t="s">
        <v>183</v>
      </c>
      <c r="E1212" s="7">
        <v>534</v>
      </c>
      <c r="G1212" s="7" t="s">
        <v>1573</v>
      </c>
      <c r="H1212" s="7" t="s">
        <v>1362</v>
      </c>
      <c r="I1212" s="7" t="s">
        <v>1254</v>
      </c>
      <c r="J1212" s="7" t="s">
        <v>506</v>
      </c>
      <c r="K1212" s="7" t="s">
        <v>180</v>
      </c>
      <c r="L1212" s="11">
        <v>40</v>
      </c>
      <c r="M1212" s="11">
        <v>18876.63</v>
      </c>
      <c r="N1212" s="9">
        <f t="shared" si="34"/>
        <v>40</v>
      </c>
    </row>
    <row r="1213" spans="1:14" ht="12.75" hidden="1" customHeight="1" x14ac:dyDescent="0.2">
      <c r="A1213">
        <v>65062</v>
      </c>
      <c r="B1213" s="3" t="s">
        <v>1254</v>
      </c>
      <c r="C1213" s="7" t="s">
        <v>507</v>
      </c>
      <c r="D1213" s="7" t="s">
        <v>183</v>
      </c>
      <c r="E1213" s="7">
        <v>534</v>
      </c>
      <c r="G1213" s="7" t="s">
        <v>1573</v>
      </c>
      <c r="H1213" s="7" t="s">
        <v>1362</v>
      </c>
      <c r="I1213" s="7" t="s">
        <v>1254</v>
      </c>
      <c r="J1213" s="7" t="s">
        <v>506</v>
      </c>
      <c r="K1213" s="7" t="s">
        <v>180</v>
      </c>
      <c r="L1213" s="11">
        <v>75</v>
      </c>
      <c r="M1213" s="11">
        <v>18951.63</v>
      </c>
      <c r="N1213" s="9">
        <f t="shared" si="34"/>
        <v>75</v>
      </c>
    </row>
    <row r="1214" spans="1:14" ht="12.75" hidden="1" customHeight="1" x14ac:dyDescent="0.2">
      <c r="A1214">
        <v>65062</v>
      </c>
      <c r="B1214" s="3" t="s">
        <v>1254</v>
      </c>
      <c r="C1214" s="7" t="s">
        <v>507</v>
      </c>
      <c r="D1214" s="7" t="s">
        <v>183</v>
      </c>
      <c r="E1214" s="7">
        <v>534</v>
      </c>
      <c r="G1214" s="7" t="s">
        <v>1573</v>
      </c>
      <c r="H1214" s="7" t="s">
        <v>1362</v>
      </c>
      <c r="I1214" s="7" t="s">
        <v>1254</v>
      </c>
      <c r="J1214" s="7" t="s">
        <v>506</v>
      </c>
      <c r="K1214" s="7" t="s">
        <v>180</v>
      </c>
      <c r="L1214" s="11">
        <v>369</v>
      </c>
      <c r="M1214" s="11">
        <v>19320.63</v>
      </c>
      <c r="N1214" s="9">
        <f t="shared" si="34"/>
        <v>369</v>
      </c>
    </row>
    <row r="1215" spans="1:14" ht="12.75" hidden="1" customHeight="1" x14ac:dyDescent="0.2">
      <c r="A1215">
        <v>65062</v>
      </c>
      <c r="B1215" s="3" t="s">
        <v>1254</v>
      </c>
      <c r="C1215" s="7" t="s">
        <v>507</v>
      </c>
      <c r="D1215" s="7" t="s">
        <v>183</v>
      </c>
      <c r="E1215" s="7">
        <v>534</v>
      </c>
      <c r="G1215" s="7" t="s">
        <v>1573</v>
      </c>
      <c r="H1215" s="7" t="s">
        <v>1362</v>
      </c>
      <c r="I1215" s="7" t="s">
        <v>1254</v>
      </c>
      <c r="J1215" s="7" t="s">
        <v>506</v>
      </c>
      <c r="K1215" s="7" t="s">
        <v>180</v>
      </c>
      <c r="L1215" s="11">
        <v>12</v>
      </c>
      <c r="M1215" s="11">
        <v>19332.63</v>
      </c>
      <c r="N1215" s="9">
        <f t="shared" si="34"/>
        <v>12</v>
      </c>
    </row>
    <row r="1216" spans="1:14" ht="12.75" hidden="1" customHeight="1" x14ac:dyDescent="0.2">
      <c r="A1216">
        <v>65062</v>
      </c>
      <c r="B1216" s="3" t="s">
        <v>1254</v>
      </c>
      <c r="C1216" s="7" t="s">
        <v>507</v>
      </c>
      <c r="D1216" s="7" t="s">
        <v>183</v>
      </c>
      <c r="E1216" s="7">
        <v>534</v>
      </c>
      <c r="G1216" s="7" t="s">
        <v>1573</v>
      </c>
      <c r="H1216" s="7" t="s">
        <v>1362</v>
      </c>
      <c r="I1216" s="7" t="s">
        <v>1254</v>
      </c>
      <c r="J1216" s="7" t="s">
        <v>506</v>
      </c>
      <c r="K1216" s="7" t="s">
        <v>180</v>
      </c>
      <c r="L1216" s="11">
        <v>8</v>
      </c>
      <c r="M1216" s="11">
        <v>19340.63</v>
      </c>
      <c r="N1216" s="9">
        <f t="shared" si="34"/>
        <v>8</v>
      </c>
    </row>
    <row r="1217" spans="1:14" ht="12.75" hidden="1" customHeight="1" x14ac:dyDescent="0.2">
      <c r="A1217">
        <v>65062</v>
      </c>
      <c r="B1217" s="3" t="s">
        <v>1254</v>
      </c>
      <c r="C1217" s="7" t="s">
        <v>507</v>
      </c>
      <c r="D1217" s="7" t="s">
        <v>183</v>
      </c>
      <c r="E1217" s="7">
        <v>534</v>
      </c>
      <c r="G1217" s="7" t="s">
        <v>1573</v>
      </c>
      <c r="H1217" s="7" t="s">
        <v>1362</v>
      </c>
      <c r="I1217" s="7" t="s">
        <v>1254</v>
      </c>
      <c r="J1217" s="7" t="s">
        <v>506</v>
      </c>
      <c r="K1217" s="7" t="s">
        <v>180</v>
      </c>
      <c r="L1217" s="11">
        <v>15</v>
      </c>
      <c r="M1217" s="11">
        <v>19355.63</v>
      </c>
      <c r="N1217" s="9">
        <f t="shared" si="34"/>
        <v>15</v>
      </c>
    </row>
    <row r="1218" spans="1:14" ht="12.75" hidden="1" customHeight="1" x14ac:dyDescent="0.2">
      <c r="A1218">
        <v>65062</v>
      </c>
      <c r="B1218" s="3" t="s">
        <v>1254</v>
      </c>
      <c r="C1218" s="7" t="s">
        <v>507</v>
      </c>
      <c r="D1218" s="7" t="s">
        <v>183</v>
      </c>
      <c r="E1218" s="7">
        <v>534</v>
      </c>
      <c r="G1218" s="7" t="s">
        <v>1573</v>
      </c>
      <c r="H1218" s="7" t="s">
        <v>1362</v>
      </c>
      <c r="I1218" s="7" t="s">
        <v>1254</v>
      </c>
      <c r="J1218" s="7" t="s">
        <v>506</v>
      </c>
      <c r="K1218" s="7" t="s">
        <v>180</v>
      </c>
      <c r="L1218" s="11">
        <v>16</v>
      </c>
      <c r="M1218" s="11">
        <v>19371.63</v>
      </c>
      <c r="N1218" s="9">
        <f t="shared" si="34"/>
        <v>16</v>
      </c>
    </row>
    <row r="1219" spans="1:14" ht="12.75" hidden="1" customHeight="1" x14ac:dyDescent="0.2">
      <c r="A1219">
        <v>67001</v>
      </c>
      <c r="B1219" s="3" t="s">
        <v>1268</v>
      </c>
      <c r="C1219" s="7" t="s">
        <v>214</v>
      </c>
      <c r="D1219" s="7" t="s">
        <v>200</v>
      </c>
      <c r="E1219" s="7">
        <v>480</v>
      </c>
      <c r="F1219" s="7" t="s">
        <v>213</v>
      </c>
      <c r="G1219" s="7" t="s">
        <v>1573</v>
      </c>
      <c r="H1219" s="70" t="s">
        <v>2129</v>
      </c>
      <c r="I1219" s="7" t="s">
        <v>1268</v>
      </c>
      <c r="J1219" s="7" t="s">
        <v>211</v>
      </c>
      <c r="K1219" s="7" t="s">
        <v>198</v>
      </c>
      <c r="L1219" s="11">
        <v>500</v>
      </c>
      <c r="M1219" s="11">
        <v>57529.61</v>
      </c>
      <c r="N1219" s="9">
        <f t="shared" si="34"/>
        <v>500</v>
      </c>
    </row>
    <row r="1220" spans="1:14" ht="12.75" customHeight="1" x14ac:dyDescent="0.2">
      <c r="A1220">
        <v>43400</v>
      </c>
      <c r="B1220" s="3" t="s">
        <v>1224</v>
      </c>
      <c r="C1220" s="7" t="s">
        <v>1569</v>
      </c>
      <c r="D1220" s="7" t="s">
        <v>242</v>
      </c>
      <c r="F1220" s="7" t="s">
        <v>665</v>
      </c>
      <c r="G1220" s="7" t="s">
        <v>1563</v>
      </c>
      <c r="H1220" s="7" t="s">
        <v>1359</v>
      </c>
      <c r="I1220" s="7" t="s">
        <v>1224</v>
      </c>
      <c r="K1220" s="39" t="s">
        <v>1198</v>
      </c>
      <c r="L1220" s="40">
        <v>450</v>
      </c>
      <c r="M1220" s="40">
        <v>227372.61</v>
      </c>
      <c r="N1220" s="41">
        <f t="shared" ref="N1220:N1225" si="35">-L1220</f>
        <v>-450</v>
      </c>
    </row>
    <row r="1221" spans="1:14" ht="12.75" customHeight="1" x14ac:dyDescent="0.2">
      <c r="A1221">
        <v>43400</v>
      </c>
      <c r="B1221" s="3" t="s">
        <v>1224</v>
      </c>
      <c r="C1221" s="7" t="s">
        <v>1571</v>
      </c>
      <c r="D1221" s="7" t="s">
        <v>183</v>
      </c>
      <c r="E1221" s="7">
        <v>627</v>
      </c>
      <c r="G1221" s="7" t="s">
        <v>1563</v>
      </c>
      <c r="H1221" s="7" t="s">
        <v>1359</v>
      </c>
      <c r="I1221" s="7" t="s">
        <v>1224</v>
      </c>
      <c r="J1221" s="39" t="s">
        <v>425</v>
      </c>
      <c r="K1221" s="39" t="s">
        <v>180</v>
      </c>
      <c r="L1221" s="40">
        <v>50</v>
      </c>
      <c r="M1221" s="40">
        <v>227447.16</v>
      </c>
      <c r="N1221" s="41">
        <f t="shared" si="35"/>
        <v>-50</v>
      </c>
    </row>
    <row r="1222" spans="1:14" ht="12.75" customHeight="1" x14ac:dyDescent="0.2">
      <c r="A1222">
        <v>43400</v>
      </c>
      <c r="B1222" s="3" t="s">
        <v>1224</v>
      </c>
      <c r="C1222" s="7" t="s">
        <v>1583</v>
      </c>
      <c r="D1222" s="7" t="s">
        <v>242</v>
      </c>
      <c r="F1222" s="7" t="s">
        <v>665</v>
      </c>
      <c r="G1222" s="7" t="s">
        <v>1584</v>
      </c>
      <c r="H1222" s="7" t="s">
        <v>1359</v>
      </c>
      <c r="I1222" s="7" t="s">
        <v>1224</v>
      </c>
      <c r="K1222" s="39" t="s">
        <v>1190</v>
      </c>
      <c r="L1222" s="40">
        <v>700</v>
      </c>
      <c r="M1222" s="40">
        <v>231992.31</v>
      </c>
      <c r="N1222" s="41">
        <f t="shared" si="35"/>
        <v>-700</v>
      </c>
    </row>
    <row r="1223" spans="1:14" ht="12.75" customHeight="1" x14ac:dyDescent="0.2">
      <c r="A1223">
        <v>43400</v>
      </c>
      <c r="B1223" s="3" t="s">
        <v>1224</v>
      </c>
      <c r="C1223" s="7" t="s">
        <v>1593</v>
      </c>
      <c r="D1223" s="7" t="s">
        <v>242</v>
      </c>
      <c r="F1223" s="7" t="s">
        <v>665</v>
      </c>
      <c r="G1223" s="7" t="s">
        <v>1584</v>
      </c>
      <c r="H1223" s="7" t="s">
        <v>1359</v>
      </c>
      <c r="I1223" s="7" t="s">
        <v>1224</v>
      </c>
      <c r="K1223" s="39" t="s">
        <v>1190</v>
      </c>
      <c r="L1223" s="40">
        <v>320</v>
      </c>
      <c r="M1223" s="40">
        <v>239249.86</v>
      </c>
      <c r="N1223" s="41">
        <f t="shared" si="35"/>
        <v>-320</v>
      </c>
    </row>
    <row r="1224" spans="1:14" ht="12.75" customHeight="1" x14ac:dyDescent="0.2">
      <c r="A1224">
        <v>43400</v>
      </c>
      <c r="B1224" s="3" t="s">
        <v>1224</v>
      </c>
      <c r="C1224" s="7" t="s">
        <v>1616</v>
      </c>
      <c r="D1224" s="7" t="s">
        <v>242</v>
      </c>
      <c r="F1224" s="7" t="s">
        <v>665</v>
      </c>
      <c r="G1224" s="7" t="s">
        <v>1584</v>
      </c>
      <c r="H1224" s="7" t="s">
        <v>1359</v>
      </c>
      <c r="I1224" s="7" t="s">
        <v>1224</v>
      </c>
      <c r="K1224" s="39" t="s">
        <v>1190</v>
      </c>
      <c r="L1224" s="40">
        <v>100</v>
      </c>
      <c r="M1224" s="40">
        <v>258841.97</v>
      </c>
      <c r="N1224" s="41">
        <f t="shared" si="35"/>
        <v>-100</v>
      </c>
    </row>
    <row r="1225" spans="1:14" ht="12.75" customHeight="1" x14ac:dyDescent="0.2">
      <c r="A1225">
        <v>43400</v>
      </c>
      <c r="B1225" s="3" t="s">
        <v>1224</v>
      </c>
      <c r="C1225" s="7" t="s">
        <v>1626</v>
      </c>
      <c r="D1225" s="7" t="s">
        <v>242</v>
      </c>
      <c r="F1225" s="7" t="s">
        <v>665</v>
      </c>
      <c r="G1225" s="7" t="s">
        <v>1584</v>
      </c>
      <c r="H1225" s="7" t="s">
        <v>1359</v>
      </c>
      <c r="I1225" s="7" t="s">
        <v>1224</v>
      </c>
      <c r="K1225" s="39" t="s">
        <v>1190</v>
      </c>
      <c r="L1225" s="40">
        <v>200</v>
      </c>
      <c r="M1225" s="40">
        <v>271727.42</v>
      </c>
      <c r="N1225" s="41">
        <f t="shared" si="35"/>
        <v>-200</v>
      </c>
    </row>
    <row r="1226" spans="1:14" ht="12.75" customHeight="1" x14ac:dyDescent="0.2">
      <c r="A1226">
        <v>43400</v>
      </c>
      <c r="B1226" s="3" t="s">
        <v>1224</v>
      </c>
      <c r="C1226" s="7" t="s">
        <v>849</v>
      </c>
      <c r="D1226" s="7" t="s">
        <v>242</v>
      </c>
      <c r="F1226" s="7" t="s">
        <v>665</v>
      </c>
      <c r="G1226" s="7" t="s">
        <v>1610</v>
      </c>
      <c r="H1226" s="7" t="s">
        <v>1359</v>
      </c>
      <c r="I1226" s="7" t="s">
        <v>1224</v>
      </c>
      <c r="K1226" s="7" t="s">
        <v>874</v>
      </c>
      <c r="L1226" s="11">
        <v>500</v>
      </c>
      <c r="M1226" s="11">
        <v>94008.97</v>
      </c>
      <c r="N1226" s="9">
        <f t="shared" ref="N1226:N1231" si="36">IF(A1226&lt;60000,-L1226,+L1226)</f>
        <v>-500</v>
      </c>
    </row>
    <row r="1227" spans="1:14" ht="12.75" customHeight="1" x14ac:dyDescent="0.2">
      <c r="A1227">
        <v>43400</v>
      </c>
      <c r="B1227" s="3" t="s">
        <v>1224</v>
      </c>
      <c r="C1227" s="7" t="s">
        <v>755</v>
      </c>
      <c r="D1227" s="7" t="s">
        <v>242</v>
      </c>
      <c r="F1227" s="7" t="s">
        <v>665</v>
      </c>
      <c r="G1227" s="7" t="s">
        <v>1610</v>
      </c>
      <c r="H1227" s="7" t="s">
        <v>1359</v>
      </c>
      <c r="I1227" s="7" t="s">
        <v>1224</v>
      </c>
      <c r="K1227" s="7" t="s">
        <v>245</v>
      </c>
      <c r="L1227" s="11">
        <v>540</v>
      </c>
      <c r="M1227" s="11">
        <v>144195.26</v>
      </c>
      <c r="N1227" s="9">
        <f t="shared" si="36"/>
        <v>-540</v>
      </c>
    </row>
    <row r="1228" spans="1:14" ht="12.75" customHeight="1" x14ac:dyDescent="0.2">
      <c r="A1228">
        <v>43400</v>
      </c>
      <c r="B1228" s="3" t="s">
        <v>1224</v>
      </c>
      <c r="C1228" s="7" t="s">
        <v>353</v>
      </c>
      <c r="D1228" s="7" t="s">
        <v>242</v>
      </c>
      <c r="F1228" s="7" t="s">
        <v>665</v>
      </c>
      <c r="G1228" s="7" t="s">
        <v>1554</v>
      </c>
      <c r="H1228" s="7" t="s">
        <v>1359</v>
      </c>
      <c r="I1228" s="7" t="s">
        <v>1224</v>
      </c>
      <c r="K1228" s="7" t="s">
        <v>1181</v>
      </c>
      <c r="L1228" s="11">
        <v>250</v>
      </c>
      <c r="M1228" s="11">
        <v>70624.399999999994</v>
      </c>
      <c r="N1228" s="9">
        <f t="shared" si="36"/>
        <v>-250</v>
      </c>
    </row>
    <row r="1229" spans="1:14" ht="12.75" customHeight="1" x14ac:dyDescent="0.2">
      <c r="A1229">
        <v>43400</v>
      </c>
      <c r="B1229" s="3" t="s">
        <v>1224</v>
      </c>
      <c r="C1229" s="7" t="s">
        <v>253</v>
      </c>
      <c r="D1229" s="7" t="s">
        <v>242</v>
      </c>
      <c r="F1229" s="7" t="s">
        <v>665</v>
      </c>
      <c r="G1229" s="7" t="s">
        <v>1554</v>
      </c>
      <c r="H1229" s="7" t="s">
        <v>1359</v>
      </c>
      <c r="I1229" s="7" t="s">
        <v>1224</v>
      </c>
      <c r="K1229" s="7" t="s">
        <v>1181</v>
      </c>
      <c r="L1229" s="11">
        <v>4000</v>
      </c>
      <c r="M1229" s="11">
        <v>123494.11</v>
      </c>
      <c r="N1229" s="9">
        <f t="shared" si="36"/>
        <v>-4000</v>
      </c>
    </row>
    <row r="1230" spans="1:14" ht="12.75" customHeight="1" x14ac:dyDescent="0.2">
      <c r="A1230">
        <v>43400</v>
      </c>
      <c r="B1230" s="3" t="s">
        <v>1224</v>
      </c>
      <c r="C1230" s="7" t="s">
        <v>233</v>
      </c>
      <c r="D1230" s="7" t="s">
        <v>242</v>
      </c>
      <c r="F1230" s="7" t="s">
        <v>665</v>
      </c>
      <c r="G1230" s="7" t="s">
        <v>1554</v>
      </c>
      <c r="H1230" s="7" t="s">
        <v>1359</v>
      </c>
      <c r="I1230" s="7" t="s">
        <v>1224</v>
      </c>
      <c r="K1230" s="7" t="s">
        <v>1181</v>
      </c>
      <c r="L1230" s="11">
        <v>500</v>
      </c>
      <c r="M1230" s="11">
        <v>159133.07999999999</v>
      </c>
      <c r="N1230" s="9">
        <f t="shared" si="36"/>
        <v>-500</v>
      </c>
    </row>
    <row r="1231" spans="1:14" ht="12.75" customHeight="1" x14ac:dyDescent="0.2">
      <c r="A1231">
        <v>43400</v>
      </c>
      <c r="B1231" s="3" t="s">
        <v>1224</v>
      </c>
      <c r="C1231" s="7" t="s">
        <v>430</v>
      </c>
      <c r="D1231" s="7" t="s">
        <v>183</v>
      </c>
      <c r="E1231" s="7">
        <v>536</v>
      </c>
      <c r="G1231" s="7" t="s">
        <v>1554</v>
      </c>
      <c r="H1231" s="7" t="s">
        <v>1359</v>
      </c>
      <c r="I1231" s="7" t="s">
        <v>1224</v>
      </c>
      <c r="J1231" s="7" t="s">
        <v>425</v>
      </c>
      <c r="K1231" s="7" t="s">
        <v>180</v>
      </c>
      <c r="L1231" s="11">
        <v>300</v>
      </c>
      <c r="M1231" s="11">
        <v>174271.57</v>
      </c>
      <c r="N1231" s="9">
        <f t="shared" si="36"/>
        <v>-300</v>
      </c>
    </row>
    <row r="1232" spans="1:14" ht="12.75" customHeight="1" x14ac:dyDescent="0.2">
      <c r="A1232">
        <v>43400</v>
      </c>
      <c r="B1232" s="3" t="s">
        <v>1224</v>
      </c>
      <c r="C1232" s="7" t="s">
        <v>1559</v>
      </c>
      <c r="D1232" s="7" t="s">
        <v>242</v>
      </c>
      <c r="F1232" s="7" t="s">
        <v>665</v>
      </c>
      <c r="G1232" s="7" t="s">
        <v>1554</v>
      </c>
      <c r="H1232" s="7" t="s">
        <v>1359</v>
      </c>
      <c r="I1232" s="7" t="s">
        <v>1224</v>
      </c>
      <c r="K1232" s="39" t="s">
        <v>1181</v>
      </c>
      <c r="L1232" s="40">
        <v>4000</v>
      </c>
      <c r="M1232" s="40">
        <v>218872.57</v>
      </c>
      <c r="N1232" s="41">
        <f t="shared" ref="N1232:N1239" si="37">-L1232</f>
        <v>-4000</v>
      </c>
    </row>
    <row r="1233" spans="1:14" ht="12.75" customHeight="1" x14ac:dyDescent="0.2">
      <c r="A1233">
        <v>43400</v>
      </c>
      <c r="B1233" s="3" t="s">
        <v>1224</v>
      </c>
      <c r="C1233" s="7" t="s">
        <v>1553</v>
      </c>
      <c r="D1233" s="7" t="s">
        <v>242</v>
      </c>
      <c r="G1233" s="7" t="s">
        <v>1554</v>
      </c>
      <c r="H1233" s="7" t="s">
        <v>1359</v>
      </c>
      <c r="I1233" s="7" t="s">
        <v>1224</v>
      </c>
      <c r="K1233" s="39" t="s">
        <v>1181</v>
      </c>
      <c r="L1233" s="40">
        <v>40</v>
      </c>
      <c r="M1233" s="40">
        <v>222032.31</v>
      </c>
      <c r="N1233" s="41">
        <f t="shared" si="37"/>
        <v>-40</v>
      </c>
    </row>
    <row r="1234" spans="1:14" ht="12.75" customHeight="1" x14ac:dyDescent="0.2">
      <c r="A1234">
        <v>43400</v>
      </c>
      <c r="B1234" s="3" t="s">
        <v>1224</v>
      </c>
      <c r="C1234" s="7" t="s">
        <v>1619</v>
      </c>
      <c r="D1234" s="7" t="s">
        <v>242</v>
      </c>
      <c r="F1234" s="7" t="s">
        <v>665</v>
      </c>
      <c r="G1234" s="7" t="s">
        <v>1554</v>
      </c>
      <c r="H1234" s="7" t="s">
        <v>1359</v>
      </c>
      <c r="I1234" s="7" t="s">
        <v>1224</v>
      </c>
      <c r="K1234" s="39" t="s">
        <v>1181</v>
      </c>
      <c r="L1234" s="40">
        <v>1230.25</v>
      </c>
      <c r="M1234" s="40">
        <v>262892.21999999997</v>
      </c>
      <c r="N1234" s="41">
        <f t="shared" si="37"/>
        <v>-1230.25</v>
      </c>
    </row>
    <row r="1235" spans="1:14" ht="12.75" customHeight="1" x14ac:dyDescent="0.2">
      <c r="A1235">
        <v>43400</v>
      </c>
      <c r="B1235" s="3" t="s">
        <v>1224</v>
      </c>
      <c r="C1235" s="7" t="s">
        <v>1565</v>
      </c>
      <c r="D1235" s="7" t="s">
        <v>242</v>
      </c>
      <c r="F1235" s="7" t="s">
        <v>665</v>
      </c>
      <c r="G1235" s="7" t="s">
        <v>1566</v>
      </c>
      <c r="H1235" s="7" t="s">
        <v>1359</v>
      </c>
      <c r="I1235" s="7" t="s">
        <v>1224</v>
      </c>
      <c r="K1235" s="39" t="s">
        <v>1176</v>
      </c>
      <c r="L1235" s="40">
        <v>1475</v>
      </c>
      <c r="M1235" s="40">
        <v>223467.57</v>
      </c>
      <c r="N1235" s="41">
        <f t="shared" si="37"/>
        <v>-1475</v>
      </c>
    </row>
    <row r="1236" spans="1:14" ht="12.75" customHeight="1" x14ac:dyDescent="0.2">
      <c r="A1236">
        <v>43400</v>
      </c>
      <c r="B1236" s="3" t="s">
        <v>1224</v>
      </c>
      <c r="C1236" s="7" t="s">
        <v>1591</v>
      </c>
      <c r="D1236" s="7" t="s">
        <v>242</v>
      </c>
      <c r="F1236" s="7" t="s">
        <v>665</v>
      </c>
      <c r="G1236" s="7" t="s">
        <v>1566</v>
      </c>
      <c r="H1236" s="7" t="s">
        <v>1359</v>
      </c>
      <c r="I1236" s="7" t="s">
        <v>1224</v>
      </c>
      <c r="K1236" s="39" t="s">
        <v>1176</v>
      </c>
      <c r="L1236" s="40">
        <v>2500</v>
      </c>
      <c r="M1236" s="40">
        <v>238829.86</v>
      </c>
      <c r="N1236" s="41">
        <f t="shared" si="37"/>
        <v>-2500</v>
      </c>
    </row>
    <row r="1237" spans="1:14" ht="12.75" customHeight="1" x14ac:dyDescent="0.2">
      <c r="A1237">
        <v>43400</v>
      </c>
      <c r="B1237" s="3" t="s">
        <v>1224</v>
      </c>
      <c r="C1237" s="7" t="s">
        <v>1626</v>
      </c>
      <c r="D1237" s="7" t="s">
        <v>242</v>
      </c>
      <c r="F1237" s="7" t="s">
        <v>665</v>
      </c>
      <c r="G1237" s="7" t="s">
        <v>1566</v>
      </c>
      <c r="H1237" s="7" t="s">
        <v>1359</v>
      </c>
      <c r="I1237" s="7" t="s">
        <v>1224</v>
      </c>
      <c r="K1237" s="39" t="s">
        <v>1176</v>
      </c>
      <c r="L1237" s="40">
        <v>4966.91</v>
      </c>
      <c r="M1237" s="40">
        <v>271527.42</v>
      </c>
      <c r="N1237" s="41">
        <f t="shared" si="37"/>
        <v>-4966.91</v>
      </c>
    </row>
    <row r="1238" spans="1:14" ht="12.75" customHeight="1" x14ac:dyDescent="0.2">
      <c r="A1238">
        <v>43400</v>
      </c>
      <c r="B1238" s="3" t="s">
        <v>1224</v>
      </c>
      <c r="C1238" s="7" t="s">
        <v>1631</v>
      </c>
      <c r="D1238" s="7" t="s">
        <v>242</v>
      </c>
      <c r="F1238" s="7" t="s">
        <v>665</v>
      </c>
      <c r="G1238" s="7" t="s">
        <v>1566</v>
      </c>
      <c r="H1238" s="7" t="s">
        <v>1359</v>
      </c>
      <c r="I1238" s="7" t="s">
        <v>1224</v>
      </c>
      <c r="K1238" s="39" t="s">
        <v>1176</v>
      </c>
      <c r="L1238" s="40">
        <v>2655</v>
      </c>
      <c r="M1238" s="40">
        <v>283892.89</v>
      </c>
      <c r="N1238" s="41">
        <f t="shared" si="37"/>
        <v>-2655</v>
      </c>
    </row>
    <row r="1239" spans="1:14" ht="12.75" customHeight="1" x14ac:dyDescent="0.2">
      <c r="A1239">
        <v>43400</v>
      </c>
      <c r="B1239" s="3" t="s">
        <v>1224</v>
      </c>
      <c r="C1239" s="7" t="s">
        <v>1640</v>
      </c>
      <c r="D1239" s="7" t="s">
        <v>242</v>
      </c>
      <c r="F1239" s="7" t="s">
        <v>665</v>
      </c>
      <c r="G1239" s="7" t="s">
        <v>1566</v>
      </c>
      <c r="H1239" s="7" t="s">
        <v>1359</v>
      </c>
      <c r="I1239" s="7" t="s">
        <v>1224</v>
      </c>
      <c r="K1239" s="39" t="s">
        <v>1176</v>
      </c>
      <c r="L1239" s="40">
        <v>1000</v>
      </c>
      <c r="M1239" s="40">
        <v>293635.82</v>
      </c>
      <c r="N1239" s="41">
        <f t="shared" si="37"/>
        <v>-1000</v>
      </c>
    </row>
    <row r="1240" spans="1:14" ht="12.75" customHeight="1" x14ac:dyDescent="0.2">
      <c r="A1240">
        <v>43400</v>
      </c>
      <c r="B1240" s="3" t="s">
        <v>1224</v>
      </c>
      <c r="C1240" s="7" t="s">
        <v>432</v>
      </c>
      <c r="D1240" s="7" t="s">
        <v>183</v>
      </c>
      <c r="E1240" s="7">
        <v>352</v>
      </c>
      <c r="G1240" s="7" t="s">
        <v>182</v>
      </c>
      <c r="H1240" s="7" t="s">
        <v>1359</v>
      </c>
      <c r="I1240" s="7" t="s">
        <v>1224</v>
      </c>
      <c r="J1240" s="7" t="s">
        <v>425</v>
      </c>
      <c r="K1240" s="7" t="s">
        <v>180</v>
      </c>
      <c r="L1240" s="11">
        <v>510</v>
      </c>
      <c r="M1240" s="11">
        <v>-23284.89</v>
      </c>
      <c r="N1240" s="9">
        <f t="shared" ref="N1240:N1258" si="38">IF(A1240&lt;60000,-L1240,+L1240)</f>
        <v>-510</v>
      </c>
    </row>
    <row r="1241" spans="1:14" ht="12.75" customHeight="1" x14ac:dyDescent="0.2">
      <c r="A1241">
        <v>43400</v>
      </c>
      <c r="B1241" s="3" t="s">
        <v>1224</v>
      </c>
      <c r="C1241" s="7" t="s">
        <v>432</v>
      </c>
      <c r="D1241" s="7" t="s">
        <v>183</v>
      </c>
      <c r="E1241" s="7">
        <v>351</v>
      </c>
      <c r="G1241" s="7" t="s">
        <v>182</v>
      </c>
      <c r="H1241" s="7" t="s">
        <v>1359</v>
      </c>
      <c r="I1241" s="7" t="s">
        <v>1224</v>
      </c>
      <c r="K1241" s="7" t="s">
        <v>180</v>
      </c>
      <c r="L1241" s="11">
        <v>775</v>
      </c>
      <c r="M1241" s="11">
        <v>-22509.89</v>
      </c>
      <c r="N1241" s="9">
        <f t="shared" si="38"/>
        <v>-775</v>
      </c>
    </row>
    <row r="1242" spans="1:14" ht="12.75" customHeight="1" x14ac:dyDescent="0.2">
      <c r="A1242">
        <v>43400</v>
      </c>
      <c r="B1242" s="3" t="s">
        <v>1224</v>
      </c>
      <c r="C1242" s="7" t="s">
        <v>432</v>
      </c>
      <c r="D1242" s="7" t="s">
        <v>183</v>
      </c>
      <c r="E1242" s="7">
        <v>347</v>
      </c>
      <c r="G1242" s="7" t="s">
        <v>182</v>
      </c>
      <c r="H1242" s="7" t="s">
        <v>1359</v>
      </c>
      <c r="I1242" s="7" t="s">
        <v>1224</v>
      </c>
      <c r="K1242" s="7" t="s">
        <v>180</v>
      </c>
      <c r="L1242" s="11">
        <v>200</v>
      </c>
      <c r="M1242" s="11">
        <v>-22229.89</v>
      </c>
      <c r="N1242" s="9">
        <f t="shared" si="38"/>
        <v>-200</v>
      </c>
    </row>
    <row r="1243" spans="1:14" ht="12.75" customHeight="1" x14ac:dyDescent="0.2">
      <c r="A1243">
        <v>43400</v>
      </c>
      <c r="B1243" s="3" t="s">
        <v>1224</v>
      </c>
      <c r="C1243" s="7" t="s">
        <v>965</v>
      </c>
      <c r="D1243" s="7" t="s">
        <v>200</v>
      </c>
      <c r="E1243" s="7">
        <v>1</v>
      </c>
      <c r="F1243" s="7" t="s">
        <v>366</v>
      </c>
      <c r="G1243" s="7" t="s">
        <v>182</v>
      </c>
      <c r="H1243" s="7" t="s">
        <v>1359</v>
      </c>
      <c r="I1243" s="7" t="s">
        <v>1224</v>
      </c>
      <c r="J1243" s="7" t="s">
        <v>1202</v>
      </c>
      <c r="K1243" s="7" t="s">
        <v>874</v>
      </c>
      <c r="L1243" s="11">
        <v>-10000</v>
      </c>
      <c r="M1243" s="11">
        <v>-29834.89</v>
      </c>
      <c r="N1243" s="9">
        <f t="shared" si="38"/>
        <v>10000</v>
      </c>
    </row>
    <row r="1244" spans="1:14" ht="12.75" customHeight="1" x14ac:dyDescent="0.2">
      <c r="A1244">
        <v>43400</v>
      </c>
      <c r="B1244" s="3" t="s">
        <v>1224</v>
      </c>
      <c r="C1244" s="7" t="s">
        <v>965</v>
      </c>
      <c r="D1244" s="7" t="s">
        <v>242</v>
      </c>
      <c r="F1244" s="7" t="s">
        <v>336</v>
      </c>
      <c r="G1244" s="7" t="s">
        <v>182</v>
      </c>
      <c r="H1244" s="7" t="s">
        <v>1359</v>
      </c>
      <c r="I1244" s="7" t="s">
        <v>1224</v>
      </c>
      <c r="K1244" s="7" t="s">
        <v>198</v>
      </c>
      <c r="L1244" s="11">
        <v>10000</v>
      </c>
      <c r="M1244" s="11">
        <v>-19834.89</v>
      </c>
      <c r="N1244" s="9">
        <f t="shared" si="38"/>
        <v>-10000</v>
      </c>
    </row>
    <row r="1245" spans="1:14" ht="12.75" customHeight="1" x14ac:dyDescent="0.2">
      <c r="A1245">
        <v>43400</v>
      </c>
      <c r="B1245" s="3" t="s">
        <v>1224</v>
      </c>
      <c r="C1245" s="7" t="s">
        <v>965</v>
      </c>
      <c r="D1245" s="7" t="s">
        <v>1168</v>
      </c>
      <c r="E1245" s="7">
        <v>1001</v>
      </c>
      <c r="F1245" s="7" t="s">
        <v>1167</v>
      </c>
      <c r="G1245" s="7" t="s">
        <v>182</v>
      </c>
      <c r="H1245" s="7" t="s">
        <v>1359</v>
      </c>
      <c r="I1245" s="7" t="s">
        <v>1224</v>
      </c>
      <c r="J1245" s="7" t="s">
        <v>1201</v>
      </c>
      <c r="K1245" s="7" t="s">
        <v>1165</v>
      </c>
      <c r="L1245" s="11">
        <v>3500</v>
      </c>
      <c r="M1245" s="11">
        <v>-16334.89</v>
      </c>
      <c r="N1245" s="9">
        <f t="shared" si="38"/>
        <v>-3500</v>
      </c>
    </row>
    <row r="1246" spans="1:14" ht="12.75" customHeight="1" x14ac:dyDescent="0.2">
      <c r="A1246">
        <v>43400</v>
      </c>
      <c r="B1246" s="3" t="s">
        <v>1224</v>
      </c>
      <c r="C1246" s="7" t="s">
        <v>962</v>
      </c>
      <c r="D1246" s="7" t="s">
        <v>242</v>
      </c>
      <c r="F1246" s="7" t="s">
        <v>665</v>
      </c>
      <c r="G1246" s="7" t="s">
        <v>182</v>
      </c>
      <c r="H1246" s="7" t="s">
        <v>1359</v>
      </c>
      <c r="I1246" s="7" t="s">
        <v>1224</v>
      </c>
      <c r="K1246" s="7" t="s">
        <v>198</v>
      </c>
      <c r="L1246" s="11">
        <v>500</v>
      </c>
      <c r="M1246" s="11">
        <v>-15314.89</v>
      </c>
      <c r="N1246" s="9">
        <f t="shared" si="38"/>
        <v>-500</v>
      </c>
    </row>
    <row r="1247" spans="1:14" ht="12.75" customHeight="1" x14ac:dyDescent="0.2">
      <c r="A1247">
        <v>43400</v>
      </c>
      <c r="B1247" s="3" t="s">
        <v>1224</v>
      </c>
      <c r="C1247" s="7" t="s">
        <v>393</v>
      </c>
      <c r="D1247" s="7" t="s">
        <v>242</v>
      </c>
      <c r="G1247" s="7" t="s">
        <v>182</v>
      </c>
      <c r="H1247" s="7" t="s">
        <v>1359</v>
      </c>
      <c r="I1247" s="7" t="s">
        <v>1224</v>
      </c>
      <c r="K1247" s="7" t="s">
        <v>198</v>
      </c>
      <c r="L1247" s="11">
        <v>1250</v>
      </c>
      <c r="M1247" s="11">
        <v>-6770.89</v>
      </c>
      <c r="N1247" s="9">
        <f t="shared" si="38"/>
        <v>-1250</v>
      </c>
    </row>
    <row r="1248" spans="1:14" ht="12.75" customHeight="1" x14ac:dyDescent="0.2">
      <c r="A1248">
        <v>43400</v>
      </c>
      <c r="B1248" s="3" t="s">
        <v>1224</v>
      </c>
      <c r="C1248" s="7" t="s">
        <v>952</v>
      </c>
      <c r="D1248" s="7" t="s">
        <v>242</v>
      </c>
      <c r="G1248" s="7" t="s">
        <v>182</v>
      </c>
      <c r="H1248" s="7" t="s">
        <v>1359</v>
      </c>
      <c r="I1248" s="7" t="s">
        <v>1224</v>
      </c>
      <c r="K1248" s="7" t="s">
        <v>198</v>
      </c>
      <c r="L1248" s="11">
        <v>114.32</v>
      </c>
      <c r="M1248" s="11">
        <v>3183.43</v>
      </c>
      <c r="N1248" s="9">
        <f t="shared" si="38"/>
        <v>-114.32</v>
      </c>
    </row>
    <row r="1249" spans="1:14" ht="12.75" customHeight="1" x14ac:dyDescent="0.2">
      <c r="A1249">
        <v>43400</v>
      </c>
      <c r="B1249" s="3" t="s">
        <v>1224</v>
      </c>
      <c r="C1249" s="7" t="s">
        <v>952</v>
      </c>
      <c r="D1249" s="7" t="s">
        <v>242</v>
      </c>
      <c r="G1249" s="7" t="s">
        <v>182</v>
      </c>
      <c r="H1249" s="7" t="s">
        <v>1359</v>
      </c>
      <c r="I1249" s="7" t="s">
        <v>1224</v>
      </c>
      <c r="K1249" s="7" t="s">
        <v>198</v>
      </c>
      <c r="L1249" s="11">
        <v>25</v>
      </c>
      <c r="M1249" s="11">
        <v>4028.43</v>
      </c>
      <c r="N1249" s="9">
        <f t="shared" si="38"/>
        <v>-25</v>
      </c>
    </row>
    <row r="1250" spans="1:14" ht="12.75" customHeight="1" x14ac:dyDescent="0.2">
      <c r="A1250">
        <v>43400</v>
      </c>
      <c r="B1250" s="3" t="s">
        <v>1224</v>
      </c>
      <c r="C1250" s="7" t="s">
        <v>381</v>
      </c>
      <c r="D1250" s="7" t="s">
        <v>242</v>
      </c>
      <c r="G1250" s="7" t="s">
        <v>182</v>
      </c>
      <c r="H1250" s="7" t="s">
        <v>1359</v>
      </c>
      <c r="I1250" s="7" t="s">
        <v>1224</v>
      </c>
      <c r="K1250" s="7" t="s">
        <v>198</v>
      </c>
      <c r="L1250" s="11">
        <v>5000</v>
      </c>
      <c r="M1250" s="11">
        <v>10506.09</v>
      </c>
      <c r="N1250" s="9">
        <f t="shared" si="38"/>
        <v>-5000</v>
      </c>
    </row>
    <row r="1251" spans="1:14" ht="12.75" customHeight="1" x14ac:dyDescent="0.2">
      <c r="A1251">
        <v>43400</v>
      </c>
      <c r="B1251" s="3" t="s">
        <v>1224</v>
      </c>
      <c r="C1251" s="7" t="s">
        <v>381</v>
      </c>
      <c r="D1251" s="7" t="s">
        <v>183</v>
      </c>
      <c r="E1251" s="7">
        <v>401</v>
      </c>
      <c r="G1251" s="7" t="s">
        <v>182</v>
      </c>
      <c r="H1251" s="7" t="s">
        <v>1359</v>
      </c>
      <c r="I1251" s="7" t="s">
        <v>1224</v>
      </c>
      <c r="J1251" s="7" t="s">
        <v>425</v>
      </c>
      <c r="K1251" s="7" t="s">
        <v>180</v>
      </c>
      <c r="L1251" s="11">
        <v>582</v>
      </c>
      <c r="M1251" s="11">
        <v>30353.09</v>
      </c>
      <c r="N1251" s="9">
        <f t="shared" si="38"/>
        <v>-582</v>
      </c>
    </row>
    <row r="1252" spans="1:14" ht="12.75" customHeight="1" x14ac:dyDescent="0.2">
      <c r="A1252">
        <v>43400</v>
      </c>
      <c r="B1252" s="3" t="s">
        <v>1224</v>
      </c>
      <c r="C1252" s="7" t="s">
        <v>926</v>
      </c>
      <c r="D1252" s="7" t="s">
        <v>242</v>
      </c>
      <c r="F1252" s="7" t="s">
        <v>665</v>
      </c>
      <c r="G1252" s="7" t="s">
        <v>182</v>
      </c>
      <c r="H1252" s="7" t="s">
        <v>1359</v>
      </c>
      <c r="I1252" s="7" t="s">
        <v>1224</v>
      </c>
      <c r="K1252" s="7" t="s">
        <v>198</v>
      </c>
      <c r="L1252" s="11">
        <v>123.11</v>
      </c>
      <c r="M1252" s="11">
        <v>35822.25</v>
      </c>
      <c r="N1252" s="9">
        <f t="shared" si="38"/>
        <v>-123.11</v>
      </c>
    </row>
    <row r="1253" spans="1:14" ht="12.75" customHeight="1" x14ac:dyDescent="0.2">
      <c r="A1253">
        <v>43400</v>
      </c>
      <c r="B1253" s="3" t="s">
        <v>1224</v>
      </c>
      <c r="C1253" s="7" t="s">
        <v>359</v>
      </c>
      <c r="D1253" s="7" t="s">
        <v>1168</v>
      </c>
      <c r="E1253" s="7">
        <v>1003</v>
      </c>
      <c r="F1253" s="7" t="s">
        <v>1167</v>
      </c>
      <c r="G1253" s="7" t="s">
        <v>182</v>
      </c>
      <c r="H1253" s="7" t="s">
        <v>1359</v>
      </c>
      <c r="I1253" s="7" t="s">
        <v>1224</v>
      </c>
      <c r="J1253" s="7" t="s">
        <v>1194</v>
      </c>
      <c r="K1253" s="7" t="s">
        <v>1165</v>
      </c>
      <c r="L1253" s="11">
        <v>5500</v>
      </c>
      <c r="M1253" s="11">
        <v>65537.42</v>
      </c>
      <c r="N1253" s="9">
        <f t="shared" si="38"/>
        <v>-5500</v>
      </c>
    </row>
    <row r="1254" spans="1:14" ht="12.75" customHeight="1" x14ac:dyDescent="0.2">
      <c r="A1254">
        <v>43400</v>
      </c>
      <c r="B1254" s="3" t="s">
        <v>1224</v>
      </c>
      <c r="C1254" s="7" t="s">
        <v>353</v>
      </c>
      <c r="D1254" s="7" t="s">
        <v>242</v>
      </c>
      <c r="F1254" s="7" t="s">
        <v>665</v>
      </c>
      <c r="G1254" s="7" t="s">
        <v>182</v>
      </c>
      <c r="H1254" s="7" t="s">
        <v>1359</v>
      </c>
      <c r="I1254" s="7" t="s">
        <v>1224</v>
      </c>
      <c r="K1254" s="7" t="s">
        <v>198</v>
      </c>
      <c r="L1254" s="11">
        <v>655.98</v>
      </c>
      <c r="M1254" s="11">
        <v>70374.399999999994</v>
      </c>
      <c r="N1254" s="9">
        <f t="shared" si="38"/>
        <v>-655.98</v>
      </c>
    </row>
    <row r="1255" spans="1:14" ht="12.75" customHeight="1" x14ac:dyDescent="0.2">
      <c r="A1255">
        <v>43400</v>
      </c>
      <c r="B1255" s="3" t="s">
        <v>1224</v>
      </c>
      <c r="C1255" s="7" t="s">
        <v>353</v>
      </c>
      <c r="D1255" s="7" t="s">
        <v>183</v>
      </c>
      <c r="E1255" s="7">
        <v>419</v>
      </c>
      <c r="G1255" s="7" t="s">
        <v>182</v>
      </c>
      <c r="H1255" s="7" t="s">
        <v>1359</v>
      </c>
      <c r="I1255" s="7" t="s">
        <v>1224</v>
      </c>
      <c r="J1255" s="7" t="s">
        <v>425</v>
      </c>
      <c r="K1255" s="7" t="s">
        <v>180</v>
      </c>
      <c r="L1255" s="11">
        <v>1680</v>
      </c>
      <c r="M1255" s="11">
        <v>72304.399999999994</v>
      </c>
      <c r="N1255" s="9">
        <f t="shared" si="38"/>
        <v>-1680</v>
      </c>
    </row>
    <row r="1256" spans="1:14" ht="12.75" customHeight="1" x14ac:dyDescent="0.2">
      <c r="A1256">
        <v>43400</v>
      </c>
      <c r="B1256" s="3" t="s">
        <v>1224</v>
      </c>
      <c r="C1256" s="7" t="s">
        <v>315</v>
      </c>
      <c r="D1256" s="7" t="s">
        <v>183</v>
      </c>
      <c r="E1256" s="7">
        <v>446</v>
      </c>
      <c r="G1256" s="7" t="s">
        <v>182</v>
      </c>
      <c r="H1256" s="7" t="s">
        <v>1359</v>
      </c>
      <c r="I1256" s="7" t="s">
        <v>1224</v>
      </c>
      <c r="J1256" s="7" t="s">
        <v>425</v>
      </c>
      <c r="K1256" s="7" t="s">
        <v>180</v>
      </c>
      <c r="L1256" s="11">
        <v>4</v>
      </c>
      <c r="M1256" s="11">
        <v>89228.21</v>
      </c>
      <c r="N1256" s="9">
        <f t="shared" si="38"/>
        <v>-4</v>
      </c>
    </row>
    <row r="1257" spans="1:14" ht="12.75" customHeight="1" x14ac:dyDescent="0.2">
      <c r="A1257">
        <v>43400</v>
      </c>
      <c r="B1257" s="3" t="s">
        <v>1224</v>
      </c>
      <c r="C1257" s="7" t="s">
        <v>308</v>
      </c>
      <c r="D1257" s="7" t="s">
        <v>183</v>
      </c>
      <c r="E1257" s="7">
        <v>466</v>
      </c>
      <c r="G1257" s="7" t="s">
        <v>182</v>
      </c>
      <c r="H1257" s="7" t="s">
        <v>1359</v>
      </c>
      <c r="I1257" s="7" t="s">
        <v>1224</v>
      </c>
      <c r="J1257" s="7" t="s">
        <v>425</v>
      </c>
      <c r="K1257" s="7" t="s">
        <v>180</v>
      </c>
      <c r="L1257" s="11">
        <v>301</v>
      </c>
      <c r="M1257" s="11">
        <v>95159.97</v>
      </c>
      <c r="N1257" s="9">
        <f t="shared" si="38"/>
        <v>-301</v>
      </c>
    </row>
    <row r="1258" spans="1:14" ht="12.75" customHeight="1" x14ac:dyDescent="0.2">
      <c r="A1258">
        <v>43400</v>
      </c>
      <c r="B1258" s="3" t="s">
        <v>1224</v>
      </c>
      <c r="C1258" s="7" t="s">
        <v>306</v>
      </c>
      <c r="D1258" s="7" t="s">
        <v>242</v>
      </c>
      <c r="F1258" s="7" t="s">
        <v>665</v>
      </c>
      <c r="G1258" s="7" t="s">
        <v>182</v>
      </c>
      <c r="H1258" s="7" t="s">
        <v>1359</v>
      </c>
      <c r="I1258" s="7" t="s">
        <v>1224</v>
      </c>
      <c r="K1258" s="7" t="s">
        <v>198</v>
      </c>
      <c r="L1258" s="11">
        <v>523.87</v>
      </c>
      <c r="M1258" s="11">
        <v>102454.59</v>
      </c>
      <c r="N1258" s="9">
        <f t="shared" si="38"/>
        <v>-523.87</v>
      </c>
    </row>
    <row r="1259" spans="1:14" ht="12.75" hidden="1" customHeight="1" x14ac:dyDescent="0.2">
      <c r="A1259">
        <v>65015</v>
      </c>
      <c r="B1259" s="3" t="s">
        <v>1244</v>
      </c>
      <c r="C1259" s="7" t="s">
        <v>1765</v>
      </c>
      <c r="D1259" s="7" t="s">
        <v>221</v>
      </c>
      <c r="F1259" s="7" t="s">
        <v>1778</v>
      </c>
      <c r="G1259" s="7" t="s">
        <v>1573</v>
      </c>
      <c r="H1259" s="43" t="s">
        <v>1362</v>
      </c>
      <c r="I1259" s="7" t="s">
        <v>1244</v>
      </c>
      <c r="K1259" s="39" t="s">
        <v>842</v>
      </c>
      <c r="L1259" s="40">
        <v>21</v>
      </c>
      <c r="M1259" s="40">
        <v>4078.83</v>
      </c>
      <c r="N1259" s="40">
        <f t="shared" ref="N1259:N1290" si="39">+L1259</f>
        <v>21</v>
      </c>
    </row>
    <row r="1260" spans="1:14" ht="12.75" hidden="1" customHeight="1" x14ac:dyDescent="0.2">
      <c r="A1260">
        <v>65015</v>
      </c>
      <c r="B1260" s="3" t="s">
        <v>1244</v>
      </c>
      <c r="C1260" s="7" t="s">
        <v>1765</v>
      </c>
      <c r="D1260" s="7" t="s">
        <v>221</v>
      </c>
      <c r="F1260" s="7" t="s">
        <v>1779</v>
      </c>
      <c r="G1260" s="7" t="s">
        <v>1573</v>
      </c>
      <c r="H1260" s="43" t="s">
        <v>1362</v>
      </c>
      <c r="I1260" s="7" t="s">
        <v>1244</v>
      </c>
      <c r="K1260" s="39" t="s">
        <v>842</v>
      </c>
      <c r="L1260" s="40">
        <v>301.2</v>
      </c>
      <c r="M1260" s="40">
        <v>4380.03</v>
      </c>
      <c r="N1260" s="40">
        <f t="shared" si="39"/>
        <v>301.2</v>
      </c>
    </row>
    <row r="1261" spans="1:14" ht="12.75" hidden="1" customHeight="1" x14ac:dyDescent="0.2">
      <c r="A1261">
        <v>65020</v>
      </c>
      <c r="B1261" s="3" t="s">
        <v>1245</v>
      </c>
      <c r="C1261" s="7" t="s">
        <v>1703</v>
      </c>
      <c r="D1261" s="7" t="s">
        <v>221</v>
      </c>
      <c r="F1261" s="7" t="s">
        <v>338</v>
      </c>
      <c r="G1261" s="7" t="s">
        <v>1573</v>
      </c>
      <c r="H1261" s="7" t="s">
        <v>1362</v>
      </c>
      <c r="I1261" s="7" t="s">
        <v>1245</v>
      </c>
      <c r="K1261" s="39" t="s">
        <v>842</v>
      </c>
      <c r="L1261" s="40">
        <v>15.75</v>
      </c>
      <c r="M1261" s="40">
        <v>3286.72</v>
      </c>
      <c r="N1261" s="40">
        <f t="shared" si="39"/>
        <v>15.75</v>
      </c>
    </row>
    <row r="1262" spans="1:14" ht="12.75" hidden="1" customHeight="1" x14ac:dyDescent="0.2">
      <c r="A1262">
        <v>65025</v>
      </c>
      <c r="B1262" s="3" t="s">
        <v>1246</v>
      </c>
      <c r="C1262" s="7" t="s">
        <v>1556</v>
      </c>
      <c r="D1262" s="7" t="s">
        <v>221</v>
      </c>
      <c r="F1262" s="7" t="s">
        <v>446</v>
      </c>
      <c r="G1262" s="7" t="s">
        <v>1573</v>
      </c>
      <c r="H1262" s="7" t="s">
        <v>1362</v>
      </c>
      <c r="I1262" s="7" t="s">
        <v>1246</v>
      </c>
      <c r="K1262" s="39" t="s">
        <v>842</v>
      </c>
      <c r="L1262" s="40">
        <v>12</v>
      </c>
      <c r="M1262" s="40">
        <v>1775.52</v>
      </c>
      <c r="N1262" s="40">
        <f t="shared" si="39"/>
        <v>12</v>
      </c>
    </row>
    <row r="1263" spans="1:14" ht="12.75" hidden="1" customHeight="1" x14ac:dyDescent="0.2">
      <c r="A1263">
        <v>65025</v>
      </c>
      <c r="B1263" s="3" t="s">
        <v>1246</v>
      </c>
      <c r="C1263" s="7" t="s">
        <v>1803</v>
      </c>
      <c r="D1263" s="7" t="s">
        <v>221</v>
      </c>
      <c r="F1263" s="7" t="s">
        <v>446</v>
      </c>
      <c r="G1263" s="7" t="s">
        <v>1573</v>
      </c>
      <c r="H1263" s="7" t="s">
        <v>1362</v>
      </c>
      <c r="I1263" s="7" t="s">
        <v>1246</v>
      </c>
      <c r="K1263" s="39" t="s">
        <v>842</v>
      </c>
      <c r="L1263" s="40">
        <v>12</v>
      </c>
      <c r="M1263" s="40">
        <v>2019.17</v>
      </c>
      <c r="N1263" s="40">
        <f t="shared" si="39"/>
        <v>12</v>
      </c>
    </row>
    <row r="1264" spans="1:14" ht="12.75" hidden="1" customHeight="1" x14ac:dyDescent="0.2">
      <c r="A1264">
        <v>65025</v>
      </c>
      <c r="B1264" s="3" t="s">
        <v>1246</v>
      </c>
      <c r="C1264" s="7" t="s">
        <v>1804</v>
      </c>
      <c r="D1264" s="7" t="s">
        <v>221</v>
      </c>
      <c r="F1264" s="7" t="s">
        <v>446</v>
      </c>
      <c r="G1264" s="7" t="s">
        <v>1573</v>
      </c>
      <c r="H1264" s="7" t="s">
        <v>1362</v>
      </c>
      <c r="I1264" s="7" t="s">
        <v>1246</v>
      </c>
      <c r="K1264" s="39" t="s">
        <v>842</v>
      </c>
      <c r="L1264" s="40">
        <v>12</v>
      </c>
      <c r="M1264" s="40">
        <v>2148.1999999999998</v>
      </c>
      <c r="N1264" s="40">
        <f t="shared" si="39"/>
        <v>12</v>
      </c>
    </row>
    <row r="1265" spans="1:14" ht="12.75" hidden="1" customHeight="1" x14ac:dyDescent="0.2">
      <c r="A1265">
        <v>65025</v>
      </c>
      <c r="B1265" s="3" t="s">
        <v>1246</v>
      </c>
      <c r="C1265" s="7" t="s">
        <v>1648</v>
      </c>
      <c r="D1265" s="7" t="s">
        <v>221</v>
      </c>
      <c r="F1265" s="7" t="s">
        <v>446</v>
      </c>
      <c r="G1265" s="7" t="s">
        <v>1573</v>
      </c>
      <c r="H1265" s="7" t="s">
        <v>1362</v>
      </c>
      <c r="I1265" s="7" t="s">
        <v>1246</v>
      </c>
      <c r="K1265" s="39" t="s">
        <v>842</v>
      </c>
      <c r="L1265" s="40">
        <v>35</v>
      </c>
      <c r="M1265" s="40">
        <v>2842.05</v>
      </c>
      <c r="N1265" s="40">
        <f t="shared" si="39"/>
        <v>35</v>
      </c>
    </row>
    <row r="1266" spans="1:14" ht="12.75" hidden="1" customHeight="1" x14ac:dyDescent="0.2">
      <c r="A1266">
        <v>65036</v>
      </c>
      <c r="B1266" s="3" t="s">
        <v>1249</v>
      </c>
      <c r="C1266" s="7" t="s">
        <v>1635</v>
      </c>
      <c r="D1266" s="7" t="s">
        <v>221</v>
      </c>
      <c r="F1266" s="7" t="s">
        <v>1834</v>
      </c>
      <c r="G1266" s="7" t="s">
        <v>1573</v>
      </c>
      <c r="H1266" s="7" t="s">
        <v>1362</v>
      </c>
      <c r="I1266" s="7" t="s">
        <v>1249</v>
      </c>
      <c r="K1266" s="39" t="s">
        <v>842</v>
      </c>
      <c r="L1266" s="40">
        <v>36.44</v>
      </c>
      <c r="M1266" s="40">
        <v>7045.85</v>
      </c>
      <c r="N1266" s="40">
        <f t="shared" si="39"/>
        <v>36.44</v>
      </c>
    </row>
    <row r="1267" spans="1:14" ht="12.75" hidden="1" customHeight="1" x14ac:dyDescent="0.2">
      <c r="A1267">
        <v>65061</v>
      </c>
      <c r="B1267" s="3" t="s">
        <v>1844</v>
      </c>
      <c r="C1267" s="7" t="s">
        <v>1703</v>
      </c>
      <c r="D1267" s="7" t="s">
        <v>221</v>
      </c>
      <c r="F1267" s="7" t="s">
        <v>1945</v>
      </c>
      <c r="G1267" s="7" t="s">
        <v>1573</v>
      </c>
      <c r="H1267" s="7" t="s">
        <v>1362</v>
      </c>
      <c r="I1267" s="7" t="s">
        <v>1253</v>
      </c>
      <c r="K1267" s="39" t="s">
        <v>842</v>
      </c>
      <c r="L1267" s="40">
        <v>43.49</v>
      </c>
      <c r="M1267" s="40">
        <v>264237.57</v>
      </c>
      <c r="N1267" s="40">
        <f t="shared" si="39"/>
        <v>43.49</v>
      </c>
    </row>
    <row r="1268" spans="1:14" ht="12.75" hidden="1" customHeight="1" x14ac:dyDescent="0.2">
      <c r="A1268">
        <v>65061</v>
      </c>
      <c r="B1268" s="3" t="s">
        <v>1844</v>
      </c>
      <c r="C1268" s="7" t="s">
        <v>1790</v>
      </c>
      <c r="D1268" s="7" t="s">
        <v>221</v>
      </c>
      <c r="F1268" s="7" t="s">
        <v>569</v>
      </c>
      <c r="G1268" s="7" t="s">
        <v>1573</v>
      </c>
      <c r="H1268" s="7" t="s">
        <v>1362</v>
      </c>
      <c r="I1268" s="7" t="s">
        <v>1253</v>
      </c>
      <c r="K1268" s="39" t="s">
        <v>842</v>
      </c>
      <c r="L1268" s="40">
        <v>68</v>
      </c>
      <c r="M1268" s="40">
        <v>297348.28999999998</v>
      </c>
      <c r="N1268" s="40">
        <f t="shared" si="39"/>
        <v>68</v>
      </c>
    </row>
    <row r="1269" spans="1:14" ht="12.75" hidden="1" customHeight="1" x14ac:dyDescent="0.2">
      <c r="A1269">
        <v>65061</v>
      </c>
      <c r="B1269" s="3" t="s">
        <v>1844</v>
      </c>
      <c r="C1269" s="7" t="s">
        <v>1790</v>
      </c>
      <c r="D1269" s="7" t="s">
        <v>221</v>
      </c>
      <c r="F1269" s="7" t="s">
        <v>569</v>
      </c>
      <c r="G1269" s="7" t="s">
        <v>1573</v>
      </c>
      <c r="H1269" s="7" t="s">
        <v>1362</v>
      </c>
      <c r="I1269" s="7" t="s">
        <v>1253</v>
      </c>
      <c r="K1269" s="39" t="s">
        <v>842</v>
      </c>
      <c r="L1269" s="40">
        <v>6.2</v>
      </c>
      <c r="M1269" s="40">
        <v>297405.33</v>
      </c>
      <c r="N1269" s="40">
        <f t="shared" si="39"/>
        <v>6.2</v>
      </c>
    </row>
    <row r="1270" spans="1:14" ht="12.75" hidden="1" customHeight="1" x14ac:dyDescent="0.2">
      <c r="A1270">
        <v>65061</v>
      </c>
      <c r="B1270" s="3" t="s">
        <v>1844</v>
      </c>
      <c r="C1270" s="7" t="s">
        <v>1722</v>
      </c>
      <c r="D1270" s="7" t="s">
        <v>221</v>
      </c>
      <c r="F1270" s="7" t="s">
        <v>569</v>
      </c>
      <c r="G1270" s="7" t="s">
        <v>1573</v>
      </c>
      <c r="H1270" s="7" t="s">
        <v>1362</v>
      </c>
      <c r="I1270" s="7" t="s">
        <v>1253</v>
      </c>
      <c r="K1270" s="39" t="s">
        <v>842</v>
      </c>
      <c r="L1270" s="40">
        <v>165.2</v>
      </c>
      <c r="M1270" s="40">
        <v>297939.51</v>
      </c>
      <c r="N1270" s="40">
        <f t="shared" si="39"/>
        <v>165.2</v>
      </c>
    </row>
    <row r="1271" spans="1:14" ht="12.75" hidden="1" customHeight="1" x14ac:dyDescent="0.2">
      <c r="A1271">
        <v>65061</v>
      </c>
      <c r="B1271" s="3" t="s">
        <v>1844</v>
      </c>
      <c r="C1271" s="7" t="s">
        <v>1648</v>
      </c>
      <c r="D1271" s="7" t="s">
        <v>221</v>
      </c>
      <c r="F1271" s="7" t="s">
        <v>563</v>
      </c>
      <c r="G1271" s="7" t="s">
        <v>1573</v>
      </c>
      <c r="H1271" s="7" t="s">
        <v>1362</v>
      </c>
      <c r="I1271" s="7" t="s">
        <v>1253</v>
      </c>
      <c r="K1271" s="39" t="s">
        <v>842</v>
      </c>
      <c r="L1271" s="40">
        <v>364.97</v>
      </c>
      <c r="M1271" s="40">
        <v>303937.07</v>
      </c>
      <c r="N1271" s="40">
        <f t="shared" si="39"/>
        <v>364.97</v>
      </c>
    </row>
    <row r="1272" spans="1:14" ht="12.75" hidden="1" customHeight="1" x14ac:dyDescent="0.2">
      <c r="A1272">
        <v>65061</v>
      </c>
      <c r="B1272" s="3" t="s">
        <v>1844</v>
      </c>
      <c r="C1272" s="7" t="s">
        <v>1664</v>
      </c>
      <c r="D1272" s="7" t="s">
        <v>242</v>
      </c>
      <c r="F1272" s="7" t="s">
        <v>563</v>
      </c>
      <c r="G1272" s="7" t="s">
        <v>1573</v>
      </c>
      <c r="H1272" s="7" t="s">
        <v>1362</v>
      </c>
      <c r="I1272" s="7" t="s">
        <v>1253</v>
      </c>
      <c r="K1272" s="39" t="s">
        <v>842</v>
      </c>
      <c r="L1272" s="40">
        <v>-36.5</v>
      </c>
      <c r="M1272" s="40">
        <v>305715.7</v>
      </c>
      <c r="N1272" s="40">
        <f t="shared" si="39"/>
        <v>-36.5</v>
      </c>
    </row>
    <row r="1273" spans="1:14" ht="12.75" hidden="1" customHeight="1" x14ac:dyDescent="0.2">
      <c r="A1273">
        <v>65095</v>
      </c>
      <c r="B1273" s="3" t="s">
        <v>1259</v>
      </c>
      <c r="C1273" s="7" t="s">
        <v>1555</v>
      </c>
      <c r="D1273" s="7" t="s">
        <v>183</v>
      </c>
      <c r="E1273" s="7">
        <v>652</v>
      </c>
      <c r="G1273" s="7" t="s">
        <v>1573</v>
      </c>
      <c r="H1273" s="43" t="s">
        <v>1361</v>
      </c>
      <c r="I1273" s="7" t="s">
        <v>1259</v>
      </c>
      <c r="J1273" s="39" t="s">
        <v>425</v>
      </c>
      <c r="K1273" s="39" t="s">
        <v>180</v>
      </c>
      <c r="L1273" s="40">
        <v>14.1</v>
      </c>
      <c r="M1273" s="40">
        <v>769.69</v>
      </c>
      <c r="N1273" s="40">
        <f t="shared" si="39"/>
        <v>14.1</v>
      </c>
    </row>
    <row r="1274" spans="1:14" ht="12.75" hidden="1" customHeight="1" x14ac:dyDescent="0.2">
      <c r="A1274">
        <v>65095</v>
      </c>
      <c r="B1274" s="3" t="s">
        <v>1259</v>
      </c>
      <c r="C1274" s="7" t="s">
        <v>1593</v>
      </c>
      <c r="D1274" s="7" t="s">
        <v>183</v>
      </c>
      <c r="E1274" s="7">
        <v>659</v>
      </c>
      <c r="G1274" s="7" t="s">
        <v>1573</v>
      </c>
      <c r="H1274" s="43" t="s">
        <v>1361</v>
      </c>
      <c r="I1274" s="7" t="s">
        <v>1259</v>
      </c>
      <c r="K1274" s="39" t="s">
        <v>180</v>
      </c>
      <c r="L1274" s="40">
        <v>4.7</v>
      </c>
      <c r="M1274" s="40">
        <v>849.54</v>
      </c>
      <c r="N1274" s="40">
        <f t="shared" si="39"/>
        <v>4.7</v>
      </c>
    </row>
    <row r="1275" spans="1:14" ht="12.75" hidden="1" customHeight="1" x14ac:dyDescent="0.2">
      <c r="A1275">
        <v>65095</v>
      </c>
      <c r="B1275" s="3" t="s">
        <v>1259</v>
      </c>
      <c r="C1275" s="7" t="s">
        <v>1543</v>
      </c>
      <c r="D1275" s="7" t="s">
        <v>183</v>
      </c>
      <c r="E1275" s="7">
        <v>670</v>
      </c>
      <c r="G1275" s="7" t="s">
        <v>1573</v>
      </c>
      <c r="H1275" s="43" t="s">
        <v>1361</v>
      </c>
      <c r="I1275" s="7" t="s">
        <v>1259</v>
      </c>
      <c r="J1275" s="39" t="s">
        <v>1998</v>
      </c>
      <c r="K1275" s="39" t="s">
        <v>180</v>
      </c>
      <c r="L1275" s="40">
        <v>108.41</v>
      </c>
      <c r="M1275" s="40">
        <v>957.95</v>
      </c>
      <c r="N1275" s="40">
        <f t="shared" si="39"/>
        <v>108.41</v>
      </c>
    </row>
    <row r="1276" spans="1:14" ht="12.75" hidden="1" customHeight="1" x14ac:dyDescent="0.2">
      <c r="A1276">
        <v>65095</v>
      </c>
      <c r="B1276" s="3" t="s">
        <v>1259</v>
      </c>
      <c r="C1276" s="7" t="s">
        <v>1543</v>
      </c>
      <c r="D1276" s="7" t="s">
        <v>183</v>
      </c>
      <c r="E1276" s="7">
        <v>672</v>
      </c>
      <c r="G1276" s="7" t="s">
        <v>1573</v>
      </c>
      <c r="H1276" s="43" t="s">
        <v>1361</v>
      </c>
      <c r="I1276" s="7" t="s">
        <v>1259</v>
      </c>
      <c r="J1276" s="39" t="s">
        <v>2003</v>
      </c>
      <c r="K1276" s="39" t="s">
        <v>180</v>
      </c>
      <c r="L1276" s="40">
        <v>11.95</v>
      </c>
      <c r="M1276" s="40">
        <v>981.81</v>
      </c>
      <c r="N1276" s="40">
        <f t="shared" si="39"/>
        <v>11.95</v>
      </c>
    </row>
    <row r="1277" spans="1:14" ht="12.75" hidden="1" customHeight="1" x14ac:dyDescent="0.2">
      <c r="A1277">
        <v>65095</v>
      </c>
      <c r="B1277" s="3" t="s">
        <v>1259</v>
      </c>
      <c r="C1277" s="7" t="s">
        <v>1543</v>
      </c>
      <c r="D1277" s="7" t="s">
        <v>183</v>
      </c>
      <c r="E1277" s="7">
        <v>672</v>
      </c>
      <c r="G1277" s="7" t="s">
        <v>1573</v>
      </c>
      <c r="H1277" s="43" t="s">
        <v>1361</v>
      </c>
      <c r="I1277" s="7" t="s">
        <v>1259</v>
      </c>
      <c r="J1277" s="39" t="s">
        <v>425</v>
      </c>
      <c r="K1277" s="39" t="s">
        <v>180</v>
      </c>
      <c r="L1277" s="40">
        <v>4.7</v>
      </c>
      <c r="M1277" s="40">
        <v>986.51</v>
      </c>
      <c r="N1277" s="40">
        <f t="shared" si="39"/>
        <v>4.7</v>
      </c>
    </row>
    <row r="1278" spans="1:14" ht="12.75" hidden="1" customHeight="1" x14ac:dyDescent="0.2">
      <c r="A1278">
        <v>65095</v>
      </c>
      <c r="B1278" s="3" t="s">
        <v>1259</v>
      </c>
      <c r="C1278" s="7" t="s">
        <v>1629</v>
      </c>
      <c r="D1278" s="7" t="s">
        <v>183</v>
      </c>
      <c r="E1278" s="7">
        <v>716</v>
      </c>
      <c r="G1278" s="7" t="s">
        <v>1573</v>
      </c>
      <c r="H1278" s="43" t="s">
        <v>1361</v>
      </c>
      <c r="I1278" s="7" t="s">
        <v>1259</v>
      </c>
      <c r="K1278" s="39" t="s">
        <v>180</v>
      </c>
      <c r="L1278" s="40">
        <v>3.6</v>
      </c>
      <c r="M1278" s="40">
        <v>1052.48</v>
      </c>
      <c r="N1278" s="40">
        <f t="shared" si="39"/>
        <v>3.6</v>
      </c>
    </row>
    <row r="1279" spans="1:14" ht="12.75" hidden="1" customHeight="1" x14ac:dyDescent="0.2">
      <c r="A1279">
        <v>65095</v>
      </c>
      <c r="B1279" s="3" t="s">
        <v>1259</v>
      </c>
      <c r="C1279" s="7" t="s">
        <v>1631</v>
      </c>
      <c r="D1279" s="7" t="s">
        <v>183</v>
      </c>
      <c r="E1279" s="7">
        <v>724</v>
      </c>
      <c r="G1279" s="7" t="s">
        <v>1573</v>
      </c>
      <c r="H1279" s="43" t="s">
        <v>1361</v>
      </c>
      <c r="I1279" s="7" t="s">
        <v>1259</v>
      </c>
      <c r="J1279" s="39" t="s">
        <v>425</v>
      </c>
      <c r="K1279" s="39" t="s">
        <v>180</v>
      </c>
      <c r="L1279" s="40">
        <v>4.7</v>
      </c>
      <c r="M1279" s="40">
        <v>1071.1199999999999</v>
      </c>
      <c r="N1279" s="40">
        <f t="shared" si="39"/>
        <v>4.7</v>
      </c>
    </row>
    <row r="1280" spans="1:14" ht="12.75" hidden="1" customHeight="1" x14ac:dyDescent="0.2">
      <c r="A1280">
        <v>67001</v>
      </c>
      <c r="B1280" s="3" t="s">
        <v>1268</v>
      </c>
      <c r="C1280" s="7" t="s">
        <v>1559</v>
      </c>
      <c r="D1280" s="7" t="s">
        <v>221</v>
      </c>
      <c r="F1280" s="7" t="s">
        <v>569</v>
      </c>
      <c r="G1280" s="7" t="s">
        <v>1573</v>
      </c>
      <c r="H1280" s="70" t="s">
        <v>2129</v>
      </c>
      <c r="I1280" s="7" t="s">
        <v>1268</v>
      </c>
      <c r="J1280" s="39" t="s">
        <v>2028</v>
      </c>
      <c r="K1280" s="39" t="s">
        <v>842</v>
      </c>
      <c r="L1280" s="40">
        <v>35</v>
      </c>
      <c r="M1280" s="40">
        <v>64619.76</v>
      </c>
      <c r="N1280" s="40">
        <f t="shared" si="39"/>
        <v>35</v>
      </c>
    </row>
    <row r="1281" spans="1:14" ht="12.75" hidden="1" customHeight="1" x14ac:dyDescent="0.2">
      <c r="A1281">
        <v>67001</v>
      </c>
      <c r="B1281" s="3" t="s">
        <v>1268</v>
      </c>
      <c r="C1281" s="7" t="s">
        <v>1559</v>
      </c>
      <c r="D1281" s="7" t="s">
        <v>221</v>
      </c>
      <c r="F1281" s="7" t="s">
        <v>569</v>
      </c>
      <c r="G1281" s="7" t="s">
        <v>1573</v>
      </c>
      <c r="H1281" s="70" t="s">
        <v>2129</v>
      </c>
      <c r="I1281" s="7" t="s">
        <v>1268</v>
      </c>
      <c r="J1281" s="39" t="s">
        <v>2028</v>
      </c>
      <c r="K1281" s="39" t="s">
        <v>842</v>
      </c>
      <c r="L1281" s="40">
        <v>2.99</v>
      </c>
      <c r="M1281" s="40">
        <v>64622.75</v>
      </c>
      <c r="N1281" s="40">
        <f t="shared" si="39"/>
        <v>2.99</v>
      </c>
    </row>
    <row r="1282" spans="1:14" ht="12.75" hidden="1" customHeight="1" x14ac:dyDescent="0.2">
      <c r="A1282">
        <v>67001</v>
      </c>
      <c r="B1282" s="3" t="s">
        <v>1268</v>
      </c>
      <c r="C1282" s="7" t="s">
        <v>1559</v>
      </c>
      <c r="D1282" s="7" t="s">
        <v>221</v>
      </c>
      <c r="F1282" s="7" t="s">
        <v>2029</v>
      </c>
      <c r="G1282" s="7" t="s">
        <v>1573</v>
      </c>
      <c r="H1282" s="70" t="s">
        <v>2129</v>
      </c>
      <c r="I1282" s="7" t="s">
        <v>1268</v>
      </c>
      <c r="J1282" s="39" t="s">
        <v>2028</v>
      </c>
      <c r="K1282" s="39" t="s">
        <v>842</v>
      </c>
      <c r="L1282" s="40">
        <v>55</v>
      </c>
      <c r="M1282" s="40">
        <v>64677.75</v>
      </c>
      <c r="N1282" s="40">
        <f t="shared" si="39"/>
        <v>55</v>
      </c>
    </row>
    <row r="1283" spans="1:14" ht="12.75" hidden="1" customHeight="1" x14ac:dyDescent="0.2">
      <c r="A1283">
        <v>67001</v>
      </c>
      <c r="B1283" s="3" t="s">
        <v>1268</v>
      </c>
      <c r="C1283" s="7" t="s">
        <v>1559</v>
      </c>
      <c r="D1283" s="7" t="s">
        <v>221</v>
      </c>
      <c r="F1283" s="7" t="s">
        <v>2030</v>
      </c>
      <c r="G1283" s="7" t="s">
        <v>1573</v>
      </c>
      <c r="H1283" s="70" t="s">
        <v>2129</v>
      </c>
      <c r="I1283" s="7" t="s">
        <v>1268</v>
      </c>
      <c r="J1283" s="39" t="s">
        <v>2028</v>
      </c>
      <c r="K1283" s="39" t="s">
        <v>842</v>
      </c>
      <c r="L1283" s="40">
        <v>24</v>
      </c>
      <c r="M1283" s="40">
        <v>64701.75</v>
      </c>
      <c r="N1283" s="40">
        <f t="shared" si="39"/>
        <v>24</v>
      </c>
    </row>
    <row r="1284" spans="1:14" ht="12.75" hidden="1" customHeight="1" x14ac:dyDescent="0.2">
      <c r="A1284">
        <v>67001</v>
      </c>
      <c r="B1284" s="3" t="s">
        <v>1268</v>
      </c>
      <c r="C1284" s="7" t="s">
        <v>1685</v>
      </c>
      <c r="D1284" s="7" t="s">
        <v>221</v>
      </c>
      <c r="F1284" s="7" t="s">
        <v>2031</v>
      </c>
      <c r="G1284" s="7" t="s">
        <v>1573</v>
      </c>
      <c r="H1284" s="70" t="s">
        <v>2129</v>
      </c>
      <c r="I1284" s="7" t="s">
        <v>1268</v>
      </c>
      <c r="J1284" s="39" t="s">
        <v>2032</v>
      </c>
      <c r="K1284" s="39" t="s">
        <v>842</v>
      </c>
      <c r="L1284" s="40">
        <v>400</v>
      </c>
      <c r="M1284" s="40">
        <v>65101.75</v>
      </c>
      <c r="N1284" s="40">
        <f t="shared" si="39"/>
        <v>400</v>
      </c>
    </row>
    <row r="1285" spans="1:14" ht="12.75" hidden="1" customHeight="1" x14ac:dyDescent="0.2">
      <c r="A1285">
        <v>67001</v>
      </c>
      <c r="B1285" s="3" t="s">
        <v>1268</v>
      </c>
      <c r="C1285" s="7" t="s">
        <v>1649</v>
      </c>
      <c r="D1285" s="7" t="s">
        <v>221</v>
      </c>
      <c r="F1285" s="7" t="s">
        <v>2033</v>
      </c>
      <c r="G1285" s="7" t="s">
        <v>1573</v>
      </c>
      <c r="H1285" s="70" t="s">
        <v>2129</v>
      </c>
      <c r="I1285" s="7" t="s">
        <v>1268</v>
      </c>
      <c r="J1285" s="39" t="s">
        <v>2034</v>
      </c>
      <c r="K1285" s="39" t="s">
        <v>842</v>
      </c>
      <c r="L1285" s="40">
        <v>58.99</v>
      </c>
      <c r="M1285" s="40">
        <v>65160.74</v>
      </c>
      <c r="N1285" s="40">
        <f t="shared" si="39"/>
        <v>58.99</v>
      </c>
    </row>
    <row r="1286" spans="1:14" ht="12.75" hidden="1" customHeight="1" x14ac:dyDescent="0.2">
      <c r="A1286">
        <v>67001</v>
      </c>
      <c r="B1286" s="3" t="s">
        <v>1268</v>
      </c>
      <c r="C1286" s="7" t="s">
        <v>1649</v>
      </c>
      <c r="D1286" s="7" t="s">
        <v>221</v>
      </c>
      <c r="F1286" s="7" t="s">
        <v>2035</v>
      </c>
      <c r="G1286" s="7" t="s">
        <v>1573</v>
      </c>
      <c r="H1286" s="70" t="s">
        <v>2129</v>
      </c>
      <c r="I1286" s="7" t="s">
        <v>1268</v>
      </c>
      <c r="J1286" s="39" t="s">
        <v>2034</v>
      </c>
      <c r="K1286" s="39" t="s">
        <v>842</v>
      </c>
      <c r="L1286" s="40">
        <v>43.9</v>
      </c>
      <c r="M1286" s="40">
        <v>65204.639999999999</v>
      </c>
      <c r="N1286" s="40">
        <f t="shared" si="39"/>
        <v>43.9</v>
      </c>
    </row>
    <row r="1287" spans="1:14" ht="12.75" hidden="1" customHeight="1" x14ac:dyDescent="0.2">
      <c r="A1287">
        <v>67001</v>
      </c>
      <c r="B1287" s="3" t="s">
        <v>1268</v>
      </c>
      <c r="C1287" s="7" t="s">
        <v>1856</v>
      </c>
      <c r="D1287" s="7" t="s">
        <v>221</v>
      </c>
      <c r="F1287" s="7" t="s">
        <v>2036</v>
      </c>
      <c r="G1287" s="7" t="s">
        <v>1573</v>
      </c>
      <c r="H1287" s="70" t="s">
        <v>2129</v>
      </c>
      <c r="I1287" s="7" t="s">
        <v>1268</v>
      </c>
      <c r="J1287" s="39" t="s">
        <v>2034</v>
      </c>
      <c r="K1287" s="39" t="s">
        <v>842</v>
      </c>
      <c r="L1287" s="40">
        <v>260.79000000000002</v>
      </c>
      <c r="M1287" s="40">
        <v>65465.43</v>
      </c>
      <c r="N1287" s="40">
        <f t="shared" si="39"/>
        <v>260.79000000000002</v>
      </c>
    </row>
    <row r="1288" spans="1:14" ht="12.75" hidden="1" customHeight="1" x14ac:dyDescent="0.2">
      <c r="A1288">
        <v>67001</v>
      </c>
      <c r="B1288" s="3" t="s">
        <v>1268</v>
      </c>
      <c r="C1288" s="7" t="s">
        <v>1856</v>
      </c>
      <c r="D1288" s="7" t="s">
        <v>221</v>
      </c>
      <c r="F1288" s="7" t="s">
        <v>265</v>
      </c>
      <c r="G1288" s="7" t="s">
        <v>1573</v>
      </c>
      <c r="H1288" s="70" t="s">
        <v>2129</v>
      </c>
      <c r="I1288" s="7" t="s">
        <v>1268</v>
      </c>
      <c r="J1288" s="39" t="s">
        <v>2034</v>
      </c>
      <c r="K1288" s="39" t="s">
        <v>842</v>
      </c>
      <c r="L1288" s="40">
        <v>93.98</v>
      </c>
      <c r="M1288" s="40">
        <v>65559.41</v>
      </c>
      <c r="N1288" s="40">
        <f t="shared" si="39"/>
        <v>93.98</v>
      </c>
    </row>
    <row r="1289" spans="1:14" ht="12.75" hidden="1" customHeight="1" x14ac:dyDescent="0.2">
      <c r="A1289">
        <v>67001</v>
      </c>
      <c r="B1289" s="3" t="s">
        <v>1268</v>
      </c>
      <c r="C1289" s="7" t="s">
        <v>1562</v>
      </c>
      <c r="D1289" s="7" t="s">
        <v>221</v>
      </c>
      <c r="F1289" s="7" t="s">
        <v>265</v>
      </c>
      <c r="G1289" s="7" t="s">
        <v>1573</v>
      </c>
      <c r="H1289" s="70" t="s">
        <v>2129</v>
      </c>
      <c r="I1289" s="7" t="s">
        <v>1268</v>
      </c>
      <c r="J1289" s="39" t="s">
        <v>2034</v>
      </c>
      <c r="K1289" s="39" t="s">
        <v>842</v>
      </c>
      <c r="L1289" s="40">
        <v>31.55</v>
      </c>
      <c r="M1289" s="40">
        <v>65590.960000000006</v>
      </c>
      <c r="N1289" s="40">
        <f t="shared" si="39"/>
        <v>31.55</v>
      </c>
    </row>
    <row r="1290" spans="1:14" ht="12.75" hidden="1" customHeight="1" x14ac:dyDescent="0.2">
      <c r="A1290">
        <v>67001</v>
      </c>
      <c r="B1290" s="3" t="s">
        <v>1268</v>
      </c>
      <c r="C1290" s="7" t="s">
        <v>1565</v>
      </c>
      <c r="D1290" s="7" t="s">
        <v>200</v>
      </c>
      <c r="E1290" s="7">
        <v>488</v>
      </c>
      <c r="F1290" s="7" t="s">
        <v>2037</v>
      </c>
      <c r="G1290" s="7" t="s">
        <v>1573</v>
      </c>
      <c r="H1290" s="70" t="s">
        <v>2129</v>
      </c>
      <c r="I1290" s="7" t="s">
        <v>1268</v>
      </c>
      <c r="J1290" s="39" t="s">
        <v>2038</v>
      </c>
      <c r="K1290" s="39" t="s">
        <v>198</v>
      </c>
      <c r="L1290" s="40">
        <v>627.5</v>
      </c>
      <c r="M1290" s="40">
        <v>66218.460000000006</v>
      </c>
      <c r="N1290" s="40">
        <f t="shared" si="39"/>
        <v>627.5</v>
      </c>
    </row>
    <row r="1291" spans="1:14" ht="12.75" hidden="1" customHeight="1" x14ac:dyDescent="0.2">
      <c r="A1291">
        <v>67001</v>
      </c>
      <c r="B1291" s="3" t="s">
        <v>1268</v>
      </c>
      <c r="C1291" s="7" t="s">
        <v>1793</v>
      </c>
      <c r="D1291" s="7" t="s">
        <v>221</v>
      </c>
      <c r="F1291" s="7" t="s">
        <v>2039</v>
      </c>
      <c r="G1291" s="7" t="s">
        <v>1573</v>
      </c>
      <c r="H1291" s="70" t="s">
        <v>2129</v>
      </c>
      <c r="I1291" s="7" t="s">
        <v>1268</v>
      </c>
      <c r="J1291" s="39" t="s">
        <v>2040</v>
      </c>
      <c r="K1291" s="39" t="s">
        <v>842</v>
      </c>
      <c r="L1291" s="40">
        <v>71.760000000000005</v>
      </c>
      <c r="M1291" s="40">
        <v>66290.22</v>
      </c>
      <c r="N1291" s="40">
        <f t="shared" ref="N1291:N1323" si="40">+L1291</f>
        <v>71.760000000000005</v>
      </c>
    </row>
    <row r="1292" spans="1:14" ht="12.75" hidden="1" customHeight="1" x14ac:dyDescent="0.2">
      <c r="A1292">
        <v>67001</v>
      </c>
      <c r="B1292" s="3" t="s">
        <v>1268</v>
      </c>
      <c r="C1292" s="7" t="s">
        <v>1793</v>
      </c>
      <c r="D1292" s="7" t="s">
        <v>221</v>
      </c>
      <c r="F1292" s="7" t="s">
        <v>2041</v>
      </c>
      <c r="G1292" s="7" t="s">
        <v>1573</v>
      </c>
      <c r="H1292" s="70" t="s">
        <v>2129</v>
      </c>
      <c r="I1292" s="7" t="s">
        <v>1268</v>
      </c>
      <c r="J1292" s="39" t="s">
        <v>2042</v>
      </c>
      <c r="K1292" s="39" t="s">
        <v>842</v>
      </c>
      <c r="L1292" s="40">
        <v>11.5</v>
      </c>
      <c r="M1292" s="40">
        <v>66301.72</v>
      </c>
      <c r="N1292" s="40">
        <f t="shared" si="40"/>
        <v>11.5</v>
      </c>
    </row>
    <row r="1293" spans="1:14" ht="12.75" hidden="1" customHeight="1" x14ac:dyDescent="0.2">
      <c r="A1293">
        <v>67001</v>
      </c>
      <c r="B1293" s="3" t="s">
        <v>1268</v>
      </c>
      <c r="C1293" s="7" t="s">
        <v>1571</v>
      </c>
      <c r="D1293" s="7" t="s">
        <v>221</v>
      </c>
      <c r="F1293" s="7" t="s">
        <v>569</v>
      </c>
      <c r="G1293" s="7" t="s">
        <v>1573</v>
      </c>
      <c r="H1293" s="70" t="s">
        <v>2129</v>
      </c>
      <c r="I1293" s="7" t="s">
        <v>1268</v>
      </c>
      <c r="J1293" s="39" t="s">
        <v>2043</v>
      </c>
      <c r="K1293" s="39" t="s">
        <v>842</v>
      </c>
      <c r="L1293" s="40">
        <v>1</v>
      </c>
      <c r="M1293" s="40">
        <v>66302.720000000001</v>
      </c>
      <c r="N1293" s="40">
        <f t="shared" si="40"/>
        <v>1</v>
      </c>
    </row>
    <row r="1294" spans="1:14" ht="12.75" hidden="1" customHeight="1" x14ac:dyDescent="0.2">
      <c r="A1294">
        <v>67001</v>
      </c>
      <c r="B1294" s="3" t="s">
        <v>1268</v>
      </c>
      <c r="C1294" s="7" t="s">
        <v>1765</v>
      </c>
      <c r="D1294" s="7" t="s">
        <v>221</v>
      </c>
      <c r="F1294" s="7" t="s">
        <v>2044</v>
      </c>
      <c r="G1294" s="7" t="s">
        <v>1573</v>
      </c>
      <c r="H1294" s="70" t="s">
        <v>2129</v>
      </c>
      <c r="I1294" s="7" t="s">
        <v>1268</v>
      </c>
      <c r="J1294" s="39" t="s">
        <v>2045</v>
      </c>
      <c r="K1294" s="39" t="s">
        <v>842</v>
      </c>
      <c r="L1294" s="40">
        <v>29.4</v>
      </c>
      <c r="M1294" s="40">
        <v>66332.12</v>
      </c>
      <c r="N1294" s="40">
        <f t="shared" si="40"/>
        <v>29.4</v>
      </c>
    </row>
    <row r="1295" spans="1:14" ht="12.75" hidden="1" customHeight="1" x14ac:dyDescent="0.2">
      <c r="A1295">
        <v>67001</v>
      </c>
      <c r="B1295" s="3" t="s">
        <v>1268</v>
      </c>
      <c r="C1295" s="7" t="s">
        <v>1578</v>
      </c>
      <c r="D1295" s="7" t="s">
        <v>221</v>
      </c>
      <c r="F1295" s="7" t="s">
        <v>2047</v>
      </c>
      <c r="G1295" s="7" t="s">
        <v>1573</v>
      </c>
      <c r="H1295" s="70" t="s">
        <v>2129</v>
      </c>
      <c r="I1295" s="7" t="s">
        <v>1268</v>
      </c>
      <c r="J1295" s="39" t="s">
        <v>2042</v>
      </c>
      <c r="K1295" s="39" t="s">
        <v>842</v>
      </c>
      <c r="L1295" s="40">
        <v>28.55</v>
      </c>
      <c r="M1295" s="40">
        <v>66860.67</v>
      </c>
      <c r="N1295" s="40">
        <f t="shared" si="40"/>
        <v>28.55</v>
      </c>
    </row>
    <row r="1296" spans="1:14" ht="12.75" hidden="1" customHeight="1" x14ac:dyDescent="0.2">
      <c r="A1296">
        <v>67001</v>
      </c>
      <c r="B1296" s="3" t="s">
        <v>1268</v>
      </c>
      <c r="C1296" s="7" t="s">
        <v>1578</v>
      </c>
      <c r="D1296" s="7" t="s">
        <v>221</v>
      </c>
      <c r="F1296" s="7" t="s">
        <v>2048</v>
      </c>
      <c r="G1296" s="7" t="s">
        <v>1573</v>
      </c>
      <c r="H1296" s="70" t="s">
        <v>2129</v>
      </c>
      <c r="I1296" s="7" t="s">
        <v>1268</v>
      </c>
      <c r="J1296" s="39" t="s">
        <v>2042</v>
      </c>
      <c r="K1296" s="39" t="s">
        <v>842</v>
      </c>
      <c r="L1296" s="40">
        <v>12.96</v>
      </c>
      <c r="M1296" s="40">
        <v>66873.63</v>
      </c>
      <c r="N1296" s="40">
        <f t="shared" si="40"/>
        <v>12.96</v>
      </c>
    </row>
    <row r="1297" spans="1:14" ht="12.75" hidden="1" customHeight="1" x14ac:dyDescent="0.2">
      <c r="A1297">
        <v>67001</v>
      </c>
      <c r="B1297" s="3" t="s">
        <v>1268</v>
      </c>
      <c r="C1297" s="7" t="s">
        <v>1583</v>
      </c>
      <c r="D1297" s="7" t="s">
        <v>200</v>
      </c>
      <c r="E1297" s="7">
        <v>1</v>
      </c>
      <c r="F1297" s="7" t="s">
        <v>259</v>
      </c>
      <c r="G1297" s="7" t="s">
        <v>1573</v>
      </c>
      <c r="H1297" s="70" t="s">
        <v>2129</v>
      </c>
      <c r="I1297" s="7" t="s">
        <v>1268</v>
      </c>
      <c r="K1297" s="39" t="s">
        <v>1179</v>
      </c>
      <c r="L1297" s="40">
        <v>0.49</v>
      </c>
      <c r="M1297" s="40">
        <v>66874.12</v>
      </c>
      <c r="N1297" s="40">
        <f t="shared" si="40"/>
        <v>0.49</v>
      </c>
    </row>
    <row r="1298" spans="1:14" ht="12.75" hidden="1" customHeight="1" x14ac:dyDescent="0.2">
      <c r="A1298">
        <v>67001</v>
      </c>
      <c r="B1298" s="3" t="s">
        <v>1268</v>
      </c>
      <c r="C1298" s="7" t="s">
        <v>1583</v>
      </c>
      <c r="D1298" s="7" t="s">
        <v>221</v>
      </c>
      <c r="F1298" s="7" t="s">
        <v>352</v>
      </c>
      <c r="G1298" s="7" t="s">
        <v>1573</v>
      </c>
      <c r="H1298" s="70" t="s">
        <v>2129</v>
      </c>
      <c r="I1298" s="7" t="s">
        <v>1268</v>
      </c>
      <c r="J1298" s="39" t="s">
        <v>2049</v>
      </c>
      <c r="K1298" s="39" t="s">
        <v>842</v>
      </c>
      <c r="L1298" s="40">
        <v>145.47999999999999</v>
      </c>
      <c r="M1298" s="40">
        <v>67019.600000000006</v>
      </c>
      <c r="N1298" s="40">
        <f t="shared" si="40"/>
        <v>145.47999999999999</v>
      </c>
    </row>
    <row r="1299" spans="1:14" ht="12.75" hidden="1" customHeight="1" x14ac:dyDescent="0.2">
      <c r="A1299">
        <v>67001</v>
      </c>
      <c r="B1299" s="3" t="s">
        <v>1268</v>
      </c>
      <c r="C1299" s="7" t="s">
        <v>1821</v>
      </c>
      <c r="D1299" s="7" t="s">
        <v>221</v>
      </c>
      <c r="F1299" s="7" t="s">
        <v>355</v>
      </c>
      <c r="G1299" s="7" t="s">
        <v>1573</v>
      </c>
      <c r="H1299" s="70" t="s">
        <v>2129</v>
      </c>
      <c r="I1299" s="7" t="s">
        <v>1268</v>
      </c>
      <c r="J1299" s="39" t="s">
        <v>2050</v>
      </c>
      <c r="K1299" s="39" t="s">
        <v>842</v>
      </c>
      <c r="L1299" s="40">
        <v>54.51</v>
      </c>
      <c r="M1299" s="40">
        <v>67074.11</v>
      </c>
      <c r="N1299" s="40">
        <f t="shared" si="40"/>
        <v>54.51</v>
      </c>
    </row>
    <row r="1300" spans="1:14" ht="12.75" hidden="1" customHeight="1" x14ac:dyDescent="0.2">
      <c r="A1300">
        <v>67001</v>
      </c>
      <c r="B1300" s="3" t="s">
        <v>1268</v>
      </c>
      <c r="C1300" s="7" t="s">
        <v>1555</v>
      </c>
      <c r="D1300" s="7" t="s">
        <v>221</v>
      </c>
      <c r="F1300" s="7" t="s">
        <v>625</v>
      </c>
      <c r="G1300" s="7" t="s">
        <v>1573</v>
      </c>
      <c r="H1300" s="70" t="s">
        <v>2129</v>
      </c>
      <c r="I1300" s="7" t="s">
        <v>1268</v>
      </c>
      <c r="J1300" s="39" t="s">
        <v>2051</v>
      </c>
      <c r="K1300" s="39" t="s">
        <v>842</v>
      </c>
      <c r="L1300" s="40">
        <v>86.6</v>
      </c>
      <c r="M1300" s="40">
        <v>67160.710000000006</v>
      </c>
      <c r="N1300" s="40">
        <f t="shared" si="40"/>
        <v>86.6</v>
      </c>
    </row>
    <row r="1301" spans="1:14" ht="12.75" hidden="1" customHeight="1" x14ac:dyDescent="0.2">
      <c r="A1301">
        <v>67001</v>
      </c>
      <c r="B1301" s="3" t="s">
        <v>1268</v>
      </c>
      <c r="C1301" s="7" t="s">
        <v>1555</v>
      </c>
      <c r="D1301" s="7" t="s">
        <v>221</v>
      </c>
      <c r="F1301" s="7" t="s">
        <v>352</v>
      </c>
      <c r="G1301" s="7" t="s">
        <v>1573</v>
      </c>
      <c r="H1301" s="70" t="s">
        <v>2129</v>
      </c>
      <c r="I1301" s="7" t="s">
        <v>1268</v>
      </c>
      <c r="J1301" s="39" t="s">
        <v>2050</v>
      </c>
      <c r="K1301" s="39" t="s">
        <v>842</v>
      </c>
      <c r="L1301" s="40">
        <v>57.43</v>
      </c>
      <c r="M1301" s="40">
        <v>67218.14</v>
      </c>
      <c r="N1301" s="40">
        <f t="shared" si="40"/>
        <v>57.43</v>
      </c>
    </row>
    <row r="1302" spans="1:14" ht="12.75" hidden="1" customHeight="1" x14ac:dyDescent="0.2">
      <c r="A1302">
        <v>67001</v>
      </c>
      <c r="B1302" s="3" t="s">
        <v>1268</v>
      </c>
      <c r="C1302" s="7" t="s">
        <v>1589</v>
      </c>
      <c r="D1302" s="7" t="s">
        <v>221</v>
      </c>
      <c r="F1302" s="7" t="s">
        <v>2052</v>
      </c>
      <c r="G1302" s="7" t="s">
        <v>1573</v>
      </c>
      <c r="H1302" s="70" t="s">
        <v>2129</v>
      </c>
      <c r="I1302" s="7" t="s">
        <v>1268</v>
      </c>
      <c r="K1302" s="39" t="s">
        <v>842</v>
      </c>
      <c r="L1302" s="40">
        <v>84.9</v>
      </c>
      <c r="M1302" s="40">
        <v>67303.039999999994</v>
      </c>
      <c r="N1302" s="40">
        <f t="shared" si="40"/>
        <v>84.9</v>
      </c>
    </row>
    <row r="1303" spans="1:14" ht="12.75" hidden="1" customHeight="1" x14ac:dyDescent="0.2">
      <c r="A1303">
        <v>67001</v>
      </c>
      <c r="B1303" s="3" t="s">
        <v>1268</v>
      </c>
      <c r="C1303" s="7" t="s">
        <v>1796</v>
      </c>
      <c r="D1303" s="7" t="s">
        <v>221</v>
      </c>
      <c r="F1303" s="7" t="s">
        <v>265</v>
      </c>
      <c r="G1303" s="7" t="s">
        <v>1573</v>
      </c>
      <c r="H1303" s="70" t="s">
        <v>2129</v>
      </c>
      <c r="I1303" s="7" t="s">
        <v>1268</v>
      </c>
      <c r="J1303" s="39" t="s">
        <v>2053</v>
      </c>
      <c r="K1303" s="39" t="s">
        <v>842</v>
      </c>
      <c r="L1303" s="40">
        <v>20.399999999999999</v>
      </c>
      <c r="M1303" s="40">
        <v>67323.44</v>
      </c>
      <c r="N1303" s="40">
        <f t="shared" si="40"/>
        <v>20.399999999999999</v>
      </c>
    </row>
    <row r="1304" spans="1:14" ht="12.75" hidden="1" customHeight="1" x14ac:dyDescent="0.2">
      <c r="A1304">
        <v>67001</v>
      </c>
      <c r="B1304" s="3" t="s">
        <v>1268</v>
      </c>
      <c r="C1304" s="7" t="s">
        <v>1797</v>
      </c>
      <c r="D1304" s="7" t="s">
        <v>221</v>
      </c>
      <c r="F1304" s="7" t="s">
        <v>595</v>
      </c>
      <c r="G1304" s="7" t="s">
        <v>1573</v>
      </c>
      <c r="H1304" s="70" t="s">
        <v>2129</v>
      </c>
      <c r="I1304" s="7" t="s">
        <v>1268</v>
      </c>
      <c r="J1304" s="39" t="s">
        <v>2051</v>
      </c>
      <c r="K1304" s="39" t="s">
        <v>842</v>
      </c>
      <c r="L1304" s="40">
        <v>276.35000000000002</v>
      </c>
      <c r="M1304" s="40">
        <v>67599.789999999994</v>
      </c>
      <c r="N1304" s="40">
        <f t="shared" si="40"/>
        <v>276.35000000000002</v>
      </c>
    </row>
    <row r="1305" spans="1:14" ht="12.75" hidden="1" customHeight="1" x14ac:dyDescent="0.2">
      <c r="A1305">
        <v>67001</v>
      </c>
      <c r="B1305" s="3" t="s">
        <v>1268</v>
      </c>
      <c r="C1305" s="7" t="s">
        <v>1797</v>
      </c>
      <c r="D1305" s="7" t="s">
        <v>221</v>
      </c>
      <c r="F1305" s="7" t="s">
        <v>265</v>
      </c>
      <c r="G1305" s="7" t="s">
        <v>1573</v>
      </c>
      <c r="H1305" s="70" t="s">
        <v>2129</v>
      </c>
      <c r="I1305" s="7" t="s">
        <v>1268</v>
      </c>
      <c r="J1305" s="39" t="s">
        <v>2050</v>
      </c>
      <c r="K1305" s="39" t="s">
        <v>842</v>
      </c>
      <c r="L1305" s="40">
        <v>14.99</v>
      </c>
      <c r="M1305" s="40">
        <v>67614.78</v>
      </c>
      <c r="N1305" s="40">
        <f t="shared" si="40"/>
        <v>14.99</v>
      </c>
    </row>
    <row r="1306" spans="1:14" ht="12.75" hidden="1" customHeight="1" x14ac:dyDescent="0.2">
      <c r="A1306">
        <v>67001</v>
      </c>
      <c r="B1306" s="3" t="s">
        <v>1268</v>
      </c>
      <c r="C1306" s="7" t="s">
        <v>1744</v>
      </c>
      <c r="D1306" s="7" t="s">
        <v>242</v>
      </c>
      <c r="F1306" s="7" t="s">
        <v>1966</v>
      </c>
      <c r="G1306" s="7" t="s">
        <v>1573</v>
      </c>
      <c r="H1306" s="70" t="s">
        <v>2129</v>
      </c>
      <c r="I1306" s="7" t="s">
        <v>1268</v>
      </c>
      <c r="K1306" s="39" t="s">
        <v>842</v>
      </c>
      <c r="L1306" s="40">
        <v>-29.99</v>
      </c>
      <c r="M1306" s="40">
        <v>67584.789999999994</v>
      </c>
      <c r="N1306" s="40">
        <f t="shared" si="40"/>
        <v>-29.99</v>
      </c>
    </row>
    <row r="1307" spans="1:14" ht="12.75" hidden="1" customHeight="1" x14ac:dyDescent="0.2">
      <c r="A1307">
        <v>67001</v>
      </c>
      <c r="B1307" s="3" t="s">
        <v>1268</v>
      </c>
      <c r="C1307" s="7" t="s">
        <v>1744</v>
      </c>
      <c r="D1307" s="7" t="s">
        <v>221</v>
      </c>
      <c r="F1307" s="7" t="s">
        <v>265</v>
      </c>
      <c r="G1307" s="7" t="s">
        <v>1573</v>
      </c>
      <c r="H1307" s="70" t="s">
        <v>2129</v>
      </c>
      <c r="I1307" s="7" t="s">
        <v>1268</v>
      </c>
      <c r="J1307" s="39" t="s">
        <v>2050</v>
      </c>
      <c r="K1307" s="39" t="s">
        <v>842</v>
      </c>
      <c r="L1307" s="40">
        <v>7.49</v>
      </c>
      <c r="M1307" s="40">
        <v>67592.28</v>
      </c>
      <c r="N1307" s="40">
        <f t="shared" si="40"/>
        <v>7.49</v>
      </c>
    </row>
    <row r="1308" spans="1:14" ht="12.75" hidden="1" customHeight="1" x14ac:dyDescent="0.2">
      <c r="A1308">
        <v>67001</v>
      </c>
      <c r="B1308" s="3" t="s">
        <v>1268</v>
      </c>
      <c r="C1308" s="7" t="s">
        <v>1593</v>
      </c>
      <c r="D1308" s="7" t="s">
        <v>183</v>
      </c>
      <c r="E1308" s="7">
        <v>659</v>
      </c>
      <c r="G1308" s="7" t="s">
        <v>1573</v>
      </c>
      <c r="H1308" s="70" t="s">
        <v>2129</v>
      </c>
      <c r="I1308" s="7" t="s">
        <v>1268</v>
      </c>
      <c r="J1308" s="39" t="s">
        <v>2054</v>
      </c>
      <c r="K1308" s="39" t="s">
        <v>180</v>
      </c>
      <c r="L1308" s="40">
        <v>36.5</v>
      </c>
      <c r="M1308" s="40">
        <v>67628.78</v>
      </c>
      <c r="N1308" s="40">
        <f t="shared" si="40"/>
        <v>36.5</v>
      </c>
    </row>
    <row r="1309" spans="1:14" ht="12.75" hidden="1" customHeight="1" x14ac:dyDescent="0.2">
      <c r="A1309">
        <v>67001</v>
      </c>
      <c r="B1309" s="3" t="s">
        <v>1268</v>
      </c>
      <c r="C1309" s="7" t="s">
        <v>1593</v>
      </c>
      <c r="D1309" s="7" t="s">
        <v>221</v>
      </c>
      <c r="F1309" s="7" t="s">
        <v>265</v>
      </c>
      <c r="G1309" s="7" t="s">
        <v>1573</v>
      </c>
      <c r="H1309" s="70" t="s">
        <v>2129</v>
      </c>
      <c r="I1309" s="7" t="s">
        <v>1268</v>
      </c>
      <c r="J1309" s="39" t="s">
        <v>2055</v>
      </c>
      <c r="K1309" s="39" t="s">
        <v>842</v>
      </c>
      <c r="L1309" s="40">
        <v>6.99</v>
      </c>
      <c r="M1309" s="40">
        <v>67635.77</v>
      </c>
      <c r="N1309" s="40">
        <f t="shared" si="40"/>
        <v>6.99</v>
      </c>
    </row>
    <row r="1310" spans="1:14" ht="12.75" hidden="1" customHeight="1" x14ac:dyDescent="0.2">
      <c r="A1310">
        <v>67001</v>
      </c>
      <c r="B1310" s="3" t="s">
        <v>1268</v>
      </c>
      <c r="C1310" s="7" t="s">
        <v>1593</v>
      </c>
      <c r="D1310" s="7" t="s">
        <v>221</v>
      </c>
      <c r="F1310" s="7" t="s">
        <v>265</v>
      </c>
      <c r="G1310" s="7" t="s">
        <v>1573</v>
      </c>
      <c r="H1310" s="70" t="s">
        <v>2129</v>
      </c>
      <c r="I1310" s="7" t="s">
        <v>1268</v>
      </c>
      <c r="K1310" s="39" t="s">
        <v>842</v>
      </c>
      <c r="L1310" s="40">
        <v>79.989999999999995</v>
      </c>
      <c r="M1310" s="40">
        <v>67715.759999999995</v>
      </c>
      <c r="N1310" s="40">
        <f t="shared" si="40"/>
        <v>79.989999999999995</v>
      </c>
    </row>
    <row r="1311" spans="1:14" ht="12.75" hidden="1" customHeight="1" x14ac:dyDescent="0.2">
      <c r="A1311">
        <v>67001</v>
      </c>
      <c r="B1311" s="3" t="s">
        <v>1268</v>
      </c>
      <c r="C1311" s="7" t="s">
        <v>1596</v>
      </c>
      <c r="D1311" s="7" t="s">
        <v>221</v>
      </c>
      <c r="F1311" s="7" t="s">
        <v>846</v>
      </c>
      <c r="G1311" s="7" t="s">
        <v>1573</v>
      </c>
      <c r="H1311" s="70" t="s">
        <v>2129</v>
      </c>
      <c r="I1311" s="7" t="s">
        <v>1268</v>
      </c>
      <c r="J1311" s="39" t="s">
        <v>2050</v>
      </c>
      <c r="K1311" s="39" t="s">
        <v>842</v>
      </c>
      <c r="L1311" s="40">
        <v>39.869999999999997</v>
      </c>
      <c r="M1311" s="40">
        <v>67755.63</v>
      </c>
      <c r="N1311" s="40">
        <f t="shared" si="40"/>
        <v>39.869999999999997</v>
      </c>
    </row>
    <row r="1312" spans="1:14" ht="12.75" hidden="1" customHeight="1" x14ac:dyDescent="0.2">
      <c r="A1312">
        <v>67001</v>
      </c>
      <c r="B1312" s="3" t="s">
        <v>1268</v>
      </c>
      <c r="C1312" s="7" t="s">
        <v>1798</v>
      </c>
      <c r="D1312" s="7" t="s">
        <v>221</v>
      </c>
      <c r="F1312" s="7" t="s">
        <v>2056</v>
      </c>
      <c r="G1312" s="7" t="s">
        <v>1573</v>
      </c>
      <c r="H1312" s="70" t="s">
        <v>2129</v>
      </c>
      <c r="I1312" s="7" t="s">
        <v>1268</v>
      </c>
      <c r="J1312" s="39" t="s">
        <v>2050</v>
      </c>
      <c r="K1312" s="39" t="s">
        <v>842</v>
      </c>
      <c r="L1312" s="40">
        <v>85.5</v>
      </c>
      <c r="M1312" s="40">
        <v>67841.13</v>
      </c>
      <c r="N1312" s="40">
        <f t="shared" si="40"/>
        <v>85.5</v>
      </c>
    </row>
    <row r="1313" spans="1:14" ht="12.75" hidden="1" customHeight="1" x14ac:dyDescent="0.2">
      <c r="A1313">
        <v>67001</v>
      </c>
      <c r="B1313" s="3" t="s">
        <v>1268</v>
      </c>
      <c r="C1313" s="7" t="s">
        <v>1798</v>
      </c>
      <c r="D1313" s="7" t="s">
        <v>221</v>
      </c>
      <c r="G1313" s="7" t="s">
        <v>1573</v>
      </c>
      <c r="H1313" s="70" t="s">
        <v>2129</v>
      </c>
      <c r="I1313" s="7" t="s">
        <v>1268</v>
      </c>
      <c r="J1313" s="39" t="s">
        <v>2050</v>
      </c>
      <c r="K1313" s="39" t="s">
        <v>842</v>
      </c>
      <c r="L1313" s="40">
        <v>15.96</v>
      </c>
      <c r="M1313" s="40">
        <v>67857.09</v>
      </c>
      <c r="N1313" s="40">
        <f t="shared" si="40"/>
        <v>15.96</v>
      </c>
    </row>
    <row r="1314" spans="1:14" ht="12.75" hidden="1" customHeight="1" x14ac:dyDescent="0.2">
      <c r="A1314">
        <v>67001</v>
      </c>
      <c r="B1314" s="3" t="s">
        <v>1268</v>
      </c>
      <c r="C1314" s="7" t="s">
        <v>1600</v>
      </c>
      <c r="D1314" s="7" t="s">
        <v>221</v>
      </c>
      <c r="F1314" s="7" t="s">
        <v>2060</v>
      </c>
      <c r="G1314" s="7" t="s">
        <v>1573</v>
      </c>
      <c r="H1314" s="70" t="s">
        <v>2129</v>
      </c>
      <c r="I1314" s="7" t="s">
        <v>1268</v>
      </c>
      <c r="J1314" s="39" t="s">
        <v>2050</v>
      </c>
      <c r="K1314" s="39" t="s">
        <v>842</v>
      </c>
      <c r="L1314" s="40">
        <v>24</v>
      </c>
      <c r="M1314" s="40">
        <v>68063.63</v>
      </c>
      <c r="N1314" s="40">
        <f t="shared" si="40"/>
        <v>24</v>
      </c>
    </row>
    <row r="1315" spans="1:14" ht="12.75" hidden="1" customHeight="1" x14ac:dyDescent="0.2">
      <c r="A1315">
        <v>67001</v>
      </c>
      <c r="B1315" s="3" t="s">
        <v>1268</v>
      </c>
      <c r="C1315" s="7" t="s">
        <v>1603</v>
      </c>
      <c r="D1315" s="7" t="s">
        <v>221</v>
      </c>
      <c r="F1315" s="7" t="s">
        <v>2056</v>
      </c>
      <c r="G1315" s="7" t="s">
        <v>1573</v>
      </c>
      <c r="H1315" s="70" t="s">
        <v>2129</v>
      </c>
      <c r="I1315" s="7" t="s">
        <v>1268</v>
      </c>
      <c r="K1315" s="39" t="s">
        <v>842</v>
      </c>
      <c r="L1315" s="40">
        <v>25</v>
      </c>
      <c r="M1315" s="40">
        <v>68088.63</v>
      </c>
      <c r="N1315" s="40">
        <f t="shared" si="40"/>
        <v>25</v>
      </c>
    </row>
    <row r="1316" spans="1:14" ht="12.75" hidden="1" customHeight="1" x14ac:dyDescent="0.2">
      <c r="A1316">
        <v>67001</v>
      </c>
      <c r="B1316" s="3" t="s">
        <v>1268</v>
      </c>
      <c r="C1316" s="7" t="s">
        <v>1784</v>
      </c>
      <c r="D1316" s="7" t="s">
        <v>221</v>
      </c>
      <c r="F1316" s="7" t="s">
        <v>648</v>
      </c>
      <c r="G1316" s="7" t="s">
        <v>1573</v>
      </c>
      <c r="H1316" s="70" t="s">
        <v>2129</v>
      </c>
      <c r="I1316" s="7" t="s">
        <v>1268</v>
      </c>
      <c r="K1316" s="39" t="s">
        <v>842</v>
      </c>
      <c r="L1316" s="40">
        <v>44.98</v>
      </c>
      <c r="M1316" s="40">
        <v>68133.61</v>
      </c>
      <c r="N1316" s="40">
        <f t="shared" si="40"/>
        <v>44.98</v>
      </c>
    </row>
    <row r="1317" spans="1:14" ht="12.75" hidden="1" customHeight="1" x14ac:dyDescent="0.2">
      <c r="A1317">
        <v>67001</v>
      </c>
      <c r="B1317" s="3" t="s">
        <v>1268</v>
      </c>
      <c r="C1317" s="7" t="s">
        <v>1784</v>
      </c>
      <c r="D1317" s="7" t="s">
        <v>242</v>
      </c>
      <c r="F1317" s="7" t="s">
        <v>648</v>
      </c>
      <c r="G1317" s="7" t="s">
        <v>1573</v>
      </c>
      <c r="H1317" s="70" t="s">
        <v>2129</v>
      </c>
      <c r="I1317" s="7" t="s">
        <v>1268</v>
      </c>
      <c r="K1317" s="39" t="s">
        <v>842</v>
      </c>
      <c r="L1317" s="40">
        <v>-3</v>
      </c>
      <c r="M1317" s="40">
        <v>68130.61</v>
      </c>
      <c r="N1317" s="40">
        <f t="shared" si="40"/>
        <v>-3</v>
      </c>
    </row>
    <row r="1318" spans="1:14" ht="12.75" hidden="1" customHeight="1" x14ac:dyDescent="0.2">
      <c r="A1318">
        <v>67001</v>
      </c>
      <c r="B1318" s="3" t="s">
        <v>1268</v>
      </c>
      <c r="C1318" s="7" t="s">
        <v>1607</v>
      </c>
      <c r="D1318" s="7" t="s">
        <v>221</v>
      </c>
      <c r="F1318" s="7" t="s">
        <v>234</v>
      </c>
      <c r="G1318" s="7" t="s">
        <v>1573</v>
      </c>
      <c r="H1318" s="70" t="s">
        <v>2129</v>
      </c>
      <c r="I1318" s="7" t="s">
        <v>1268</v>
      </c>
      <c r="K1318" s="39" t="s">
        <v>842</v>
      </c>
      <c r="L1318" s="40">
        <v>47.03</v>
      </c>
      <c r="M1318" s="40">
        <v>68177.64</v>
      </c>
      <c r="N1318" s="40">
        <f t="shared" si="40"/>
        <v>47.03</v>
      </c>
    </row>
    <row r="1319" spans="1:14" ht="12.75" hidden="1" customHeight="1" x14ac:dyDescent="0.2">
      <c r="A1319">
        <v>67001</v>
      </c>
      <c r="B1319" s="3" t="s">
        <v>1268</v>
      </c>
      <c r="C1319" s="7" t="s">
        <v>1608</v>
      </c>
      <c r="D1319" s="7" t="s">
        <v>221</v>
      </c>
      <c r="F1319" s="7" t="s">
        <v>2061</v>
      </c>
      <c r="G1319" s="7" t="s">
        <v>1573</v>
      </c>
      <c r="H1319" s="70" t="s">
        <v>2129</v>
      </c>
      <c r="I1319" s="7" t="s">
        <v>1268</v>
      </c>
      <c r="K1319" s="39" t="s">
        <v>842</v>
      </c>
      <c r="L1319" s="40">
        <v>5303.4</v>
      </c>
      <c r="M1319" s="40">
        <v>73481.039999999994</v>
      </c>
      <c r="N1319" s="40">
        <f t="shared" si="40"/>
        <v>5303.4</v>
      </c>
    </row>
    <row r="1320" spans="1:14" ht="12.75" hidden="1" customHeight="1" x14ac:dyDescent="0.2">
      <c r="A1320">
        <v>67001</v>
      </c>
      <c r="B1320" s="3" t="s">
        <v>1268</v>
      </c>
      <c r="C1320" s="7" t="s">
        <v>1608</v>
      </c>
      <c r="D1320" s="7" t="s">
        <v>221</v>
      </c>
      <c r="F1320" s="7" t="s">
        <v>234</v>
      </c>
      <c r="G1320" s="7" t="s">
        <v>1573</v>
      </c>
      <c r="H1320" s="70" t="s">
        <v>2129</v>
      </c>
      <c r="I1320" s="7" t="s">
        <v>1268</v>
      </c>
      <c r="K1320" s="39" t="s">
        <v>842</v>
      </c>
      <c r="L1320" s="40">
        <v>51.77</v>
      </c>
      <c r="M1320" s="40">
        <v>73532.81</v>
      </c>
      <c r="N1320" s="40">
        <f t="shared" si="40"/>
        <v>51.77</v>
      </c>
    </row>
    <row r="1321" spans="1:14" ht="12.75" hidden="1" customHeight="1" x14ac:dyDescent="0.2">
      <c r="A1321">
        <v>67001</v>
      </c>
      <c r="B1321" s="3" t="s">
        <v>1268</v>
      </c>
      <c r="C1321" s="7" t="s">
        <v>1543</v>
      </c>
      <c r="D1321" s="7" t="s">
        <v>221</v>
      </c>
      <c r="F1321" s="7" t="s">
        <v>2061</v>
      </c>
      <c r="G1321" s="7" t="s">
        <v>1573</v>
      </c>
      <c r="H1321" s="70" t="s">
        <v>2129</v>
      </c>
      <c r="I1321" s="7" t="s">
        <v>1268</v>
      </c>
      <c r="K1321" s="39" t="s">
        <v>842</v>
      </c>
      <c r="L1321" s="40">
        <v>819</v>
      </c>
      <c r="M1321" s="40">
        <v>74351.81</v>
      </c>
      <c r="N1321" s="40">
        <f t="shared" si="40"/>
        <v>819</v>
      </c>
    </row>
    <row r="1322" spans="1:14" ht="12.75" hidden="1" customHeight="1" x14ac:dyDescent="0.2">
      <c r="A1322">
        <v>67001</v>
      </c>
      <c r="B1322" s="3" t="s">
        <v>1268</v>
      </c>
      <c r="C1322" s="7" t="s">
        <v>1612</v>
      </c>
      <c r="D1322" s="7" t="s">
        <v>221</v>
      </c>
      <c r="F1322" s="7" t="s">
        <v>2062</v>
      </c>
      <c r="G1322" s="7" t="s">
        <v>1573</v>
      </c>
      <c r="H1322" s="70" t="s">
        <v>2129</v>
      </c>
      <c r="I1322" s="7" t="s">
        <v>1268</v>
      </c>
      <c r="K1322" s="39" t="s">
        <v>842</v>
      </c>
      <c r="L1322" s="40">
        <v>100.17</v>
      </c>
      <c r="M1322" s="40">
        <v>74451.98</v>
      </c>
      <c r="N1322" s="40">
        <f t="shared" si="40"/>
        <v>100.17</v>
      </c>
    </row>
    <row r="1323" spans="1:14" ht="12.75" hidden="1" customHeight="1" x14ac:dyDescent="0.2">
      <c r="A1323">
        <v>67001</v>
      </c>
      <c r="B1323" s="3" t="s">
        <v>1268</v>
      </c>
      <c r="C1323" s="7" t="s">
        <v>1805</v>
      </c>
      <c r="D1323" s="7" t="s">
        <v>221</v>
      </c>
      <c r="F1323" s="7" t="s">
        <v>2063</v>
      </c>
      <c r="G1323" s="7" t="s">
        <v>1573</v>
      </c>
      <c r="H1323" s="70" t="s">
        <v>2129</v>
      </c>
      <c r="I1323" s="7" t="s">
        <v>1268</v>
      </c>
      <c r="J1323" s="39" t="s">
        <v>2064</v>
      </c>
      <c r="K1323" s="39" t="s">
        <v>842</v>
      </c>
      <c r="L1323" s="40">
        <v>153.6</v>
      </c>
      <c r="M1323" s="40">
        <v>74785.899999999994</v>
      </c>
      <c r="N1323" s="40">
        <f t="shared" si="40"/>
        <v>153.6</v>
      </c>
    </row>
    <row r="1324" spans="1:14" ht="12.75" hidden="1" customHeight="1" x14ac:dyDescent="0.2">
      <c r="A1324">
        <v>43430</v>
      </c>
      <c r="B1324" s="3" t="s">
        <v>1226</v>
      </c>
      <c r="C1324" s="7" t="s">
        <v>463</v>
      </c>
      <c r="D1324" s="7" t="s">
        <v>183</v>
      </c>
      <c r="E1324" s="7">
        <v>618</v>
      </c>
      <c r="G1324" s="7" t="s">
        <v>1598</v>
      </c>
      <c r="H1324" s="7" t="s">
        <v>1360</v>
      </c>
      <c r="I1324" s="7" t="s">
        <v>1226</v>
      </c>
      <c r="J1324" s="7" t="s">
        <v>464</v>
      </c>
      <c r="K1324" s="7" t="s">
        <v>180</v>
      </c>
      <c r="L1324" s="11">
        <v>250</v>
      </c>
      <c r="M1324" s="11">
        <v>12617.5</v>
      </c>
      <c r="N1324" s="9">
        <f t="shared" ref="N1324:N1363" si="41">IF(A1324&lt;60000,-L1324,+L1324)</f>
        <v>-250</v>
      </c>
    </row>
    <row r="1325" spans="1:14" ht="12.75" hidden="1" customHeight="1" x14ac:dyDescent="0.2">
      <c r="A1325">
        <v>43430</v>
      </c>
      <c r="B1325" s="3" t="s">
        <v>1226</v>
      </c>
      <c r="C1325" s="7" t="s">
        <v>463</v>
      </c>
      <c r="D1325" s="7" t="s">
        <v>183</v>
      </c>
      <c r="E1325" s="7">
        <v>618</v>
      </c>
      <c r="G1325" s="7" t="s">
        <v>1598</v>
      </c>
      <c r="H1325" s="7" t="s">
        <v>1360</v>
      </c>
      <c r="I1325" s="7" t="s">
        <v>1226</v>
      </c>
      <c r="J1325" s="7" t="s">
        <v>461</v>
      </c>
      <c r="K1325" s="7" t="s">
        <v>180</v>
      </c>
      <c r="L1325" s="11">
        <v>75</v>
      </c>
      <c r="M1325" s="11">
        <v>12692.5</v>
      </c>
      <c r="N1325" s="9">
        <f t="shared" si="41"/>
        <v>-75</v>
      </c>
    </row>
    <row r="1326" spans="1:14" ht="12.75" hidden="1" customHeight="1" x14ac:dyDescent="0.2">
      <c r="A1326">
        <v>43430</v>
      </c>
      <c r="B1326" s="3" t="s">
        <v>1226</v>
      </c>
      <c r="C1326" s="7" t="s">
        <v>463</v>
      </c>
      <c r="D1326" s="7" t="s">
        <v>183</v>
      </c>
      <c r="E1326" s="7">
        <v>618</v>
      </c>
      <c r="G1326" s="7" t="s">
        <v>1598</v>
      </c>
      <c r="H1326" s="7" t="s">
        <v>1360</v>
      </c>
      <c r="I1326" s="7" t="s">
        <v>1226</v>
      </c>
      <c r="J1326" s="7" t="s">
        <v>461</v>
      </c>
      <c r="K1326" s="7" t="s">
        <v>180</v>
      </c>
      <c r="L1326" s="11">
        <v>75</v>
      </c>
      <c r="M1326" s="11">
        <v>12767.5</v>
      </c>
      <c r="N1326" s="9">
        <f t="shared" si="41"/>
        <v>-75</v>
      </c>
    </row>
    <row r="1327" spans="1:14" ht="12.75" hidden="1" customHeight="1" x14ac:dyDescent="0.2">
      <c r="A1327">
        <v>43440</v>
      </c>
      <c r="B1327" s="3" t="s">
        <v>1228</v>
      </c>
      <c r="C1327" s="7" t="s">
        <v>463</v>
      </c>
      <c r="D1327" s="7" t="s">
        <v>183</v>
      </c>
      <c r="E1327" s="7">
        <v>618</v>
      </c>
      <c r="G1327" s="7" t="s">
        <v>1598</v>
      </c>
      <c r="H1327" s="7" t="s">
        <v>1360</v>
      </c>
      <c r="I1327" s="7" t="s">
        <v>1228</v>
      </c>
      <c r="J1327" s="7" t="s">
        <v>494</v>
      </c>
      <c r="K1327" s="7" t="s">
        <v>180</v>
      </c>
      <c r="L1327" s="11">
        <v>142.88999999999999</v>
      </c>
      <c r="M1327" s="11">
        <v>26155.29</v>
      </c>
      <c r="N1327" s="9">
        <f t="shared" si="41"/>
        <v>-142.88999999999999</v>
      </c>
    </row>
    <row r="1328" spans="1:14" ht="12.75" hidden="1" customHeight="1" x14ac:dyDescent="0.2">
      <c r="A1328">
        <v>65060</v>
      </c>
      <c r="B1328" s="3" t="s">
        <v>1253</v>
      </c>
      <c r="C1328" s="7" t="s">
        <v>224</v>
      </c>
      <c r="D1328" s="7" t="s">
        <v>242</v>
      </c>
      <c r="F1328" s="7" t="s">
        <v>241</v>
      </c>
      <c r="G1328" s="7" t="s">
        <v>1598</v>
      </c>
      <c r="H1328" s="7" t="s">
        <v>1362</v>
      </c>
      <c r="I1328" s="7" t="s">
        <v>1253</v>
      </c>
      <c r="K1328" s="7" t="s">
        <v>696</v>
      </c>
      <c r="L1328" s="11">
        <v>-64.19</v>
      </c>
      <c r="M1328" s="11">
        <v>-37.44</v>
      </c>
      <c r="N1328" s="9">
        <f t="shared" si="41"/>
        <v>-64.19</v>
      </c>
    </row>
    <row r="1329" spans="1:14" ht="12.75" hidden="1" customHeight="1" x14ac:dyDescent="0.2">
      <c r="A1329">
        <v>65060</v>
      </c>
      <c r="B1329" s="3" t="s">
        <v>1253</v>
      </c>
      <c r="C1329" s="7" t="s">
        <v>224</v>
      </c>
      <c r="D1329" s="7" t="s">
        <v>242</v>
      </c>
      <c r="F1329" s="7" t="s">
        <v>241</v>
      </c>
      <c r="G1329" s="7" t="s">
        <v>1598</v>
      </c>
      <c r="H1329" s="7" t="s">
        <v>1362</v>
      </c>
      <c r="I1329" s="7" t="s">
        <v>1253</v>
      </c>
      <c r="K1329" s="7" t="s">
        <v>696</v>
      </c>
      <c r="L1329" s="11">
        <v>-21.39</v>
      </c>
      <c r="M1329" s="11">
        <v>-44.84</v>
      </c>
      <c r="N1329" s="9">
        <f t="shared" si="41"/>
        <v>-21.39</v>
      </c>
    </row>
    <row r="1330" spans="1:14" ht="12.75" hidden="1" customHeight="1" x14ac:dyDescent="0.2">
      <c r="A1330">
        <v>65061</v>
      </c>
      <c r="B1330" s="3" t="s">
        <v>1253</v>
      </c>
      <c r="C1330" s="7" t="s">
        <v>417</v>
      </c>
      <c r="D1330" s="7" t="s">
        <v>200</v>
      </c>
      <c r="E1330" s="7" t="s">
        <v>447</v>
      </c>
      <c r="F1330" s="7" t="s">
        <v>548</v>
      </c>
      <c r="G1330" s="7" t="s">
        <v>1598</v>
      </c>
      <c r="H1330" s="7" t="s">
        <v>1362</v>
      </c>
      <c r="I1330" s="7" t="s">
        <v>1253</v>
      </c>
      <c r="K1330" s="7" t="s">
        <v>696</v>
      </c>
      <c r="L1330" s="11">
        <v>125.69</v>
      </c>
      <c r="M1330" s="11">
        <v>109548.76</v>
      </c>
      <c r="N1330" s="9">
        <f t="shared" si="41"/>
        <v>125.69</v>
      </c>
    </row>
    <row r="1331" spans="1:14" ht="12.75" hidden="1" customHeight="1" x14ac:dyDescent="0.2">
      <c r="A1331">
        <v>65061</v>
      </c>
      <c r="B1331" s="3" t="s">
        <v>1253</v>
      </c>
      <c r="C1331" s="7" t="s">
        <v>417</v>
      </c>
      <c r="D1331" s="7" t="s">
        <v>200</v>
      </c>
      <c r="E1331" s="7" t="s">
        <v>447</v>
      </c>
      <c r="F1331" s="7" t="s">
        <v>616</v>
      </c>
      <c r="G1331" s="7" t="s">
        <v>1598</v>
      </c>
      <c r="H1331" s="7" t="s">
        <v>1362</v>
      </c>
      <c r="I1331" s="7" t="s">
        <v>1253</v>
      </c>
      <c r="K1331" s="7" t="s">
        <v>696</v>
      </c>
      <c r="L1331" s="11">
        <v>223.5</v>
      </c>
      <c r="M1331" s="11">
        <v>109777.61</v>
      </c>
      <c r="N1331" s="9">
        <f t="shared" si="41"/>
        <v>223.5</v>
      </c>
    </row>
    <row r="1332" spans="1:14" ht="12.75" hidden="1" customHeight="1" x14ac:dyDescent="0.2">
      <c r="A1332">
        <v>65061</v>
      </c>
      <c r="B1332" s="3" t="s">
        <v>1253</v>
      </c>
      <c r="C1332" s="7" t="s">
        <v>417</v>
      </c>
      <c r="D1332" s="7" t="s">
        <v>200</v>
      </c>
      <c r="E1332" s="7" t="s">
        <v>447</v>
      </c>
      <c r="F1332" s="7" t="s">
        <v>767</v>
      </c>
      <c r="G1332" s="7" t="s">
        <v>1598</v>
      </c>
      <c r="H1332" s="7" t="s">
        <v>1362</v>
      </c>
      <c r="I1332" s="7" t="s">
        <v>1253</v>
      </c>
      <c r="K1332" s="7" t="s">
        <v>696</v>
      </c>
      <c r="L1332" s="11">
        <v>75</v>
      </c>
      <c r="M1332" s="11">
        <v>109862.61</v>
      </c>
      <c r="N1332" s="9">
        <f t="shared" si="41"/>
        <v>75</v>
      </c>
    </row>
    <row r="1333" spans="1:14" ht="12.75" hidden="1" customHeight="1" x14ac:dyDescent="0.2">
      <c r="A1333">
        <v>65061</v>
      </c>
      <c r="B1333" s="3" t="s">
        <v>1253</v>
      </c>
      <c r="C1333" s="7" t="s">
        <v>417</v>
      </c>
      <c r="D1333" s="7" t="s">
        <v>200</v>
      </c>
      <c r="E1333" s="7" t="s">
        <v>447</v>
      </c>
      <c r="F1333" s="7" t="s">
        <v>616</v>
      </c>
      <c r="G1333" s="7" t="s">
        <v>1598</v>
      </c>
      <c r="H1333" s="7" t="s">
        <v>1362</v>
      </c>
      <c r="I1333" s="7" t="s">
        <v>1253</v>
      </c>
      <c r="K1333" s="7" t="s">
        <v>696</v>
      </c>
      <c r="L1333" s="11">
        <v>631.91999999999996</v>
      </c>
      <c r="M1333" s="11">
        <v>110494.53</v>
      </c>
      <c r="N1333" s="9">
        <f t="shared" si="41"/>
        <v>631.91999999999996</v>
      </c>
    </row>
    <row r="1334" spans="1:14" ht="12.75" hidden="1" customHeight="1" x14ac:dyDescent="0.2">
      <c r="A1334">
        <v>65061</v>
      </c>
      <c r="B1334" s="3" t="s">
        <v>1253</v>
      </c>
      <c r="C1334" s="7" t="s">
        <v>239</v>
      </c>
      <c r="D1334" s="7" t="s">
        <v>242</v>
      </c>
      <c r="F1334" s="7" t="s">
        <v>616</v>
      </c>
      <c r="G1334" s="7" t="s">
        <v>1598</v>
      </c>
      <c r="H1334" s="7" t="s">
        <v>1362</v>
      </c>
      <c r="I1334" s="7" t="s">
        <v>1253</v>
      </c>
      <c r="K1334" s="7" t="s">
        <v>696</v>
      </c>
      <c r="L1334" s="11">
        <v>-148.72999999999999</v>
      </c>
      <c r="M1334" s="11">
        <v>115830.26</v>
      </c>
      <c r="N1334" s="9">
        <f t="shared" si="41"/>
        <v>-148.72999999999999</v>
      </c>
    </row>
    <row r="1335" spans="1:14" ht="12.75" hidden="1" customHeight="1" x14ac:dyDescent="0.2">
      <c r="A1335">
        <v>65061</v>
      </c>
      <c r="B1335" s="3" t="s">
        <v>1253</v>
      </c>
      <c r="C1335" s="7" t="s">
        <v>239</v>
      </c>
      <c r="D1335" s="7" t="s">
        <v>221</v>
      </c>
      <c r="F1335" s="7" t="s">
        <v>352</v>
      </c>
      <c r="G1335" s="7" t="s">
        <v>1598</v>
      </c>
      <c r="H1335" s="7" t="s">
        <v>1362</v>
      </c>
      <c r="I1335" s="7" t="s">
        <v>1253</v>
      </c>
      <c r="K1335" s="7" t="s">
        <v>696</v>
      </c>
      <c r="L1335" s="11">
        <v>53.86</v>
      </c>
      <c r="M1335" s="11">
        <v>115922.27</v>
      </c>
      <c r="N1335" s="9">
        <f t="shared" si="41"/>
        <v>53.86</v>
      </c>
    </row>
    <row r="1336" spans="1:14" ht="12.75" hidden="1" customHeight="1" x14ac:dyDescent="0.2">
      <c r="A1336">
        <v>65061</v>
      </c>
      <c r="B1336" s="3" t="s">
        <v>1253</v>
      </c>
      <c r="C1336" s="7" t="s">
        <v>239</v>
      </c>
      <c r="D1336" s="7" t="s">
        <v>221</v>
      </c>
      <c r="F1336" s="7" t="s">
        <v>767</v>
      </c>
      <c r="G1336" s="7" t="s">
        <v>1598</v>
      </c>
      <c r="H1336" s="7" t="s">
        <v>1362</v>
      </c>
      <c r="I1336" s="7" t="s">
        <v>1253</v>
      </c>
      <c r="K1336" s="7" t="s">
        <v>696</v>
      </c>
      <c r="L1336" s="11">
        <v>85.65</v>
      </c>
      <c r="M1336" s="11">
        <v>116033.61</v>
      </c>
      <c r="N1336" s="9">
        <f t="shared" si="41"/>
        <v>85.65</v>
      </c>
    </row>
    <row r="1337" spans="1:14" ht="12.75" hidden="1" customHeight="1" x14ac:dyDescent="0.2">
      <c r="A1337">
        <v>65061</v>
      </c>
      <c r="B1337" s="3" t="s">
        <v>1253</v>
      </c>
      <c r="C1337" s="7" t="s">
        <v>759</v>
      </c>
      <c r="D1337" s="7" t="s">
        <v>221</v>
      </c>
      <c r="F1337" s="7" t="s">
        <v>578</v>
      </c>
      <c r="G1337" s="7" t="s">
        <v>1598</v>
      </c>
      <c r="H1337" s="7" t="s">
        <v>1362</v>
      </c>
      <c r="I1337" s="7" t="s">
        <v>1253</v>
      </c>
      <c r="K1337" s="7" t="s">
        <v>696</v>
      </c>
      <c r="L1337" s="11">
        <v>175.3</v>
      </c>
      <c r="M1337" s="11">
        <v>120271.88</v>
      </c>
      <c r="N1337" s="9">
        <f t="shared" si="41"/>
        <v>175.3</v>
      </c>
    </row>
    <row r="1338" spans="1:14" ht="12.75" hidden="1" customHeight="1" x14ac:dyDescent="0.2">
      <c r="A1338">
        <v>65061</v>
      </c>
      <c r="B1338" s="3" t="s">
        <v>1253</v>
      </c>
      <c r="C1338" s="7" t="s">
        <v>759</v>
      </c>
      <c r="D1338" s="7" t="s">
        <v>221</v>
      </c>
      <c r="F1338" s="7" t="s">
        <v>548</v>
      </c>
      <c r="G1338" s="7" t="s">
        <v>1598</v>
      </c>
      <c r="H1338" s="7" t="s">
        <v>1362</v>
      </c>
      <c r="I1338" s="7" t="s">
        <v>1253</v>
      </c>
      <c r="K1338" s="7" t="s">
        <v>696</v>
      </c>
      <c r="L1338" s="11">
        <v>604.66</v>
      </c>
      <c r="M1338" s="11">
        <v>121251.03</v>
      </c>
      <c r="N1338" s="9">
        <f t="shared" si="41"/>
        <v>604.66</v>
      </c>
    </row>
    <row r="1339" spans="1:14" ht="12.75" hidden="1" customHeight="1" x14ac:dyDescent="0.2">
      <c r="A1339">
        <v>65061</v>
      </c>
      <c r="B1339" s="3" t="s">
        <v>1253</v>
      </c>
      <c r="C1339" s="7" t="s">
        <v>755</v>
      </c>
      <c r="D1339" s="7" t="s">
        <v>221</v>
      </c>
      <c r="F1339" s="7" t="s">
        <v>241</v>
      </c>
      <c r="G1339" s="7" t="s">
        <v>1598</v>
      </c>
      <c r="H1339" s="7" t="s">
        <v>1362</v>
      </c>
      <c r="I1339" s="7" t="s">
        <v>1253</v>
      </c>
      <c r="K1339" s="7" t="s">
        <v>696</v>
      </c>
      <c r="L1339" s="11">
        <v>150.88999999999999</v>
      </c>
      <c r="M1339" s="11">
        <v>121582.79</v>
      </c>
      <c r="N1339" s="9">
        <f t="shared" si="41"/>
        <v>150.88999999999999</v>
      </c>
    </row>
    <row r="1340" spans="1:14" ht="12.75" hidden="1" customHeight="1" x14ac:dyDescent="0.2">
      <c r="A1340">
        <v>65061</v>
      </c>
      <c r="B1340" s="3" t="s">
        <v>1253</v>
      </c>
      <c r="C1340" s="7" t="s">
        <v>496</v>
      </c>
      <c r="D1340" s="7" t="s">
        <v>221</v>
      </c>
      <c r="F1340" s="7" t="s">
        <v>745</v>
      </c>
      <c r="G1340" s="7" t="s">
        <v>1598</v>
      </c>
      <c r="H1340" s="7" t="s">
        <v>1362</v>
      </c>
      <c r="I1340" s="7" t="s">
        <v>1253</v>
      </c>
      <c r="K1340" s="7" t="s">
        <v>696</v>
      </c>
      <c r="L1340" s="11">
        <v>28.08</v>
      </c>
      <c r="M1340" s="11">
        <v>126598.11</v>
      </c>
      <c r="N1340" s="9">
        <f t="shared" si="41"/>
        <v>28.08</v>
      </c>
    </row>
    <row r="1341" spans="1:14" ht="12.75" hidden="1" customHeight="1" x14ac:dyDescent="0.2">
      <c r="A1341">
        <v>65061</v>
      </c>
      <c r="B1341" s="3" t="s">
        <v>1253</v>
      </c>
      <c r="C1341" s="7" t="s">
        <v>496</v>
      </c>
      <c r="D1341" s="7" t="s">
        <v>221</v>
      </c>
      <c r="F1341" s="7" t="s">
        <v>744</v>
      </c>
      <c r="G1341" s="7" t="s">
        <v>1598</v>
      </c>
      <c r="H1341" s="7" t="s">
        <v>1362</v>
      </c>
      <c r="I1341" s="7" t="s">
        <v>1253</v>
      </c>
      <c r="K1341" s="7" t="s">
        <v>696</v>
      </c>
      <c r="L1341" s="11">
        <v>46.22</v>
      </c>
      <c r="M1341" s="11">
        <v>126644.33</v>
      </c>
      <c r="N1341" s="9">
        <f t="shared" si="41"/>
        <v>46.22</v>
      </c>
    </row>
    <row r="1342" spans="1:14" ht="12.75" hidden="1" customHeight="1" x14ac:dyDescent="0.2">
      <c r="A1342">
        <v>65061</v>
      </c>
      <c r="B1342" s="3" t="s">
        <v>1253</v>
      </c>
      <c r="C1342" s="7" t="s">
        <v>431</v>
      </c>
      <c r="D1342" s="7" t="s">
        <v>221</v>
      </c>
      <c r="F1342" s="7" t="s">
        <v>548</v>
      </c>
      <c r="G1342" s="7" t="s">
        <v>1598</v>
      </c>
      <c r="H1342" s="7" t="s">
        <v>1362</v>
      </c>
      <c r="I1342" s="7" t="s">
        <v>1253</v>
      </c>
      <c r="K1342" s="7" t="s">
        <v>696</v>
      </c>
      <c r="L1342" s="11">
        <v>81.78</v>
      </c>
      <c r="M1342" s="11">
        <v>132201.34</v>
      </c>
      <c r="N1342" s="9">
        <f t="shared" si="41"/>
        <v>81.78</v>
      </c>
    </row>
    <row r="1343" spans="1:14" ht="12.75" hidden="1" customHeight="1" x14ac:dyDescent="0.2">
      <c r="A1343">
        <v>65061</v>
      </c>
      <c r="B1343" s="3" t="s">
        <v>1253</v>
      </c>
      <c r="C1343" s="7" t="s">
        <v>233</v>
      </c>
      <c r="D1343" s="7" t="s">
        <v>221</v>
      </c>
      <c r="F1343" s="7" t="s">
        <v>571</v>
      </c>
      <c r="G1343" s="7" t="s">
        <v>1598</v>
      </c>
      <c r="H1343" s="7" t="s">
        <v>1362</v>
      </c>
      <c r="I1343" s="7" t="s">
        <v>1253</v>
      </c>
      <c r="K1343" s="7" t="s">
        <v>696</v>
      </c>
      <c r="L1343" s="11">
        <v>230.03</v>
      </c>
      <c r="M1343" s="11">
        <v>132996.25</v>
      </c>
      <c r="N1343" s="9">
        <f t="shared" si="41"/>
        <v>230.03</v>
      </c>
    </row>
    <row r="1344" spans="1:14" ht="12.75" hidden="1" customHeight="1" x14ac:dyDescent="0.2">
      <c r="A1344">
        <v>65061</v>
      </c>
      <c r="B1344" s="3" t="s">
        <v>1253</v>
      </c>
      <c r="C1344" s="7" t="s">
        <v>233</v>
      </c>
      <c r="D1344" s="7" t="s">
        <v>242</v>
      </c>
      <c r="F1344" s="7" t="s">
        <v>548</v>
      </c>
      <c r="G1344" s="7" t="s">
        <v>1598</v>
      </c>
      <c r="H1344" s="7" t="s">
        <v>1362</v>
      </c>
      <c r="I1344" s="7" t="s">
        <v>1253</v>
      </c>
      <c r="K1344" s="7" t="s">
        <v>696</v>
      </c>
      <c r="L1344" s="11">
        <v>-353.04</v>
      </c>
      <c r="M1344" s="11">
        <v>135589.54999999999</v>
      </c>
      <c r="N1344" s="9">
        <f t="shared" si="41"/>
        <v>-353.04</v>
      </c>
    </row>
    <row r="1345" spans="1:14" ht="12.75" hidden="1" customHeight="1" x14ac:dyDescent="0.2">
      <c r="A1345">
        <v>65061</v>
      </c>
      <c r="B1345" s="3" t="s">
        <v>1253</v>
      </c>
      <c r="C1345" s="7" t="s">
        <v>233</v>
      </c>
      <c r="D1345" s="7" t="s">
        <v>221</v>
      </c>
      <c r="F1345" s="7" t="s">
        <v>728</v>
      </c>
      <c r="G1345" s="7" t="s">
        <v>1598</v>
      </c>
      <c r="H1345" s="7" t="s">
        <v>1362</v>
      </c>
      <c r="I1345" s="7" t="s">
        <v>1253</v>
      </c>
      <c r="K1345" s="7" t="s">
        <v>696</v>
      </c>
      <c r="L1345" s="11">
        <v>214</v>
      </c>
      <c r="M1345" s="11">
        <v>135803.54999999999</v>
      </c>
      <c r="N1345" s="9">
        <f t="shared" si="41"/>
        <v>214</v>
      </c>
    </row>
    <row r="1346" spans="1:14" ht="12.75" hidden="1" customHeight="1" x14ac:dyDescent="0.2">
      <c r="A1346">
        <v>65061</v>
      </c>
      <c r="B1346" s="3" t="s">
        <v>1253</v>
      </c>
      <c r="C1346" s="7" t="s">
        <v>233</v>
      </c>
      <c r="D1346" s="7" t="s">
        <v>242</v>
      </c>
      <c r="F1346" s="7" t="s">
        <v>727</v>
      </c>
      <c r="G1346" s="7" t="s">
        <v>1598</v>
      </c>
      <c r="H1346" s="7" t="s">
        <v>1362</v>
      </c>
      <c r="I1346" s="7" t="s">
        <v>1253</v>
      </c>
      <c r="K1346" s="7" t="s">
        <v>696</v>
      </c>
      <c r="L1346" s="11">
        <v>-46.22</v>
      </c>
      <c r="M1346" s="11">
        <v>135757.32999999999</v>
      </c>
      <c r="N1346" s="9">
        <f t="shared" si="41"/>
        <v>-46.22</v>
      </c>
    </row>
    <row r="1347" spans="1:14" ht="12.75" hidden="1" customHeight="1" x14ac:dyDescent="0.2">
      <c r="A1347">
        <v>65061</v>
      </c>
      <c r="B1347" s="3" t="s">
        <v>1253</v>
      </c>
      <c r="C1347" s="7" t="s">
        <v>233</v>
      </c>
      <c r="D1347" s="7" t="s">
        <v>221</v>
      </c>
      <c r="F1347" s="7" t="s">
        <v>726</v>
      </c>
      <c r="G1347" s="7" t="s">
        <v>1598</v>
      </c>
      <c r="H1347" s="7" t="s">
        <v>1362</v>
      </c>
      <c r="I1347" s="7" t="s">
        <v>1253</v>
      </c>
      <c r="K1347" s="7" t="s">
        <v>696</v>
      </c>
      <c r="L1347" s="11">
        <v>48.14</v>
      </c>
      <c r="M1347" s="11">
        <v>135805.47</v>
      </c>
      <c r="N1347" s="9">
        <f t="shared" si="41"/>
        <v>48.14</v>
      </c>
    </row>
    <row r="1348" spans="1:14" ht="12.75" hidden="1" customHeight="1" x14ac:dyDescent="0.2">
      <c r="A1348">
        <v>65061</v>
      </c>
      <c r="B1348" s="3" t="s">
        <v>1253</v>
      </c>
      <c r="C1348" s="7" t="s">
        <v>193</v>
      </c>
      <c r="D1348" s="7" t="s">
        <v>221</v>
      </c>
      <c r="F1348" s="7" t="s">
        <v>241</v>
      </c>
      <c r="G1348" s="7" t="s">
        <v>1598</v>
      </c>
      <c r="H1348" s="7" t="s">
        <v>1362</v>
      </c>
      <c r="I1348" s="7" t="s">
        <v>1253</v>
      </c>
      <c r="K1348" s="7" t="s">
        <v>696</v>
      </c>
      <c r="L1348" s="11">
        <v>42.79</v>
      </c>
      <c r="M1348" s="11">
        <v>136241.76</v>
      </c>
      <c r="N1348" s="9">
        <f t="shared" si="41"/>
        <v>42.79</v>
      </c>
    </row>
    <row r="1349" spans="1:14" ht="12.75" hidden="1" customHeight="1" x14ac:dyDescent="0.2">
      <c r="A1349">
        <v>65061</v>
      </c>
      <c r="B1349" s="3" t="s">
        <v>1253</v>
      </c>
      <c r="C1349" s="7" t="s">
        <v>193</v>
      </c>
      <c r="D1349" s="7" t="s">
        <v>242</v>
      </c>
      <c r="F1349" s="7" t="s">
        <v>616</v>
      </c>
      <c r="G1349" s="7" t="s">
        <v>1598</v>
      </c>
      <c r="H1349" s="7" t="s">
        <v>1362</v>
      </c>
      <c r="I1349" s="7" t="s">
        <v>1253</v>
      </c>
      <c r="K1349" s="7" t="s">
        <v>696</v>
      </c>
      <c r="L1349" s="11">
        <v>-85.43</v>
      </c>
      <c r="M1349" s="11">
        <v>136156.32999999999</v>
      </c>
      <c r="N1349" s="9">
        <f t="shared" si="41"/>
        <v>-85.43</v>
      </c>
    </row>
    <row r="1350" spans="1:14" ht="12.75" hidden="1" customHeight="1" x14ac:dyDescent="0.2">
      <c r="A1350">
        <v>65061</v>
      </c>
      <c r="B1350" s="3" t="s">
        <v>1253</v>
      </c>
      <c r="C1350" s="7" t="s">
        <v>193</v>
      </c>
      <c r="D1350" s="7" t="s">
        <v>221</v>
      </c>
      <c r="F1350" s="7" t="s">
        <v>241</v>
      </c>
      <c r="G1350" s="7" t="s">
        <v>1598</v>
      </c>
      <c r="H1350" s="7" t="s">
        <v>1362</v>
      </c>
      <c r="I1350" s="7" t="s">
        <v>1253</v>
      </c>
      <c r="K1350" s="7" t="s">
        <v>696</v>
      </c>
      <c r="L1350" s="11">
        <v>240.57</v>
      </c>
      <c r="M1350" s="11">
        <v>136396.9</v>
      </c>
      <c r="N1350" s="9">
        <f t="shared" si="41"/>
        <v>240.57</v>
      </c>
    </row>
    <row r="1351" spans="1:14" ht="12.75" hidden="1" customHeight="1" x14ac:dyDescent="0.2">
      <c r="A1351">
        <v>65061</v>
      </c>
      <c r="B1351" s="3" t="s">
        <v>1253</v>
      </c>
      <c r="C1351" s="7" t="s">
        <v>193</v>
      </c>
      <c r="D1351" s="7" t="s">
        <v>221</v>
      </c>
      <c r="F1351" s="7" t="s">
        <v>548</v>
      </c>
      <c r="G1351" s="7" t="s">
        <v>1598</v>
      </c>
      <c r="H1351" s="7" t="s">
        <v>1362</v>
      </c>
      <c r="I1351" s="7" t="s">
        <v>1253</v>
      </c>
      <c r="K1351" s="7" t="s">
        <v>696</v>
      </c>
      <c r="L1351" s="11">
        <v>98.09</v>
      </c>
      <c r="M1351" s="11">
        <v>136494.99</v>
      </c>
      <c r="N1351" s="9">
        <f t="shared" si="41"/>
        <v>98.09</v>
      </c>
    </row>
    <row r="1352" spans="1:14" ht="12.75" hidden="1" customHeight="1" x14ac:dyDescent="0.2">
      <c r="A1352">
        <v>65061</v>
      </c>
      <c r="B1352" s="3" t="s">
        <v>1253</v>
      </c>
      <c r="C1352" s="7" t="s">
        <v>710</v>
      </c>
      <c r="D1352" s="7" t="s">
        <v>221</v>
      </c>
      <c r="F1352" s="7" t="s">
        <v>589</v>
      </c>
      <c r="G1352" s="7" t="s">
        <v>1598</v>
      </c>
      <c r="H1352" s="7" t="s">
        <v>1362</v>
      </c>
      <c r="I1352" s="7" t="s">
        <v>1253</v>
      </c>
      <c r="K1352" s="7" t="s">
        <v>696</v>
      </c>
      <c r="L1352" s="11">
        <v>9.3800000000000008</v>
      </c>
      <c r="M1352" s="11">
        <v>140559.24</v>
      </c>
      <c r="N1352" s="9">
        <f t="shared" si="41"/>
        <v>9.3800000000000008</v>
      </c>
    </row>
    <row r="1353" spans="1:14" ht="12.75" hidden="1" customHeight="1" x14ac:dyDescent="0.2">
      <c r="A1353">
        <v>65061</v>
      </c>
      <c r="B1353" s="3" t="s">
        <v>1253</v>
      </c>
      <c r="C1353" s="7" t="s">
        <v>710</v>
      </c>
      <c r="D1353" s="7" t="s">
        <v>221</v>
      </c>
      <c r="F1353" s="7" t="s">
        <v>712</v>
      </c>
      <c r="G1353" s="7" t="s">
        <v>1598</v>
      </c>
      <c r="H1353" s="7" t="s">
        <v>1362</v>
      </c>
      <c r="I1353" s="7" t="s">
        <v>1253</v>
      </c>
      <c r="K1353" s="7" t="s">
        <v>696</v>
      </c>
      <c r="L1353" s="11">
        <v>189</v>
      </c>
      <c r="M1353" s="11">
        <v>140748.24</v>
      </c>
      <c r="N1353" s="9">
        <f t="shared" si="41"/>
        <v>189</v>
      </c>
    </row>
    <row r="1354" spans="1:14" ht="12.75" hidden="1" customHeight="1" x14ac:dyDescent="0.2">
      <c r="A1354">
        <v>65061</v>
      </c>
      <c r="B1354" s="3" t="s">
        <v>1253</v>
      </c>
      <c r="C1354" s="7" t="s">
        <v>710</v>
      </c>
      <c r="D1354" s="7" t="s">
        <v>242</v>
      </c>
      <c r="F1354" s="7" t="s">
        <v>548</v>
      </c>
      <c r="G1354" s="7" t="s">
        <v>1598</v>
      </c>
      <c r="H1354" s="7" t="s">
        <v>1362</v>
      </c>
      <c r="I1354" s="7" t="s">
        <v>1253</v>
      </c>
      <c r="K1354" s="7" t="s">
        <v>696</v>
      </c>
      <c r="L1354" s="11">
        <v>-302.33</v>
      </c>
      <c r="M1354" s="11">
        <v>140445.91</v>
      </c>
      <c r="N1354" s="9">
        <f t="shared" si="41"/>
        <v>-302.33</v>
      </c>
    </row>
    <row r="1355" spans="1:14" ht="12.75" hidden="1" customHeight="1" x14ac:dyDescent="0.2">
      <c r="A1355">
        <v>65061</v>
      </c>
      <c r="B1355" s="3" t="s">
        <v>1253</v>
      </c>
      <c r="C1355" s="7" t="s">
        <v>710</v>
      </c>
      <c r="D1355" s="7" t="s">
        <v>221</v>
      </c>
      <c r="F1355" s="7" t="s">
        <v>548</v>
      </c>
      <c r="G1355" s="7" t="s">
        <v>1598</v>
      </c>
      <c r="H1355" s="7" t="s">
        <v>1362</v>
      </c>
      <c r="I1355" s="7" t="s">
        <v>1253</v>
      </c>
      <c r="K1355" s="7" t="s">
        <v>696</v>
      </c>
      <c r="L1355" s="11">
        <v>105.93</v>
      </c>
      <c r="M1355" s="11">
        <v>140551.84</v>
      </c>
      <c r="N1355" s="9">
        <f t="shared" si="41"/>
        <v>105.93</v>
      </c>
    </row>
    <row r="1356" spans="1:14" ht="12.75" hidden="1" customHeight="1" x14ac:dyDescent="0.2">
      <c r="A1356">
        <v>65061</v>
      </c>
      <c r="B1356" s="3" t="s">
        <v>1253</v>
      </c>
      <c r="C1356" s="7" t="s">
        <v>710</v>
      </c>
      <c r="D1356" s="7" t="s">
        <v>221</v>
      </c>
      <c r="F1356" s="7" t="s">
        <v>711</v>
      </c>
      <c r="G1356" s="7" t="s">
        <v>1598</v>
      </c>
      <c r="H1356" s="7" t="s">
        <v>1362</v>
      </c>
      <c r="I1356" s="7" t="s">
        <v>1253</v>
      </c>
      <c r="K1356" s="7" t="s">
        <v>696</v>
      </c>
      <c r="L1356" s="11">
        <v>513.6</v>
      </c>
      <c r="M1356" s="11">
        <v>141065.44</v>
      </c>
      <c r="N1356" s="9">
        <f t="shared" si="41"/>
        <v>513.6</v>
      </c>
    </row>
    <row r="1357" spans="1:14" ht="12.75" hidden="1" customHeight="1" x14ac:dyDescent="0.2">
      <c r="A1357">
        <v>65061</v>
      </c>
      <c r="B1357" s="3" t="s">
        <v>1253</v>
      </c>
      <c r="C1357" s="7" t="s">
        <v>224</v>
      </c>
      <c r="D1357" s="7" t="s">
        <v>242</v>
      </c>
      <c r="F1357" s="7" t="s">
        <v>548</v>
      </c>
      <c r="G1357" s="7" t="s">
        <v>1598</v>
      </c>
      <c r="H1357" s="7" t="s">
        <v>1362</v>
      </c>
      <c r="I1357" s="7" t="s">
        <v>1253</v>
      </c>
      <c r="K1357" s="7" t="s">
        <v>696</v>
      </c>
      <c r="L1357" s="11">
        <v>-140.97999999999999</v>
      </c>
      <c r="M1357" s="11">
        <v>142433.60000000001</v>
      </c>
      <c r="N1357" s="9">
        <f t="shared" si="41"/>
        <v>-140.97999999999999</v>
      </c>
    </row>
    <row r="1358" spans="1:14" ht="12.75" hidden="1" customHeight="1" x14ac:dyDescent="0.2">
      <c r="A1358">
        <v>65061</v>
      </c>
      <c r="B1358" s="3" t="s">
        <v>1253</v>
      </c>
      <c r="C1358" s="7" t="s">
        <v>430</v>
      </c>
      <c r="D1358" s="7" t="s">
        <v>221</v>
      </c>
      <c r="F1358" s="7" t="s">
        <v>697</v>
      </c>
      <c r="G1358" s="7" t="s">
        <v>1598</v>
      </c>
      <c r="H1358" s="7" t="s">
        <v>1362</v>
      </c>
      <c r="I1358" s="7" t="s">
        <v>1253</v>
      </c>
      <c r="K1358" s="7" t="s">
        <v>696</v>
      </c>
      <c r="L1358" s="11">
        <v>137.06</v>
      </c>
      <c r="M1358" s="11">
        <v>146053.39000000001</v>
      </c>
      <c r="N1358" s="9">
        <f t="shared" si="41"/>
        <v>137.06</v>
      </c>
    </row>
    <row r="1359" spans="1:14" ht="12.75" hidden="1" customHeight="1" x14ac:dyDescent="0.2">
      <c r="A1359">
        <v>65062</v>
      </c>
      <c r="B1359" s="3" t="s">
        <v>1254</v>
      </c>
      <c r="C1359" s="7" t="s">
        <v>463</v>
      </c>
      <c r="D1359" s="7" t="s">
        <v>183</v>
      </c>
      <c r="E1359" s="7">
        <v>618</v>
      </c>
      <c r="G1359" s="7" t="s">
        <v>1598</v>
      </c>
      <c r="H1359" s="7" t="s">
        <v>1362</v>
      </c>
      <c r="I1359" s="7" t="s">
        <v>1254</v>
      </c>
      <c r="J1359" s="7" t="s">
        <v>494</v>
      </c>
      <c r="K1359" s="7" t="s">
        <v>180</v>
      </c>
      <c r="L1359" s="11">
        <v>142.88999999999999</v>
      </c>
      <c r="M1359" s="11">
        <v>26155.29</v>
      </c>
      <c r="N1359" s="9">
        <f t="shared" si="41"/>
        <v>142.88999999999999</v>
      </c>
    </row>
    <row r="1360" spans="1:14" ht="12.75" hidden="1" customHeight="1" x14ac:dyDescent="0.2">
      <c r="A1360">
        <v>65063</v>
      </c>
      <c r="B1360" s="3" t="s">
        <v>1255</v>
      </c>
      <c r="C1360" s="7" t="s">
        <v>463</v>
      </c>
      <c r="D1360" s="7" t="s">
        <v>183</v>
      </c>
      <c r="E1360" s="7">
        <v>618</v>
      </c>
      <c r="G1360" s="7" t="s">
        <v>1598</v>
      </c>
      <c r="H1360" s="7" t="s">
        <v>1362</v>
      </c>
      <c r="I1360" s="7" t="s">
        <v>1255</v>
      </c>
      <c r="J1360" s="7" t="s">
        <v>461</v>
      </c>
      <c r="K1360" s="7" t="s">
        <v>180</v>
      </c>
      <c r="L1360" s="11">
        <v>75</v>
      </c>
      <c r="M1360" s="11">
        <v>12442.5</v>
      </c>
      <c r="N1360" s="9">
        <f t="shared" si="41"/>
        <v>75</v>
      </c>
    </row>
    <row r="1361" spans="1:14" ht="12.75" hidden="1" customHeight="1" x14ac:dyDescent="0.2">
      <c r="A1361">
        <v>65063</v>
      </c>
      <c r="B1361" s="3" t="s">
        <v>1255</v>
      </c>
      <c r="C1361" s="7" t="s">
        <v>463</v>
      </c>
      <c r="D1361" s="7" t="s">
        <v>183</v>
      </c>
      <c r="E1361" s="7">
        <v>618</v>
      </c>
      <c r="G1361" s="7" t="s">
        <v>1598</v>
      </c>
      <c r="H1361" s="7" t="s">
        <v>1362</v>
      </c>
      <c r="I1361" s="7" t="s">
        <v>1255</v>
      </c>
      <c r="J1361" s="7" t="s">
        <v>464</v>
      </c>
      <c r="K1361" s="7" t="s">
        <v>180</v>
      </c>
      <c r="L1361" s="11">
        <v>250</v>
      </c>
      <c r="M1361" s="11">
        <v>12692.5</v>
      </c>
      <c r="N1361" s="9">
        <f t="shared" si="41"/>
        <v>250</v>
      </c>
    </row>
    <row r="1362" spans="1:14" ht="12.75" hidden="1" customHeight="1" x14ac:dyDescent="0.2">
      <c r="A1362">
        <v>65063</v>
      </c>
      <c r="B1362" s="3" t="s">
        <v>1255</v>
      </c>
      <c r="C1362" s="7" t="s">
        <v>463</v>
      </c>
      <c r="D1362" s="7" t="s">
        <v>183</v>
      </c>
      <c r="E1362" s="7">
        <v>618</v>
      </c>
      <c r="G1362" s="7" t="s">
        <v>1598</v>
      </c>
      <c r="H1362" s="7" t="s">
        <v>1362</v>
      </c>
      <c r="I1362" s="7" t="s">
        <v>1255</v>
      </c>
      <c r="J1362" s="7" t="s">
        <v>461</v>
      </c>
      <c r="K1362" s="7" t="s">
        <v>180</v>
      </c>
      <c r="L1362" s="11">
        <v>75</v>
      </c>
      <c r="M1362" s="11">
        <v>12767.5</v>
      </c>
      <c r="N1362" s="9">
        <f t="shared" si="41"/>
        <v>75</v>
      </c>
    </row>
    <row r="1363" spans="1:14" ht="12.75" customHeight="1" x14ac:dyDescent="0.2">
      <c r="A1363">
        <v>43400</v>
      </c>
      <c r="B1363" s="3" t="s">
        <v>1224</v>
      </c>
      <c r="C1363" s="7" t="s">
        <v>298</v>
      </c>
      <c r="D1363" s="7" t="s">
        <v>183</v>
      </c>
      <c r="E1363" s="7">
        <v>475</v>
      </c>
      <c r="G1363" s="7" t="s">
        <v>182</v>
      </c>
      <c r="H1363" s="7" t="s">
        <v>1359</v>
      </c>
      <c r="I1363" s="7" t="s">
        <v>1224</v>
      </c>
      <c r="K1363" s="7" t="s">
        <v>180</v>
      </c>
      <c r="L1363" s="11">
        <v>625</v>
      </c>
      <c r="M1363" s="11">
        <v>106480.45</v>
      </c>
      <c r="N1363" s="9">
        <f t="shared" si="41"/>
        <v>-625</v>
      </c>
    </row>
    <row r="1364" spans="1:14" ht="12.75" hidden="1" customHeight="1" x14ac:dyDescent="0.2">
      <c r="A1364">
        <v>65025</v>
      </c>
      <c r="B1364" s="3" t="s">
        <v>1246</v>
      </c>
      <c r="C1364" s="7" t="s">
        <v>1804</v>
      </c>
      <c r="D1364" s="7" t="s">
        <v>221</v>
      </c>
      <c r="F1364" s="7" t="s">
        <v>446</v>
      </c>
      <c r="G1364" s="7" t="s">
        <v>1586</v>
      </c>
      <c r="H1364" s="7" t="s">
        <v>1362</v>
      </c>
      <c r="I1364" s="7" t="s">
        <v>1246</v>
      </c>
      <c r="K1364" s="39" t="s">
        <v>219</v>
      </c>
      <c r="L1364" s="40">
        <v>15</v>
      </c>
      <c r="M1364" s="40">
        <v>2296.1999999999998</v>
      </c>
      <c r="N1364" s="40">
        <f>+L1364</f>
        <v>15</v>
      </c>
    </row>
    <row r="1365" spans="1:14" ht="12.75" hidden="1" customHeight="1" x14ac:dyDescent="0.2">
      <c r="A1365">
        <v>65025</v>
      </c>
      <c r="B1365" s="3" t="s">
        <v>1246</v>
      </c>
      <c r="C1365" s="7" t="s">
        <v>1619</v>
      </c>
      <c r="D1365" s="7" t="s">
        <v>221</v>
      </c>
      <c r="F1365" s="7" t="s">
        <v>446</v>
      </c>
      <c r="G1365" s="7" t="s">
        <v>1586</v>
      </c>
      <c r="H1365" s="7" t="s">
        <v>1362</v>
      </c>
      <c r="I1365" s="7" t="s">
        <v>1246</v>
      </c>
      <c r="K1365" s="39" t="s">
        <v>219</v>
      </c>
      <c r="L1365" s="40">
        <v>15</v>
      </c>
      <c r="M1365" s="40">
        <v>2527.1</v>
      </c>
      <c r="N1365" s="40">
        <f>+L1365</f>
        <v>15</v>
      </c>
    </row>
    <row r="1366" spans="1:14" ht="12.75" customHeight="1" x14ac:dyDescent="0.2">
      <c r="A1366">
        <v>43400</v>
      </c>
      <c r="B1366" s="3" t="s">
        <v>1224</v>
      </c>
      <c r="C1366" s="7" t="s">
        <v>293</v>
      </c>
      <c r="D1366" s="7" t="s">
        <v>242</v>
      </c>
      <c r="F1366" s="7" t="s">
        <v>665</v>
      </c>
      <c r="G1366" s="7" t="s">
        <v>182</v>
      </c>
      <c r="H1366" s="7" t="s">
        <v>1359</v>
      </c>
      <c r="I1366" s="7" t="s">
        <v>1224</v>
      </c>
      <c r="K1366" s="7" t="s">
        <v>445</v>
      </c>
      <c r="L1366" s="11">
        <v>13.26</v>
      </c>
      <c r="M1366" s="11">
        <v>108232.57</v>
      </c>
      <c r="N1366" s="9">
        <f t="shared" ref="N1366:N1376" si="42">IF(A1366&lt;60000,-L1366,+L1366)</f>
        <v>-13.26</v>
      </c>
    </row>
    <row r="1367" spans="1:14" ht="12.75" customHeight="1" x14ac:dyDescent="0.2">
      <c r="A1367">
        <v>43400</v>
      </c>
      <c r="B1367" s="3" t="s">
        <v>1224</v>
      </c>
      <c r="C1367" s="7" t="s">
        <v>290</v>
      </c>
      <c r="D1367" s="7" t="s">
        <v>183</v>
      </c>
      <c r="E1367" s="7">
        <v>479</v>
      </c>
      <c r="G1367" s="7" t="s">
        <v>182</v>
      </c>
      <c r="H1367" s="7" t="s">
        <v>1359</v>
      </c>
      <c r="I1367" s="7" t="s">
        <v>1224</v>
      </c>
      <c r="K1367" s="7" t="s">
        <v>180</v>
      </c>
      <c r="L1367" s="11">
        <v>920</v>
      </c>
      <c r="M1367" s="11">
        <v>109222.44</v>
      </c>
      <c r="N1367" s="9">
        <f t="shared" si="42"/>
        <v>-920</v>
      </c>
    </row>
    <row r="1368" spans="1:14" ht="12.75" customHeight="1" x14ac:dyDescent="0.2">
      <c r="A1368">
        <v>43400</v>
      </c>
      <c r="B1368" s="3" t="s">
        <v>1224</v>
      </c>
      <c r="C1368" s="7" t="s">
        <v>290</v>
      </c>
      <c r="D1368" s="7" t="s">
        <v>183</v>
      </c>
      <c r="E1368" s="7">
        <v>483</v>
      </c>
      <c r="G1368" s="7" t="s">
        <v>182</v>
      </c>
      <c r="H1368" s="7" t="s">
        <v>1359</v>
      </c>
      <c r="I1368" s="7" t="s">
        <v>1224</v>
      </c>
      <c r="K1368" s="7" t="s">
        <v>180</v>
      </c>
      <c r="L1368" s="11">
        <v>20</v>
      </c>
      <c r="M1368" s="11">
        <v>109242.44</v>
      </c>
      <c r="N1368" s="9">
        <f t="shared" si="42"/>
        <v>-20</v>
      </c>
    </row>
    <row r="1369" spans="1:14" ht="12.75" customHeight="1" x14ac:dyDescent="0.2">
      <c r="A1369">
        <v>43400</v>
      </c>
      <c r="B1369" s="3" t="s">
        <v>1224</v>
      </c>
      <c r="C1369" s="7" t="s">
        <v>290</v>
      </c>
      <c r="D1369" s="7" t="s">
        <v>183</v>
      </c>
      <c r="E1369" s="7">
        <v>481</v>
      </c>
      <c r="G1369" s="7" t="s">
        <v>182</v>
      </c>
      <c r="H1369" s="7" t="s">
        <v>1359</v>
      </c>
      <c r="I1369" s="7" t="s">
        <v>1224</v>
      </c>
      <c r="K1369" s="7" t="s">
        <v>180</v>
      </c>
      <c r="L1369" s="11">
        <v>280</v>
      </c>
      <c r="M1369" s="11">
        <v>109522.44</v>
      </c>
      <c r="N1369" s="9">
        <f t="shared" si="42"/>
        <v>-280</v>
      </c>
    </row>
    <row r="1370" spans="1:14" ht="12.75" customHeight="1" x14ac:dyDescent="0.2">
      <c r="A1370">
        <v>43400</v>
      </c>
      <c r="B1370" s="3" t="s">
        <v>1224</v>
      </c>
      <c r="C1370" s="7" t="s">
        <v>282</v>
      </c>
      <c r="D1370" s="7" t="s">
        <v>183</v>
      </c>
      <c r="E1370" s="7">
        <v>500</v>
      </c>
      <c r="G1370" s="7" t="s">
        <v>182</v>
      </c>
      <c r="H1370" s="7" t="s">
        <v>1359</v>
      </c>
      <c r="I1370" s="7" t="s">
        <v>1224</v>
      </c>
      <c r="J1370" s="7" t="s">
        <v>425</v>
      </c>
      <c r="K1370" s="7" t="s">
        <v>180</v>
      </c>
      <c r="L1370" s="11">
        <v>1086</v>
      </c>
      <c r="M1370" s="11">
        <v>113438.26</v>
      </c>
      <c r="N1370" s="9">
        <f t="shared" si="42"/>
        <v>-1086</v>
      </c>
    </row>
    <row r="1371" spans="1:14" ht="12.75" customHeight="1" x14ac:dyDescent="0.2">
      <c r="A1371">
        <v>43400</v>
      </c>
      <c r="B1371" s="3" t="s">
        <v>1224</v>
      </c>
      <c r="C1371" s="7" t="s">
        <v>267</v>
      </c>
      <c r="D1371" s="7" t="s">
        <v>242</v>
      </c>
      <c r="F1371" s="7" t="s">
        <v>665</v>
      </c>
      <c r="G1371" s="7" t="s">
        <v>182</v>
      </c>
      <c r="H1371" s="7" t="s">
        <v>1359</v>
      </c>
      <c r="I1371" s="7" t="s">
        <v>1224</v>
      </c>
      <c r="K1371" s="7" t="s">
        <v>198</v>
      </c>
      <c r="L1371" s="11">
        <v>122.4</v>
      </c>
      <c r="M1371" s="11">
        <v>115411.66</v>
      </c>
      <c r="N1371" s="9">
        <f t="shared" si="42"/>
        <v>-122.4</v>
      </c>
    </row>
    <row r="1372" spans="1:14" ht="12.75" customHeight="1" x14ac:dyDescent="0.2">
      <c r="A1372">
        <v>43400</v>
      </c>
      <c r="B1372" s="3" t="s">
        <v>1224</v>
      </c>
      <c r="C1372" s="7" t="s">
        <v>431</v>
      </c>
      <c r="D1372" s="7" t="s">
        <v>242</v>
      </c>
      <c r="F1372" s="7" t="s">
        <v>1182</v>
      </c>
      <c r="G1372" s="7" t="s">
        <v>182</v>
      </c>
      <c r="H1372" s="7" t="s">
        <v>1359</v>
      </c>
      <c r="I1372" s="7" t="s">
        <v>1224</v>
      </c>
      <c r="K1372" s="7" t="s">
        <v>198</v>
      </c>
      <c r="L1372" s="11">
        <v>24.55</v>
      </c>
      <c r="M1372" s="11">
        <v>157608.07999999999</v>
      </c>
      <c r="N1372" s="9">
        <f t="shared" si="42"/>
        <v>-24.55</v>
      </c>
    </row>
    <row r="1373" spans="1:14" ht="12.75" customHeight="1" x14ac:dyDescent="0.2">
      <c r="A1373">
        <v>43400</v>
      </c>
      <c r="B1373" s="3" t="s">
        <v>1224</v>
      </c>
      <c r="C1373" s="7" t="s">
        <v>431</v>
      </c>
      <c r="D1373" s="7" t="s">
        <v>183</v>
      </c>
      <c r="E1373" s="7">
        <v>524</v>
      </c>
      <c r="G1373" s="7" t="s">
        <v>182</v>
      </c>
      <c r="H1373" s="7" t="s">
        <v>1359</v>
      </c>
      <c r="I1373" s="7" t="s">
        <v>1224</v>
      </c>
      <c r="J1373" s="7" t="s">
        <v>425</v>
      </c>
      <c r="K1373" s="7" t="s">
        <v>180</v>
      </c>
      <c r="L1373" s="11">
        <v>270</v>
      </c>
      <c r="M1373" s="11">
        <v>157928.07999999999</v>
      </c>
      <c r="N1373" s="9">
        <f t="shared" si="42"/>
        <v>-270</v>
      </c>
    </row>
    <row r="1374" spans="1:14" ht="12.75" customHeight="1" x14ac:dyDescent="0.2">
      <c r="A1374">
        <v>43400</v>
      </c>
      <c r="B1374" s="3" t="s">
        <v>1224</v>
      </c>
      <c r="C1374" s="7" t="s">
        <v>710</v>
      </c>
      <c r="D1374" s="7" t="s">
        <v>242</v>
      </c>
      <c r="F1374" s="7" t="s">
        <v>769</v>
      </c>
      <c r="G1374" s="7" t="s">
        <v>182</v>
      </c>
      <c r="H1374" s="7" t="s">
        <v>1359</v>
      </c>
      <c r="I1374" s="7" t="s">
        <v>1224</v>
      </c>
      <c r="K1374" s="7" t="s">
        <v>445</v>
      </c>
      <c r="L1374" s="11">
        <v>500</v>
      </c>
      <c r="M1374" s="11">
        <v>159633.07999999999</v>
      </c>
      <c r="N1374" s="9">
        <f t="shared" si="42"/>
        <v>-500</v>
      </c>
    </row>
    <row r="1375" spans="1:14" ht="12.75" customHeight="1" x14ac:dyDescent="0.2">
      <c r="A1375">
        <v>43400</v>
      </c>
      <c r="B1375" s="3" t="s">
        <v>1224</v>
      </c>
      <c r="C1375" s="7" t="s">
        <v>698</v>
      </c>
      <c r="D1375" s="7" t="s">
        <v>200</v>
      </c>
      <c r="E1375" s="7">
        <v>1002</v>
      </c>
      <c r="F1375" s="7" t="s">
        <v>1178</v>
      </c>
      <c r="G1375" s="7" t="s">
        <v>182</v>
      </c>
      <c r="H1375" s="7" t="s">
        <v>1359</v>
      </c>
      <c r="I1375" s="7" t="s">
        <v>1224</v>
      </c>
      <c r="K1375" s="7" t="s">
        <v>874</v>
      </c>
      <c r="L1375" s="11">
        <v>-10000</v>
      </c>
      <c r="M1375" s="11">
        <v>160732.95000000001</v>
      </c>
      <c r="N1375" s="9">
        <f t="shared" si="42"/>
        <v>10000</v>
      </c>
    </row>
    <row r="1376" spans="1:14" ht="12.75" customHeight="1" x14ac:dyDescent="0.2">
      <c r="A1376">
        <v>43400</v>
      </c>
      <c r="B1376" s="3" t="s">
        <v>1224</v>
      </c>
      <c r="C1376" s="7" t="s">
        <v>430</v>
      </c>
      <c r="D1376" s="7" t="s">
        <v>242</v>
      </c>
      <c r="F1376" s="7" t="s">
        <v>665</v>
      </c>
      <c r="G1376" s="7" t="s">
        <v>182</v>
      </c>
      <c r="H1376" s="7" t="s">
        <v>1359</v>
      </c>
      <c r="I1376" s="7" t="s">
        <v>1224</v>
      </c>
      <c r="K1376" s="7" t="s">
        <v>198</v>
      </c>
      <c r="L1376" s="11">
        <v>825.62</v>
      </c>
      <c r="M1376" s="11">
        <v>163771.57</v>
      </c>
      <c r="N1376" s="9">
        <f t="shared" si="42"/>
        <v>-825.62</v>
      </c>
    </row>
    <row r="1377" spans="1:14" ht="12.75" hidden="1" customHeight="1" x14ac:dyDescent="0.2">
      <c r="A1377">
        <v>65030</v>
      </c>
      <c r="B1377" s="3" t="s">
        <v>1247</v>
      </c>
      <c r="C1377" s="7" t="s">
        <v>1555</v>
      </c>
      <c r="D1377" s="7" t="s">
        <v>221</v>
      </c>
      <c r="F1377" s="7" t="s">
        <v>1036</v>
      </c>
      <c r="G1377" s="7" t="s">
        <v>1552</v>
      </c>
      <c r="H1377" s="7" t="s">
        <v>1362</v>
      </c>
      <c r="I1377" s="7" t="s">
        <v>1247</v>
      </c>
      <c r="K1377" s="39" t="s">
        <v>230</v>
      </c>
      <c r="L1377" s="40">
        <v>95.96</v>
      </c>
      <c r="M1377" s="40">
        <v>5238.3500000000004</v>
      </c>
      <c r="N1377" s="40">
        <f t="shared" ref="N1377:N1417" si="43">+L1377</f>
        <v>95.96</v>
      </c>
    </row>
    <row r="1378" spans="1:14" ht="12.75" hidden="1" customHeight="1" x14ac:dyDescent="0.2">
      <c r="A1378">
        <v>65061</v>
      </c>
      <c r="B1378" s="3" t="s">
        <v>1844</v>
      </c>
      <c r="C1378" s="7" t="s">
        <v>1556</v>
      </c>
      <c r="D1378" s="7" t="s">
        <v>242</v>
      </c>
      <c r="F1378" s="7" t="s">
        <v>563</v>
      </c>
      <c r="G1378" s="7" t="s">
        <v>1552</v>
      </c>
      <c r="H1378" s="7" t="s">
        <v>1362</v>
      </c>
      <c r="I1378" s="7" t="s">
        <v>1253</v>
      </c>
      <c r="K1378" s="39" t="s">
        <v>230</v>
      </c>
      <c r="L1378" s="40">
        <v>-159.41999999999999</v>
      </c>
      <c r="M1378" s="40">
        <v>195763.35</v>
      </c>
      <c r="N1378" s="40">
        <f t="shared" si="43"/>
        <v>-159.41999999999999</v>
      </c>
    </row>
    <row r="1379" spans="1:14" ht="12.75" hidden="1" customHeight="1" x14ac:dyDescent="0.2">
      <c r="A1379">
        <v>65061</v>
      </c>
      <c r="B1379" s="3" t="s">
        <v>1844</v>
      </c>
      <c r="C1379" s="7" t="s">
        <v>1803</v>
      </c>
      <c r="D1379" s="7" t="s">
        <v>221</v>
      </c>
      <c r="F1379" s="7" t="s">
        <v>1887</v>
      </c>
      <c r="G1379" s="7" t="s">
        <v>1552</v>
      </c>
      <c r="H1379" s="7" t="s">
        <v>1362</v>
      </c>
      <c r="I1379" s="7" t="s">
        <v>1253</v>
      </c>
      <c r="K1379" s="39" t="s">
        <v>230</v>
      </c>
      <c r="L1379" s="40">
        <v>599</v>
      </c>
      <c r="M1379" s="40">
        <v>234176.19</v>
      </c>
      <c r="N1379" s="40">
        <f t="shared" si="43"/>
        <v>599</v>
      </c>
    </row>
    <row r="1380" spans="1:14" ht="12.75" hidden="1" customHeight="1" x14ac:dyDescent="0.2">
      <c r="A1380">
        <v>65061</v>
      </c>
      <c r="B1380" s="3" t="s">
        <v>1844</v>
      </c>
      <c r="C1380" s="7" t="s">
        <v>1583</v>
      </c>
      <c r="D1380" s="7" t="s">
        <v>221</v>
      </c>
      <c r="F1380" s="7" t="s">
        <v>648</v>
      </c>
      <c r="G1380" s="7" t="s">
        <v>1552</v>
      </c>
      <c r="H1380" s="7" t="s">
        <v>1362</v>
      </c>
      <c r="I1380" s="7" t="s">
        <v>1253</v>
      </c>
      <c r="K1380" s="39" t="s">
        <v>230</v>
      </c>
      <c r="L1380" s="40">
        <v>50.22</v>
      </c>
      <c r="M1380" s="40">
        <v>234434.74</v>
      </c>
      <c r="N1380" s="40">
        <f t="shared" si="43"/>
        <v>50.22</v>
      </c>
    </row>
    <row r="1381" spans="1:14" ht="12.75" hidden="1" customHeight="1" x14ac:dyDescent="0.2">
      <c r="A1381">
        <v>65061</v>
      </c>
      <c r="B1381" s="3" t="s">
        <v>1844</v>
      </c>
      <c r="C1381" s="7" t="s">
        <v>1553</v>
      </c>
      <c r="D1381" s="7" t="s">
        <v>221</v>
      </c>
      <c r="F1381" s="7" t="s">
        <v>1890</v>
      </c>
      <c r="G1381" s="7" t="s">
        <v>1552</v>
      </c>
      <c r="H1381" s="7" t="s">
        <v>1362</v>
      </c>
      <c r="I1381" s="7" t="s">
        <v>1253</v>
      </c>
      <c r="K1381" s="39" t="s">
        <v>230</v>
      </c>
      <c r="L1381" s="40">
        <v>24.08</v>
      </c>
      <c r="M1381" s="40">
        <v>236136.19</v>
      </c>
      <c r="N1381" s="40">
        <f t="shared" si="43"/>
        <v>24.08</v>
      </c>
    </row>
    <row r="1382" spans="1:14" ht="12.75" hidden="1" customHeight="1" x14ac:dyDescent="0.2">
      <c r="A1382">
        <v>65061</v>
      </c>
      <c r="B1382" s="3" t="s">
        <v>1844</v>
      </c>
      <c r="C1382" s="7" t="s">
        <v>1593</v>
      </c>
      <c r="D1382" s="7" t="s">
        <v>221</v>
      </c>
      <c r="F1382" s="7" t="s">
        <v>1887</v>
      </c>
      <c r="G1382" s="7" t="s">
        <v>1552</v>
      </c>
      <c r="H1382" s="7" t="s">
        <v>1362</v>
      </c>
      <c r="I1382" s="7" t="s">
        <v>1253</v>
      </c>
      <c r="K1382" s="39" t="s">
        <v>230</v>
      </c>
      <c r="L1382" s="40">
        <v>58</v>
      </c>
      <c r="M1382" s="40">
        <v>243886</v>
      </c>
      <c r="N1382" s="40">
        <f t="shared" si="43"/>
        <v>58</v>
      </c>
    </row>
    <row r="1383" spans="1:14" ht="12.75" hidden="1" customHeight="1" x14ac:dyDescent="0.2">
      <c r="A1383">
        <v>65061</v>
      </c>
      <c r="B1383" s="3" t="s">
        <v>1844</v>
      </c>
      <c r="C1383" s="7" t="s">
        <v>1781</v>
      </c>
      <c r="D1383" s="7" t="s">
        <v>221</v>
      </c>
      <c r="F1383" s="7" t="s">
        <v>569</v>
      </c>
      <c r="G1383" s="7" t="s">
        <v>1552</v>
      </c>
      <c r="H1383" s="7" t="s">
        <v>1362</v>
      </c>
      <c r="I1383" s="7" t="s">
        <v>1253</v>
      </c>
      <c r="K1383" s="39" t="s">
        <v>230</v>
      </c>
      <c r="L1383" s="40">
        <v>27.94</v>
      </c>
      <c r="M1383" s="40">
        <v>244235.32</v>
      </c>
      <c r="N1383" s="40">
        <f t="shared" si="43"/>
        <v>27.94</v>
      </c>
    </row>
    <row r="1384" spans="1:14" ht="12.75" hidden="1" customHeight="1" x14ac:dyDescent="0.2">
      <c r="A1384">
        <v>65061</v>
      </c>
      <c r="B1384" s="3" t="s">
        <v>1844</v>
      </c>
      <c r="C1384" s="7" t="s">
        <v>1596</v>
      </c>
      <c r="D1384" s="7" t="s">
        <v>221</v>
      </c>
      <c r="F1384" s="7" t="s">
        <v>624</v>
      </c>
      <c r="G1384" s="7" t="s">
        <v>1552</v>
      </c>
      <c r="H1384" s="7" t="s">
        <v>1362</v>
      </c>
      <c r="I1384" s="7" t="s">
        <v>1253</v>
      </c>
      <c r="K1384" s="39" t="s">
        <v>230</v>
      </c>
      <c r="L1384" s="40">
        <v>263.63</v>
      </c>
      <c r="M1384" s="40">
        <v>244377.2</v>
      </c>
      <c r="N1384" s="40">
        <f t="shared" si="43"/>
        <v>263.63</v>
      </c>
    </row>
    <row r="1385" spans="1:14" ht="12.75" hidden="1" customHeight="1" x14ac:dyDescent="0.2">
      <c r="A1385">
        <v>65061</v>
      </c>
      <c r="B1385" s="3" t="s">
        <v>1844</v>
      </c>
      <c r="C1385" s="7" t="s">
        <v>1596</v>
      </c>
      <c r="D1385" s="7" t="s">
        <v>221</v>
      </c>
      <c r="F1385" s="7" t="s">
        <v>1910</v>
      </c>
      <c r="G1385" s="7" t="s">
        <v>1552</v>
      </c>
      <c r="H1385" s="7" t="s">
        <v>1362</v>
      </c>
      <c r="I1385" s="7" t="s">
        <v>1253</v>
      </c>
      <c r="K1385" s="39" t="s">
        <v>230</v>
      </c>
      <c r="L1385" s="40">
        <v>33</v>
      </c>
      <c r="M1385" s="40">
        <v>244410.2</v>
      </c>
      <c r="N1385" s="40">
        <f t="shared" si="43"/>
        <v>33</v>
      </c>
    </row>
    <row r="1386" spans="1:14" ht="12.75" hidden="1" customHeight="1" x14ac:dyDescent="0.2">
      <c r="A1386">
        <v>65061</v>
      </c>
      <c r="B1386" s="3" t="s">
        <v>1844</v>
      </c>
      <c r="C1386" s="7" t="s">
        <v>1596</v>
      </c>
      <c r="D1386" s="7" t="s">
        <v>221</v>
      </c>
      <c r="F1386" s="7" t="s">
        <v>1911</v>
      </c>
      <c r="G1386" s="7" t="s">
        <v>1552</v>
      </c>
      <c r="H1386" s="7" t="s">
        <v>1362</v>
      </c>
      <c r="I1386" s="7" t="s">
        <v>1253</v>
      </c>
      <c r="K1386" s="39" t="s">
        <v>230</v>
      </c>
      <c r="L1386" s="40">
        <v>34</v>
      </c>
      <c r="M1386" s="40">
        <v>244444.2</v>
      </c>
      <c r="N1386" s="40">
        <f t="shared" si="43"/>
        <v>34</v>
      </c>
    </row>
    <row r="1387" spans="1:14" ht="12.75" hidden="1" customHeight="1" x14ac:dyDescent="0.2">
      <c r="A1387">
        <v>65061</v>
      </c>
      <c r="B1387" s="3" t="s">
        <v>1844</v>
      </c>
      <c r="C1387" s="7" t="s">
        <v>1596</v>
      </c>
      <c r="D1387" s="7" t="s">
        <v>221</v>
      </c>
      <c r="F1387" s="7" t="s">
        <v>721</v>
      </c>
      <c r="G1387" s="7" t="s">
        <v>1552</v>
      </c>
      <c r="H1387" s="7" t="s">
        <v>1362</v>
      </c>
      <c r="I1387" s="7" t="s">
        <v>1253</v>
      </c>
      <c r="K1387" s="39" t="s">
        <v>230</v>
      </c>
      <c r="L1387" s="40">
        <v>60.11</v>
      </c>
      <c r="M1387" s="40">
        <v>244536.81</v>
      </c>
      <c r="N1387" s="40">
        <f t="shared" si="43"/>
        <v>60.11</v>
      </c>
    </row>
    <row r="1388" spans="1:14" ht="12.75" hidden="1" customHeight="1" x14ac:dyDescent="0.2">
      <c r="A1388">
        <v>65061</v>
      </c>
      <c r="B1388" s="3" t="s">
        <v>1844</v>
      </c>
      <c r="C1388" s="7" t="s">
        <v>1596</v>
      </c>
      <c r="D1388" s="7" t="s">
        <v>221</v>
      </c>
      <c r="F1388" s="7" t="s">
        <v>569</v>
      </c>
      <c r="G1388" s="7" t="s">
        <v>1552</v>
      </c>
      <c r="H1388" s="7" t="s">
        <v>1362</v>
      </c>
      <c r="I1388" s="7" t="s">
        <v>1253</v>
      </c>
      <c r="K1388" s="39" t="s">
        <v>230</v>
      </c>
      <c r="L1388" s="40">
        <v>73</v>
      </c>
      <c r="M1388" s="40">
        <v>244609.81</v>
      </c>
      <c r="N1388" s="40">
        <f t="shared" si="43"/>
        <v>73</v>
      </c>
    </row>
    <row r="1389" spans="1:14" ht="12.75" hidden="1" customHeight="1" x14ac:dyDescent="0.2">
      <c r="A1389">
        <v>65061</v>
      </c>
      <c r="B1389" s="3" t="s">
        <v>1844</v>
      </c>
      <c r="C1389" s="7" t="s">
        <v>1596</v>
      </c>
      <c r="D1389" s="7" t="s">
        <v>221</v>
      </c>
      <c r="F1389" s="7" t="s">
        <v>1912</v>
      </c>
      <c r="G1389" s="7" t="s">
        <v>1552</v>
      </c>
      <c r="H1389" s="7" t="s">
        <v>1362</v>
      </c>
      <c r="I1389" s="7" t="s">
        <v>1253</v>
      </c>
      <c r="K1389" s="39" t="s">
        <v>230</v>
      </c>
      <c r="L1389" s="40">
        <v>15</v>
      </c>
      <c r="M1389" s="40">
        <v>244644.3</v>
      </c>
      <c r="N1389" s="40">
        <f t="shared" si="43"/>
        <v>15</v>
      </c>
    </row>
    <row r="1390" spans="1:14" ht="12.75" hidden="1" customHeight="1" x14ac:dyDescent="0.2">
      <c r="A1390">
        <v>65061</v>
      </c>
      <c r="B1390" s="3" t="s">
        <v>1844</v>
      </c>
      <c r="C1390" s="7" t="s">
        <v>1798</v>
      </c>
      <c r="D1390" s="7" t="s">
        <v>221</v>
      </c>
      <c r="F1390" s="7" t="s">
        <v>563</v>
      </c>
      <c r="G1390" s="7" t="s">
        <v>1552</v>
      </c>
      <c r="H1390" s="7" t="s">
        <v>1362</v>
      </c>
      <c r="I1390" s="7" t="s">
        <v>1253</v>
      </c>
      <c r="K1390" s="39" t="s">
        <v>230</v>
      </c>
      <c r="L1390" s="40">
        <v>85.49</v>
      </c>
      <c r="M1390" s="40">
        <v>244729.79</v>
      </c>
      <c r="N1390" s="40">
        <f t="shared" si="43"/>
        <v>85.49</v>
      </c>
    </row>
    <row r="1391" spans="1:14" ht="12.75" hidden="1" customHeight="1" x14ac:dyDescent="0.2">
      <c r="A1391">
        <v>65061</v>
      </c>
      <c r="B1391" s="3" t="s">
        <v>1844</v>
      </c>
      <c r="C1391" s="7" t="s">
        <v>1798</v>
      </c>
      <c r="D1391" s="7" t="s">
        <v>221</v>
      </c>
      <c r="F1391" s="7" t="s">
        <v>1913</v>
      </c>
      <c r="G1391" s="7" t="s">
        <v>1552</v>
      </c>
      <c r="H1391" s="7" t="s">
        <v>1362</v>
      </c>
      <c r="I1391" s="7" t="s">
        <v>1253</v>
      </c>
      <c r="K1391" s="39" t="s">
        <v>230</v>
      </c>
      <c r="L1391" s="40">
        <v>93.85</v>
      </c>
      <c r="M1391" s="40">
        <v>244823.64</v>
      </c>
      <c r="N1391" s="40">
        <f t="shared" si="43"/>
        <v>93.85</v>
      </c>
    </row>
    <row r="1392" spans="1:14" ht="12.75" hidden="1" customHeight="1" x14ac:dyDescent="0.2">
      <c r="A1392">
        <v>65061</v>
      </c>
      <c r="B1392" s="3" t="s">
        <v>1844</v>
      </c>
      <c r="C1392" s="7" t="s">
        <v>1798</v>
      </c>
      <c r="D1392" s="7" t="s">
        <v>221</v>
      </c>
      <c r="F1392" s="7" t="s">
        <v>562</v>
      </c>
      <c r="G1392" s="7" t="s">
        <v>1552</v>
      </c>
      <c r="H1392" s="7" t="s">
        <v>1362</v>
      </c>
      <c r="I1392" s="7" t="s">
        <v>1253</v>
      </c>
      <c r="K1392" s="39" t="s">
        <v>230</v>
      </c>
      <c r="L1392" s="40">
        <v>196</v>
      </c>
      <c r="M1392" s="40">
        <v>245470.61</v>
      </c>
      <c r="N1392" s="40">
        <f t="shared" si="43"/>
        <v>196</v>
      </c>
    </row>
    <row r="1393" spans="1:14" ht="12.75" hidden="1" customHeight="1" x14ac:dyDescent="0.2">
      <c r="A1393">
        <v>65061</v>
      </c>
      <c r="B1393" s="3" t="s">
        <v>1844</v>
      </c>
      <c r="C1393" s="7" t="s">
        <v>1658</v>
      </c>
      <c r="D1393" s="7" t="s">
        <v>221</v>
      </c>
      <c r="F1393" s="7" t="s">
        <v>1915</v>
      </c>
      <c r="G1393" s="7" t="s">
        <v>1552</v>
      </c>
      <c r="H1393" s="7" t="s">
        <v>1362</v>
      </c>
      <c r="I1393" s="7" t="s">
        <v>1253</v>
      </c>
      <c r="K1393" s="39" t="s">
        <v>230</v>
      </c>
      <c r="L1393" s="40">
        <v>205.5</v>
      </c>
      <c r="M1393" s="40">
        <v>245767.77</v>
      </c>
      <c r="N1393" s="40">
        <f t="shared" si="43"/>
        <v>205.5</v>
      </c>
    </row>
    <row r="1394" spans="1:14" ht="12.75" hidden="1" customHeight="1" x14ac:dyDescent="0.2">
      <c r="A1394">
        <v>65061</v>
      </c>
      <c r="B1394" s="3" t="s">
        <v>1844</v>
      </c>
      <c r="C1394" s="7" t="s">
        <v>1804</v>
      </c>
      <c r="D1394" s="7" t="s">
        <v>221</v>
      </c>
      <c r="F1394" s="7" t="s">
        <v>1923</v>
      </c>
      <c r="G1394" s="7" t="s">
        <v>1552</v>
      </c>
      <c r="H1394" s="7" t="s">
        <v>1362</v>
      </c>
      <c r="I1394" s="7" t="s">
        <v>1253</v>
      </c>
      <c r="K1394" s="39" t="s">
        <v>230</v>
      </c>
      <c r="L1394" s="40">
        <v>73.45</v>
      </c>
      <c r="M1394" s="40">
        <v>248529.73</v>
      </c>
      <c r="N1394" s="40">
        <f t="shared" si="43"/>
        <v>73.45</v>
      </c>
    </row>
    <row r="1395" spans="1:14" ht="12.75" hidden="1" customHeight="1" x14ac:dyDescent="0.2">
      <c r="A1395">
        <v>65061</v>
      </c>
      <c r="B1395" s="3" t="s">
        <v>1844</v>
      </c>
      <c r="C1395" s="7" t="s">
        <v>1804</v>
      </c>
      <c r="D1395" s="7" t="s">
        <v>221</v>
      </c>
      <c r="F1395" s="7" t="s">
        <v>569</v>
      </c>
      <c r="G1395" s="7" t="s">
        <v>1552</v>
      </c>
      <c r="H1395" s="7" t="s">
        <v>1362</v>
      </c>
      <c r="I1395" s="7" t="s">
        <v>1253</v>
      </c>
      <c r="K1395" s="39" t="s">
        <v>230</v>
      </c>
      <c r="L1395" s="40">
        <v>26.5</v>
      </c>
      <c r="M1395" s="40">
        <v>248556.23</v>
      </c>
      <c r="N1395" s="40">
        <f t="shared" si="43"/>
        <v>26.5</v>
      </c>
    </row>
    <row r="1396" spans="1:14" ht="12.75" hidden="1" customHeight="1" x14ac:dyDescent="0.2">
      <c r="A1396">
        <v>65061</v>
      </c>
      <c r="B1396" s="3" t="s">
        <v>1844</v>
      </c>
      <c r="C1396" s="7" t="s">
        <v>1804</v>
      </c>
      <c r="D1396" s="7" t="s">
        <v>221</v>
      </c>
      <c r="F1396" s="7" t="s">
        <v>352</v>
      </c>
      <c r="G1396" s="7" t="s">
        <v>1552</v>
      </c>
      <c r="H1396" s="7" t="s">
        <v>1362</v>
      </c>
      <c r="I1396" s="7" t="s">
        <v>1253</v>
      </c>
      <c r="K1396" s="39" t="s">
        <v>230</v>
      </c>
      <c r="L1396" s="40">
        <v>74.27</v>
      </c>
      <c r="M1396" s="40">
        <v>248630.5</v>
      </c>
      <c r="N1396" s="40">
        <f t="shared" si="43"/>
        <v>74.27</v>
      </c>
    </row>
    <row r="1397" spans="1:14" ht="12.75" hidden="1" customHeight="1" x14ac:dyDescent="0.2">
      <c r="A1397">
        <v>65061</v>
      </c>
      <c r="B1397" s="3" t="s">
        <v>1844</v>
      </c>
      <c r="C1397" s="7" t="s">
        <v>1775</v>
      </c>
      <c r="D1397" s="7" t="s">
        <v>221</v>
      </c>
      <c r="F1397" s="7" t="s">
        <v>1927</v>
      </c>
      <c r="G1397" s="7" t="s">
        <v>1552</v>
      </c>
      <c r="H1397" s="7" t="s">
        <v>1362</v>
      </c>
      <c r="I1397" s="7" t="s">
        <v>1253</v>
      </c>
      <c r="K1397" s="39" t="s">
        <v>230</v>
      </c>
      <c r="L1397" s="40">
        <v>64.83</v>
      </c>
      <c r="M1397" s="40">
        <v>249933.71</v>
      </c>
      <c r="N1397" s="40">
        <f t="shared" si="43"/>
        <v>64.83</v>
      </c>
    </row>
    <row r="1398" spans="1:14" ht="12.75" hidden="1" customHeight="1" x14ac:dyDescent="0.2">
      <c r="A1398">
        <v>65061</v>
      </c>
      <c r="B1398" s="3" t="s">
        <v>1844</v>
      </c>
      <c r="C1398" s="7" t="s">
        <v>1695</v>
      </c>
      <c r="D1398" s="7" t="s">
        <v>221</v>
      </c>
      <c r="F1398" s="7" t="s">
        <v>684</v>
      </c>
      <c r="G1398" s="7" t="s">
        <v>1552</v>
      </c>
      <c r="H1398" s="7" t="s">
        <v>1362</v>
      </c>
      <c r="I1398" s="7" t="s">
        <v>1253</v>
      </c>
      <c r="K1398" s="39" t="s">
        <v>230</v>
      </c>
      <c r="L1398" s="40">
        <v>15.64</v>
      </c>
      <c r="M1398" s="40">
        <v>250317.12</v>
      </c>
      <c r="N1398" s="40">
        <f t="shared" si="43"/>
        <v>15.64</v>
      </c>
    </row>
    <row r="1399" spans="1:14" ht="12.75" hidden="1" customHeight="1" x14ac:dyDescent="0.2">
      <c r="A1399">
        <v>65061</v>
      </c>
      <c r="B1399" s="3" t="s">
        <v>1844</v>
      </c>
      <c r="C1399" s="7" t="s">
        <v>1695</v>
      </c>
      <c r="D1399" s="7" t="s">
        <v>242</v>
      </c>
      <c r="F1399" s="7" t="s">
        <v>1915</v>
      </c>
      <c r="G1399" s="7" t="s">
        <v>1552</v>
      </c>
      <c r="H1399" s="7" t="s">
        <v>1362</v>
      </c>
      <c r="I1399" s="7" t="s">
        <v>1253</v>
      </c>
      <c r="K1399" s="39" t="s">
        <v>230</v>
      </c>
      <c r="L1399" s="40">
        <v>-205.5</v>
      </c>
      <c r="M1399" s="40">
        <v>250111.62</v>
      </c>
      <c r="N1399" s="40">
        <f t="shared" si="43"/>
        <v>-205.5</v>
      </c>
    </row>
    <row r="1400" spans="1:14" ht="12.75" hidden="1" customHeight="1" x14ac:dyDescent="0.2">
      <c r="A1400">
        <v>65061</v>
      </c>
      <c r="B1400" s="3" t="s">
        <v>1844</v>
      </c>
      <c r="C1400" s="7" t="s">
        <v>1600</v>
      </c>
      <c r="D1400" s="7" t="s">
        <v>221</v>
      </c>
      <c r="F1400" s="7" t="s">
        <v>621</v>
      </c>
      <c r="G1400" s="7" t="s">
        <v>1552</v>
      </c>
      <c r="H1400" s="7" t="s">
        <v>1362</v>
      </c>
      <c r="I1400" s="7" t="s">
        <v>1253</v>
      </c>
      <c r="K1400" s="39" t="s">
        <v>230</v>
      </c>
      <c r="L1400" s="40">
        <v>37.450000000000003</v>
      </c>
      <c r="M1400" s="40">
        <v>251414.35</v>
      </c>
      <c r="N1400" s="40">
        <f t="shared" si="43"/>
        <v>37.450000000000003</v>
      </c>
    </row>
    <row r="1401" spans="1:14" ht="12.75" hidden="1" customHeight="1" x14ac:dyDescent="0.2">
      <c r="A1401">
        <v>65061</v>
      </c>
      <c r="B1401" s="3" t="s">
        <v>1844</v>
      </c>
      <c r="C1401" s="7" t="s">
        <v>1603</v>
      </c>
      <c r="D1401" s="7" t="s">
        <v>242</v>
      </c>
      <c r="F1401" s="7" t="s">
        <v>1933</v>
      </c>
      <c r="G1401" s="7" t="s">
        <v>1552</v>
      </c>
      <c r="H1401" s="7" t="s">
        <v>1362</v>
      </c>
      <c r="I1401" s="7" t="s">
        <v>1253</v>
      </c>
      <c r="K1401" s="39" t="s">
        <v>230</v>
      </c>
      <c r="L1401" s="40">
        <v>-1</v>
      </c>
      <c r="M1401" s="40">
        <v>252263.44</v>
      </c>
      <c r="N1401" s="40">
        <f t="shared" si="43"/>
        <v>-1</v>
      </c>
    </row>
    <row r="1402" spans="1:14" ht="12.75" hidden="1" customHeight="1" x14ac:dyDescent="0.2">
      <c r="A1402">
        <v>65061</v>
      </c>
      <c r="B1402" s="3" t="s">
        <v>1844</v>
      </c>
      <c r="C1402" s="7" t="s">
        <v>1696</v>
      </c>
      <c r="D1402" s="7" t="s">
        <v>221</v>
      </c>
      <c r="F1402" s="7" t="s">
        <v>648</v>
      </c>
      <c r="G1402" s="7" t="s">
        <v>1552</v>
      </c>
      <c r="H1402" s="7" t="s">
        <v>1362</v>
      </c>
      <c r="I1402" s="7" t="s">
        <v>1253</v>
      </c>
      <c r="K1402" s="39" t="s">
        <v>230</v>
      </c>
      <c r="L1402" s="40">
        <v>39.549999999999997</v>
      </c>
      <c r="M1402" s="40">
        <v>254340.91</v>
      </c>
      <c r="N1402" s="40">
        <f t="shared" si="43"/>
        <v>39.549999999999997</v>
      </c>
    </row>
    <row r="1403" spans="1:14" ht="12.75" hidden="1" customHeight="1" x14ac:dyDescent="0.2">
      <c r="A1403">
        <v>65061</v>
      </c>
      <c r="B1403" s="3" t="s">
        <v>1844</v>
      </c>
      <c r="C1403" s="7" t="s">
        <v>1696</v>
      </c>
      <c r="D1403" s="7" t="s">
        <v>221</v>
      </c>
      <c r="F1403" s="7" t="s">
        <v>241</v>
      </c>
      <c r="G1403" s="7" t="s">
        <v>1552</v>
      </c>
      <c r="H1403" s="7" t="s">
        <v>1362</v>
      </c>
      <c r="I1403" s="7" t="s">
        <v>1253</v>
      </c>
      <c r="K1403" s="39" t="s">
        <v>230</v>
      </c>
      <c r="L1403" s="40">
        <v>64.19</v>
      </c>
      <c r="M1403" s="40">
        <v>254676.87</v>
      </c>
      <c r="N1403" s="40">
        <f t="shared" si="43"/>
        <v>64.19</v>
      </c>
    </row>
    <row r="1404" spans="1:14" ht="12.75" hidden="1" customHeight="1" x14ac:dyDescent="0.2">
      <c r="A1404">
        <v>65061</v>
      </c>
      <c r="B1404" s="3" t="s">
        <v>1844</v>
      </c>
      <c r="C1404" s="7" t="s">
        <v>1608</v>
      </c>
      <c r="D1404" s="7" t="s">
        <v>221</v>
      </c>
      <c r="F1404" s="7" t="s">
        <v>1887</v>
      </c>
      <c r="G1404" s="7" t="s">
        <v>1552</v>
      </c>
      <c r="H1404" s="7" t="s">
        <v>1362</v>
      </c>
      <c r="I1404" s="7" t="s">
        <v>1253</v>
      </c>
      <c r="K1404" s="39" t="s">
        <v>230</v>
      </c>
      <c r="L1404" s="40">
        <v>86</v>
      </c>
      <c r="M1404" s="40">
        <v>255464.7</v>
      </c>
      <c r="N1404" s="40">
        <f t="shared" si="43"/>
        <v>86</v>
      </c>
    </row>
    <row r="1405" spans="1:14" ht="12.75" hidden="1" customHeight="1" x14ac:dyDescent="0.2">
      <c r="A1405">
        <v>65095</v>
      </c>
      <c r="B1405" s="3" t="s">
        <v>1259</v>
      </c>
      <c r="C1405" s="7" t="s">
        <v>1617</v>
      </c>
      <c r="D1405" s="7" t="s">
        <v>183</v>
      </c>
      <c r="E1405" s="7">
        <v>689</v>
      </c>
      <c r="G1405" s="7" t="s">
        <v>1552</v>
      </c>
      <c r="H1405" s="43" t="s">
        <v>1361</v>
      </c>
      <c r="I1405" s="7" t="s">
        <v>1259</v>
      </c>
      <c r="J1405" s="39" t="s">
        <v>2005</v>
      </c>
      <c r="K1405" s="39" t="s">
        <v>180</v>
      </c>
      <c r="L1405" s="40">
        <v>2.5</v>
      </c>
      <c r="M1405" s="40">
        <v>1017.01</v>
      </c>
      <c r="N1405" s="40">
        <f t="shared" si="43"/>
        <v>2.5</v>
      </c>
    </row>
    <row r="1406" spans="1:14" ht="12.75" hidden="1" customHeight="1" x14ac:dyDescent="0.2">
      <c r="A1406">
        <v>65095</v>
      </c>
      <c r="B1406" s="3" t="s">
        <v>1259</v>
      </c>
      <c r="C1406" s="7" t="s">
        <v>1629</v>
      </c>
      <c r="D1406" s="7" t="s">
        <v>183</v>
      </c>
      <c r="E1406" s="7">
        <v>716</v>
      </c>
      <c r="G1406" s="7" t="s">
        <v>1552</v>
      </c>
      <c r="H1406" s="43" t="s">
        <v>1361</v>
      </c>
      <c r="I1406" s="7" t="s">
        <v>1259</v>
      </c>
      <c r="J1406" s="39" t="s">
        <v>428</v>
      </c>
      <c r="K1406" s="39" t="s">
        <v>180</v>
      </c>
      <c r="L1406" s="40">
        <v>11.4</v>
      </c>
      <c r="M1406" s="40">
        <v>1040.1199999999999</v>
      </c>
      <c r="N1406" s="40">
        <f t="shared" si="43"/>
        <v>11.4</v>
      </c>
    </row>
    <row r="1407" spans="1:14" ht="12.75" hidden="1" customHeight="1" x14ac:dyDescent="0.2">
      <c r="A1407">
        <v>65095</v>
      </c>
      <c r="B1407" s="3" t="s">
        <v>1259</v>
      </c>
      <c r="C1407" s="7" t="s">
        <v>1631</v>
      </c>
      <c r="D1407" s="7" t="s">
        <v>183</v>
      </c>
      <c r="E1407" s="7">
        <v>724</v>
      </c>
      <c r="G1407" s="7" t="s">
        <v>1552</v>
      </c>
      <c r="H1407" s="43" t="s">
        <v>1361</v>
      </c>
      <c r="I1407" s="7" t="s">
        <v>1259</v>
      </c>
      <c r="J1407" s="39" t="s">
        <v>425</v>
      </c>
      <c r="K1407" s="39" t="s">
        <v>180</v>
      </c>
      <c r="L1407" s="40">
        <v>13.94</v>
      </c>
      <c r="M1407" s="40">
        <v>1066.42</v>
      </c>
      <c r="N1407" s="40">
        <f t="shared" si="43"/>
        <v>13.94</v>
      </c>
    </row>
    <row r="1408" spans="1:14" ht="12.75" hidden="1" customHeight="1" x14ac:dyDescent="0.2">
      <c r="A1408">
        <v>65095</v>
      </c>
      <c r="B1408" s="3" t="s">
        <v>1259</v>
      </c>
      <c r="C1408" s="7" t="s">
        <v>1638</v>
      </c>
      <c r="D1408" s="7" t="s">
        <v>183</v>
      </c>
      <c r="E1408" s="7">
        <v>733</v>
      </c>
      <c r="G1408" s="7" t="s">
        <v>1552</v>
      </c>
      <c r="H1408" s="43" t="s">
        <v>1361</v>
      </c>
      <c r="I1408" s="7" t="s">
        <v>1259</v>
      </c>
      <c r="J1408" s="39" t="s">
        <v>1711</v>
      </c>
      <c r="K1408" s="39" t="s">
        <v>180</v>
      </c>
      <c r="L1408" s="40">
        <v>12</v>
      </c>
      <c r="M1408" s="40">
        <v>1103.21</v>
      </c>
      <c r="N1408" s="40">
        <f t="shared" si="43"/>
        <v>12</v>
      </c>
    </row>
    <row r="1409" spans="1:14" ht="12.75" hidden="1" customHeight="1" x14ac:dyDescent="0.2">
      <c r="A1409">
        <v>67001</v>
      </c>
      <c r="B1409" s="3" t="s">
        <v>1268</v>
      </c>
      <c r="C1409" s="7" t="s">
        <v>1576</v>
      </c>
      <c r="D1409" s="7" t="s">
        <v>221</v>
      </c>
      <c r="F1409" s="7" t="s">
        <v>2046</v>
      </c>
      <c r="G1409" s="7" t="s">
        <v>1552</v>
      </c>
      <c r="H1409" s="70" t="s">
        <v>2129</v>
      </c>
      <c r="I1409" s="7" t="s">
        <v>1268</v>
      </c>
      <c r="K1409" s="39" t="s">
        <v>230</v>
      </c>
      <c r="L1409" s="40">
        <v>500</v>
      </c>
      <c r="M1409" s="40">
        <v>66832.12</v>
      </c>
      <c r="N1409" s="40">
        <f t="shared" si="43"/>
        <v>500</v>
      </c>
    </row>
    <row r="1410" spans="1:14" ht="12.75" hidden="1" customHeight="1" x14ac:dyDescent="0.2">
      <c r="A1410">
        <v>67001</v>
      </c>
      <c r="B1410" s="3" t="s">
        <v>1268</v>
      </c>
      <c r="C1410" s="7" t="s">
        <v>1759</v>
      </c>
      <c r="D1410" s="7" t="s">
        <v>221</v>
      </c>
      <c r="F1410" s="7" t="s">
        <v>300</v>
      </c>
      <c r="G1410" s="7" t="s">
        <v>1552</v>
      </c>
      <c r="H1410" s="70" t="s">
        <v>2129</v>
      </c>
      <c r="I1410" s="7" t="s">
        <v>1268</v>
      </c>
      <c r="J1410" s="39" t="s">
        <v>2059</v>
      </c>
      <c r="K1410" s="39" t="s">
        <v>230</v>
      </c>
      <c r="L1410" s="40">
        <v>74.540000000000006</v>
      </c>
      <c r="M1410" s="40">
        <v>68039.63</v>
      </c>
      <c r="N1410" s="40">
        <f t="shared" si="43"/>
        <v>74.540000000000006</v>
      </c>
    </row>
    <row r="1411" spans="1:14" ht="12.75" hidden="1" customHeight="1" x14ac:dyDescent="0.2">
      <c r="A1411">
        <v>67001</v>
      </c>
      <c r="B1411" s="3" t="s">
        <v>1268</v>
      </c>
      <c r="C1411" s="7" t="s">
        <v>1709</v>
      </c>
      <c r="D1411" s="7" t="s">
        <v>221</v>
      </c>
      <c r="F1411" s="7" t="s">
        <v>625</v>
      </c>
      <c r="G1411" s="7" t="s">
        <v>1552</v>
      </c>
      <c r="H1411" s="70" t="s">
        <v>2129</v>
      </c>
      <c r="I1411" s="7" t="s">
        <v>1268</v>
      </c>
      <c r="J1411" s="39" t="s">
        <v>2069</v>
      </c>
      <c r="K1411" s="39" t="s">
        <v>230</v>
      </c>
      <c r="L1411" s="40">
        <v>49.22</v>
      </c>
      <c r="M1411" s="40">
        <v>76342.39</v>
      </c>
      <c r="N1411" s="40">
        <f t="shared" si="43"/>
        <v>49.22</v>
      </c>
    </row>
    <row r="1412" spans="1:14" ht="12.75" hidden="1" customHeight="1" x14ac:dyDescent="0.2">
      <c r="A1412">
        <v>67001</v>
      </c>
      <c r="B1412" s="3" t="s">
        <v>1268</v>
      </c>
      <c r="C1412" s="7" t="s">
        <v>1760</v>
      </c>
      <c r="D1412" s="7" t="s">
        <v>221</v>
      </c>
      <c r="F1412" s="7" t="s">
        <v>853</v>
      </c>
      <c r="G1412" s="7" t="s">
        <v>1552</v>
      </c>
      <c r="H1412" s="70" t="s">
        <v>2129</v>
      </c>
      <c r="I1412" s="7" t="s">
        <v>1268</v>
      </c>
      <c r="J1412" s="39" t="s">
        <v>2070</v>
      </c>
      <c r="K1412" s="39" t="s">
        <v>230</v>
      </c>
      <c r="L1412" s="40">
        <v>166.05</v>
      </c>
      <c r="M1412" s="40">
        <v>76519.08</v>
      </c>
      <c r="N1412" s="40">
        <f t="shared" si="43"/>
        <v>166.05</v>
      </c>
    </row>
    <row r="1413" spans="1:14" ht="12.75" hidden="1" customHeight="1" x14ac:dyDescent="0.2">
      <c r="A1413">
        <v>67001</v>
      </c>
      <c r="B1413" s="3" t="s">
        <v>1268</v>
      </c>
      <c r="C1413" s="7" t="s">
        <v>1631</v>
      </c>
      <c r="D1413" s="7" t="s">
        <v>221</v>
      </c>
      <c r="F1413" s="7" t="s">
        <v>2071</v>
      </c>
      <c r="G1413" s="7" t="s">
        <v>1552</v>
      </c>
      <c r="H1413" s="70" t="s">
        <v>2129</v>
      </c>
      <c r="I1413" s="7" t="s">
        <v>1268</v>
      </c>
      <c r="K1413" s="39" t="s">
        <v>230</v>
      </c>
      <c r="L1413" s="40">
        <v>177</v>
      </c>
      <c r="M1413" s="40">
        <v>76696.570000000007</v>
      </c>
      <c r="N1413" s="40">
        <f t="shared" si="43"/>
        <v>177</v>
      </c>
    </row>
    <row r="1414" spans="1:14" ht="12.75" hidden="1" customHeight="1" x14ac:dyDescent="0.2">
      <c r="A1414">
        <v>67001</v>
      </c>
      <c r="B1414" s="3" t="s">
        <v>1268</v>
      </c>
      <c r="C1414" s="7" t="s">
        <v>1631</v>
      </c>
      <c r="D1414" s="7" t="s">
        <v>221</v>
      </c>
      <c r="F1414" s="7" t="s">
        <v>2071</v>
      </c>
      <c r="G1414" s="7" t="s">
        <v>1552</v>
      </c>
      <c r="H1414" s="70" t="s">
        <v>2129</v>
      </c>
      <c r="I1414" s="7" t="s">
        <v>1268</v>
      </c>
      <c r="K1414" s="39" t="s">
        <v>230</v>
      </c>
      <c r="L1414" s="40">
        <v>96</v>
      </c>
      <c r="M1414" s="40">
        <v>76792.570000000007</v>
      </c>
      <c r="N1414" s="40">
        <f t="shared" si="43"/>
        <v>96</v>
      </c>
    </row>
    <row r="1415" spans="1:14" ht="12.75" hidden="1" customHeight="1" x14ac:dyDescent="0.2">
      <c r="A1415">
        <v>67001</v>
      </c>
      <c r="B1415" s="3" t="s">
        <v>1268</v>
      </c>
      <c r="C1415" s="7" t="s">
        <v>1680</v>
      </c>
      <c r="D1415" s="7" t="s">
        <v>221</v>
      </c>
      <c r="F1415" s="7" t="s">
        <v>570</v>
      </c>
      <c r="G1415" s="7" t="s">
        <v>1552</v>
      </c>
      <c r="H1415" s="70" t="s">
        <v>2129</v>
      </c>
      <c r="I1415" s="7" t="s">
        <v>1268</v>
      </c>
      <c r="J1415" s="39" t="s">
        <v>2074</v>
      </c>
      <c r="K1415" s="39" t="s">
        <v>230</v>
      </c>
      <c r="L1415" s="40">
        <v>88.39</v>
      </c>
      <c r="M1415" s="40">
        <v>76960.960000000006</v>
      </c>
      <c r="N1415" s="40">
        <f t="shared" si="43"/>
        <v>88.39</v>
      </c>
    </row>
    <row r="1416" spans="1:14" ht="12.75" hidden="1" customHeight="1" x14ac:dyDescent="0.2">
      <c r="A1416">
        <v>67001</v>
      </c>
      <c r="B1416" s="3" t="s">
        <v>1268</v>
      </c>
      <c r="C1416" s="7" t="s">
        <v>1789</v>
      </c>
      <c r="D1416" s="7" t="s">
        <v>221</v>
      </c>
      <c r="F1416" s="7" t="s">
        <v>1008</v>
      </c>
      <c r="G1416" s="7" t="s">
        <v>1552</v>
      </c>
      <c r="H1416" s="70" t="s">
        <v>2129</v>
      </c>
      <c r="I1416" s="7" t="s">
        <v>1268</v>
      </c>
      <c r="K1416" s="39" t="s">
        <v>230</v>
      </c>
      <c r="L1416" s="40">
        <v>80.25</v>
      </c>
      <c r="M1416" s="40">
        <v>77041.210000000006</v>
      </c>
      <c r="N1416" s="40">
        <f t="shared" si="43"/>
        <v>80.25</v>
      </c>
    </row>
    <row r="1417" spans="1:14" ht="12.75" hidden="1" customHeight="1" x14ac:dyDescent="0.2">
      <c r="A1417">
        <v>67001</v>
      </c>
      <c r="B1417" s="3" t="s">
        <v>1268</v>
      </c>
      <c r="C1417" s="7" t="s">
        <v>1646</v>
      </c>
      <c r="D1417" s="7" t="s">
        <v>200</v>
      </c>
      <c r="E1417" s="7">
        <v>563</v>
      </c>
      <c r="F1417" s="7" t="s">
        <v>2081</v>
      </c>
      <c r="G1417" s="7" t="s">
        <v>1552</v>
      </c>
      <c r="H1417" s="70" t="s">
        <v>2129</v>
      </c>
      <c r="I1417" s="7" t="s">
        <v>1268</v>
      </c>
      <c r="J1417" s="39" t="s">
        <v>1711</v>
      </c>
      <c r="K1417" s="39" t="s">
        <v>198</v>
      </c>
      <c r="L1417" s="40">
        <v>2573.6</v>
      </c>
      <c r="M1417" s="40">
        <v>80915.28</v>
      </c>
      <c r="N1417" s="40">
        <f t="shared" si="43"/>
        <v>2573.6</v>
      </c>
    </row>
    <row r="1418" spans="1:14" ht="12.75" customHeight="1" x14ac:dyDescent="0.2">
      <c r="A1418">
        <v>43400</v>
      </c>
      <c r="B1418" s="3" t="s">
        <v>1224</v>
      </c>
      <c r="C1418" s="7" t="s">
        <v>430</v>
      </c>
      <c r="D1418" s="7" t="s">
        <v>242</v>
      </c>
      <c r="F1418" s="7" t="s">
        <v>665</v>
      </c>
      <c r="G1418" s="7" t="s">
        <v>182</v>
      </c>
      <c r="H1418" s="7" t="s">
        <v>1359</v>
      </c>
      <c r="I1418" s="7" t="s">
        <v>1224</v>
      </c>
      <c r="J1418" s="7" t="s">
        <v>1177</v>
      </c>
      <c r="K1418" s="7" t="s">
        <v>198</v>
      </c>
      <c r="L1418" s="11">
        <v>10000</v>
      </c>
      <c r="M1418" s="11">
        <v>173971.57</v>
      </c>
      <c r="N1418" s="9">
        <f t="shared" ref="N1418:N1449" si="44">IF(A1418&lt;60000,-L1418,+L1418)</f>
        <v>-10000</v>
      </c>
    </row>
    <row r="1419" spans="1:14" ht="12.75" hidden="1" customHeight="1" x14ac:dyDescent="0.2">
      <c r="A1419">
        <v>43440</v>
      </c>
      <c r="B1419" s="3" t="s">
        <v>1228</v>
      </c>
      <c r="C1419" s="7" t="s">
        <v>477</v>
      </c>
      <c r="D1419" s="7" t="s">
        <v>183</v>
      </c>
      <c r="E1419" s="7">
        <v>511</v>
      </c>
      <c r="G1419" s="7" t="s">
        <v>1630</v>
      </c>
      <c r="H1419" s="7" t="s">
        <v>1360</v>
      </c>
      <c r="I1419" s="7" t="s">
        <v>1228</v>
      </c>
      <c r="J1419" s="7" t="s">
        <v>532</v>
      </c>
      <c r="K1419" s="7" t="s">
        <v>180</v>
      </c>
      <c r="L1419" s="11">
        <v>118.71</v>
      </c>
      <c r="M1419" s="11">
        <v>4846.13</v>
      </c>
      <c r="N1419" s="9">
        <f t="shared" si="44"/>
        <v>-118.71</v>
      </c>
    </row>
    <row r="1420" spans="1:14" ht="12.75" hidden="1" customHeight="1" x14ac:dyDescent="0.2">
      <c r="A1420">
        <v>65015</v>
      </c>
      <c r="B1420" s="3" t="s">
        <v>1244</v>
      </c>
      <c r="C1420" s="7" t="s">
        <v>334</v>
      </c>
      <c r="D1420" s="7" t="s">
        <v>200</v>
      </c>
      <c r="F1420" s="7" t="s">
        <v>336</v>
      </c>
      <c r="G1420" s="7" t="s">
        <v>1630</v>
      </c>
      <c r="H1420" s="7" t="s">
        <v>1362</v>
      </c>
      <c r="I1420" s="7" t="s">
        <v>1244</v>
      </c>
      <c r="K1420" s="7" t="s">
        <v>601</v>
      </c>
      <c r="L1420" s="11">
        <v>42.17</v>
      </c>
      <c r="M1420" s="11">
        <v>2700.26</v>
      </c>
      <c r="N1420" s="9">
        <f t="shared" si="44"/>
        <v>42.17</v>
      </c>
    </row>
    <row r="1421" spans="1:14" ht="12.75" hidden="1" customHeight="1" x14ac:dyDescent="0.2">
      <c r="A1421">
        <v>65020</v>
      </c>
      <c r="B1421" s="3" t="s">
        <v>1245</v>
      </c>
      <c r="C1421" s="7" t="s">
        <v>952</v>
      </c>
      <c r="D1421" s="7" t="s">
        <v>200</v>
      </c>
      <c r="F1421" s="7" t="s">
        <v>338</v>
      </c>
      <c r="G1421" s="7" t="s">
        <v>1630</v>
      </c>
      <c r="H1421" s="7" t="s">
        <v>1362</v>
      </c>
      <c r="I1421" s="7" t="s">
        <v>1245</v>
      </c>
      <c r="K1421" s="7" t="s">
        <v>601</v>
      </c>
      <c r="L1421" s="11">
        <v>54.02</v>
      </c>
      <c r="M1421" s="11">
        <v>473.51</v>
      </c>
      <c r="N1421" s="9">
        <f t="shared" si="44"/>
        <v>54.02</v>
      </c>
    </row>
    <row r="1422" spans="1:14" ht="12.75" hidden="1" customHeight="1" x14ac:dyDescent="0.2">
      <c r="A1422">
        <v>65020</v>
      </c>
      <c r="B1422" s="3" t="s">
        <v>1245</v>
      </c>
      <c r="C1422" s="7" t="s">
        <v>417</v>
      </c>
      <c r="D1422" s="7" t="s">
        <v>200</v>
      </c>
      <c r="E1422" s="7" t="s">
        <v>447</v>
      </c>
      <c r="F1422" s="7" t="s">
        <v>338</v>
      </c>
      <c r="G1422" s="7" t="s">
        <v>1630</v>
      </c>
      <c r="H1422" s="7" t="s">
        <v>1362</v>
      </c>
      <c r="I1422" s="7" t="s">
        <v>1245</v>
      </c>
      <c r="K1422" s="7" t="s">
        <v>601</v>
      </c>
      <c r="L1422" s="11">
        <v>10.95</v>
      </c>
      <c r="M1422" s="11">
        <v>1208.52</v>
      </c>
      <c r="N1422" s="9">
        <f t="shared" si="44"/>
        <v>10.95</v>
      </c>
    </row>
    <row r="1423" spans="1:14" ht="12.75" hidden="1" customHeight="1" x14ac:dyDescent="0.2">
      <c r="A1423">
        <v>65036</v>
      </c>
      <c r="B1423" s="3" t="s">
        <v>1249</v>
      </c>
      <c r="C1423" s="7" t="s">
        <v>381</v>
      </c>
      <c r="D1423" s="7" t="s">
        <v>200</v>
      </c>
      <c r="F1423" s="7" t="s">
        <v>1020</v>
      </c>
      <c r="G1423" s="7" t="s">
        <v>1630</v>
      </c>
      <c r="H1423" s="7" t="s">
        <v>1362</v>
      </c>
      <c r="I1423" s="7" t="s">
        <v>1249</v>
      </c>
      <c r="K1423" s="7" t="s">
        <v>601</v>
      </c>
      <c r="L1423" s="11">
        <v>73.849999999999994</v>
      </c>
      <c r="M1423" s="11">
        <v>337.89</v>
      </c>
      <c r="N1423" s="9">
        <f t="shared" si="44"/>
        <v>73.849999999999994</v>
      </c>
    </row>
    <row r="1424" spans="1:14" ht="12.75" hidden="1" customHeight="1" x14ac:dyDescent="0.2">
      <c r="A1424">
        <v>65060</v>
      </c>
      <c r="B1424" s="3" t="s">
        <v>1253</v>
      </c>
      <c r="C1424" s="7" t="s">
        <v>493</v>
      </c>
      <c r="D1424" s="7" t="s">
        <v>221</v>
      </c>
      <c r="F1424" s="7" t="s">
        <v>644</v>
      </c>
      <c r="G1424" s="7" t="s">
        <v>1630</v>
      </c>
      <c r="H1424" s="7" t="s">
        <v>1362</v>
      </c>
      <c r="I1424" s="7" t="s">
        <v>1253</v>
      </c>
      <c r="K1424" s="7" t="s">
        <v>601</v>
      </c>
      <c r="L1424" s="11">
        <v>60.3</v>
      </c>
      <c r="M1424" s="11">
        <v>88.78</v>
      </c>
      <c r="N1424" s="9">
        <f t="shared" si="44"/>
        <v>60.3</v>
      </c>
    </row>
    <row r="1425" spans="1:14" ht="12.75" hidden="1" customHeight="1" x14ac:dyDescent="0.2">
      <c r="A1425">
        <v>65060</v>
      </c>
      <c r="B1425" s="3" t="s">
        <v>1253</v>
      </c>
      <c r="C1425" s="7" t="s">
        <v>698</v>
      </c>
      <c r="D1425" s="7" t="s">
        <v>221</v>
      </c>
      <c r="F1425" s="7" t="s">
        <v>644</v>
      </c>
      <c r="G1425" s="7" t="s">
        <v>1630</v>
      </c>
      <c r="H1425" s="7" t="s">
        <v>1362</v>
      </c>
      <c r="I1425" s="7" t="s">
        <v>1253</v>
      </c>
      <c r="K1425" s="7" t="s">
        <v>601</v>
      </c>
      <c r="L1425" s="11">
        <v>167.94</v>
      </c>
      <c r="M1425" s="11">
        <v>1672.14</v>
      </c>
      <c r="N1425" s="9">
        <f t="shared" si="44"/>
        <v>167.94</v>
      </c>
    </row>
    <row r="1426" spans="1:14" ht="12.75" hidden="1" customHeight="1" x14ac:dyDescent="0.2">
      <c r="A1426">
        <v>65061</v>
      </c>
      <c r="B1426" s="3" t="s">
        <v>1253</v>
      </c>
      <c r="C1426" s="7" t="s">
        <v>978</v>
      </c>
      <c r="D1426" s="7" t="s">
        <v>200</v>
      </c>
      <c r="F1426" s="7" t="s">
        <v>336</v>
      </c>
      <c r="G1426" s="7" t="s">
        <v>1630</v>
      </c>
      <c r="H1426" s="7" t="s">
        <v>1362</v>
      </c>
      <c r="I1426" s="7" t="s">
        <v>1253</v>
      </c>
      <c r="K1426" s="7" t="s">
        <v>601</v>
      </c>
      <c r="L1426" s="11">
        <v>114.29</v>
      </c>
      <c r="M1426" s="11">
        <v>-5699.78</v>
      </c>
      <c r="N1426" s="9">
        <f t="shared" si="44"/>
        <v>114.29</v>
      </c>
    </row>
    <row r="1427" spans="1:14" ht="12.75" hidden="1" customHeight="1" x14ac:dyDescent="0.2">
      <c r="A1427">
        <v>65061</v>
      </c>
      <c r="B1427" s="3" t="s">
        <v>1253</v>
      </c>
      <c r="C1427" s="7" t="s">
        <v>432</v>
      </c>
      <c r="D1427" s="7" t="s">
        <v>200</v>
      </c>
      <c r="F1427" s="7" t="s">
        <v>336</v>
      </c>
      <c r="G1427" s="7" t="s">
        <v>1630</v>
      </c>
      <c r="H1427" s="7" t="s">
        <v>1362</v>
      </c>
      <c r="I1427" s="7" t="s">
        <v>1253</v>
      </c>
      <c r="K1427" s="7" t="s">
        <v>601</v>
      </c>
      <c r="L1427" s="11">
        <v>91.9</v>
      </c>
      <c r="M1427" s="11">
        <v>-4728.9399999999996</v>
      </c>
      <c r="N1427" s="9">
        <f t="shared" si="44"/>
        <v>91.9</v>
      </c>
    </row>
    <row r="1428" spans="1:14" ht="12.75" hidden="1" customHeight="1" x14ac:dyDescent="0.2">
      <c r="A1428">
        <v>65061</v>
      </c>
      <c r="B1428" s="3" t="s">
        <v>1253</v>
      </c>
      <c r="C1428" s="7" t="s">
        <v>388</v>
      </c>
      <c r="D1428" s="7" t="s">
        <v>200</v>
      </c>
      <c r="F1428" s="7" t="s">
        <v>336</v>
      </c>
      <c r="G1428" s="7" t="s">
        <v>1630</v>
      </c>
      <c r="H1428" s="7" t="s">
        <v>1362</v>
      </c>
      <c r="I1428" s="7" t="s">
        <v>1253</v>
      </c>
      <c r="K1428" s="7" t="s">
        <v>601</v>
      </c>
      <c r="L1428" s="11">
        <v>46.06</v>
      </c>
      <c r="M1428" s="11">
        <v>-222.85</v>
      </c>
      <c r="N1428" s="9">
        <f t="shared" si="44"/>
        <v>46.06</v>
      </c>
    </row>
    <row r="1429" spans="1:14" ht="12.75" hidden="1" customHeight="1" x14ac:dyDescent="0.2">
      <c r="A1429">
        <v>65061</v>
      </c>
      <c r="B1429" s="3" t="s">
        <v>1253</v>
      </c>
      <c r="C1429" s="7" t="s">
        <v>388</v>
      </c>
      <c r="D1429" s="7" t="s">
        <v>200</v>
      </c>
      <c r="F1429" s="7" t="s">
        <v>336</v>
      </c>
      <c r="G1429" s="7" t="s">
        <v>1630</v>
      </c>
      <c r="H1429" s="7" t="s">
        <v>1362</v>
      </c>
      <c r="I1429" s="7" t="s">
        <v>1253</v>
      </c>
      <c r="K1429" s="7" t="s">
        <v>601</v>
      </c>
      <c r="L1429" s="11">
        <v>361.21</v>
      </c>
      <c r="M1429" s="11">
        <v>960.95</v>
      </c>
      <c r="N1429" s="9">
        <f t="shared" si="44"/>
        <v>361.21</v>
      </c>
    </row>
    <row r="1430" spans="1:14" ht="12.75" hidden="1" customHeight="1" x14ac:dyDescent="0.2">
      <c r="A1430">
        <v>65061</v>
      </c>
      <c r="B1430" s="3" t="s">
        <v>1253</v>
      </c>
      <c r="C1430" s="7" t="s">
        <v>388</v>
      </c>
      <c r="D1430" s="7" t="s">
        <v>200</v>
      </c>
      <c r="F1430" s="7" t="s">
        <v>336</v>
      </c>
      <c r="G1430" s="7" t="s">
        <v>1630</v>
      </c>
      <c r="H1430" s="7" t="s">
        <v>1362</v>
      </c>
      <c r="I1430" s="7" t="s">
        <v>1253</v>
      </c>
      <c r="K1430" s="7" t="s">
        <v>601</v>
      </c>
      <c r="L1430" s="11">
        <v>103.03</v>
      </c>
      <c r="M1430" s="11">
        <v>1063.98</v>
      </c>
      <c r="N1430" s="9">
        <f t="shared" si="44"/>
        <v>103.03</v>
      </c>
    </row>
    <row r="1431" spans="1:14" ht="12.75" hidden="1" customHeight="1" x14ac:dyDescent="0.2">
      <c r="A1431">
        <v>65061</v>
      </c>
      <c r="B1431" s="3" t="s">
        <v>1253</v>
      </c>
      <c r="C1431" s="7" t="s">
        <v>965</v>
      </c>
      <c r="D1431" s="7" t="s">
        <v>200</v>
      </c>
      <c r="E1431" s="7">
        <v>507</v>
      </c>
      <c r="F1431" s="7" t="s">
        <v>970</v>
      </c>
      <c r="G1431" s="7" t="s">
        <v>1630</v>
      </c>
      <c r="H1431" s="7" t="s">
        <v>1362</v>
      </c>
      <c r="I1431" s="7" t="s">
        <v>1253</v>
      </c>
      <c r="K1431" s="7" t="s">
        <v>601</v>
      </c>
      <c r="L1431" s="11">
        <v>976.94</v>
      </c>
      <c r="M1431" s="11">
        <v>3465.55</v>
      </c>
      <c r="N1431" s="9">
        <f t="shared" si="44"/>
        <v>976.94</v>
      </c>
    </row>
    <row r="1432" spans="1:14" ht="12.75" hidden="1" customHeight="1" x14ac:dyDescent="0.2">
      <c r="A1432">
        <v>65061</v>
      </c>
      <c r="B1432" s="3" t="s">
        <v>1253</v>
      </c>
      <c r="C1432" s="7" t="s">
        <v>965</v>
      </c>
      <c r="D1432" s="7" t="s">
        <v>200</v>
      </c>
      <c r="F1432" s="7" t="s">
        <v>969</v>
      </c>
      <c r="G1432" s="7" t="s">
        <v>1630</v>
      </c>
      <c r="H1432" s="7" t="s">
        <v>1362</v>
      </c>
      <c r="I1432" s="7" t="s">
        <v>1253</v>
      </c>
      <c r="K1432" s="7" t="s">
        <v>601</v>
      </c>
      <c r="L1432" s="11">
        <v>199.99</v>
      </c>
      <c r="M1432" s="11">
        <v>3665.54</v>
      </c>
      <c r="N1432" s="9">
        <f t="shared" si="44"/>
        <v>199.99</v>
      </c>
    </row>
    <row r="1433" spans="1:14" ht="12.75" hidden="1" customHeight="1" x14ac:dyDescent="0.2">
      <c r="A1433">
        <v>65061</v>
      </c>
      <c r="B1433" s="3" t="s">
        <v>1253</v>
      </c>
      <c r="C1433" s="7" t="s">
        <v>393</v>
      </c>
      <c r="D1433" s="7" t="s">
        <v>200</v>
      </c>
      <c r="F1433" s="7" t="s">
        <v>564</v>
      </c>
      <c r="G1433" s="7" t="s">
        <v>1630</v>
      </c>
      <c r="H1433" s="7" t="s">
        <v>1362</v>
      </c>
      <c r="I1433" s="7" t="s">
        <v>1253</v>
      </c>
      <c r="K1433" s="7" t="s">
        <v>601</v>
      </c>
      <c r="L1433" s="11">
        <v>247.28</v>
      </c>
      <c r="M1433" s="11">
        <v>6129.72</v>
      </c>
      <c r="N1433" s="9">
        <f t="shared" si="44"/>
        <v>247.28</v>
      </c>
    </row>
    <row r="1434" spans="1:14" ht="12.75" hidden="1" customHeight="1" x14ac:dyDescent="0.2">
      <c r="A1434">
        <v>65061</v>
      </c>
      <c r="B1434" s="3" t="s">
        <v>1253</v>
      </c>
      <c r="C1434" s="7" t="s">
        <v>384</v>
      </c>
      <c r="D1434" s="7" t="s">
        <v>200</v>
      </c>
      <c r="F1434" s="7" t="s">
        <v>655</v>
      </c>
      <c r="G1434" s="7" t="s">
        <v>1630</v>
      </c>
      <c r="H1434" s="7" t="s">
        <v>1362</v>
      </c>
      <c r="I1434" s="7" t="s">
        <v>1253</v>
      </c>
      <c r="K1434" s="7" t="s">
        <v>601</v>
      </c>
      <c r="L1434" s="11">
        <v>121.54</v>
      </c>
      <c r="M1434" s="11">
        <v>10380.36</v>
      </c>
      <c r="N1434" s="9">
        <f t="shared" si="44"/>
        <v>121.54</v>
      </c>
    </row>
    <row r="1435" spans="1:14" ht="12.75" hidden="1" customHeight="1" x14ac:dyDescent="0.2">
      <c r="A1435">
        <v>65061</v>
      </c>
      <c r="B1435" s="3" t="s">
        <v>1253</v>
      </c>
      <c r="C1435" s="7" t="s">
        <v>437</v>
      </c>
      <c r="D1435" s="7" t="s">
        <v>200</v>
      </c>
      <c r="F1435" s="7" t="s">
        <v>658</v>
      </c>
      <c r="G1435" s="7" t="s">
        <v>1630</v>
      </c>
      <c r="H1435" s="7" t="s">
        <v>1362</v>
      </c>
      <c r="I1435" s="7" t="s">
        <v>1253</v>
      </c>
      <c r="K1435" s="7" t="s">
        <v>601</v>
      </c>
      <c r="L1435" s="11">
        <v>58.45</v>
      </c>
      <c r="M1435" s="11">
        <v>16826.02</v>
      </c>
      <c r="N1435" s="9">
        <f t="shared" si="44"/>
        <v>58.45</v>
      </c>
    </row>
    <row r="1436" spans="1:14" ht="12.75" hidden="1" customHeight="1" x14ac:dyDescent="0.2">
      <c r="A1436">
        <v>65061</v>
      </c>
      <c r="B1436" s="3" t="s">
        <v>1253</v>
      </c>
      <c r="C1436" s="7" t="s">
        <v>942</v>
      </c>
      <c r="D1436" s="7" t="s">
        <v>200</v>
      </c>
      <c r="F1436" s="7" t="s">
        <v>548</v>
      </c>
      <c r="G1436" s="7" t="s">
        <v>1630</v>
      </c>
      <c r="H1436" s="7" t="s">
        <v>1362</v>
      </c>
      <c r="I1436" s="7" t="s">
        <v>1253</v>
      </c>
      <c r="K1436" s="7" t="s">
        <v>601</v>
      </c>
      <c r="L1436" s="11">
        <v>10.56</v>
      </c>
      <c r="M1436" s="11">
        <v>20429.75</v>
      </c>
      <c r="N1436" s="9">
        <f t="shared" si="44"/>
        <v>10.56</v>
      </c>
    </row>
    <row r="1437" spans="1:14" ht="12.75" hidden="1" customHeight="1" x14ac:dyDescent="0.2">
      <c r="A1437">
        <v>65061</v>
      </c>
      <c r="B1437" s="3" t="s">
        <v>1253</v>
      </c>
      <c r="C1437" s="7" t="s">
        <v>932</v>
      </c>
      <c r="D1437" s="7" t="s">
        <v>200</v>
      </c>
      <c r="E1437" s="7">
        <v>510</v>
      </c>
      <c r="F1437" s="7" t="s">
        <v>935</v>
      </c>
      <c r="G1437" s="7" t="s">
        <v>1630</v>
      </c>
      <c r="H1437" s="7" t="s">
        <v>1362</v>
      </c>
      <c r="I1437" s="7" t="s">
        <v>1253</v>
      </c>
      <c r="K1437" s="7" t="s">
        <v>601</v>
      </c>
      <c r="L1437" s="11">
        <v>453.54</v>
      </c>
      <c r="M1437" s="11">
        <v>23989.84</v>
      </c>
      <c r="N1437" s="9">
        <f t="shared" si="44"/>
        <v>453.54</v>
      </c>
    </row>
    <row r="1438" spans="1:14" ht="12.75" hidden="1" customHeight="1" x14ac:dyDescent="0.2">
      <c r="A1438">
        <v>65061</v>
      </c>
      <c r="B1438" s="3" t="s">
        <v>1253</v>
      </c>
      <c r="C1438" s="7" t="s">
        <v>932</v>
      </c>
      <c r="D1438" s="7" t="s">
        <v>200</v>
      </c>
      <c r="F1438" s="7" t="s">
        <v>336</v>
      </c>
      <c r="G1438" s="7" t="s">
        <v>1630</v>
      </c>
      <c r="H1438" s="7" t="s">
        <v>1362</v>
      </c>
      <c r="I1438" s="7" t="s">
        <v>1253</v>
      </c>
      <c r="K1438" s="7" t="s">
        <v>601</v>
      </c>
      <c r="L1438" s="11">
        <v>19.239999999999998</v>
      </c>
      <c r="M1438" s="11">
        <v>25428.65</v>
      </c>
      <c r="N1438" s="9">
        <f t="shared" si="44"/>
        <v>19.239999999999998</v>
      </c>
    </row>
    <row r="1439" spans="1:14" ht="12.75" hidden="1" customHeight="1" x14ac:dyDescent="0.2">
      <c r="A1439">
        <v>65061</v>
      </c>
      <c r="B1439" s="3" t="s">
        <v>1253</v>
      </c>
      <c r="C1439" s="7" t="s">
        <v>372</v>
      </c>
      <c r="D1439" s="7" t="s">
        <v>242</v>
      </c>
      <c r="F1439" s="7" t="s">
        <v>563</v>
      </c>
      <c r="G1439" s="7" t="s">
        <v>1630</v>
      </c>
      <c r="H1439" s="7" t="s">
        <v>1362</v>
      </c>
      <c r="I1439" s="7" t="s">
        <v>1253</v>
      </c>
      <c r="K1439" s="7" t="s">
        <v>601</v>
      </c>
      <c r="L1439" s="11">
        <v>-15.8</v>
      </c>
      <c r="M1439" s="11">
        <v>36677.199999999997</v>
      </c>
      <c r="N1439" s="9">
        <f t="shared" si="44"/>
        <v>-15.8</v>
      </c>
    </row>
    <row r="1440" spans="1:14" ht="12.75" hidden="1" customHeight="1" x14ac:dyDescent="0.2">
      <c r="A1440">
        <v>65061</v>
      </c>
      <c r="B1440" s="3" t="s">
        <v>1253</v>
      </c>
      <c r="C1440" s="7" t="s">
        <v>372</v>
      </c>
      <c r="D1440" s="7" t="s">
        <v>242</v>
      </c>
      <c r="F1440" s="7" t="s">
        <v>563</v>
      </c>
      <c r="G1440" s="7" t="s">
        <v>1630</v>
      </c>
      <c r="H1440" s="7" t="s">
        <v>1362</v>
      </c>
      <c r="I1440" s="7" t="s">
        <v>1253</v>
      </c>
      <c r="K1440" s="7" t="s">
        <v>601</v>
      </c>
      <c r="L1440" s="11">
        <v>-25.49</v>
      </c>
      <c r="M1440" s="11">
        <v>36651.71</v>
      </c>
      <c r="N1440" s="9">
        <f t="shared" si="44"/>
        <v>-25.49</v>
      </c>
    </row>
    <row r="1441" spans="1:14" ht="12.75" hidden="1" customHeight="1" x14ac:dyDescent="0.2">
      <c r="A1441">
        <v>65061</v>
      </c>
      <c r="B1441" s="3" t="s">
        <v>1253</v>
      </c>
      <c r="C1441" s="7" t="s">
        <v>418</v>
      </c>
      <c r="D1441" s="7" t="s">
        <v>200</v>
      </c>
      <c r="E1441" s="7">
        <v>511</v>
      </c>
      <c r="F1441" s="7" t="s">
        <v>663</v>
      </c>
      <c r="G1441" s="7" t="s">
        <v>1630</v>
      </c>
      <c r="H1441" s="7" t="s">
        <v>1362</v>
      </c>
      <c r="I1441" s="7" t="s">
        <v>1253</v>
      </c>
      <c r="K1441" s="7" t="s">
        <v>601</v>
      </c>
      <c r="L1441" s="11">
        <v>32.64</v>
      </c>
      <c r="M1441" s="11">
        <v>38643.300000000003</v>
      </c>
      <c r="N1441" s="9">
        <f t="shared" si="44"/>
        <v>32.64</v>
      </c>
    </row>
    <row r="1442" spans="1:14" ht="12.75" hidden="1" customHeight="1" x14ac:dyDescent="0.2">
      <c r="A1442">
        <v>65061</v>
      </c>
      <c r="B1442" s="3" t="s">
        <v>1253</v>
      </c>
      <c r="C1442" s="7" t="s">
        <v>418</v>
      </c>
      <c r="D1442" s="7" t="s">
        <v>200</v>
      </c>
      <c r="E1442" s="7">
        <v>508</v>
      </c>
      <c r="F1442" s="7" t="s">
        <v>663</v>
      </c>
      <c r="G1442" s="7" t="s">
        <v>1630</v>
      </c>
      <c r="H1442" s="7" t="s">
        <v>1362</v>
      </c>
      <c r="I1442" s="7" t="s">
        <v>1253</v>
      </c>
      <c r="K1442" s="7" t="s">
        <v>601</v>
      </c>
      <c r="L1442" s="11">
        <v>103.5</v>
      </c>
      <c r="M1442" s="11">
        <v>39037.660000000003</v>
      </c>
      <c r="N1442" s="9">
        <f t="shared" si="44"/>
        <v>103.5</v>
      </c>
    </row>
    <row r="1443" spans="1:14" ht="12.75" hidden="1" customHeight="1" x14ac:dyDescent="0.2">
      <c r="A1443">
        <v>65061</v>
      </c>
      <c r="B1443" s="3" t="s">
        <v>1253</v>
      </c>
      <c r="C1443" s="7" t="s">
        <v>361</v>
      </c>
      <c r="D1443" s="7" t="s">
        <v>200</v>
      </c>
      <c r="E1443" s="7">
        <v>509</v>
      </c>
      <c r="F1443" s="7" t="s">
        <v>901</v>
      </c>
      <c r="G1443" s="7" t="s">
        <v>1630</v>
      </c>
      <c r="H1443" s="7" t="s">
        <v>1362</v>
      </c>
      <c r="I1443" s="7" t="s">
        <v>1253</v>
      </c>
      <c r="K1443" s="7" t="s">
        <v>601</v>
      </c>
      <c r="L1443" s="11">
        <v>61.13</v>
      </c>
      <c r="M1443" s="11">
        <v>44770.63</v>
      </c>
      <c r="N1443" s="9">
        <f t="shared" si="44"/>
        <v>61.13</v>
      </c>
    </row>
    <row r="1444" spans="1:14" ht="12.75" hidden="1" customHeight="1" x14ac:dyDescent="0.2">
      <c r="A1444">
        <v>65061</v>
      </c>
      <c r="B1444" s="3" t="s">
        <v>1253</v>
      </c>
      <c r="C1444" s="7" t="s">
        <v>235</v>
      </c>
      <c r="D1444" s="7" t="s">
        <v>221</v>
      </c>
      <c r="F1444" s="7" t="s">
        <v>735</v>
      </c>
      <c r="G1444" s="7" t="s">
        <v>1630</v>
      </c>
      <c r="H1444" s="7" t="s">
        <v>1362</v>
      </c>
      <c r="I1444" s="7" t="s">
        <v>1253</v>
      </c>
      <c r="K1444" s="7" t="s">
        <v>601</v>
      </c>
      <c r="L1444" s="11">
        <v>24.95</v>
      </c>
      <c r="M1444" s="11">
        <v>132241.54999999999</v>
      </c>
      <c r="N1444" s="9">
        <f t="shared" si="44"/>
        <v>24.95</v>
      </c>
    </row>
    <row r="1445" spans="1:14" ht="12.75" hidden="1" customHeight="1" x14ac:dyDescent="0.2">
      <c r="A1445">
        <v>65061</v>
      </c>
      <c r="B1445" s="3" t="s">
        <v>1253</v>
      </c>
      <c r="C1445" s="7" t="s">
        <v>710</v>
      </c>
      <c r="D1445" s="7" t="s">
        <v>221</v>
      </c>
      <c r="F1445" s="7" t="s">
        <v>578</v>
      </c>
      <c r="G1445" s="7" t="s">
        <v>1630</v>
      </c>
      <c r="H1445" s="7" t="s">
        <v>1362</v>
      </c>
      <c r="I1445" s="7" t="s">
        <v>1253</v>
      </c>
      <c r="K1445" s="7" t="s">
        <v>601</v>
      </c>
      <c r="L1445" s="11">
        <v>44.29</v>
      </c>
      <c r="M1445" s="11">
        <v>139608.67000000001</v>
      </c>
      <c r="N1445" s="9">
        <f t="shared" si="44"/>
        <v>44.29</v>
      </c>
    </row>
    <row r="1446" spans="1:14" ht="12.75" hidden="1" customHeight="1" x14ac:dyDescent="0.2">
      <c r="A1446">
        <v>65061</v>
      </c>
      <c r="B1446" s="3" t="s">
        <v>1253</v>
      </c>
      <c r="C1446" s="7" t="s">
        <v>710</v>
      </c>
      <c r="D1446" s="7" t="s">
        <v>221</v>
      </c>
      <c r="F1446" s="7" t="s">
        <v>564</v>
      </c>
      <c r="G1446" s="7" t="s">
        <v>1630</v>
      </c>
      <c r="H1446" s="7" t="s">
        <v>1362</v>
      </c>
      <c r="I1446" s="7" t="s">
        <v>1253</v>
      </c>
      <c r="K1446" s="7" t="s">
        <v>601</v>
      </c>
      <c r="L1446" s="11">
        <v>364.74</v>
      </c>
      <c r="M1446" s="11">
        <v>139973.41</v>
      </c>
      <c r="N1446" s="9">
        <f t="shared" si="44"/>
        <v>364.74</v>
      </c>
    </row>
    <row r="1447" spans="1:14" ht="12.75" hidden="1" customHeight="1" x14ac:dyDescent="0.2">
      <c r="A1447">
        <v>65061</v>
      </c>
      <c r="B1447" s="3" t="s">
        <v>1253</v>
      </c>
      <c r="C1447" s="7" t="s">
        <v>710</v>
      </c>
      <c r="D1447" s="7" t="s">
        <v>221</v>
      </c>
      <c r="F1447" s="7" t="s">
        <v>714</v>
      </c>
      <c r="G1447" s="7" t="s">
        <v>1630</v>
      </c>
      <c r="H1447" s="7" t="s">
        <v>1362</v>
      </c>
      <c r="I1447" s="7" t="s">
        <v>1253</v>
      </c>
      <c r="K1447" s="7" t="s">
        <v>601</v>
      </c>
      <c r="L1447" s="11">
        <v>36.97</v>
      </c>
      <c r="M1447" s="11">
        <v>140010.38</v>
      </c>
      <c r="N1447" s="9">
        <f t="shared" si="44"/>
        <v>36.97</v>
      </c>
    </row>
    <row r="1448" spans="1:14" ht="12.75" hidden="1" customHeight="1" x14ac:dyDescent="0.2">
      <c r="A1448">
        <v>65061</v>
      </c>
      <c r="B1448" s="3" t="s">
        <v>1253</v>
      </c>
      <c r="C1448" s="7" t="s">
        <v>710</v>
      </c>
      <c r="D1448" s="7" t="s">
        <v>221</v>
      </c>
      <c r="F1448" s="7" t="s">
        <v>548</v>
      </c>
      <c r="G1448" s="7" t="s">
        <v>1630</v>
      </c>
      <c r="H1448" s="7" t="s">
        <v>1362</v>
      </c>
      <c r="I1448" s="7" t="s">
        <v>1253</v>
      </c>
      <c r="K1448" s="7" t="s">
        <v>601</v>
      </c>
      <c r="L1448" s="11">
        <v>88.09</v>
      </c>
      <c r="M1448" s="11">
        <v>140098.47</v>
      </c>
      <c r="N1448" s="9">
        <f t="shared" si="44"/>
        <v>88.09</v>
      </c>
    </row>
    <row r="1449" spans="1:14" ht="12.75" hidden="1" customHeight="1" x14ac:dyDescent="0.2">
      <c r="A1449">
        <v>65061</v>
      </c>
      <c r="B1449" s="3" t="s">
        <v>1253</v>
      </c>
      <c r="C1449" s="7" t="s">
        <v>710</v>
      </c>
      <c r="D1449" s="7" t="s">
        <v>221</v>
      </c>
      <c r="F1449" s="7" t="s">
        <v>713</v>
      </c>
      <c r="G1449" s="7" t="s">
        <v>1630</v>
      </c>
      <c r="H1449" s="7" t="s">
        <v>1362</v>
      </c>
      <c r="I1449" s="7" t="s">
        <v>1253</v>
      </c>
      <c r="K1449" s="7" t="s">
        <v>601</v>
      </c>
      <c r="L1449" s="11">
        <v>95.35</v>
      </c>
      <c r="M1449" s="11">
        <v>140193.82</v>
      </c>
      <c r="N1449" s="9">
        <f t="shared" si="44"/>
        <v>95.35</v>
      </c>
    </row>
    <row r="1450" spans="1:14" ht="12.75" hidden="1" customHeight="1" x14ac:dyDescent="0.2">
      <c r="A1450">
        <v>65061</v>
      </c>
      <c r="B1450" s="3" t="s">
        <v>1253</v>
      </c>
      <c r="C1450" s="7" t="s">
        <v>710</v>
      </c>
      <c r="D1450" s="7" t="s">
        <v>221</v>
      </c>
      <c r="F1450" s="7" t="s">
        <v>241</v>
      </c>
      <c r="G1450" s="7" t="s">
        <v>1630</v>
      </c>
      <c r="H1450" s="7" t="s">
        <v>1362</v>
      </c>
      <c r="I1450" s="7" t="s">
        <v>1253</v>
      </c>
      <c r="K1450" s="7" t="s">
        <v>601</v>
      </c>
      <c r="L1450" s="11">
        <v>313.66000000000003</v>
      </c>
      <c r="M1450" s="11">
        <v>140507.48000000001</v>
      </c>
      <c r="N1450" s="9">
        <f t="shared" ref="N1450:N1481" si="45">IF(A1450&lt;60000,-L1450,+L1450)</f>
        <v>313.66000000000003</v>
      </c>
    </row>
    <row r="1451" spans="1:14" ht="12.75" hidden="1" customHeight="1" x14ac:dyDescent="0.2">
      <c r="A1451">
        <v>65061</v>
      </c>
      <c r="B1451" s="3" t="s">
        <v>1253</v>
      </c>
      <c r="C1451" s="7" t="s">
        <v>229</v>
      </c>
      <c r="D1451" s="7" t="s">
        <v>221</v>
      </c>
      <c r="F1451" s="7" t="s">
        <v>709</v>
      </c>
      <c r="G1451" s="7" t="s">
        <v>1630</v>
      </c>
      <c r="H1451" s="7" t="s">
        <v>1362</v>
      </c>
      <c r="I1451" s="7" t="s">
        <v>1253</v>
      </c>
      <c r="K1451" s="7" t="s">
        <v>601</v>
      </c>
      <c r="L1451" s="11">
        <v>50</v>
      </c>
      <c r="M1451" s="11">
        <v>141094.46</v>
      </c>
      <c r="N1451" s="9">
        <f t="shared" si="45"/>
        <v>50</v>
      </c>
    </row>
    <row r="1452" spans="1:14" ht="12.75" hidden="1" customHeight="1" x14ac:dyDescent="0.2">
      <c r="A1452">
        <v>65061</v>
      </c>
      <c r="B1452" s="3" t="s">
        <v>1253</v>
      </c>
      <c r="C1452" s="7" t="s">
        <v>229</v>
      </c>
      <c r="D1452" s="7" t="s">
        <v>221</v>
      </c>
      <c r="F1452" s="7" t="s">
        <v>265</v>
      </c>
      <c r="G1452" s="7" t="s">
        <v>1630</v>
      </c>
      <c r="H1452" s="7" t="s">
        <v>1362</v>
      </c>
      <c r="I1452" s="7" t="s">
        <v>1253</v>
      </c>
      <c r="K1452" s="7" t="s">
        <v>601</v>
      </c>
      <c r="L1452" s="11">
        <v>63.55</v>
      </c>
      <c r="M1452" s="11">
        <v>142026.44</v>
      </c>
      <c r="N1452" s="9">
        <f t="shared" si="45"/>
        <v>63.55</v>
      </c>
    </row>
    <row r="1453" spans="1:14" ht="12.75" hidden="1" customHeight="1" x14ac:dyDescent="0.2">
      <c r="A1453">
        <v>65061</v>
      </c>
      <c r="B1453" s="3" t="s">
        <v>1253</v>
      </c>
      <c r="C1453" s="7" t="s">
        <v>224</v>
      </c>
      <c r="D1453" s="7" t="s">
        <v>221</v>
      </c>
      <c r="F1453" s="7" t="s">
        <v>265</v>
      </c>
      <c r="G1453" s="7" t="s">
        <v>1630</v>
      </c>
      <c r="H1453" s="7" t="s">
        <v>1362</v>
      </c>
      <c r="I1453" s="7" t="s">
        <v>1253</v>
      </c>
      <c r="K1453" s="7" t="s">
        <v>601</v>
      </c>
      <c r="L1453" s="11">
        <v>187.49</v>
      </c>
      <c r="M1453" s="11">
        <v>142424.65</v>
      </c>
      <c r="N1453" s="9">
        <f t="shared" si="45"/>
        <v>187.49</v>
      </c>
    </row>
    <row r="1454" spans="1:14" ht="12.75" hidden="1" customHeight="1" x14ac:dyDescent="0.2">
      <c r="A1454">
        <v>65061</v>
      </c>
      <c r="B1454" s="3" t="s">
        <v>1253</v>
      </c>
      <c r="C1454" s="7" t="s">
        <v>224</v>
      </c>
      <c r="D1454" s="7" t="s">
        <v>221</v>
      </c>
      <c r="F1454" s="7" t="s">
        <v>265</v>
      </c>
      <c r="G1454" s="7" t="s">
        <v>1630</v>
      </c>
      <c r="H1454" s="7" t="s">
        <v>1362</v>
      </c>
      <c r="I1454" s="7" t="s">
        <v>1253</v>
      </c>
      <c r="K1454" s="7" t="s">
        <v>601</v>
      </c>
      <c r="L1454" s="11">
        <v>66.95</v>
      </c>
      <c r="M1454" s="11">
        <v>142491.6</v>
      </c>
      <c r="N1454" s="9">
        <f t="shared" si="45"/>
        <v>66.95</v>
      </c>
    </row>
    <row r="1455" spans="1:14" ht="12.75" hidden="1" customHeight="1" x14ac:dyDescent="0.2">
      <c r="A1455">
        <v>65061</v>
      </c>
      <c r="B1455" s="3" t="s">
        <v>1253</v>
      </c>
      <c r="C1455" s="7" t="s">
        <v>224</v>
      </c>
      <c r="D1455" s="7" t="s">
        <v>221</v>
      </c>
      <c r="F1455" s="7" t="s">
        <v>265</v>
      </c>
      <c r="G1455" s="7" t="s">
        <v>1630</v>
      </c>
      <c r="H1455" s="7" t="s">
        <v>1362</v>
      </c>
      <c r="I1455" s="7" t="s">
        <v>1253</v>
      </c>
      <c r="K1455" s="7" t="s">
        <v>601</v>
      </c>
      <c r="L1455" s="11">
        <v>8.99</v>
      </c>
      <c r="M1455" s="11">
        <v>142500.59</v>
      </c>
      <c r="N1455" s="9">
        <f t="shared" si="45"/>
        <v>8.99</v>
      </c>
    </row>
    <row r="1456" spans="1:14" ht="12.75" hidden="1" customHeight="1" x14ac:dyDescent="0.2">
      <c r="A1456">
        <v>65061</v>
      </c>
      <c r="B1456" s="3" t="s">
        <v>1253</v>
      </c>
      <c r="C1456" s="7" t="s">
        <v>224</v>
      </c>
      <c r="D1456" s="7" t="s">
        <v>221</v>
      </c>
      <c r="F1456" s="7" t="s">
        <v>265</v>
      </c>
      <c r="G1456" s="7" t="s">
        <v>1630</v>
      </c>
      <c r="H1456" s="7" t="s">
        <v>1362</v>
      </c>
      <c r="I1456" s="7" t="s">
        <v>1253</v>
      </c>
      <c r="K1456" s="7" t="s">
        <v>601</v>
      </c>
      <c r="L1456" s="11">
        <v>73.989999999999995</v>
      </c>
      <c r="M1456" s="11">
        <v>142574.57999999999</v>
      </c>
      <c r="N1456" s="9">
        <f t="shared" si="45"/>
        <v>73.989999999999995</v>
      </c>
    </row>
    <row r="1457" spans="1:14" ht="12.75" hidden="1" customHeight="1" x14ac:dyDescent="0.2">
      <c r="A1457">
        <v>65061</v>
      </c>
      <c r="B1457" s="3" t="s">
        <v>1253</v>
      </c>
      <c r="C1457" s="7" t="s">
        <v>493</v>
      </c>
      <c r="D1457" s="7" t="s">
        <v>221</v>
      </c>
      <c r="F1457" s="7" t="s">
        <v>265</v>
      </c>
      <c r="G1457" s="7" t="s">
        <v>1630</v>
      </c>
      <c r="H1457" s="7" t="s">
        <v>1362</v>
      </c>
      <c r="I1457" s="7" t="s">
        <v>1253</v>
      </c>
      <c r="K1457" s="7" t="s">
        <v>601</v>
      </c>
      <c r="L1457" s="11">
        <v>66.150000000000006</v>
      </c>
      <c r="M1457" s="11">
        <v>144088.6</v>
      </c>
      <c r="N1457" s="9">
        <f t="shared" si="45"/>
        <v>66.150000000000006</v>
      </c>
    </row>
    <row r="1458" spans="1:14" ht="12.75" hidden="1" customHeight="1" x14ac:dyDescent="0.2">
      <c r="A1458">
        <v>65061</v>
      </c>
      <c r="B1458" s="3" t="s">
        <v>1253</v>
      </c>
      <c r="C1458" s="7" t="s">
        <v>698</v>
      </c>
      <c r="D1458" s="7" t="s">
        <v>221</v>
      </c>
      <c r="F1458" s="7" t="s">
        <v>644</v>
      </c>
      <c r="G1458" s="7" t="s">
        <v>1630</v>
      </c>
      <c r="H1458" s="7" t="s">
        <v>1362</v>
      </c>
      <c r="I1458" s="7" t="s">
        <v>1253</v>
      </c>
      <c r="K1458" s="7" t="s">
        <v>601</v>
      </c>
      <c r="L1458" s="11">
        <v>25.27</v>
      </c>
      <c r="M1458" s="11">
        <v>144487.5</v>
      </c>
      <c r="N1458" s="9">
        <f t="shared" si="45"/>
        <v>25.27</v>
      </c>
    </row>
    <row r="1459" spans="1:14" ht="12.75" hidden="1" customHeight="1" x14ac:dyDescent="0.2">
      <c r="A1459">
        <v>65061</v>
      </c>
      <c r="B1459" s="3" t="s">
        <v>1253</v>
      </c>
      <c r="C1459" s="7" t="s">
        <v>698</v>
      </c>
      <c r="D1459" s="7" t="s">
        <v>221</v>
      </c>
      <c r="F1459" s="7" t="s">
        <v>644</v>
      </c>
      <c r="G1459" s="7" t="s">
        <v>1630</v>
      </c>
      <c r="H1459" s="7" t="s">
        <v>1362</v>
      </c>
      <c r="I1459" s="7" t="s">
        <v>1253</v>
      </c>
      <c r="K1459" s="7" t="s">
        <v>601</v>
      </c>
      <c r="L1459" s="11">
        <v>10.02</v>
      </c>
      <c r="M1459" s="11">
        <v>144497.51999999999</v>
      </c>
      <c r="N1459" s="9">
        <f t="shared" si="45"/>
        <v>10.02</v>
      </c>
    </row>
    <row r="1460" spans="1:14" ht="12.75" hidden="1" customHeight="1" x14ac:dyDescent="0.2">
      <c r="A1460">
        <v>65061</v>
      </c>
      <c r="B1460" s="3" t="s">
        <v>1253</v>
      </c>
      <c r="C1460" s="7" t="s">
        <v>191</v>
      </c>
      <c r="D1460" s="7" t="s">
        <v>221</v>
      </c>
      <c r="F1460" s="7" t="s">
        <v>589</v>
      </c>
      <c r="G1460" s="7" t="s">
        <v>1630</v>
      </c>
      <c r="H1460" s="7" t="s">
        <v>1362</v>
      </c>
      <c r="I1460" s="7" t="s">
        <v>1253</v>
      </c>
      <c r="K1460" s="7" t="s">
        <v>601</v>
      </c>
      <c r="L1460" s="11">
        <v>86.97</v>
      </c>
      <c r="M1460" s="11">
        <v>147408.23000000001</v>
      </c>
      <c r="N1460" s="9">
        <f t="shared" si="45"/>
        <v>86.97</v>
      </c>
    </row>
    <row r="1461" spans="1:14" ht="12.75" hidden="1" customHeight="1" x14ac:dyDescent="0.2">
      <c r="A1461">
        <v>65061</v>
      </c>
      <c r="B1461" s="3" t="s">
        <v>1253</v>
      </c>
      <c r="C1461" s="7" t="s">
        <v>222</v>
      </c>
      <c r="D1461" s="7" t="s">
        <v>221</v>
      </c>
      <c r="F1461" s="7" t="s">
        <v>644</v>
      </c>
      <c r="G1461" s="7" t="s">
        <v>1630</v>
      </c>
      <c r="H1461" s="7" t="s">
        <v>1362</v>
      </c>
      <c r="I1461" s="7" t="s">
        <v>1253</v>
      </c>
      <c r="K1461" s="7" t="s">
        <v>601</v>
      </c>
      <c r="L1461" s="11">
        <v>145.38</v>
      </c>
      <c r="M1461" s="11">
        <v>150715.06</v>
      </c>
      <c r="N1461" s="9">
        <f t="shared" si="45"/>
        <v>145.38</v>
      </c>
    </row>
    <row r="1462" spans="1:14" ht="12.75" hidden="1" customHeight="1" x14ac:dyDescent="0.2">
      <c r="A1462">
        <v>65061</v>
      </c>
      <c r="B1462" s="3" t="s">
        <v>1253</v>
      </c>
      <c r="C1462" s="7" t="s">
        <v>218</v>
      </c>
      <c r="D1462" s="7" t="s">
        <v>221</v>
      </c>
      <c r="F1462" s="7" t="s">
        <v>564</v>
      </c>
      <c r="G1462" s="7" t="s">
        <v>1630</v>
      </c>
      <c r="H1462" s="7" t="s">
        <v>1362</v>
      </c>
      <c r="I1462" s="7" t="s">
        <v>1253</v>
      </c>
      <c r="K1462" s="7" t="s">
        <v>601</v>
      </c>
      <c r="L1462" s="11">
        <v>305.39</v>
      </c>
      <c r="M1462" s="11">
        <v>151555.04999999999</v>
      </c>
      <c r="N1462" s="9">
        <f t="shared" si="45"/>
        <v>305.39</v>
      </c>
    </row>
    <row r="1463" spans="1:14" ht="12.75" hidden="1" customHeight="1" x14ac:dyDescent="0.2">
      <c r="A1463">
        <v>65061</v>
      </c>
      <c r="B1463" s="3" t="s">
        <v>1253</v>
      </c>
      <c r="C1463" s="7" t="s">
        <v>218</v>
      </c>
      <c r="D1463" s="7" t="s">
        <v>221</v>
      </c>
      <c r="F1463" s="7" t="s">
        <v>589</v>
      </c>
      <c r="G1463" s="7" t="s">
        <v>1630</v>
      </c>
      <c r="H1463" s="7" t="s">
        <v>1362</v>
      </c>
      <c r="I1463" s="7" t="s">
        <v>1253</v>
      </c>
      <c r="K1463" s="7" t="s">
        <v>601</v>
      </c>
      <c r="L1463" s="11">
        <v>144.59</v>
      </c>
      <c r="M1463" s="11">
        <v>152678.34</v>
      </c>
      <c r="N1463" s="9">
        <f t="shared" si="45"/>
        <v>144.59</v>
      </c>
    </row>
    <row r="1464" spans="1:14" ht="12.75" hidden="1" customHeight="1" x14ac:dyDescent="0.2">
      <c r="A1464">
        <v>65061</v>
      </c>
      <c r="B1464" s="3" t="s">
        <v>1253</v>
      </c>
      <c r="C1464" s="7" t="s">
        <v>218</v>
      </c>
      <c r="D1464" s="7" t="s">
        <v>221</v>
      </c>
      <c r="F1464" s="7" t="s">
        <v>241</v>
      </c>
      <c r="G1464" s="7" t="s">
        <v>1630</v>
      </c>
      <c r="H1464" s="7" t="s">
        <v>1362</v>
      </c>
      <c r="I1464" s="7" t="s">
        <v>1253</v>
      </c>
      <c r="K1464" s="7" t="s">
        <v>601</v>
      </c>
      <c r="L1464" s="11">
        <v>692.49</v>
      </c>
      <c r="M1464" s="11">
        <v>153370.82999999999</v>
      </c>
      <c r="N1464" s="9">
        <f t="shared" si="45"/>
        <v>692.49</v>
      </c>
    </row>
    <row r="1465" spans="1:14" ht="12.75" hidden="1" customHeight="1" x14ac:dyDescent="0.2">
      <c r="A1465">
        <v>65061</v>
      </c>
      <c r="B1465" s="3" t="s">
        <v>1253</v>
      </c>
      <c r="C1465" s="7" t="s">
        <v>218</v>
      </c>
      <c r="D1465" s="7" t="s">
        <v>221</v>
      </c>
      <c r="F1465" s="7" t="s">
        <v>673</v>
      </c>
      <c r="G1465" s="7" t="s">
        <v>1630</v>
      </c>
      <c r="H1465" s="7" t="s">
        <v>1362</v>
      </c>
      <c r="I1465" s="7" t="s">
        <v>1253</v>
      </c>
      <c r="K1465" s="7" t="s">
        <v>601</v>
      </c>
      <c r="L1465" s="11">
        <v>629.91999999999996</v>
      </c>
      <c r="M1465" s="11">
        <v>154000.75</v>
      </c>
      <c r="N1465" s="9">
        <f t="shared" si="45"/>
        <v>629.91999999999996</v>
      </c>
    </row>
    <row r="1466" spans="1:14" ht="12.75" hidden="1" customHeight="1" x14ac:dyDescent="0.2">
      <c r="A1466">
        <v>65061</v>
      </c>
      <c r="B1466" s="3" t="s">
        <v>1253</v>
      </c>
      <c r="C1466" s="7" t="s">
        <v>218</v>
      </c>
      <c r="D1466" s="7" t="s">
        <v>221</v>
      </c>
      <c r="F1466" s="7" t="s">
        <v>644</v>
      </c>
      <c r="G1466" s="7" t="s">
        <v>1630</v>
      </c>
      <c r="H1466" s="7" t="s">
        <v>1362</v>
      </c>
      <c r="I1466" s="7" t="s">
        <v>1253</v>
      </c>
      <c r="K1466" s="7" t="s">
        <v>601</v>
      </c>
      <c r="L1466" s="11">
        <v>30.67</v>
      </c>
      <c r="M1466" s="11">
        <v>154031.42000000001</v>
      </c>
      <c r="N1466" s="9">
        <f t="shared" si="45"/>
        <v>30.67</v>
      </c>
    </row>
    <row r="1467" spans="1:14" ht="12.75" hidden="1" customHeight="1" x14ac:dyDescent="0.2">
      <c r="A1467">
        <v>65061</v>
      </c>
      <c r="B1467" s="3" t="s">
        <v>1253</v>
      </c>
      <c r="C1467" s="7" t="s">
        <v>429</v>
      </c>
      <c r="D1467" s="7" t="s">
        <v>221</v>
      </c>
      <c r="F1467" s="7" t="s">
        <v>589</v>
      </c>
      <c r="G1467" s="7" t="s">
        <v>1630</v>
      </c>
      <c r="H1467" s="7" t="s">
        <v>1362</v>
      </c>
      <c r="I1467" s="7" t="s">
        <v>1253</v>
      </c>
      <c r="K1467" s="7" t="s">
        <v>601</v>
      </c>
      <c r="L1467" s="11">
        <v>25.29</v>
      </c>
      <c r="M1467" s="11">
        <v>154728.60999999999</v>
      </c>
      <c r="N1467" s="9">
        <f t="shared" si="45"/>
        <v>25.29</v>
      </c>
    </row>
    <row r="1468" spans="1:14" ht="12.75" hidden="1" customHeight="1" x14ac:dyDescent="0.2">
      <c r="A1468">
        <v>65061</v>
      </c>
      <c r="B1468" s="3" t="s">
        <v>1253</v>
      </c>
      <c r="C1468" s="7" t="s">
        <v>429</v>
      </c>
      <c r="D1468" s="7" t="s">
        <v>221</v>
      </c>
      <c r="F1468" s="7" t="s">
        <v>644</v>
      </c>
      <c r="G1468" s="7" t="s">
        <v>1630</v>
      </c>
      <c r="H1468" s="7" t="s">
        <v>1362</v>
      </c>
      <c r="I1468" s="7" t="s">
        <v>1253</v>
      </c>
      <c r="K1468" s="7" t="s">
        <v>601</v>
      </c>
      <c r="L1468" s="11">
        <v>230.21</v>
      </c>
      <c r="M1468" s="11">
        <v>154958.82</v>
      </c>
      <c r="N1468" s="9">
        <f t="shared" si="45"/>
        <v>230.21</v>
      </c>
    </row>
    <row r="1469" spans="1:14" ht="12.75" hidden="1" customHeight="1" x14ac:dyDescent="0.2">
      <c r="A1469">
        <v>65061</v>
      </c>
      <c r="B1469" s="3" t="s">
        <v>1253</v>
      </c>
      <c r="C1469" s="7" t="s">
        <v>659</v>
      </c>
      <c r="D1469" s="7" t="s">
        <v>221</v>
      </c>
      <c r="F1469" s="7" t="s">
        <v>644</v>
      </c>
      <c r="G1469" s="7" t="s">
        <v>1630</v>
      </c>
      <c r="H1469" s="7" t="s">
        <v>1362</v>
      </c>
      <c r="I1469" s="7" t="s">
        <v>1253</v>
      </c>
      <c r="K1469" s="7" t="s">
        <v>601</v>
      </c>
      <c r="L1469" s="11">
        <v>43.41</v>
      </c>
      <c r="M1469" s="11">
        <v>155783.48000000001</v>
      </c>
      <c r="N1469" s="9">
        <f t="shared" si="45"/>
        <v>43.41</v>
      </c>
    </row>
    <row r="1470" spans="1:14" ht="12.75" hidden="1" customHeight="1" x14ac:dyDescent="0.2">
      <c r="A1470">
        <v>65061</v>
      </c>
      <c r="B1470" s="3" t="s">
        <v>1253</v>
      </c>
      <c r="C1470" s="7" t="s">
        <v>659</v>
      </c>
      <c r="D1470" s="7" t="s">
        <v>200</v>
      </c>
      <c r="E1470" s="7">
        <v>512</v>
      </c>
      <c r="F1470" s="7" t="s">
        <v>663</v>
      </c>
      <c r="G1470" s="7" t="s">
        <v>1630</v>
      </c>
      <c r="H1470" s="7" t="s">
        <v>1362</v>
      </c>
      <c r="I1470" s="7" t="s">
        <v>1253</v>
      </c>
      <c r="K1470" s="7" t="s">
        <v>601</v>
      </c>
      <c r="L1470" s="11">
        <v>360.85</v>
      </c>
      <c r="M1470" s="11">
        <v>156144.32999999999</v>
      </c>
      <c r="N1470" s="9">
        <f t="shared" si="45"/>
        <v>360.85</v>
      </c>
    </row>
    <row r="1471" spans="1:14" ht="12.75" hidden="1" customHeight="1" x14ac:dyDescent="0.2">
      <c r="A1471">
        <v>65061</v>
      </c>
      <c r="B1471" s="3" t="s">
        <v>1253</v>
      </c>
      <c r="C1471" s="7" t="s">
        <v>659</v>
      </c>
      <c r="D1471" s="7" t="s">
        <v>221</v>
      </c>
      <c r="F1471" s="7" t="s">
        <v>658</v>
      </c>
      <c r="G1471" s="7" t="s">
        <v>1630</v>
      </c>
      <c r="H1471" s="7" t="s">
        <v>1362</v>
      </c>
      <c r="I1471" s="7" t="s">
        <v>1253</v>
      </c>
      <c r="K1471" s="7" t="s">
        <v>601</v>
      </c>
      <c r="L1471" s="11">
        <v>155.35</v>
      </c>
      <c r="M1471" s="11">
        <v>163755.82999999999</v>
      </c>
      <c r="N1471" s="9">
        <f t="shared" si="45"/>
        <v>155.35</v>
      </c>
    </row>
    <row r="1472" spans="1:14" ht="12.75" hidden="1" customHeight="1" x14ac:dyDescent="0.2">
      <c r="A1472">
        <v>65061</v>
      </c>
      <c r="B1472" s="3" t="s">
        <v>1253</v>
      </c>
      <c r="C1472" s="7" t="s">
        <v>650</v>
      </c>
      <c r="D1472" s="7" t="s">
        <v>221</v>
      </c>
      <c r="F1472" s="7" t="s">
        <v>644</v>
      </c>
      <c r="G1472" s="7" t="s">
        <v>1630</v>
      </c>
      <c r="H1472" s="7" t="s">
        <v>1362</v>
      </c>
      <c r="I1472" s="7" t="s">
        <v>1253</v>
      </c>
      <c r="K1472" s="7" t="s">
        <v>601</v>
      </c>
      <c r="L1472" s="11">
        <v>12.64</v>
      </c>
      <c r="M1472" s="11">
        <v>164344.5</v>
      </c>
      <c r="N1472" s="9">
        <f t="shared" si="45"/>
        <v>12.64</v>
      </c>
    </row>
    <row r="1473" spans="1:14" ht="12.75" hidden="1" customHeight="1" x14ac:dyDescent="0.2">
      <c r="A1473">
        <v>65061</v>
      </c>
      <c r="B1473" s="3" t="s">
        <v>1253</v>
      </c>
      <c r="C1473" s="7" t="s">
        <v>650</v>
      </c>
      <c r="D1473" s="7" t="s">
        <v>221</v>
      </c>
      <c r="F1473" s="7" t="s">
        <v>655</v>
      </c>
      <c r="G1473" s="7" t="s">
        <v>1630</v>
      </c>
      <c r="H1473" s="7" t="s">
        <v>1362</v>
      </c>
      <c r="I1473" s="7" t="s">
        <v>1253</v>
      </c>
      <c r="K1473" s="7" t="s">
        <v>601</v>
      </c>
      <c r="L1473" s="11">
        <v>35.82</v>
      </c>
      <c r="M1473" s="11">
        <v>164380.32</v>
      </c>
      <c r="N1473" s="9">
        <f t="shared" si="45"/>
        <v>35.82</v>
      </c>
    </row>
    <row r="1474" spans="1:14" ht="12.75" hidden="1" customHeight="1" x14ac:dyDescent="0.2">
      <c r="A1474">
        <v>65061</v>
      </c>
      <c r="B1474" s="3" t="s">
        <v>1253</v>
      </c>
      <c r="C1474" s="7" t="s">
        <v>650</v>
      </c>
      <c r="D1474" s="7" t="s">
        <v>221</v>
      </c>
      <c r="F1474" s="7" t="s">
        <v>644</v>
      </c>
      <c r="G1474" s="7" t="s">
        <v>1630</v>
      </c>
      <c r="H1474" s="7" t="s">
        <v>1362</v>
      </c>
      <c r="I1474" s="7" t="s">
        <v>1253</v>
      </c>
      <c r="K1474" s="7" t="s">
        <v>601</v>
      </c>
      <c r="L1474" s="11">
        <v>6.83</v>
      </c>
      <c r="M1474" s="11">
        <v>164387.15</v>
      </c>
      <c r="N1474" s="9">
        <f t="shared" si="45"/>
        <v>6.83</v>
      </c>
    </row>
    <row r="1475" spans="1:14" ht="12.75" hidden="1" customHeight="1" x14ac:dyDescent="0.2">
      <c r="A1475">
        <v>65061</v>
      </c>
      <c r="B1475" s="3" t="s">
        <v>1253</v>
      </c>
      <c r="C1475" s="7" t="s">
        <v>650</v>
      </c>
      <c r="D1475" s="7" t="s">
        <v>221</v>
      </c>
      <c r="F1475" s="7" t="s">
        <v>655</v>
      </c>
      <c r="G1475" s="7" t="s">
        <v>1630</v>
      </c>
      <c r="H1475" s="7" t="s">
        <v>1362</v>
      </c>
      <c r="I1475" s="7" t="s">
        <v>1253</v>
      </c>
      <c r="K1475" s="7" t="s">
        <v>601</v>
      </c>
      <c r="L1475" s="11">
        <v>56.71</v>
      </c>
      <c r="M1475" s="11">
        <v>164443.85999999999</v>
      </c>
      <c r="N1475" s="9">
        <f t="shared" si="45"/>
        <v>56.71</v>
      </c>
    </row>
    <row r="1476" spans="1:14" ht="12.75" hidden="1" customHeight="1" x14ac:dyDescent="0.2">
      <c r="A1476">
        <v>65061</v>
      </c>
      <c r="B1476" s="3" t="s">
        <v>1253</v>
      </c>
      <c r="C1476" s="7" t="s">
        <v>650</v>
      </c>
      <c r="D1476" s="7" t="s">
        <v>221</v>
      </c>
      <c r="F1476" s="7" t="s">
        <v>625</v>
      </c>
      <c r="G1476" s="7" t="s">
        <v>1630</v>
      </c>
      <c r="H1476" s="7" t="s">
        <v>1362</v>
      </c>
      <c r="I1476" s="7" t="s">
        <v>1253</v>
      </c>
      <c r="K1476" s="7" t="s">
        <v>601</v>
      </c>
      <c r="L1476" s="11">
        <v>210.98</v>
      </c>
      <c r="M1476" s="11">
        <v>164654.84</v>
      </c>
      <c r="N1476" s="9">
        <f t="shared" si="45"/>
        <v>210.98</v>
      </c>
    </row>
    <row r="1477" spans="1:14" ht="12.75" hidden="1" customHeight="1" x14ac:dyDescent="0.2">
      <c r="A1477">
        <v>65061</v>
      </c>
      <c r="B1477" s="3" t="s">
        <v>1253</v>
      </c>
      <c r="C1477" s="7" t="s">
        <v>650</v>
      </c>
      <c r="D1477" s="7" t="s">
        <v>221</v>
      </c>
      <c r="F1477" s="7" t="s">
        <v>644</v>
      </c>
      <c r="G1477" s="7" t="s">
        <v>1630</v>
      </c>
      <c r="H1477" s="7" t="s">
        <v>1362</v>
      </c>
      <c r="I1477" s="7" t="s">
        <v>1253</v>
      </c>
      <c r="K1477" s="7" t="s">
        <v>601</v>
      </c>
      <c r="L1477" s="11">
        <v>26.64</v>
      </c>
      <c r="M1477" s="11">
        <v>164681.48000000001</v>
      </c>
      <c r="N1477" s="9">
        <f t="shared" si="45"/>
        <v>26.64</v>
      </c>
    </row>
    <row r="1478" spans="1:14" ht="12.75" hidden="1" customHeight="1" x14ac:dyDescent="0.2">
      <c r="A1478">
        <v>65061</v>
      </c>
      <c r="B1478" s="3" t="s">
        <v>1253</v>
      </c>
      <c r="C1478" s="7" t="s">
        <v>650</v>
      </c>
      <c r="D1478" s="7" t="s">
        <v>221</v>
      </c>
      <c r="F1478" s="7" t="s">
        <v>654</v>
      </c>
      <c r="G1478" s="7" t="s">
        <v>1630</v>
      </c>
      <c r="H1478" s="7" t="s">
        <v>1362</v>
      </c>
      <c r="I1478" s="7" t="s">
        <v>1253</v>
      </c>
      <c r="K1478" s="7" t="s">
        <v>601</v>
      </c>
      <c r="L1478" s="11">
        <v>15.05</v>
      </c>
      <c r="M1478" s="11">
        <v>164696.53</v>
      </c>
      <c r="N1478" s="9">
        <f t="shared" si="45"/>
        <v>15.05</v>
      </c>
    </row>
    <row r="1479" spans="1:14" ht="12.75" hidden="1" customHeight="1" x14ac:dyDescent="0.2">
      <c r="A1479">
        <v>65061</v>
      </c>
      <c r="B1479" s="3" t="s">
        <v>1253</v>
      </c>
      <c r="C1479" s="7" t="s">
        <v>650</v>
      </c>
      <c r="D1479" s="7" t="s">
        <v>221</v>
      </c>
      <c r="F1479" s="7" t="s">
        <v>589</v>
      </c>
      <c r="G1479" s="7" t="s">
        <v>1630</v>
      </c>
      <c r="H1479" s="7" t="s">
        <v>1362</v>
      </c>
      <c r="I1479" s="7" t="s">
        <v>1253</v>
      </c>
      <c r="K1479" s="7" t="s">
        <v>601</v>
      </c>
      <c r="L1479" s="11">
        <v>13.67</v>
      </c>
      <c r="M1479" s="11">
        <v>164710.20000000001</v>
      </c>
      <c r="N1479" s="9">
        <f t="shared" si="45"/>
        <v>13.67</v>
      </c>
    </row>
    <row r="1480" spans="1:14" ht="12.75" hidden="1" customHeight="1" x14ac:dyDescent="0.2">
      <c r="A1480">
        <v>65061</v>
      </c>
      <c r="B1480" s="3" t="s">
        <v>1253</v>
      </c>
      <c r="C1480" s="7" t="s">
        <v>645</v>
      </c>
      <c r="D1480" s="7" t="s">
        <v>242</v>
      </c>
      <c r="F1480" s="7" t="s">
        <v>241</v>
      </c>
      <c r="G1480" s="7" t="s">
        <v>1630</v>
      </c>
      <c r="H1480" s="7" t="s">
        <v>1362</v>
      </c>
      <c r="I1480" s="7" t="s">
        <v>1253</v>
      </c>
      <c r="K1480" s="7" t="s">
        <v>601</v>
      </c>
      <c r="L1480" s="11">
        <v>-17</v>
      </c>
      <c r="M1480" s="11">
        <v>165966.07</v>
      </c>
      <c r="N1480" s="9">
        <f t="shared" si="45"/>
        <v>-17</v>
      </c>
    </row>
    <row r="1481" spans="1:14" ht="12.75" hidden="1" customHeight="1" x14ac:dyDescent="0.2">
      <c r="A1481">
        <v>65061</v>
      </c>
      <c r="B1481" s="3" t="s">
        <v>1253</v>
      </c>
      <c r="C1481" s="7" t="s">
        <v>645</v>
      </c>
      <c r="D1481" s="7" t="s">
        <v>242</v>
      </c>
      <c r="F1481" s="7" t="s">
        <v>606</v>
      </c>
      <c r="G1481" s="7" t="s">
        <v>1630</v>
      </c>
      <c r="H1481" s="7" t="s">
        <v>1362</v>
      </c>
      <c r="I1481" s="7" t="s">
        <v>1253</v>
      </c>
      <c r="K1481" s="7" t="s">
        <v>601</v>
      </c>
      <c r="L1481" s="11">
        <v>-127.42</v>
      </c>
      <c r="M1481" s="11">
        <v>165838.65</v>
      </c>
      <c r="N1481" s="9">
        <f t="shared" si="45"/>
        <v>-127.42</v>
      </c>
    </row>
    <row r="1482" spans="1:14" ht="12.75" hidden="1" customHeight="1" x14ac:dyDescent="0.2">
      <c r="A1482">
        <v>65061</v>
      </c>
      <c r="B1482" s="3" t="s">
        <v>1253</v>
      </c>
      <c r="C1482" s="7" t="s">
        <v>645</v>
      </c>
      <c r="D1482" s="7" t="s">
        <v>242</v>
      </c>
      <c r="F1482" s="7" t="s">
        <v>589</v>
      </c>
      <c r="G1482" s="7" t="s">
        <v>1630</v>
      </c>
      <c r="H1482" s="7" t="s">
        <v>1362</v>
      </c>
      <c r="I1482" s="7" t="s">
        <v>1253</v>
      </c>
      <c r="K1482" s="7" t="s">
        <v>601</v>
      </c>
      <c r="L1482" s="11">
        <v>-10.52</v>
      </c>
      <c r="M1482" s="11">
        <v>165828.13</v>
      </c>
      <c r="N1482" s="9">
        <f t="shared" ref="N1482:N1490" si="46">IF(A1482&lt;60000,-L1482,+L1482)</f>
        <v>-10.52</v>
      </c>
    </row>
    <row r="1483" spans="1:14" ht="12.75" hidden="1" customHeight="1" x14ac:dyDescent="0.2">
      <c r="A1483">
        <v>65061</v>
      </c>
      <c r="B1483" s="3" t="s">
        <v>1253</v>
      </c>
      <c r="C1483" s="7" t="s">
        <v>639</v>
      </c>
      <c r="D1483" s="7" t="s">
        <v>242</v>
      </c>
      <c r="F1483" s="7" t="s">
        <v>644</v>
      </c>
      <c r="G1483" s="7" t="s">
        <v>1630</v>
      </c>
      <c r="H1483" s="7" t="s">
        <v>1362</v>
      </c>
      <c r="I1483" s="7" t="s">
        <v>1253</v>
      </c>
      <c r="K1483" s="7" t="s">
        <v>601</v>
      </c>
      <c r="L1483" s="11">
        <v>-34.94</v>
      </c>
      <c r="M1483" s="11">
        <v>167566.54999999999</v>
      </c>
      <c r="N1483" s="9">
        <f t="shared" si="46"/>
        <v>-34.94</v>
      </c>
    </row>
    <row r="1484" spans="1:14" ht="12.75" hidden="1" customHeight="1" x14ac:dyDescent="0.2">
      <c r="A1484">
        <v>65061</v>
      </c>
      <c r="B1484" s="3" t="s">
        <v>1253</v>
      </c>
      <c r="C1484" s="7" t="s">
        <v>637</v>
      </c>
      <c r="D1484" s="7" t="s">
        <v>221</v>
      </c>
      <c r="F1484" s="7" t="s">
        <v>548</v>
      </c>
      <c r="G1484" s="7" t="s">
        <v>1630</v>
      </c>
      <c r="H1484" s="7" t="s">
        <v>1362</v>
      </c>
      <c r="I1484" s="7" t="s">
        <v>1253</v>
      </c>
      <c r="K1484" s="7" t="s">
        <v>601</v>
      </c>
      <c r="L1484" s="11">
        <v>13.75</v>
      </c>
      <c r="M1484" s="11">
        <v>169151.65</v>
      </c>
      <c r="N1484" s="9">
        <f t="shared" si="46"/>
        <v>13.75</v>
      </c>
    </row>
    <row r="1485" spans="1:14" ht="12.75" hidden="1" customHeight="1" x14ac:dyDescent="0.2">
      <c r="A1485">
        <v>65061</v>
      </c>
      <c r="B1485" s="3" t="s">
        <v>1253</v>
      </c>
      <c r="C1485" s="7" t="s">
        <v>214</v>
      </c>
      <c r="D1485" s="7" t="s">
        <v>242</v>
      </c>
      <c r="F1485" s="7" t="s">
        <v>241</v>
      </c>
      <c r="G1485" s="7" t="s">
        <v>1630</v>
      </c>
      <c r="H1485" s="7" t="s">
        <v>1362</v>
      </c>
      <c r="I1485" s="7" t="s">
        <v>1253</v>
      </c>
      <c r="K1485" s="7" t="s">
        <v>601</v>
      </c>
      <c r="L1485" s="11">
        <v>-39.01</v>
      </c>
      <c r="M1485" s="11">
        <v>170655.95</v>
      </c>
      <c r="N1485" s="9">
        <f t="shared" si="46"/>
        <v>-39.01</v>
      </c>
    </row>
    <row r="1486" spans="1:14" ht="12.75" hidden="1" customHeight="1" x14ac:dyDescent="0.2">
      <c r="A1486">
        <v>65061</v>
      </c>
      <c r="B1486" s="3" t="s">
        <v>1253</v>
      </c>
      <c r="C1486" s="7" t="s">
        <v>214</v>
      </c>
      <c r="D1486" s="7" t="s">
        <v>242</v>
      </c>
      <c r="F1486" s="7" t="s">
        <v>265</v>
      </c>
      <c r="G1486" s="7" t="s">
        <v>1630</v>
      </c>
      <c r="H1486" s="7" t="s">
        <v>1362</v>
      </c>
      <c r="I1486" s="7" t="s">
        <v>1253</v>
      </c>
      <c r="K1486" s="7" t="s">
        <v>601</v>
      </c>
      <c r="L1486" s="11">
        <v>-43.65</v>
      </c>
      <c r="M1486" s="11">
        <v>170612.3</v>
      </c>
      <c r="N1486" s="9">
        <f t="shared" si="46"/>
        <v>-43.65</v>
      </c>
    </row>
    <row r="1487" spans="1:14" ht="12.75" hidden="1" customHeight="1" x14ac:dyDescent="0.2">
      <c r="A1487">
        <v>65061</v>
      </c>
      <c r="B1487" s="3" t="s">
        <v>1253</v>
      </c>
      <c r="C1487" s="7" t="s">
        <v>617</v>
      </c>
      <c r="D1487" s="7" t="s">
        <v>242</v>
      </c>
      <c r="F1487" s="7" t="s">
        <v>616</v>
      </c>
      <c r="G1487" s="7" t="s">
        <v>1630</v>
      </c>
      <c r="H1487" s="7" t="s">
        <v>1362</v>
      </c>
      <c r="I1487" s="7" t="s">
        <v>1253</v>
      </c>
      <c r="K1487" s="7" t="s">
        <v>601</v>
      </c>
      <c r="L1487" s="11">
        <v>-21.06</v>
      </c>
      <c r="M1487" s="11">
        <v>179877.73</v>
      </c>
      <c r="N1487" s="9">
        <f t="shared" si="46"/>
        <v>-21.06</v>
      </c>
    </row>
    <row r="1488" spans="1:14" ht="12.75" hidden="1" customHeight="1" x14ac:dyDescent="0.2">
      <c r="A1488">
        <v>65061</v>
      </c>
      <c r="B1488" s="3" t="s">
        <v>1253</v>
      </c>
      <c r="C1488" s="7" t="s">
        <v>434</v>
      </c>
      <c r="D1488" s="7" t="s">
        <v>221</v>
      </c>
      <c r="F1488" s="7" t="s">
        <v>548</v>
      </c>
      <c r="G1488" s="7" t="s">
        <v>1630</v>
      </c>
      <c r="H1488" s="7" t="s">
        <v>1362</v>
      </c>
      <c r="I1488" s="7" t="s">
        <v>1253</v>
      </c>
      <c r="K1488" s="7" t="s">
        <v>601</v>
      </c>
      <c r="L1488" s="11">
        <v>16.010000000000002</v>
      </c>
      <c r="M1488" s="11">
        <v>181115.28</v>
      </c>
      <c r="N1488" s="9">
        <f t="shared" si="46"/>
        <v>16.010000000000002</v>
      </c>
    </row>
    <row r="1489" spans="1:14" ht="12.75" hidden="1" customHeight="1" x14ac:dyDescent="0.2">
      <c r="A1489">
        <v>65062</v>
      </c>
      <c r="B1489" s="3" t="s">
        <v>1254</v>
      </c>
      <c r="C1489" s="7" t="s">
        <v>477</v>
      </c>
      <c r="D1489" s="7" t="s">
        <v>183</v>
      </c>
      <c r="E1489" s="7">
        <v>511</v>
      </c>
      <c r="G1489" s="7" t="s">
        <v>1630</v>
      </c>
      <c r="H1489" s="7" t="s">
        <v>1362</v>
      </c>
      <c r="I1489" s="7" t="s">
        <v>1254</v>
      </c>
      <c r="J1489" s="7" t="s">
        <v>532</v>
      </c>
      <c r="K1489" s="7" t="s">
        <v>180</v>
      </c>
      <c r="L1489" s="11">
        <v>118.71</v>
      </c>
      <c r="M1489" s="11">
        <v>4776.13</v>
      </c>
      <c r="N1489" s="9">
        <f t="shared" si="46"/>
        <v>118.71</v>
      </c>
    </row>
    <row r="1490" spans="1:14" ht="12.75" customHeight="1" x14ac:dyDescent="0.2">
      <c r="A1490">
        <v>43400</v>
      </c>
      <c r="B1490" s="3" t="s">
        <v>1224</v>
      </c>
      <c r="C1490" s="7" t="s">
        <v>222</v>
      </c>
      <c r="D1490" s="7" t="s">
        <v>242</v>
      </c>
      <c r="F1490" s="7" t="s">
        <v>1174</v>
      </c>
      <c r="G1490" s="7" t="s">
        <v>182</v>
      </c>
      <c r="H1490" s="7" t="s">
        <v>1359</v>
      </c>
      <c r="I1490" s="7" t="s">
        <v>1224</v>
      </c>
      <c r="K1490" s="7" t="s">
        <v>445</v>
      </c>
      <c r="L1490" s="11">
        <v>84.69</v>
      </c>
      <c r="M1490" s="11">
        <v>183520.26</v>
      </c>
      <c r="N1490" s="9">
        <f t="shared" si="46"/>
        <v>-84.69</v>
      </c>
    </row>
    <row r="1491" spans="1:14" ht="12.75" hidden="1" customHeight="1" x14ac:dyDescent="0.2">
      <c r="A1491">
        <v>65095</v>
      </c>
      <c r="B1491" s="3" t="s">
        <v>1259</v>
      </c>
      <c r="C1491" s="7" t="s">
        <v>1593</v>
      </c>
      <c r="D1491" s="7" t="s">
        <v>183</v>
      </c>
      <c r="E1491" s="7">
        <v>659</v>
      </c>
      <c r="G1491" s="7" t="s">
        <v>1594</v>
      </c>
      <c r="H1491" s="43" t="s">
        <v>1361</v>
      </c>
      <c r="I1491" s="7" t="s">
        <v>1259</v>
      </c>
      <c r="K1491" s="39" t="s">
        <v>180</v>
      </c>
      <c r="L1491" s="40">
        <v>4.7</v>
      </c>
      <c r="M1491" s="40">
        <v>844.84</v>
      </c>
      <c r="N1491" s="40">
        <f>+L1491</f>
        <v>4.7</v>
      </c>
    </row>
    <row r="1492" spans="1:14" ht="12.75" customHeight="1" x14ac:dyDescent="0.2">
      <c r="A1492">
        <v>43400</v>
      </c>
      <c r="B1492" s="3" t="s">
        <v>1224</v>
      </c>
      <c r="C1492" s="7" t="s">
        <v>222</v>
      </c>
      <c r="D1492" s="7" t="s">
        <v>242</v>
      </c>
      <c r="F1492" s="7" t="s">
        <v>1174</v>
      </c>
      <c r="G1492" s="7" t="s">
        <v>182</v>
      </c>
      <c r="H1492" s="7" t="s">
        <v>1359</v>
      </c>
      <c r="I1492" s="7" t="s">
        <v>1224</v>
      </c>
      <c r="K1492" s="7" t="s">
        <v>445</v>
      </c>
      <c r="L1492" s="11">
        <v>47.05</v>
      </c>
      <c r="M1492" s="11">
        <v>183567.31</v>
      </c>
      <c r="N1492" s="9">
        <f t="shared" ref="N1492:N1498" si="47">IF(A1492&lt;60000,-L1492,+L1492)</f>
        <v>-47.05</v>
      </c>
    </row>
    <row r="1493" spans="1:14" ht="12.75" customHeight="1" x14ac:dyDescent="0.2">
      <c r="A1493">
        <v>43400</v>
      </c>
      <c r="B1493" s="3" t="s">
        <v>1224</v>
      </c>
      <c r="C1493" s="7" t="s">
        <v>429</v>
      </c>
      <c r="D1493" s="7" t="s">
        <v>183</v>
      </c>
      <c r="E1493" s="7">
        <v>564</v>
      </c>
      <c r="G1493" s="7" t="s">
        <v>182</v>
      </c>
      <c r="H1493" s="7" t="s">
        <v>1359</v>
      </c>
      <c r="I1493" s="7" t="s">
        <v>1224</v>
      </c>
      <c r="J1493" s="7" t="s">
        <v>425</v>
      </c>
      <c r="K1493" s="7" t="s">
        <v>180</v>
      </c>
      <c r="L1493" s="11">
        <v>471</v>
      </c>
      <c r="M1493" s="11">
        <v>188723.31</v>
      </c>
      <c r="N1493" s="9">
        <f t="shared" si="47"/>
        <v>-471</v>
      </c>
    </row>
    <row r="1494" spans="1:14" ht="12.75" customHeight="1" x14ac:dyDescent="0.2">
      <c r="A1494">
        <v>43400</v>
      </c>
      <c r="B1494" s="3" t="s">
        <v>1224</v>
      </c>
      <c r="C1494" s="7" t="s">
        <v>645</v>
      </c>
      <c r="D1494" s="7" t="s">
        <v>242</v>
      </c>
      <c r="F1494" s="7" t="s">
        <v>1169</v>
      </c>
      <c r="G1494" s="7" t="s">
        <v>182</v>
      </c>
      <c r="H1494" s="7" t="s">
        <v>1359</v>
      </c>
      <c r="I1494" s="7" t="s">
        <v>1224</v>
      </c>
      <c r="K1494" s="7" t="s">
        <v>198</v>
      </c>
      <c r="L1494" s="11">
        <v>10</v>
      </c>
      <c r="M1494" s="11">
        <v>191896.61</v>
      </c>
      <c r="N1494" s="9">
        <f t="shared" si="47"/>
        <v>-10</v>
      </c>
    </row>
    <row r="1495" spans="1:14" ht="12.75" customHeight="1" x14ac:dyDescent="0.2">
      <c r="A1495">
        <v>43400</v>
      </c>
      <c r="B1495" s="3" t="s">
        <v>1224</v>
      </c>
      <c r="C1495" s="7" t="s">
        <v>214</v>
      </c>
      <c r="D1495" s="7" t="s">
        <v>1168</v>
      </c>
      <c r="E1495" s="7">
        <v>1004</v>
      </c>
      <c r="F1495" s="7" t="s">
        <v>1167</v>
      </c>
      <c r="G1495" s="7" t="s">
        <v>182</v>
      </c>
      <c r="H1495" s="7" t="s">
        <v>1359</v>
      </c>
      <c r="I1495" s="7" t="s">
        <v>1224</v>
      </c>
      <c r="J1495" s="7" t="s">
        <v>1166</v>
      </c>
      <c r="K1495" s="7" t="s">
        <v>1165</v>
      </c>
      <c r="L1495" s="11">
        <v>3500</v>
      </c>
      <c r="M1495" s="11">
        <v>197000.02</v>
      </c>
      <c r="N1495" s="9">
        <f t="shared" si="47"/>
        <v>-3500</v>
      </c>
    </row>
    <row r="1496" spans="1:14" ht="12.75" customHeight="1" x14ac:dyDescent="0.2">
      <c r="A1496">
        <v>43400</v>
      </c>
      <c r="B1496" s="3" t="s">
        <v>1224</v>
      </c>
      <c r="C1496" s="7" t="s">
        <v>576</v>
      </c>
      <c r="D1496" s="7" t="s">
        <v>242</v>
      </c>
      <c r="F1496" s="7" t="s">
        <v>665</v>
      </c>
      <c r="G1496" s="7" t="s">
        <v>182</v>
      </c>
      <c r="H1496" s="7" t="s">
        <v>1359</v>
      </c>
      <c r="I1496" s="7" t="s">
        <v>1224</v>
      </c>
      <c r="K1496" s="7" t="s">
        <v>198</v>
      </c>
      <c r="L1496" s="11">
        <v>94.55</v>
      </c>
      <c r="M1496" s="11">
        <v>202929.57</v>
      </c>
      <c r="N1496" s="9">
        <f t="shared" si="47"/>
        <v>-94.55</v>
      </c>
    </row>
    <row r="1497" spans="1:14" ht="12.75" customHeight="1" x14ac:dyDescent="0.2">
      <c r="A1497">
        <v>43400</v>
      </c>
      <c r="B1497" s="3" t="s">
        <v>1224</v>
      </c>
      <c r="C1497" s="7" t="s">
        <v>426</v>
      </c>
      <c r="D1497" s="7" t="s">
        <v>183</v>
      </c>
      <c r="E1497" s="7">
        <v>593</v>
      </c>
      <c r="G1497" s="7" t="s">
        <v>182</v>
      </c>
      <c r="H1497" s="7" t="s">
        <v>1359</v>
      </c>
      <c r="I1497" s="7" t="s">
        <v>1224</v>
      </c>
      <c r="J1497" s="7" t="s">
        <v>425</v>
      </c>
      <c r="K1497" s="7" t="s">
        <v>180</v>
      </c>
      <c r="L1497" s="11">
        <v>745</v>
      </c>
      <c r="M1497" s="11">
        <v>203674.57</v>
      </c>
      <c r="N1497" s="9">
        <f t="shared" si="47"/>
        <v>-745</v>
      </c>
    </row>
    <row r="1498" spans="1:14" ht="12.75" customHeight="1" x14ac:dyDescent="0.2">
      <c r="A1498">
        <v>43400</v>
      </c>
      <c r="B1498" s="3" t="s">
        <v>1224</v>
      </c>
      <c r="C1498" s="7" t="s">
        <v>426</v>
      </c>
      <c r="D1498" s="7" t="s">
        <v>183</v>
      </c>
      <c r="E1498" s="7">
        <v>591</v>
      </c>
      <c r="G1498" s="7" t="s">
        <v>182</v>
      </c>
      <c r="H1498" s="7" t="s">
        <v>1359</v>
      </c>
      <c r="I1498" s="7" t="s">
        <v>1224</v>
      </c>
      <c r="J1498" s="7" t="s">
        <v>425</v>
      </c>
      <c r="K1498" s="7" t="s">
        <v>180</v>
      </c>
      <c r="L1498" s="11">
        <v>2022.5</v>
      </c>
      <c r="M1498" s="11">
        <v>205697.07</v>
      </c>
      <c r="N1498" s="9">
        <f t="shared" si="47"/>
        <v>-2022.5</v>
      </c>
    </row>
    <row r="1499" spans="1:14" ht="12.75" customHeight="1" x14ac:dyDescent="0.2">
      <c r="A1499">
        <v>43400</v>
      </c>
      <c r="B1499" s="3" t="s">
        <v>1224</v>
      </c>
      <c r="C1499" s="7" t="s">
        <v>1570</v>
      </c>
      <c r="D1499" s="7" t="s">
        <v>242</v>
      </c>
      <c r="F1499" s="7" t="s">
        <v>665</v>
      </c>
      <c r="G1499" s="7" t="s">
        <v>182</v>
      </c>
      <c r="H1499" s="7" t="s">
        <v>1359</v>
      </c>
      <c r="I1499" s="7" t="s">
        <v>1224</v>
      </c>
      <c r="K1499" s="39" t="s">
        <v>198</v>
      </c>
      <c r="L1499" s="40">
        <v>24.55</v>
      </c>
      <c r="M1499" s="40">
        <v>227397.16</v>
      </c>
      <c r="N1499" s="41">
        <f>-L1499</f>
        <v>-24.55</v>
      </c>
    </row>
    <row r="1500" spans="1:14" ht="12.75" customHeight="1" x14ac:dyDescent="0.2">
      <c r="A1500">
        <v>43400</v>
      </c>
      <c r="B1500" s="3" t="s">
        <v>1224</v>
      </c>
      <c r="C1500" s="7" t="s">
        <v>1583</v>
      </c>
      <c r="D1500" s="7" t="s">
        <v>200</v>
      </c>
      <c r="E1500" s="7">
        <v>1004</v>
      </c>
      <c r="F1500" s="7" t="s">
        <v>1178</v>
      </c>
      <c r="G1500" s="7" t="s">
        <v>182</v>
      </c>
      <c r="H1500" s="7" t="s">
        <v>1359</v>
      </c>
      <c r="I1500" s="7" t="s">
        <v>1224</v>
      </c>
      <c r="K1500" s="39" t="s">
        <v>874</v>
      </c>
      <c r="L1500" s="40">
        <v>-10000</v>
      </c>
      <c r="M1500" s="40">
        <v>221992.31</v>
      </c>
      <c r="N1500" s="41">
        <f>-L1500</f>
        <v>10000</v>
      </c>
    </row>
    <row r="1501" spans="1:14" ht="12.75" hidden="1" customHeight="1" x14ac:dyDescent="0.2">
      <c r="A1501">
        <v>65020</v>
      </c>
      <c r="B1501" s="3" t="s">
        <v>1245</v>
      </c>
      <c r="C1501" s="7" t="s">
        <v>367</v>
      </c>
      <c r="D1501" s="7" t="s">
        <v>200</v>
      </c>
      <c r="F1501" s="7" t="s">
        <v>338</v>
      </c>
      <c r="G1501" s="7" t="s">
        <v>1581</v>
      </c>
      <c r="H1501" s="7" t="s">
        <v>1362</v>
      </c>
      <c r="I1501" s="7" t="s">
        <v>1245</v>
      </c>
      <c r="K1501" s="7" t="s">
        <v>558</v>
      </c>
      <c r="L1501" s="11">
        <v>9.8000000000000007</v>
      </c>
      <c r="M1501" s="11">
        <v>585.46</v>
      </c>
      <c r="N1501" s="9">
        <f t="shared" ref="N1501:N1531" si="48">IF(A1501&lt;60000,-L1501,+L1501)</f>
        <v>9.8000000000000007</v>
      </c>
    </row>
    <row r="1502" spans="1:14" ht="12.75" hidden="1" customHeight="1" x14ac:dyDescent="0.2">
      <c r="A1502">
        <v>65045</v>
      </c>
      <c r="B1502" s="3" t="s">
        <v>1251</v>
      </c>
      <c r="C1502" s="7" t="s">
        <v>545</v>
      </c>
      <c r="D1502" s="7" t="s">
        <v>200</v>
      </c>
      <c r="F1502" s="7" t="s">
        <v>1002</v>
      </c>
      <c r="G1502" s="7" t="s">
        <v>1581</v>
      </c>
      <c r="H1502" s="7" t="s">
        <v>1362</v>
      </c>
      <c r="I1502" s="7" t="s">
        <v>1251</v>
      </c>
      <c r="K1502" s="7" t="s">
        <v>558</v>
      </c>
      <c r="L1502" s="11">
        <v>85</v>
      </c>
      <c r="M1502" s="11">
        <v>85</v>
      </c>
      <c r="N1502" s="9">
        <f t="shared" si="48"/>
        <v>85</v>
      </c>
    </row>
    <row r="1503" spans="1:14" ht="12.75" hidden="1" customHeight="1" x14ac:dyDescent="0.2">
      <c r="A1503">
        <v>65045</v>
      </c>
      <c r="B1503" s="3" t="s">
        <v>1251</v>
      </c>
      <c r="C1503" s="7" t="s">
        <v>379</v>
      </c>
      <c r="D1503" s="7" t="s">
        <v>200</v>
      </c>
      <c r="F1503" s="7" t="s">
        <v>1002</v>
      </c>
      <c r="G1503" s="7" t="s">
        <v>1581</v>
      </c>
      <c r="H1503" s="7" t="s">
        <v>1362</v>
      </c>
      <c r="I1503" s="7" t="s">
        <v>1251</v>
      </c>
      <c r="K1503" s="7" t="s">
        <v>558</v>
      </c>
      <c r="L1503" s="11">
        <v>85</v>
      </c>
      <c r="M1503" s="11">
        <v>744</v>
      </c>
      <c r="N1503" s="9">
        <f t="shared" si="48"/>
        <v>85</v>
      </c>
    </row>
    <row r="1504" spans="1:14" ht="12.75" hidden="1" customHeight="1" x14ac:dyDescent="0.2">
      <c r="A1504">
        <v>65045</v>
      </c>
      <c r="B1504" s="3" t="s">
        <v>1251</v>
      </c>
      <c r="C1504" s="7" t="s">
        <v>334</v>
      </c>
      <c r="D1504" s="7" t="s">
        <v>200</v>
      </c>
      <c r="F1504" s="7" t="s">
        <v>1002</v>
      </c>
      <c r="G1504" s="7" t="s">
        <v>1581</v>
      </c>
      <c r="H1504" s="7" t="s">
        <v>1362</v>
      </c>
      <c r="I1504" s="7" t="s">
        <v>1251</v>
      </c>
      <c r="K1504" s="7" t="s">
        <v>558</v>
      </c>
      <c r="L1504" s="11">
        <v>85</v>
      </c>
      <c r="M1504" s="11">
        <v>1266</v>
      </c>
      <c r="N1504" s="9">
        <f t="shared" si="48"/>
        <v>85</v>
      </c>
    </row>
    <row r="1505" spans="1:14" ht="12.75" hidden="1" customHeight="1" x14ac:dyDescent="0.2">
      <c r="A1505">
        <v>65045</v>
      </c>
      <c r="B1505" s="3" t="s">
        <v>1251</v>
      </c>
      <c r="C1505" s="7" t="s">
        <v>814</v>
      </c>
      <c r="D1505" s="7" t="s">
        <v>200</v>
      </c>
      <c r="F1505" s="7" t="s">
        <v>1002</v>
      </c>
      <c r="G1505" s="7" t="s">
        <v>1581</v>
      </c>
      <c r="H1505" s="7" t="s">
        <v>1362</v>
      </c>
      <c r="I1505" s="7" t="s">
        <v>1251</v>
      </c>
      <c r="K1505" s="7" t="s">
        <v>558</v>
      </c>
      <c r="L1505" s="11">
        <v>85</v>
      </c>
      <c r="M1505" s="11">
        <v>2178.35</v>
      </c>
      <c r="N1505" s="9">
        <f t="shared" si="48"/>
        <v>85</v>
      </c>
    </row>
    <row r="1506" spans="1:14" ht="12.75" hidden="1" customHeight="1" x14ac:dyDescent="0.2">
      <c r="A1506">
        <v>65045</v>
      </c>
      <c r="B1506" s="3" t="s">
        <v>1251</v>
      </c>
      <c r="C1506" s="7" t="s">
        <v>239</v>
      </c>
      <c r="D1506" s="7" t="s">
        <v>221</v>
      </c>
      <c r="F1506" s="7" t="s">
        <v>1002</v>
      </c>
      <c r="G1506" s="7" t="s">
        <v>1581</v>
      </c>
      <c r="H1506" s="7" t="s">
        <v>1362</v>
      </c>
      <c r="I1506" s="7" t="s">
        <v>1251</v>
      </c>
      <c r="K1506" s="7" t="s">
        <v>558</v>
      </c>
      <c r="L1506" s="11">
        <v>85</v>
      </c>
      <c r="M1506" s="11">
        <v>2890.35</v>
      </c>
      <c r="N1506" s="9">
        <f t="shared" si="48"/>
        <v>85</v>
      </c>
    </row>
    <row r="1507" spans="1:14" ht="12.75" hidden="1" customHeight="1" x14ac:dyDescent="0.2">
      <c r="A1507">
        <v>65045</v>
      </c>
      <c r="B1507" s="3" t="s">
        <v>1251</v>
      </c>
      <c r="C1507" s="7" t="s">
        <v>676</v>
      </c>
      <c r="D1507" s="7" t="s">
        <v>221</v>
      </c>
      <c r="F1507" s="7" t="s">
        <v>1002</v>
      </c>
      <c r="G1507" s="7" t="s">
        <v>1581</v>
      </c>
      <c r="H1507" s="7" t="s">
        <v>1362</v>
      </c>
      <c r="I1507" s="7" t="s">
        <v>1251</v>
      </c>
      <c r="K1507" s="7" t="s">
        <v>558</v>
      </c>
      <c r="L1507" s="11">
        <v>85</v>
      </c>
      <c r="M1507" s="11">
        <v>3989.35</v>
      </c>
      <c r="N1507" s="9">
        <f t="shared" si="48"/>
        <v>85</v>
      </c>
    </row>
    <row r="1508" spans="1:14" ht="12.75" hidden="1" customHeight="1" x14ac:dyDescent="0.2">
      <c r="A1508">
        <v>65061</v>
      </c>
      <c r="B1508" s="3" t="s">
        <v>1253</v>
      </c>
      <c r="C1508" s="7" t="s">
        <v>393</v>
      </c>
      <c r="D1508" s="7" t="s">
        <v>242</v>
      </c>
      <c r="F1508" s="7" t="s">
        <v>564</v>
      </c>
      <c r="G1508" s="7" t="s">
        <v>1581</v>
      </c>
      <c r="H1508" s="7" t="s">
        <v>1362</v>
      </c>
      <c r="I1508" s="7" t="s">
        <v>1253</v>
      </c>
      <c r="K1508" s="7" t="s">
        <v>558</v>
      </c>
      <c r="L1508" s="11">
        <v>-15.73</v>
      </c>
      <c r="M1508" s="11">
        <v>6178.25</v>
      </c>
      <c r="N1508" s="9">
        <f t="shared" si="48"/>
        <v>-15.73</v>
      </c>
    </row>
    <row r="1509" spans="1:14" ht="12.75" hidden="1" customHeight="1" x14ac:dyDescent="0.2">
      <c r="A1509">
        <v>65061</v>
      </c>
      <c r="B1509" s="3" t="s">
        <v>1253</v>
      </c>
      <c r="C1509" s="7" t="s">
        <v>392</v>
      </c>
      <c r="D1509" s="7" t="s">
        <v>200</v>
      </c>
      <c r="F1509" s="7" t="s">
        <v>241</v>
      </c>
      <c r="G1509" s="7" t="s">
        <v>1581</v>
      </c>
      <c r="H1509" s="7" t="s">
        <v>1362</v>
      </c>
      <c r="I1509" s="7" t="s">
        <v>1253</v>
      </c>
      <c r="K1509" s="7" t="s">
        <v>558</v>
      </c>
      <c r="L1509" s="11">
        <v>12.12</v>
      </c>
      <c r="M1509" s="11">
        <v>9877.7199999999993</v>
      </c>
      <c r="N1509" s="9">
        <f t="shared" si="48"/>
        <v>12.12</v>
      </c>
    </row>
    <row r="1510" spans="1:14" ht="12.75" hidden="1" customHeight="1" x14ac:dyDescent="0.2">
      <c r="A1510">
        <v>65061</v>
      </c>
      <c r="B1510" s="3" t="s">
        <v>1253</v>
      </c>
      <c r="C1510" s="7" t="s">
        <v>952</v>
      </c>
      <c r="D1510" s="7" t="s">
        <v>200</v>
      </c>
      <c r="F1510" s="7" t="s">
        <v>241</v>
      </c>
      <c r="G1510" s="7" t="s">
        <v>1581</v>
      </c>
      <c r="H1510" s="7" t="s">
        <v>1362</v>
      </c>
      <c r="I1510" s="7" t="s">
        <v>1253</v>
      </c>
      <c r="K1510" s="7" t="s">
        <v>558</v>
      </c>
      <c r="L1510" s="11">
        <v>162.36000000000001</v>
      </c>
      <c r="M1510" s="11">
        <v>15067.76</v>
      </c>
      <c r="N1510" s="9">
        <f t="shared" si="48"/>
        <v>162.36000000000001</v>
      </c>
    </row>
    <row r="1511" spans="1:14" ht="12.75" hidden="1" customHeight="1" x14ac:dyDescent="0.2">
      <c r="A1511">
        <v>65061</v>
      </c>
      <c r="B1511" s="3" t="s">
        <v>1253</v>
      </c>
      <c r="C1511" s="7" t="s">
        <v>939</v>
      </c>
      <c r="D1511" s="7" t="s">
        <v>200</v>
      </c>
      <c r="F1511" s="7" t="s">
        <v>241</v>
      </c>
      <c r="G1511" s="7" t="s">
        <v>1581</v>
      </c>
      <c r="H1511" s="7" t="s">
        <v>1362</v>
      </c>
      <c r="I1511" s="7" t="s">
        <v>1253</v>
      </c>
      <c r="K1511" s="7" t="s">
        <v>558</v>
      </c>
      <c r="L1511" s="11">
        <v>17.309999999999999</v>
      </c>
      <c r="M1511" s="11">
        <v>21140.03</v>
      </c>
      <c r="N1511" s="9">
        <f t="shared" si="48"/>
        <v>17.309999999999999</v>
      </c>
    </row>
    <row r="1512" spans="1:14" ht="12.75" hidden="1" customHeight="1" x14ac:dyDescent="0.2">
      <c r="A1512">
        <v>65061</v>
      </c>
      <c r="B1512" s="3" t="s">
        <v>1253</v>
      </c>
      <c r="C1512" s="7" t="s">
        <v>379</v>
      </c>
      <c r="D1512" s="7" t="s">
        <v>200</v>
      </c>
      <c r="E1512" s="7">
        <v>1034</v>
      </c>
      <c r="F1512" s="7" t="s">
        <v>695</v>
      </c>
      <c r="G1512" s="7" t="s">
        <v>1581</v>
      </c>
      <c r="H1512" s="7" t="s">
        <v>1362</v>
      </c>
      <c r="I1512" s="7" t="s">
        <v>1253</v>
      </c>
      <c r="K1512" s="7" t="s">
        <v>558</v>
      </c>
      <c r="L1512" s="11">
        <v>253.73</v>
      </c>
      <c r="M1512" s="11">
        <v>25852.83</v>
      </c>
      <c r="N1512" s="9">
        <f t="shared" si="48"/>
        <v>253.73</v>
      </c>
    </row>
    <row r="1513" spans="1:14" ht="12.75" hidden="1" customHeight="1" x14ac:dyDescent="0.2">
      <c r="A1513">
        <v>65061</v>
      </c>
      <c r="B1513" s="3" t="s">
        <v>1253</v>
      </c>
      <c r="C1513" s="7" t="s">
        <v>377</v>
      </c>
      <c r="D1513" s="7" t="s">
        <v>200</v>
      </c>
      <c r="E1513" s="7">
        <v>1035</v>
      </c>
      <c r="F1513" s="7" t="s">
        <v>927</v>
      </c>
      <c r="G1513" s="7" t="s">
        <v>1581</v>
      </c>
      <c r="H1513" s="7" t="s">
        <v>1362</v>
      </c>
      <c r="I1513" s="7" t="s">
        <v>1253</v>
      </c>
      <c r="K1513" s="7" t="s">
        <v>558</v>
      </c>
      <c r="L1513" s="11">
        <v>37.229999999999997</v>
      </c>
      <c r="M1513" s="11">
        <v>29075.88</v>
      </c>
      <c r="N1513" s="9">
        <f t="shared" si="48"/>
        <v>37.229999999999997</v>
      </c>
    </row>
    <row r="1514" spans="1:14" ht="12.75" hidden="1" customHeight="1" x14ac:dyDescent="0.2">
      <c r="A1514">
        <v>65061</v>
      </c>
      <c r="B1514" s="3" t="s">
        <v>1253</v>
      </c>
      <c r="C1514" s="7" t="s">
        <v>282</v>
      </c>
      <c r="D1514" s="7" t="s">
        <v>200</v>
      </c>
      <c r="F1514" s="7" t="s">
        <v>241</v>
      </c>
      <c r="G1514" s="7" t="s">
        <v>1581</v>
      </c>
      <c r="H1514" s="7" t="s">
        <v>1362</v>
      </c>
      <c r="I1514" s="7" t="s">
        <v>1253</v>
      </c>
      <c r="K1514" s="7" t="s">
        <v>558</v>
      </c>
      <c r="L1514" s="11">
        <v>135.27000000000001</v>
      </c>
      <c r="M1514" s="11">
        <v>93116.59</v>
      </c>
      <c r="N1514" s="9">
        <f t="shared" si="48"/>
        <v>135.27000000000001</v>
      </c>
    </row>
    <row r="1515" spans="1:14" ht="12.75" hidden="1" customHeight="1" x14ac:dyDescent="0.2">
      <c r="A1515">
        <v>65061</v>
      </c>
      <c r="B1515" s="3" t="s">
        <v>1253</v>
      </c>
      <c r="C1515" s="7" t="s">
        <v>794</v>
      </c>
      <c r="D1515" s="7" t="s">
        <v>200</v>
      </c>
      <c r="F1515" s="7" t="s">
        <v>570</v>
      </c>
      <c r="G1515" s="7" t="s">
        <v>1581</v>
      </c>
      <c r="H1515" s="7" t="s">
        <v>1362</v>
      </c>
      <c r="I1515" s="7" t="s">
        <v>1253</v>
      </c>
      <c r="K1515" s="7" t="s">
        <v>558</v>
      </c>
      <c r="L1515" s="11">
        <v>490.78</v>
      </c>
      <c r="M1515" s="11">
        <v>98049.18</v>
      </c>
      <c r="N1515" s="9">
        <f t="shared" si="48"/>
        <v>490.78</v>
      </c>
    </row>
    <row r="1516" spans="1:14" ht="12.75" hidden="1" customHeight="1" x14ac:dyDescent="0.2">
      <c r="A1516">
        <v>65061</v>
      </c>
      <c r="B1516" s="3" t="s">
        <v>1253</v>
      </c>
      <c r="C1516" s="7" t="s">
        <v>788</v>
      </c>
      <c r="D1516" s="7" t="s">
        <v>200</v>
      </c>
      <c r="F1516" s="7" t="s">
        <v>648</v>
      </c>
      <c r="G1516" s="7" t="s">
        <v>1581</v>
      </c>
      <c r="H1516" s="7" t="s">
        <v>1362</v>
      </c>
      <c r="I1516" s="7" t="s">
        <v>1253</v>
      </c>
      <c r="K1516" s="7" t="s">
        <v>558</v>
      </c>
      <c r="L1516" s="11">
        <v>184</v>
      </c>
      <c r="M1516" s="11">
        <v>99011.33</v>
      </c>
      <c r="N1516" s="9">
        <f t="shared" si="48"/>
        <v>184</v>
      </c>
    </row>
    <row r="1517" spans="1:14" ht="12.75" hidden="1" customHeight="1" x14ac:dyDescent="0.2">
      <c r="A1517">
        <v>65061</v>
      </c>
      <c r="B1517" s="3" t="s">
        <v>1253</v>
      </c>
      <c r="C1517" s="7" t="s">
        <v>201</v>
      </c>
      <c r="D1517" s="7" t="s">
        <v>200</v>
      </c>
      <c r="F1517" s="7" t="s">
        <v>241</v>
      </c>
      <c r="G1517" s="7" t="s">
        <v>1581</v>
      </c>
      <c r="H1517" s="7" t="s">
        <v>1362</v>
      </c>
      <c r="I1517" s="7" t="s">
        <v>1253</v>
      </c>
      <c r="K1517" s="7" t="s">
        <v>558</v>
      </c>
      <c r="L1517" s="11">
        <v>253.77</v>
      </c>
      <c r="M1517" s="11">
        <v>100143.5</v>
      </c>
      <c r="N1517" s="9">
        <f t="shared" si="48"/>
        <v>253.77</v>
      </c>
    </row>
    <row r="1518" spans="1:14" ht="12.75" hidden="1" customHeight="1" x14ac:dyDescent="0.2">
      <c r="A1518">
        <v>65061</v>
      </c>
      <c r="B1518" s="3" t="s">
        <v>1253</v>
      </c>
      <c r="C1518" s="7" t="s">
        <v>267</v>
      </c>
      <c r="D1518" s="7" t="s">
        <v>200</v>
      </c>
      <c r="F1518" s="7" t="s">
        <v>241</v>
      </c>
      <c r="G1518" s="7" t="s">
        <v>1581</v>
      </c>
      <c r="H1518" s="7" t="s">
        <v>1362</v>
      </c>
      <c r="I1518" s="7" t="s">
        <v>1253</v>
      </c>
      <c r="K1518" s="7" t="s">
        <v>558</v>
      </c>
      <c r="L1518" s="11">
        <v>148.30000000000001</v>
      </c>
      <c r="M1518" s="11">
        <v>102363.68</v>
      </c>
      <c r="N1518" s="9">
        <f t="shared" si="48"/>
        <v>148.30000000000001</v>
      </c>
    </row>
    <row r="1519" spans="1:14" ht="12.75" hidden="1" customHeight="1" x14ac:dyDescent="0.2">
      <c r="A1519">
        <v>65061</v>
      </c>
      <c r="B1519" s="3" t="s">
        <v>1253</v>
      </c>
      <c r="C1519" s="7" t="s">
        <v>266</v>
      </c>
      <c r="D1519" s="7" t="s">
        <v>200</v>
      </c>
      <c r="F1519" s="7" t="s">
        <v>578</v>
      </c>
      <c r="G1519" s="7" t="s">
        <v>1581</v>
      </c>
      <c r="H1519" s="7" t="s">
        <v>1362</v>
      </c>
      <c r="I1519" s="7" t="s">
        <v>1253</v>
      </c>
      <c r="K1519" s="7" t="s">
        <v>558</v>
      </c>
      <c r="L1519" s="11">
        <v>140.71</v>
      </c>
      <c r="M1519" s="11">
        <v>104171.74</v>
      </c>
      <c r="N1519" s="9">
        <f t="shared" si="48"/>
        <v>140.71</v>
      </c>
    </row>
    <row r="1520" spans="1:14" ht="12.75" hidden="1" customHeight="1" x14ac:dyDescent="0.2">
      <c r="A1520">
        <v>65061</v>
      </c>
      <c r="B1520" s="3" t="s">
        <v>1253</v>
      </c>
      <c r="C1520" s="7" t="s">
        <v>266</v>
      </c>
      <c r="D1520" s="7" t="s">
        <v>200</v>
      </c>
      <c r="F1520" s="7" t="s">
        <v>548</v>
      </c>
      <c r="G1520" s="7" t="s">
        <v>1581</v>
      </c>
      <c r="H1520" s="7" t="s">
        <v>1362</v>
      </c>
      <c r="I1520" s="7" t="s">
        <v>1253</v>
      </c>
      <c r="K1520" s="7" t="s">
        <v>558</v>
      </c>
      <c r="L1520" s="11">
        <v>88.73</v>
      </c>
      <c r="M1520" s="11">
        <v>104260.47</v>
      </c>
      <c r="N1520" s="9">
        <f t="shared" si="48"/>
        <v>88.73</v>
      </c>
    </row>
    <row r="1521" spans="1:14" ht="12.75" hidden="1" customHeight="1" x14ac:dyDescent="0.2">
      <c r="A1521">
        <v>65061</v>
      </c>
      <c r="B1521" s="3" t="s">
        <v>1253</v>
      </c>
      <c r="C1521" s="7" t="s">
        <v>263</v>
      </c>
      <c r="D1521" s="7" t="s">
        <v>200</v>
      </c>
      <c r="F1521" s="7" t="s">
        <v>564</v>
      </c>
      <c r="G1521" s="7" t="s">
        <v>1581</v>
      </c>
      <c r="H1521" s="7" t="s">
        <v>1362</v>
      </c>
      <c r="I1521" s="7" t="s">
        <v>1253</v>
      </c>
      <c r="K1521" s="7" t="s">
        <v>558</v>
      </c>
      <c r="L1521" s="11">
        <v>106.75</v>
      </c>
      <c r="M1521" s="11">
        <v>104931.3</v>
      </c>
      <c r="N1521" s="9">
        <f t="shared" si="48"/>
        <v>106.75</v>
      </c>
    </row>
    <row r="1522" spans="1:14" ht="12.75" hidden="1" customHeight="1" x14ac:dyDescent="0.2">
      <c r="A1522">
        <v>65061</v>
      </c>
      <c r="B1522" s="3" t="s">
        <v>1253</v>
      </c>
      <c r="C1522" s="7" t="s">
        <v>257</v>
      </c>
      <c r="D1522" s="7" t="s">
        <v>200</v>
      </c>
      <c r="F1522" s="7" t="s">
        <v>564</v>
      </c>
      <c r="G1522" s="7" t="s">
        <v>1581</v>
      </c>
      <c r="H1522" s="7" t="s">
        <v>1362</v>
      </c>
      <c r="I1522" s="7" t="s">
        <v>1253</v>
      </c>
      <c r="K1522" s="7" t="s">
        <v>558</v>
      </c>
      <c r="L1522" s="11">
        <v>29.36</v>
      </c>
      <c r="M1522" s="11">
        <v>106627.31</v>
      </c>
      <c r="N1522" s="9">
        <f t="shared" si="48"/>
        <v>29.36</v>
      </c>
    </row>
    <row r="1523" spans="1:14" ht="12.75" hidden="1" customHeight="1" x14ac:dyDescent="0.2">
      <c r="A1523">
        <v>65061</v>
      </c>
      <c r="B1523" s="3" t="s">
        <v>1253</v>
      </c>
      <c r="C1523" s="7" t="s">
        <v>257</v>
      </c>
      <c r="D1523" s="7" t="s">
        <v>200</v>
      </c>
      <c r="F1523" s="7" t="s">
        <v>589</v>
      </c>
      <c r="G1523" s="7" t="s">
        <v>1581</v>
      </c>
      <c r="H1523" s="7" t="s">
        <v>1362</v>
      </c>
      <c r="I1523" s="7" t="s">
        <v>1253</v>
      </c>
      <c r="K1523" s="7" t="s">
        <v>558</v>
      </c>
      <c r="L1523" s="11">
        <v>7.57</v>
      </c>
      <c r="M1523" s="11">
        <v>106634.88</v>
      </c>
      <c r="N1523" s="9">
        <f t="shared" si="48"/>
        <v>7.57</v>
      </c>
    </row>
    <row r="1524" spans="1:14" ht="12.75" hidden="1" customHeight="1" x14ac:dyDescent="0.2">
      <c r="A1524">
        <v>65061</v>
      </c>
      <c r="B1524" s="3" t="s">
        <v>1253</v>
      </c>
      <c r="C1524" s="7" t="s">
        <v>239</v>
      </c>
      <c r="D1524" s="7" t="s">
        <v>221</v>
      </c>
      <c r="F1524" s="7" t="s">
        <v>241</v>
      </c>
      <c r="G1524" s="7" t="s">
        <v>1581</v>
      </c>
      <c r="H1524" s="7" t="s">
        <v>1362</v>
      </c>
      <c r="I1524" s="7" t="s">
        <v>1253</v>
      </c>
      <c r="K1524" s="7" t="s">
        <v>558</v>
      </c>
      <c r="L1524" s="11">
        <v>78.989999999999995</v>
      </c>
      <c r="M1524" s="11">
        <v>116112.6</v>
      </c>
      <c r="N1524" s="9">
        <f t="shared" si="48"/>
        <v>78.989999999999995</v>
      </c>
    </row>
    <row r="1525" spans="1:14" ht="12.75" hidden="1" customHeight="1" x14ac:dyDescent="0.2">
      <c r="A1525">
        <v>65061</v>
      </c>
      <c r="B1525" s="3" t="s">
        <v>1253</v>
      </c>
      <c r="C1525" s="7" t="s">
        <v>749</v>
      </c>
      <c r="D1525" s="7" t="s">
        <v>221</v>
      </c>
      <c r="F1525" s="7" t="s">
        <v>220</v>
      </c>
      <c r="G1525" s="7" t="s">
        <v>1581</v>
      </c>
      <c r="H1525" s="7" t="s">
        <v>1362</v>
      </c>
      <c r="I1525" s="7" t="s">
        <v>1253</v>
      </c>
      <c r="K1525" s="7" t="s">
        <v>558</v>
      </c>
      <c r="L1525" s="11">
        <v>19.600000000000001</v>
      </c>
      <c r="M1525" s="11">
        <v>124172.58</v>
      </c>
      <c r="N1525" s="9">
        <f t="shared" si="48"/>
        <v>19.600000000000001</v>
      </c>
    </row>
    <row r="1526" spans="1:14" ht="12.75" hidden="1" customHeight="1" x14ac:dyDescent="0.2">
      <c r="A1526">
        <v>65061</v>
      </c>
      <c r="B1526" s="3" t="s">
        <v>1253</v>
      </c>
      <c r="C1526" s="7" t="s">
        <v>430</v>
      </c>
      <c r="D1526" s="7" t="s">
        <v>200</v>
      </c>
      <c r="E1526" s="7">
        <v>464</v>
      </c>
      <c r="F1526" s="7" t="s">
        <v>695</v>
      </c>
      <c r="G1526" s="7" t="s">
        <v>1581</v>
      </c>
      <c r="H1526" s="7" t="s">
        <v>1362</v>
      </c>
      <c r="I1526" s="7" t="s">
        <v>1253</v>
      </c>
      <c r="K1526" s="7" t="s">
        <v>198</v>
      </c>
      <c r="L1526" s="11">
        <v>258.23</v>
      </c>
      <c r="M1526" s="11">
        <v>146465.19</v>
      </c>
      <c r="N1526" s="9">
        <f t="shared" si="48"/>
        <v>258.23</v>
      </c>
    </row>
    <row r="1527" spans="1:14" ht="12.75" hidden="1" customHeight="1" x14ac:dyDescent="0.2">
      <c r="A1527">
        <v>65061</v>
      </c>
      <c r="B1527" s="3" t="s">
        <v>1253</v>
      </c>
      <c r="C1527" s="7" t="s">
        <v>676</v>
      </c>
      <c r="D1527" s="7" t="s">
        <v>242</v>
      </c>
      <c r="F1527" s="7" t="s">
        <v>241</v>
      </c>
      <c r="G1527" s="7" t="s">
        <v>1581</v>
      </c>
      <c r="H1527" s="7" t="s">
        <v>1362</v>
      </c>
      <c r="I1527" s="7" t="s">
        <v>1253</v>
      </c>
      <c r="K1527" s="7" t="s">
        <v>558</v>
      </c>
      <c r="L1527" s="11">
        <v>-27.05</v>
      </c>
      <c r="M1527" s="11">
        <v>151026.85999999999</v>
      </c>
      <c r="N1527" s="9">
        <f t="shared" si="48"/>
        <v>-27.05</v>
      </c>
    </row>
    <row r="1528" spans="1:14" ht="12.75" hidden="1" customHeight="1" x14ac:dyDescent="0.2">
      <c r="A1528">
        <v>65061</v>
      </c>
      <c r="B1528" s="3" t="s">
        <v>1253</v>
      </c>
      <c r="C1528" s="7" t="s">
        <v>639</v>
      </c>
      <c r="D1528" s="7" t="s">
        <v>200</v>
      </c>
      <c r="E1528" s="7">
        <v>1037</v>
      </c>
      <c r="F1528" s="7" t="s">
        <v>642</v>
      </c>
      <c r="G1528" s="7" t="s">
        <v>1581</v>
      </c>
      <c r="H1528" s="7" t="s">
        <v>1362</v>
      </c>
      <c r="I1528" s="7" t="s">
        <v>1253</v>
      </c>
      <c r="K1528" s="7" t="s">
        <v>558</v>
      </c>
      <c r="L1528" s="11">
        <v>1000</v>
      </c>
      <c r="M1528" s="11">
        <v>168704.24</v>
      </c>
      <c r="N1528" s="9">
        <f t="shared" si="48"/>
        <v>1000</v>
      </c>
    </row>
    <row r="1529" spans="1:14" ht="12.75" hidden="1" customHeight="1" x14ac:dyDescent="0.2">
      <c r="A1529">
        <v>65061</v>
      </c>
      <c r="B1529" s="3" t="s">
        <v>1253</v>
      </c>
      <c r="C1529" s="7" t="s">
        <v>617</v>
      </c>
      <c r="D1529" s="7" t="s">
        <v>221</v>
      </c>
      <c r="F1529" s="7" t="s">
        <v>564</v>
      </c>
      <c r="G1529" s="7" t="s">
        <v>1581</v>
      </c>
      <c r="H1529" s="7" t="s">
        <v>1362</v>
      </c>
      <c r="I1529" s="7" t="s">
        <v>1253</v>
      </c>
      <c r="K1529" s="7" t="s">
        <v>558</v>
      </c>
      <c r="L1529" s="11">
        <v>20.51</v>
      </c>
      <c r="M1529" s="11">
        <v>177300.26</v>
      </c>
      <c r="N1529" s="9">
        <f t="shared" si="48"/>
        <v>20.51</v>
      </c>
    </row>
    <row r="1530" spans="1:14" ht="12.75" hidden="1" customHeight="1" x14ac:dyDescent="0.2">
      <c r="A1530">
        <v>65061</v>
      </c>
      <c r="B1530" s="3" t="s">
        <v>1253</v>
      </c>
      <c r="C1530" s="7" t="s">
        <v>210</v>
      </c>
      <c r="D1530" s="7" t="s">
        <v>221</v>
      </c>
      <c r="F1530" s="7" t="s">
        <v>241</v>
      </c>
      <c r="G1530" s="7" t="s">
        <v>1581</v>
      </c>
      <c r="H1530" s="7" t="s">
        <v>1362</v>
      </c>
      <c r="I1530" s="7" t="s">
        <v>1253</v>
      </c>
      <c r="K1530" s="7" t="s">
        <v>558</v>
      </c>
      <c r="L1530" s="11">
        <v>22.87</v>
      </c>
      <c r="M1530" s="11">
        <v>188137.94</v>
      </c>
      <c r="N1530" s="9">
        <f t="shared" si="48"/>
        <v>22.87</v>
      </c>
    </row>
    <row r="1531" spans="1:14" ht="12.75" hidden="1" customHeight="1" x14ac:dyDescent="0.2">
      <c r="A1531">
        <v>65061</v>
      </c>
      <c r="B1531" s="3" t="s">
        <v>1253</v>
      </c>
      <c r="C1531" s="7" t="s">
        <v>204</v>
      </c>
      <c r="D1531" s="7" t="s">
        <v>221</v>
      </c>
      <c r="F1531" s="7" t="s">
        <v>560</v>
      </c>
      <c r="G1531" s="7" t="s">
        <v>1581</v>
      </c>
      <c r="H1531" s="7" t="s">
        <v>1362</v>
      </c>
      <c r="I1531" s="7" t="s">
        <v>1253</v>
      </c>
      <c r="K1531" s="7" t="s">
        <v>558</v>
      </c>
      <c r="L1531" s="11">
        <v>64.790000000000006</v>
      </c>
      <c r="M1531" s="11">
        <v>193018.61</v>
      </c>
      <c r="N1531" s="9">
        <f t="shared" si="48"/>
        <v>64.790000000000006</v>
      </c>
    </row>
    <row r="1532" spans="1:14" ht="12.75" customHeight="1" x14ac:dyDescent="0.2">
      <c r="A1532">
        <v>43400</v>
      </c>
      <c r="B1532" s="3" t="s">
        <v>1224</v>
      </c>
      <c r="C1532" s="7" t="s">
        <v>1553</v>
      </c>
      <c r="D1532" s="7" t="s">
        <v>242</v>
      </c>
      <c r="G1532" s="7" t="s">
        <v>182</v>
      </c>
      <c r="H1532" s="7" t="s">
        <v>1359</v>
      </c>
      <c r="I1532" s="7" t="s">
        <v>1224</v>
      </c>
      <c r="K1532" s="39" t="s">
        <v>198</v>
      </c>
      <c r="L1532" s="40">
        <v>500</v>
      </c>
      <c r="M1532" s="40">
        <v>222532.31</v>
      </c>
      <c r="N1532" s="41">
        <f t="shared" ref="N1532:N1537" si="49">-L1532</f>
        <v>-500</v>
      </c>
    </row>
    <row r="1533" spans="1:14" ht="12.75" customHeight="1" x14ac:dyDescent="0.2">
      <c r="A1533">
        <v>43400</v>
      </c>
      <c r="B1533" s="3" t="s">
        <v>1224</v>
      </c>
      <c r="C1533" s="7" t="s">
        <v>1587</v>
      </c>
      <c r="D1533" s="7" t="s">
        <v>242</v>
      </c>
      <c r="F1533" s="7" t="s">
        <v>1178</v>
      </c>
      <c r="G1533" s="7" t="s">
        <v>182</v>
      </c>
      <c r="H1533" s="7" t="s">
        <v>1359</v>
      </c>
      <c r="I1533" s="7" t="s">
        <v>1224</v>
      </c>
      <c r="K1533" s="39" t="s">
        <v>445</v>
      </c>
      <c r="L1533" s="40">
        <v>10000</v>
      </c>
      <c r="M1533" s="40">
        <v>232625.31</v>
      </c>
      <c r="N1533" s="41">
        <f t="shared" si="49"/>
        <v>-10000</v>
      </c>
    </row>
    <row r="1534" spans="1:14" ht="12.75" customHeight="1" x14ac:dyDescent="0.2">
      <c r="A1534">
        <v>43400</v>
      </c>
      <c r="B1534" s="3" t="s">
        <v>1224</v>
      </c>
      <c r="C1534" s="7" t="s">
        <v>1555</v>
      </c>
      <c r="D1534" s="7" t="s">
        <v>242</v>
      </c>
      <c r="G1534" s="7" t="s">
        <v>182</v>
      </c>
      <c r="H1534" s="7" t="s">
        <v>1359</v>
      </c>
      <c r="I1534" s="7" t="s">
        <v>1224</v>
      </c>
      <c r="K1534" s="39" t="s">
        <v>198</v>
      </c>
      <c r="L1534" s="40">
        <v>1024.55</v>
      </c>
      <c r="M1534" s="40">
        <v>235934.86</v>
      </c>
      <c r="N1534" s="41">
        <f t="shared" si="49"/>
        <v>-1024.55</v>
      </c>
    </row>
    <row r="1535" spans="1:14" ht="12.75" customHeight="1" x14ac:dyDescent="0.2">
      <c r="A1535">
        <v>43400</v>
      </c>
      <c r="B1535" s="3" t="s">
        <v>1224</v>
      </c>
      <c r="C1535" s="7" t="s">
        <v>1589</v>
      </c>
      <c r="D1535" s="7" t="s">
        <v>242</v>
      </c>
      <c r="F1535" s="7" t="s">
        <v>1590</v>
      </c>
      <c r="G1535" s="7" t="s">
        <v>182</v>
      </c>
      <c r="H1535" s="7" t="s">
        <v>1359</v>
      </c>
      <c r="I1535" s="7" t="s">
        <v>1224</v>
      </c>
      <c r="K1535" s="39" t="s">
        <v>445</v>
      </c>
      <c r="L1535" s="40">
        <v>10</v>
      </c>
      <c r="M1535" s="40">
        <v>236329.86</v>
      </c>
      <c r="N1535" s="41">
        <f t="shared" si="49"/>
        <v>-10</v>
      </c>
    </row>
    <row r="1536" spans="1:14" ht="12.75" customHeight="1" x14ac:dyDescent="0.2">
      <c r="A1536">
        <v>43400</v>
      </c>
      <c r="B1536" s="3" t="s">
        <v>1224</v>
      </c>
      <c r="C1536" s="7" t="s">
        <v>1593</v>
      </c>
      <c r="D1536" s="7" t="s">
        <v>183</v>
      </c>
      <c r="E1536" s="7">
        <v>659</v>
      </c>
      <c r="G1536" s="7" t="s">
        <v>182</v>
      </c>
      <c r="H1536" s="7" t="s">
        <v>1359</v>
      </c>
      <c r="I1536" s="7" t="s">
        <v>1224</v>
      </c>
      <c r="J1536" s="39" t="s">
        <v>1595</v>
      </c>
      <c r="K1536" s="39" t="s">
        <v>180</v>
      </c>
      <c r="L1536" s="40">
        <v>395</v>
      </c>
      <c r="M1536" s="40">
        <v>240644.86</v>
      </c>
      <c r="N1536" s="41">
        <f t="shared" si="49"/>
        <v>-395</v>
      </c>
    </row>
    <row r="1537" spans="1:14" ht="12.75" customHeight="1" x14ac:dyDescent="0.2">
      <c r="A1537">
        <v>43400</v>
      </c>
      <c r="B1537" s="3" t="s">
        <v>1224</v>
      </c>
      <c r="C1537" s="7" t="s">
        <v>1607</v>
      </c>
      <c r="D1537" s="7" t="s">
        <v>242</v>
      </c>
      <c r="F1537" s="7" t="s">
        <v>665</v>
      </c>
      <c r="G1537" s="7" t="s">
        <v>182</v>
      </c>
      <c r="H1537" s="7" t="s">
        <v>1359</v>
      </c>
      <c r="I1537" s="7" t="s">
        <v>1224</v>
      </c>
      <c r="K1537" s="39" t="s">
        <v>198</v>
      </c>
      <c r="L1537" s="40">
        <v>60</v>
      </c>
      <c r="M1537" s="40">
        <v>249247.42</v>
      </c>
      <c r="N1537" s="41">
        <f t="shared" si="49"/>
        <v>-60</v>
      </c>
    </row>
    <row r="1538" spans="1:14" ht="12.75" hidden="1" customHeight="1" x14ac:dyDescent="0.2">
      <c r="A1538">
        <v>65020</v>
      </c>
      <c r="B1538" s="3" t="s">
        <v>1245</v>
      </c>
      <c r="C1538" s="7" t="s">
        <v>1575</v>
      </c>
      <c r="D1538" s="7" t="s">
        <v>221</v>
      </c>
      <c r="F1538" s="7" t="s">
        <v>1047</v>
      </c>
      <c r="G1538" s="7" t="s">
        <v>1545</v>
      </c>
      <c r="H1538" s="7" t="s">
        <v>1362</v>
      </c>
      <c r="I1538" s="7" t="s">
        <v>1245</v>
      </c>
      <c r="K1538" s="39" t="s">
        <v>260</v>
      </c>
      <c r="L1538" s="40">
        <v>14.87</v>
      </c>
      <c r="M1538" s="40">
        <v>2041.9</v>
      </c>
      <c r="N1538" s="40">
        <f t="shared" ref="N1538:N1601" si="50">+L1538</f>
        <v>14.87</v>
      </c>
    </row>
    <row r="1539" spans="1:14" ht="12.75" hidden="1" customHeight="1" x14ac:dyDescent="0.2">
      <c r="A1539">
        <v>65030</v>
      </c>
      <c r="B1539" s="3" t="s">
        <v>1247</v>
      </c>
      <c r="C1539" s="7" t="s">
        <v>1553</v>
      </c>
      <c r="D1539" s="7" t="s">
        <v>221</v>
      </c>
      <c r="F1539" s="7" t="s">
        <v>1036</v>
      </c>
      <c r="G1539" s="7" t="s">
        <v>1545</v>
      </c>
      <c r="H1539" s="7" t="s">
        <v>1362</v>
      </c>
      <c r="I1539" s="7" t="s">
        <v>1247</v>
      </c>
      <c r="K1539" s="39" t="s">
        <v>260</v>
      </c>
      <c r="L1539" s="40">
        <v>23.36</v>
      </c>
      <c r="M1539" s="40">
        <v>2808.69</v>
      </c>
      <c r="N1539" s="40">
        <f t="shared" si="50"/>
        <v>23.36</v>
      </c>
    </row>
    <row r="1540" spans="1:14" ht="12.75" hidden="1" customHeight="1" x14ac:dyDescent="0.2">
      <c r="A1540">
        <v>65030</v>
      </c>
      <c r="B1540" s="3" t="s">
        <v>1247</v>
      </c>
      <c r="C1540" s="7" t="s">
        <v>1553</v>
      </c>
      <c r="D1540" s="7" t="s">
        <v>221</v>
      </c>
      <c r="F1540" s="7" t="s">
        <v>1036</v>
      </c>
      <c r="G1540" s="7" t="s">
        <v>1545</v>
      </c>
      <c r="H1540" s="7" t="s">
        <v>1362</v>
      </c>
      <c r="I1540" s="7" t="s">
        <v>1247</v>
      </c>
      <c r="K1540" s="39" t="s">
        <v>260</v>
      </c>
      <c r="L1540" s="40">
        <v>38.24</v>
      </c>
      <c r="M1540" s="40">
        <v>2846.93</v>
      </c>
      <c r="N1540" s="40">
        <f t="shared" si="50"/>
        <v>38.24</v>
      </c>
    </row>
    <row r="1541" spans="1:14" ht="12.75" hidden="1" customHeight="1" x14ac:dyDescent="0.2">
      <c r="A1541">
        <v>65030</v>
      </c>
      <c r="B1541" s="3" t="s">
        <v>1247</v>
      </c>
      <c r="C1541" s="7" t="s">
        <v>1607</v>
      </c>
      <c r="D1541" s="7" t="s">
        <v>221</v>
      </c>
      <c r="F1541" s="7" t="s">
        <v>1812</v>
      </c>
      <c r="G1541" s="7" t="s">
        <v>1545</v>
      </c>
      <c r="H1541" s="7" t="s">
        <v>1362</v>
      </c>
      <c r="I1541" s="7" t="s">
        <v>1247</v>
      </c>
      <c r="K1541" s="39" t="s">
        <v>260</v>
      </c>
      <c r="L1541" s="40">
        <v>1512.92</v>
      </c>
      <c r="M1541" s="40">
        <v>7112.16</v>
      </c>
      <c r="N1541" s="40">
        <f t="shared" si="50"/>
        <v>1512.92</v>
      </c>
    </row>
    <row r="1542" spans="1:14" ht="12.75" hidden="1" customHeight="1" x14ac:dyDescent="0.2">
      <c r="A1542">
        <v>65030</v>
      </c>
      <c r="B1542" s="3" t="s">
        <v>1247</v>
      </c>
      <c r="C1542" s="7" t="s">
        <v>1647</v>
      </c>
      <c r="D1542" s="7" t="s">
        <v>221</v>
      </c>
      <c r="F1542" s="7" t="s">
        <v>1036</v>
      </c>
      <c r="G1542" s="7" t="s">
        <v>1545</v>
      </c>
      <c r="H1542" s="7" t="s">
        <v>1362</v>
      </c>
      <c r="I1542" s="7" t="s">
        <v>1247</v>
      </c>
      <c r="K1542" s="39" t="s">
        <v>260</v>
      </c>
      <c r="L1542" s="40">
        <v>26.3</v>
      </c>
      <c r="M1542" s="40">
        <v>12219.99</v>
      </c>
      <c r="N1542" s="40">
        <f t="shared" si="50"/>
        <v>26.3</v>
      </c>
    </row>
    <row r="1543" spans="1:14" ht="12.75" hidden="1" customHeight="1" x14ac:dyDescent="0.2">
      <c r="A1543">
        <v>65030</v>
      </c>
      <c r="B1543" s="3" t="s">
        <v>1247</v>
      </c>
      <c r="C1543" s="7" t="s">
        <v>1647</v>
      </c>
      <c r="D1543" s="7" t="s">
        <v>221</v>
      </c>
      <c r="F1543" s="7" t="s">
        <v>1036</v>
      </c>
      <c r="G1543" s="7" t="s">
        <v>1545</v>
      </c>
      <c r="H1543" s="7" t="s">
        <v>1362</v>
      </c>
      <c r="I1543" s="7" t="s">
        <v>1247</v>
      </c>
      <c r="K1543" s="39" t="s">
        <v>260</v>
      </c>
      <c r="L1543" s="40">
        <v>40.83</v>
      </c>
      <c r="M1543" s="40">
        <v>12260.82</v>
      </c>
      <c r="N1543" s="40">
        <f t="shared" si="50"/>
        <v>40.83</v>
      </c>
    </row>
    <row r="1544" spans="1:14" ht="12.75" hidden="1" customHeight="1" x14ac:dyDescent="0.2">
      <c r="A1544">
        <v>65036</v>
      </c>
      <c r="B1544" s="3" t="s">
        <v>1249</v>
      </c>
      <c r="C1544" s="7" t="s">
        <v>1649</v>
      </c>
      <c r="D1544" s="7" t="s">
        <v>221</v>
      </c>
      <c r="F1544" s="7" t="s">
        <v>1012</v>
      </c>
      <c r="G1544" s="7" t="s">
        <v>1545</v>
      </c>
      <c r="H1544" s="7" t="s">
        <v>1362</v>
      </c>
      <c r="I1544" s="7" t="s">
        <v>1249</v>
      </c>
      <c r="K1544" s="39" t="s">
        <v>260</v>
      </c>
      <c r="L1544" s="40">
        <v>27.57</v>
      </c>
      <c r="M1544" s="40">
        <v>5310.51</v>
      </c>
      <c r="N1544" s="40">
        <f t="shared" si="50"/>
        <v>27.57</v>
      </c>
    </row>
    <row r="1545" spans="1:14" ht="12.75" hidden="1" customHeight="1" x14ac:dyDescent="0.2">
      <c r="A1545">
        <v>65036</v>
      </c>
      <c r="B1545" s="3" t="s">
        <v>1249</v>
      </c>
      <c r="C1545" s="7" t="s">
        <v>1589</v>
      </c>
      <c r="D1545" s="7" t="s">
        <v>221</v>
      </c>
      <c r="F1545" s="7" t="s">
        <v>1825</v>
      </c>
      <c r="G1545" s="7" t="s">
        <v>1545</v>
      </c>
      <c r="H1545" s="7" t="s">
        <v>1362</v>
      </c>
      <c r="I1545" s="7" t="s">
        <v>1249</v>
      </c>
      <c r="K1545" s="39" t="s">
        <v>260</v>
      </c>
      <c r="L1545" s="40">
        <v>12.6</v>
      </c>
      <c r="M1545" s="40">
        <v>6087.2</v>
      </c>
      <c r="N1545" s="40">
        <f t="shared" si="50"/>
        <v>12.6</v>
      </c>
    </row>
    <row r="1546" spans="1:14" ht="12.75" hidden="1" customHeight="1" x14ac:dyDescent="0.2">
      <c r="A1546">
        <v>65036</v>
      </c>
      <c r="B1546" s="3" t="s">
        <v>1249</v>
      </c>
      <c r="C1546" s="7" t="s">
        <v>1603</v>
      </c>
      <c r="D1546" s="7" t="s">
        <v>221</v>
      </c>
      <c r="F1546" s="7" t="s">
        <v>1829</v>
      </c>
      <c r="G1546" s="7" t="s">
        <v>1545</v>
      </c>
      <c r="H1546" s="7" t="s">
        <v>1362</v>
      </c>
      <c r="I1546" s="7" t="s">
        <v>1249</v>
      </c>
      <c r="K1546" s="39" t="s">
        <v>260</v>
      </c>
      <c r="L1546" s="40">
        <v>66.34</v>
      </c>
      <c r="M1546" s="40">
        <v>6624.25</v>
      </c>
      <c r="N1546" s="40">
        <f t="shared" si="50"/>
        <v>66.34</v>
      </c>
    </row>
    <row r="1547" spans="1:14" ht="12.75" hidden="1" customHeight="1" x14ac:dyDescent="0.2">
      <c r="A1547">
        <v>65036</v>
      </c>
      <c r="B1547" s="3" t="s">
        <v>1249</v>
      </c>
      <c r="C1547" s="7" t="s">
        <v>1786</v>
      </c>
      <c r="D1547" s="7" t="s">
        <v>221</v>
      </c>
      <c r="F1547" s="7" t="s">
        <v>1020</v>
      </c>
      <c r="G1547" s="7" t="s">
        <v>1545</v>
      </c>
      <c r="H1547" s="7" t="s">
        <v>1362</v>
      </c>
      <c r="I1547" s="7" t="s">
        <v>1249</v>
      </c>
      <c r="K1547" s="39" t="s">
        <v>260</v>
      </c>
      <c r="L1547" s="40">
        <v>27.41</v>
      </c>
      <c r="M1547" s="40">
        <v>6700.63</v>
      </c>
      <c r="N1547" s="40">
        <f t="shared" si="50"/>
        <v>27.41</v>
      </c>
    </row>
    <row r="1548" spans="1:14" ht="12.75" hidden="1" customHeight="1" x14ac:dyDescent="0.2">
      <c r="A1548">
        <v>65036</v>
      </c>
      <c r="B1548" s="3" t="s">
        <v>1249</v>
      </c>
      <c r="C1548" s="7" t="s">
        <v>1617</v>
      </c>
      <c r="D1548" s="7" t="s">
        <v>221</v>
      </c>
      <c r="F1548" s="7" t="s">
        <v>1831</v>
      </c>
      <c r="G1548" s="7" t="s">
        <v>1545</v>
      </c>
      <c r="H1548" s="7" t="s">
        <v>1362</v>
      </c>
      <c r="I1548" s="7" t="s">
        <v>1249</v>
      </c>
      <c r="K1548" s="39" t="s">
        <v>260</v>
      </c>
      <c r="L1548" s="40">
        <v>129.1</v>
      </c>
      <c r="M1548" s="40">
        <v>6829.73</v>
      </c>
      <c r="N1548" s="40">
        <f t="shared" si="50"/>
        <v>129.1</v>
      </c>
    </row>
    <row r="1549" spans="1:14" ht="12.75" hidden="1" customHeight="1" x14ac:dyDescent="0.2">
      <c r="A1549">
        <v>65036</v>
      </c>
      <c r="B1549" s="3" t="s">
        <v>1249</v>
      </c>
      <c r="C1549" s="7" t="s">
        <v>1617</v>
      </c>
      <c r="D1549" s="7" t="s">
        <v>221</v>
      </c>
      <c r="F1549" s="7" t="s">
        <v>1012</v>
      </c>
      <c r="G1549" s="7" t="s">
        <v>1545</v>
      </c>
      <c r="H1549" s="7" t="s">
        <v>1362</v>
      </c>
      <c r="I1549" s="7" t="s">
        <v>1249</v>
      </c>
      <c r="K1549" s="39" t="s">
        <v>260</v>
      </c>
      <c r="L1549" s="40">
        <v>37.840000000000003</v>
      </c>
      <c r="M1549" s="40">
        <v>6893.54</v>
      </c>
      <c r="N1549" s="40">
        <f t="shared" si="50"/>
        <v>37.840000000000003</v>
      </c>
    </row>
    <row r="1550" spans="1:14" ht="12.75" hidden="1" customHeight="1" x14ac:dyDescent="0.2">
      <c r="A1550">
        <v>65036</v>
      </c>
      <c r="B1550" s="3" t="s">
        <v>1249</v>
      </c>
      <c r="C1550" s="7" t="s">
        <v>1761</v>
      </c>
      <c r="D1550" s="7" t="s">
        <v>221</v>
      </c>
      <c r="F1550" s="7" t="s">
        <v>1829</v>
      </c>
      <c r="G1550" s="7" t="s">
        <v>1545</v>
      </c>
      <c r="H1550" s="7" t="s">
        <v>1362</v>
      </c>
      <c r="I1550" s="7" t="s">
        <v>1249</v>
      </c>
      <c r="K1550" s="39" t="s">
        <v>260</v>
      </c>
      <c r="L1550" s="40">
        <v>46.33</v>
      </c>
      <c r="M1550" s="40">
        <v>6987.19</v>
      </c>
      <c r="N1550" s="40">
        <f t="shared" si="50"/>
        <v>46.33</v>
      </c>
    </row>
    <row r="1551" spans="1:14" ht="12.75" hidden="1" customHeight="1" x14ac:dyDescent="0.2">
      <c r="A1551">
        <v>65040</v>
      </c>
      <c r="B1551" s="3" t="s">
        <v>1836</v>
      </c>
      <c r="C1551" s="7" t="s">
        <v>1780</v>
      </c>
      <c r="D1551" s="7" t="s">
        <v>221</v>
      </c>
      <c r="F1551" s="7" t="s">
        <v>1837</v>
      </c>
      <c r="G1551" s="7" t="s">
        <v>1545</v>
      </c>
      <c r="H1551" s="7" t="s">
        <v>1362</v>
      </c>
      <c r="I1551" s="7" t="s">
        <v>1250</v>
      </c>
      <c r="K1551" s="39" t="s">
        <v>260</v>
      </c>
      <c r="L1551" s="40">
        <v>32.76</v>
      </c>
      <c r="M1551" s="40">
        <v>2399.65</v>
      </c>
      <c r="N1551" s="40">
        <f t="shared" si="50"/>
        <v>32.76</v>
      </c>
    </row>
    <row r="1552" spans="1:14" ht="12.75" hidden="1" customHeight="1" x14ac:dyDescent="0.2">
      <c r="A1552">
        <v>65061</v>
      </c>
      <c r="B1552" s="3" t="s">
        <v>1844</v>
      </c>
      <c r="C1552" s="7" t="s">
        <v>1556</v>
      </c>
      <c r="D1552" s="7" t="s">
        <v>221</v>
      </c>
      <c r="F1552" s="7" t="s">
        <v>591</v>
      </c>
      <c r="G1552" s="7" t="s">
        <v>1545</v>
      </c>
      <c r="H1552" s="7" t="s">
        <v>1362</v>
      </c>
      <c r="I1552" s="7" t="s">
        <v>1253</v>
      </c>
      <c r="K1552" s="39" t="s">
        <v>260</v>
      </c>
      <c r="L1552" s="40">
        <v>70.16</v>
      </c>
      <c r="M1552" s="40">
        <v>195833.51</v>
      </c>
      <c r="N1552" s="40">
        <f t="shared" si="50"/>
        <v>70.16</v>
      </c>
    </row>
    <row r="1553" spans="1:14" ht="12.75" hidden="1" customHeight="1" x14ac:dyDescent="0.2">
      <c r="A1553">
        <v>65061</v>
      </c>
      <c r="B1553" s="3" t="s">
        <v>1844</v>
      </c>
      <c r="C1553" s="7" t="s">
        <v>1556</v>
      </c>
      <c r="D1553" s="7" t="s">
        <v>221</v>
      </c>
      <c r="F1553" s="7" t="s">
        <v>570</v>
      </c>
      <c r="G1553" s="7" t="s">
        <v>1545</v>
      </c>
      <c r="H1553" s="7" t="s">
        <v>1362</v>
      </c>
      <c r="I1553" s="7" t="s">
        <v>1253</v>
      </c>
      <c r="K1553" s="39" t="s">
        <v>260</v>
      </c>
      <c r="L1553" s="40">
        <v>408.8</v>
      </c>
      <c r="M1553" s="40">
        <v>196242.31</v>
      </c>
      <c r="N1553" s="40">
        <f t="shared" si="50"/>
        <v>408.8</v>
      </c>
    </row>
    <row r="1554" spans="1:14" ht="12.75" hidden="1" customHeight="1" x14ac:dyDescent="0.2">
      <c r="A1554">
        <v>65061</v>
      </c>
      <c r="B1554" s="3" t="s">
        <v>1844</v>
      </c>
      <c r="C1554" s="7" t="s">
        <v>1556</v>
      </c>
      <c r="D1554" s="7" t="s">
        <v>221</v>
      </c>
      <c r="F1554" s="7" t="s">
        <v>241</v>
      </c>
      <c r="G1554" s="7" t="s">
        <v>1545</v>
      </c>
      <c r="H1554" s="7" t="s">
        <v>1362</v>
      </c>
      <c r="I1554" s="7" t="s">
        <v>1253</v>
      </c>
      <c r="K1554" s="39" t="s">
        <v>260</v>
      </c>
      <c r="L1554" s="40">
        <v>239.24</v>
      </c>
      <c r="M1554" s="40">
        <v>196481.55</v>
      </c>
      <c r="N1554" s="40">
        <f t="shared" si="50"/>
        <v>239.24</v>
      </c>
    </row>
    <row r="1555" spans="1:14" ht="12.75" hidden="1" customHeight="1" x14ac:dyDescent="0.2">
      <c r="A1555">
        <v>65061</v>
      </c>
      <c r="B1555" s="3" t="s">
        <v>1844</v>
      </c>
      <c r="C1555" s="7" t="s">
        <v>1737</v>
      </c>
      <c r="D1555" s="7" t="s">
        <v>221</v>
      </c>
      <c r="F1555" s="7" t="s">
        <v>722</v>
      </c>
      <c r="G1555" s="7" t="s">
        <v>1545</v>
      </c>
      <c r="H1555" s="7" t="s">
        <v>1362</v>
      </c>
      <c r="I1555" s="7" t="s">
        <v>1253</v>
      </c>
      <c r="K1555" s="39" t="s">
        <v>260</v>
      </c>
      <c r="L1555" s="40">
        <v>249.83</v>
      </c>
      <c r="M1555" s="40">
        <v>199233.23</v>
      </c>
      <c r="N1555" s="40">
        <f t="shared" si="50"/>
        <v>249.83</v>
      </c>
    </row>
    <row r="1556" spans="1:14" ht="12.75" hidden="1" customHeight="1" x14ac:dyDescent="0.2">
      <c r="A1556">
        <v>65061</v>
      </c>
      <c r="B1556" s="3" t="s">
        <v>1844</v>
      </c>
      <c r="C1556" s="7" t="s">
        <v>1737</v>
      </c>
      <c r="D1556" s="7" t="s">
        <v>221</v>
      </c>
      <c r="F1556" s="7" t="s">
        <v>595</v>
      </c>
      <c r="G1556" s="7" t="s">
        <v>1545</v>
      </c>
      <c r="H1556" s="7" t="s">
        <v>1362</v>
      </c>
      <c r="I1556" s="7" t="s">
        <v>1253</v>
      </c>
      <c r="K1556" s="39" t="s">
        <v>260</v>
      </c>
      <c r="L1556" s="40">
        <v>151.05000000000001</v>
      </c>
      <c r="M1556" s="40">
        <v>199384.28</v>
      </c>
      <c r="N1556" s="40">
        <f t="shared" si="50"/>
        <v>151.05000000000001</v>
      </c>
    </row>
    <row r="1557" spans="1:14" ht="12.75" hidden="1" customHeight="1" x14ac:dyDescent="0.2">
      <c r="A1557">
        <v>65061</v>
      </c>
      <c r="B1557" s="3" t="s">
        <v>1844</v>
      </c>
      <c r="C1557" s="7" t="s">
        <v>1737</v>
      </c>
      <c r="D1557" s="7" t="s">
        <v>221</v>
      </c>
      <c r="F1557" s="7" t="s">
        <v>241</v>
      </c>
      <c r="G1557" s="7" t="s">
        <v>1545</v>
      </c>
      <c r="H1557" s="7" t="s">
        <v>1362</v>
      </c>
      <c r="I1557" s="7" t="s">
        <v>1253</v>
      </c>
      <c r="K1557" s="39" t="s">
        <v>260</v>
      </c>
      <c r="L1557" s="40">
        <v>15</v>
      </c>
      <c r="M1557" s="40">
        <v>199399.28</v>
      </c>
      <c r="N1557" s="40">
        <f t="shared" si="50"/>
        <v>15</v>
      </c>
    </row>
    <row r="1558" spans="1:14" ht="12.75" hidden="1" customHeight="1" x14ac:dyDescent="0.2">
      <c r="A1558">
        <v>65061</v>
      </c>
      <c r="B1558" s="3" t="s">
        <v>1844</v>
      </c>
      <c r="C1558" s="7" t="s">
        <v>1737</v>
      </c>
      <c r="D1558" s="7" t="s">
        <v>221</v>
      </c>
      <c r="F1558" s="7" t="s">
        <v>241</v>
      </c>
      <c r="G1558" s="7" t="s">
        <v>1545</v>
      </c>
      <c r="H1558" s="7" t="s">
        <v>1362</v>
      </c>
      <c r="I1558" s="7" t="s">
        <v>1253</v>
      </c>
      <c r="K1558" s="39" t="s">
        <v>260</v>
      </c>
      <c r="L1558" s="40">
        <v>74.36</v>
      </c>
      <c r="M1558" s="40">
        <v>199565.75</v>
      </c>
      <c r="N1558" s="40">
        <f t="shared" si="50"/>
        <v>74.36</v>
      </c>
    </row>
    <row r="1559" spans="1:14" ht="12.75" hidden="1" customHeight="1" x14ac:dyDescent="0.2">
      <c r="A1559">
        <v>65061</v>
      </c>
      <c r="B1559" s="3" t="s">
        <v>1844</v>
      </c>
      <c r="C1559" s="7" t="s">
        <v>1737</v>
      </c>
      <c r="D1559" s="7" t="s">
        <v>221</v>
      </c>
      <c r="F1559" s="7" t="s">
        <v>1847</v>
      </c>
      <c r="G1559" s="7" t="s">
        <v>1545</v>
      </c>
      <c r="H1559" s="7" t="s">
        <v>1362</v>
      </c>
      <c r="I1559" s="7" t="s">
        <v>1253</v>
      </c>
      <c r="K1559" s="39" t="s">
        <v>260</v>
      </c>
      <c r="L1559" s="40">
        <v>1169.95</v>
      </c>
      <c r="M1559" s="40">
        <v>200735.7</v>
      </c>
      <c r="N1559" s="40">
        <f t="shared" si="50"/>
        <v>1169.95</v>
      </c>
    </row>
    <row r="1560" spans="1:14" ht="12.75" hidden="1" customHeight="1" x14ac:dyDescent="0.2">
      <c r="A1560">
        <v>65061</v>
      </c>
      <c r="B1560" s="3" t="s">
        <v>1844</v>
      </c>
      <c r="C1560" s="7" t="s">
        <v>1737</v>
      </c>
      <c r="D1560" s="7" t="s">
        <v>221</v>
      </c>
      <c r="F1560" s="7" t="s">
        <v>241</v>
      </c>
      <c r="G1560" s="7" t="s">
        <v>1545</v>
      </c>
      <c r="H1560" s="7" t="s">
        <v>1362</v>
      </c>
      <c r="I1560" s="7" t="s">
        <v>1253</v>
      </c>
      <c r="K1560" s="39" t="s">
        <v>260</v>
      </c>
      <c r="L1560" s="40">
        <v>213.44</v>
      </c>
      <c r="M1560" s="40">
        <v>200949.14</v>
      </c>
      <c r="N1560" s="40">
        <f t="shared" si="50"/>
        <v>213.44</v>
      </c>
    </row>
    <row r="1561" spans="1:14" ht="12.75" hidden="1" customHeight="1" x14ac:dyDescent="0.2">
      <c r="A1561">
        <v>65061</v>
      </c>
      <c r="B1561" s="3" t="s">
        <v>1844</v>
      </c>
      <c r="C1561" s="7" t="s">
        <v>1737</v>
      </c>
      <c r="D1561" s="7" t="s">
        <v>221</v>
      </c>
      <c r="F1561" s="7" t="s">
        <v>589</v>
      </c>
      <c r="G1561" s="7" t="s">
        <v>1545</v>
      </c>
      <c r="H1561" s="7" t="s">
        <v>1362</v>
      </c>
      <c r="I1561" s="7" t="s">
        <v>1253</v>
      </c>
      <c r="K1561" s="39" t="s">
        <v>260</v>
      </c>
      <c r="L1561" s="40">
        <v>52.91</v>
      </c>
      <c r="M1561" s="40">
        <v>201054.94</v>
      </c>
      <c r="N1561" s="40">
        <f t="shared" si="50"/>
        <v>52.91</v>
      </c>
    </row>
    <row r="1562" spans="1:14" ht="12.75" hidden="1" customHeight="1" x14ac:dyDescent="0.2">
      <c r="A1562">
        <v>65061</v>
      </c>
      <c r="B1562" s="3" t="s">
        <v>1844</v>
      </c>
      <c r="C1562" s="7" t="s">
        <v>1772</v>
      </c>
      <c r="D1562" s="7" t="s">
        <v>221</v>
      </c>
      <c r="F1562" s="7" t="s">
        <v>355</v>
      </c>
      <c r="G1562" s="7" t="s">
        <v>1545</v>
      </c>
      <c r="H1562" s="7" t="s">
        <v>1362</v>
      </c>
      <c r="I1562" s="7" t="s">
        <v>1253</v>
      </c>
      <c r="K1562" s="39" t="s">
        <v>260</v>
      </c>
      <c r="L1562" s="40">
        <v>58.14</v>
      </c>
      <c r="M1562" s="40">
        <v>201213.03</v>
      </c>
      <c r="N1562" s="40">
        <f t="shared" si="50"/>
        <v>58.14</v>
      </c>
    </row>
    <row r="1563" spans="1:14" ht="12.75" hidden="1" customHeight="1" x14ac:dyDescent="0.2">
      <c r="A1563">
        <v>65061</v>
      </c>
      <c r="B1563" s="3" t="s">
        <v>1844</v>
      </c>
      <c r="C1563" s="7" t="s">
        <v>1772</v>
      </c>
      <c r="D1563" s="7" t="s">
        <v>221</v>
      </c>
      <c r="F1563" s="7" t="s">
        <v>602</v>
      </c>
      <c r="G1563" s="7" t="s">
        <v>1545</v>
      </c>
      <c r="H1563" s="7" t="s">
        <v>1362</v>
      </c>
      <c r="I1563" s="7" t="s">
        <v>1253</v>
      </c>
      <c r="K1563" s="39" t="s">
        <v>260</v>
      </c>
      <c r="L1563" s="40">
        <v>18.34</v>
      </c>
      <c r="M1563" s="40">
        <v>201220.25</v>
      </c>
      <c r="N1563" s="40">
        <f t="shared" si="50"/>
        <v>18.34</v>
      </c>
    </row>
    <row r="1564" spans="1:14" ht="12.75" hidden="1" customHeight="1" x14ac:dyDescent="0.2">
      <c r="A1564">
        <v>65061</v>
      </c>
      <c r="B1564" s="3" t="s">
        <v>1844</v>
      </c>
      <c r="C1564" s="7" t="s">
        <v>1772</v>
      </c>
      <c r="D1564" s="7" t="s">
        <v>221</v>
      </c>
      <c r="F1564" s="7" t="s">
        <v>570</v>
      </c>
      <c r="G1564" s="7" t="s">
        <v>1545</v>
      </c>
      <c r="H1564" s="7" t="s">
        <v>1362</v>
      </c>
      <c r="I1564" s="7" t="s">
        <v>1253</v>
      </c>
      <c r="K1564" s="39" t="s">
        <v>260</v>
      </c>
      <c r="L1564" s="40">
        <v>105.69</v>
      </c>
      <c r="M1564" s="40">
        <v>201413.87</v>
      </c>
      <c r="N1564" s="40">
        <f t="shared" si="50"/>
        <v>105.69</v>
      </c>
    </row>
    <row r="1565" spans="1:14" ht="12.75" hidden="1" customHeight="1" x14ac:dyDescent="0.2">
      <c r="A1565">
        <v>65061</v>
      </c>
      <c r="B1565" s="3" t="s">
        <v>1844</v>
      </c>
      <c r="C1565" s="7" t="s">
        <v>1559</v>
      </c>
      <c r="D1565" s="7" t="s">
        <v>242</v>
      </c>
      <c r="F1565" s="7" t="s">
        <v>595</v>
      </c>
      <c r="G1565" s="7" t="s">
        <v>1545</v>
      </c>
      <c r="H1565" s="7" t="s">
        <v>1362</v>
      </c>
      <c r="I1565" s="7" t="s">
        <v>1253</v>
      </c>
      <c r="K1565" s="39" t="s">
        <v>260</v>
      </c>
      <c r="L1565" s="40">
        <v>-275.33999999999997</v>
      </c>
      <c r="M1565" s="40">
        <v>201138.53</v>
      </c>
      <c r="N1565" s="40">
        <f t="shared" si="50"/>
        <v>-275.33999999999997</v>
      </c>
    </row>
    <row r="1566" spans="1:14" ht="12.75" hidden="1" customHeight="1" x14ac:dyDescent="0.2">
      <c r="A1566">
        <v>65061</v>
      </c>
      <c r="B1566" s="3" t="s">
        <v>1844</v>
      </c>
      <c r="C1566" s="7" t="s">
        <v>1559</v>
      </c>
      <c r="D1566" s="7" t="s">
        <v>221</v>
      </c>
      <c r="F1566" s="7" t="s">
        <v>578</v>
      </c>
      <c r="G1566" s="7" t="s">
        <v>1545</v>
      </c>
      <c r="H1566" s="7" t="s">
        <v>1362</v>
      </c>
      <c r="I1566" s="7" t="s">
        <v>1253</v>
      </c>
      <c r="K1566" s="39" t="s">
        <v>260</v>
      </c>
      <c r="L1566" s="40">
        <v>18.52</v>
      </c>
      <c r="M1566" s="40">
        <v>201157.05</v>
      </c>
      <c r="N1566" s="40">
        <f t="shared" si="50"/>
        <v>18.52</v>
      </c>
    </row>
    <row r="1567" spans="1:14" ht="12.75" hidden="1" customHeight="1" x14ac:dyDescent="0.2">
      <c r="A1567">
        <v>65061</v>
      </c>
      <c r="B1567" s="3" t="s">
        <v>1844</v>
      </c>
      <c r="C1567" s="7" t="s">
        <v>1559</v>
      </c>
      <c r="D1567" s="7" t="s">
        <v>221</v>
      </c>
      <c r="F1567" s="7" t="s">
        <v>589</v>
      </c>
      <c r="G1567" s="7" t="s">
        <v>1545</v>
      </c>
      <c r="H1567" s="7" t="s">
        <v>1362</v>
      </c>
      <c r="I1567" s="7" t="s">
        <v>1253</v>
      </c>
      <c r="K1567" s="39" t="s">
        <v>260</v>
      </c>
      <c r="L1567" s="40">
        <v>55.91</v>
      </c>
      <c r="M1567" s="40">
        <v>201212.96</v>
      </c>
      <c r="N1567" s="40">
        <f t="shared" si="50"/>
        <v>55.91</v>
      </c>
    </row>
    <row r="1568" spans="1:14" ht="12.75" hidden="1" customHeight="1" x14ac:dyDescent="0.2">
      <c r="A1568">
        <v>65061</v>
      </c>
      <c r="B1568" s="3" t="s">
        <v>1844</v>
      </c>
      <c r="C1568" s="7" t="s">
        <v>1559</v>
      </c>
      <c r="D1568" s="7" t="s">
        <v>221</v>
      </c>
      <c r="F1568" s="7" t="s">
        <v>352</v>
      </c>
      <c r="G1568" s="7" t="s">
        <v>1545</v>
      </c>
      <c r="H1568" s="7" t="s">
        <v>1362</v>
      </c>
      <c r="I1568" s="7" t="s">
        <v>1253</v>
      </c>
      <c r="K1568" s="39" t="s">
        <v>260</v>
      </c>
      <c r="L1568" s="40">
        <v>238.12</v>
      </c>
      <c r="M1568" s="40">
        <v>201451.08</v>
      </c>
      <c r="N1568" s="40">
        <f t="shared" si="50"/>
        <v>238.12</v>
      </c>
    </row>
    <row r="1569" spans="1:14" ht="12.75" hidden="1" customHeight="1" x14ac:dyDescent="0.2">
      <c r="A1569">
        <v>65061</v>
      </c>
      <c r="B1569" s="3" t="s">
        <v>1844</v>
      </c>
      <c r="C1569" s="7" t="s">
        <v>1559</v>
      </c>
      <c r="D1569" s="7" t="s">
        <v>221</v>
      </c>
      <c r="F1569" s="7" t="s">
        <v>546</v>
      </c>
      <c r="G1569" s="7" t="s">
        <v>1545</v>
      </c>
      <c r="H1569" s="7" t="s">
        <v>1362</v>
      </c>
      <c r="I1569" s="7" t="s">
        <v>1253</v>
      </c>
      <c r="K1569" s="39" t="s">
        <v>260</v>
      </c>
      <c r="L1569" s="40">
        <v>68.709999999999994</v>
      </c>
      <c r="M1569" s="40">
        <v>201519.79</v>
      </c>
      <c r="N1569" s="40">
        <f t="shared" si="50"/>
        <v>68.709999999999994</v>
      </c>
    </row>
    <row r="1570" spans="1:14" ht="12.75" hidden="1" customHeight="1" x14ac:dyDescent="0.2">
      <c r="A1570">
        <v>65061</v>
      </c>
      <c r="B1570" s="3" t="s">
        <v>1844</v>
      </c>
      <c r="C1570" s="7" t="s">
        <v>1559</v>
      </c>
      <c r="D1570" s="7" t="s">
        <v>221</v>
      </c>
      <c r="F1570" s="7" t="s">
        <v>574</v>
      </c>
      <c r="G1570" s="7" t="s">
        <v>1545</v>
      </c>
      <c r="H1570" s="7" t="s">
        <v>1362</v>
      </c>
      <c r="I1570" s="7" t="s">
        <v>1253</v>
      </c>
      <c r="K1570" s="39" t="s">
        <v>260</v>
      </c>
      <c r="L1570" s="40">
        <v>37.57</v>
      </c>
      <c r="M1570" s="40">
        <v>201557.36</v>
      </c>
      <c r="N1570" s="40">
        <f t="shared" si="50"/>
        <v>37.57</v>
      </c>
    </row>
    <row r="1571" spans="1:14" ht="12.75" hidden="1" customHeight="1" x14ac:dyDescent="0.2">
      <c r="A1571">
        <v>65061</v>
      </c>
      <c r="B1571" s="3" t="s">
        <v>1844</v>
      </c>
      <c r="C1571" s="7" t="s">
        <v>1559</v>
      </c>
      <c r="D1571" s="7" t="s">
        <v>221</v>
      </c>
      <c r="F1571" s="7" t="s">
        <v>241</v>
      </c>
      <c r="G1571" s="7" t="s">
        <v>1545</v>
      </c>
      <c r="H1571" s="7" t="s">
        <v>1362</v>
      </c>
      <c r="I1571" s="7" t="s">
        <v>1253</v>
      </c>
      <c r="K1571" s="39" t="s">
        <v>260</v>
      </c>
      <c r="L1571" s="40">
        <v>60.49</v>
      </c>
      <c r="M1571" s="40">
        <v>201617.85</v>
      </c>
      <c r="N1571" s="40">
        <f t="shared" si="50"/>
        <v>60.49</v>
      </c>
    </row>
    <row r="1572" spans="1:14" ht="12.75" hidden="1" customHeight="1" x14ac:dyDescent="0.2">
      <c r="A1572">
        <v>65061</v>
      </c>
      <c r="B1572" s="3" t="s">
        <v>1844</v>
      </c>
      <c r="C1572" s="7" t="s">
        <v>1559</v>
      </c>
      <c r="D1572" s="7" t="s">
        <v>242</v>
      </c>
      <c r="F1572" s="7" t="s">
        <v>548</v>
      </c>
      <c r="G1572" s="7" t="s">
        <v>1545</v>
      </c>
      <c r="H1572" s="7" t="s">
        <v>1362</v>
      </c>
      <c r="I1572" s="7" t="s">
        <v>1253</v>
      </c>
      <c r="K1572" s="39" t="s">
        <v>260</v>
      </c>
      <c r="L1572" s="40">
        <v>-86.12</v>
      </c>
      <c r="M1572" s="40">
        <v>201531.73</v>
      </c>
      <c r="N1572" s="40">
        <f t="shared" si="50"/>
        <v>-86.12</v>
      </c>
    </row>
    <row r="1573" spans="1:14" ht="12.75" hidden="1" customHeight="1" x14ac:dyDescent="0.2">
      <c r="A1573">
        <v>65061</v>
      </c>
      <c r="B1573" s="3" t="s">
        <v>1844</v>
      </c>
      <c r="C1573" s="7" t="s">
        <v>1559</v>
      </c>
      <c r="D1573" s="7" t="s">
        <v>221</v>
      </c>
      <c r="F1573" s="7" t="s">
        <v>241</v>
      </c>
      <c r="G1573" s="7" t="s">
        <v>1545</v>
      </c>
      <c r="H1573" s="7" t="s">
        <v>1362</v>
      </c>
      <c r="I1573" s="7" t="s">
        <v>1253</v>
      </c>
      <c r="K1573" s="39" t="s">
        <v>260</v>
      </c>
      <c r="L1573" s="40">
        <v>457.47</v>
      </c>
      <c r="M1573" s="40">
        <v>201989.2</v>
      </c>
      <c r="N1573" s="40">
        <f t="shared" si="50"/>
        <v>457.47</v>
      </c>
    </row>
    <row r="1574" spans="1:14" ht="12.75" hidden="1" customHeight="1" x14ac:dyDescent="0.2">
      <c r="A1574">
        <v>65061</v>
      </c>
      <c r="B1574" s="3" t="s">
        <v>1844</v>
      </c>
      <c r="C1574" s="7" t="s">
        <v>1559</v>
      </c>
      <c r="D1574" s="7" t="s">
        <v>242</v>
      </c>
      <c r="F1574" s="7" t="s">
        <v>241</v>
      </c>
      <c r="G1574" s="7" t="s">
        <v>1545</v>
      </c>
      <c r="H1574" s="7" t="s">
        <v>1362</v>
      </c>
      <c r="I1574" s="7" t="s">
        <v>1253</v>
      </c>
      <c r="K1574" s="39" t="s">
        <v>260</v>
      </c>
      <c r="L1574" s="40">
        <v>-320.42</v>
      </c>
      <c r="M1574" s="40">
        <v>201668.78</v>
      </c>
      <c r="N1574" s="40">
        <f t="shared" si="50"/>
        <v>-320.42</v>
      </c>
    </row>
    <row r="1575" spans="1:14" ht="12.75" hidden="1" customHeight="1" x14ac:dyDescent="0.2">
      <c r="A1575">
        <v>65061</v>
      </c>
      <c r="B1575" s="3" t="s">
        <v>1844</v>
      </c>
      <c r="C1575" s="7" t="s">
        <v>1559</v>
      </c>
      <c r="D1575" s="7" t="s">
        <v>221</v>
      </c>
      <c r="F1575" s="7" t="s">
        <v>738</v>
      </c>
      <c r="G1575" s="7" t="s">
        <v>1545</v>
      </c>
      <c r="H1575" s="7" t="s">
        <v>1362</v>
      </c>
      <c r="I1575" s="7" t="s">
        <v>1253</v>
      </c>
      <c r="K1575" s="39" t="s">
        <v>260</v>
      </c>
      <c r="L1575" s="40">
        <v>60.4</v>
      </c>
      <c r="M1575" s="40">
        <v>201729.18</v>
      </c>
      <c r="N1575" s="40">
        <f t="shared" si="50"/>
        <v>60.4</v>
      </c>
    </row>
    <row r="1576" spans="1:14" ht="12.75" hidden="1" customHeight="1" x14ac:dyDescent="0.2">
      <c r="A1576">
        <v>65061</v>
      </c>
      <c r="B1576" s="3" t="s">
        <v>1844</v>
      </c>
      <c r="C1576" s="7" t="s">
        <v>1559</v>
      </c>
      <c r="D1576" s="7" t="s">
        <v>221</v>
      </c>
      <c r="F1576" s="7" t="s">
        <v>573</v>
      </c>
      <c r="G1576" s="7" t="s">
        <v>1545</v>
      </c>
      <c r="H1576" s="7" t="s">
        <v>1362</v>
      </c>
      <c r="I1576" s="7" t="s">
        <v>1253</v>
      </c>
      <c r="K1576" s="39" t="s">
        <v>260</v>
      </c>
      <c r="L1576" s="40">
        <v>89.75</v>
      </c>
      <c r="M1576" s="40">
        <v>201818.93</v>
      </c>
      <c r="N1576" s="40">
        <f t="shared" si="50"/>
        <v>89.75</v>
      </c>
    </row>
    <row r="1577" spans="1:14" ht="12.75" hidden="1" customHeight="1" x14ac:dyDescent="0.2">
      <c r="A1577">
        <v>65061</v>
      </c>
      <c r="B1577" s="3" t="s">
        <v>1844</v>
      </c>
      <c r="C1577" s="7" t="s">
        <v>1559</v>
      </c>
      <c r="D1577" s="7" t="s">
        <v>242</v>
      </c>
      <c r="F1577" s="7" t="s">
        <v>241</v>
      </c>
      <c r="G1577" s="7" t="s">
        <v>1545</v>
      </c>
      <c r="H1577" s="7" t="s">
        <v>1362</v>
      </c>
      <c r="I1577" s="7" t="s">
        <v>1253</v>
      </c>
      <c r="K1577" s="39" t="s">
        <v>260</v>
      </c>
      <c r="L1577" s="40">
        <v>-261.19</v>
      </c>
      <c r="M1577" s="40">
        <v>201557.74</v>
      </c>
      <c r="N1577" s="40">
        <f t="shared" si="50"/>
        <v>-261.19</v>
      </c>
    </row>
    <row r="1578" spans="1:14" ht="12.75" hidden="1" customHeight="1" x14ac:dyDescent="0.2">
      <c r="A1578">
        <v>65061</v>
      </c>
      <c r="B1578" s="3" t="s">
        <v>1844</v>
      </c>
      <c r="C1578" s="7" t="s">
        <v>1559</v>
      </c>
      <c r="D1578" s="7" t="s">
        <v>221</v>
      </c>
      <c r="F1578" s="7" t="s">
        <v>241</v>
      </c>
      <c r="G1578" s="7" t="s">
        <v>1545</v>
      </c>
      <c r="H1578" s="7" t="s">
        <v>1362</v>
      </c>
      <c r="I1578" s="7" t="s">
        <v>1253</v>
      </c>
      <c r="K1578" s="39" t="s">
        <v>260</v>
      </c>
      <c r="L1578" s="40">
        <v>248.76</v>
      </c>
      <c r="M1578" s="40">
        <v>202966.94</v>
      </c>
      <c r="N1578" s="40">
        <f t="shared" si="50"/>
        <v>248.76</v>
      </c>
    </row>
    <row r="1579" spans="1:14" ht="12.75" hidden="1" customHeight="1" x14ac:dyDescent="0.2">
      <c r="A1579">
        <v>65061</v>
      </c>
      <c r="B1579" s="3" t="s">
        <v>1844</v>
      </c>
      <c r="C1579" s="7" t="s">
        <v>1559</v>
      </c>
      <c r="D1579" s="7" t="s">
        <v>221</v>
      </c>
      <c r="F1579" s="7" t="s">
        <v>1851</v>
      </c>
      <c r="G1579" s="7" t="s">
        <v>1545</v>
      </c>
      <c r="H1579" s="7" t="s">
        <v>1362</v>
      </c>
      <c r="I1579" s="7" t="s">
        <v>1253</v>
      </c>
      <c r="K1579" s="39" t="s">
        <v>260</v>
      </c>
      <c r="L1579" s="40">
        <v>171.6</v>
      </c>
      <c r="M1579" s="40">
        <v>203138.54</v>
      </c>
      <c r="N1579" s="40">
        <f t="shared" si="50"/>
        <v>171.6</v>
      </c>
    </row>
    <row r="1580" spans="1:14" ht="12.75" hidden="1" customHeight="1" x14ac:dyDescent="0.2">
      <c r="A1580">
        <v>65061</v>
      </c>
      <c r="B1580" s="3" t="s">
        <v>1844</v>
      </c>
      <c r="C1580" s="7" t="s">
        <v>1685</v>
      </c>
      <c r="D1580" s="7" t="s">
        <v>221</v>
      </c>
      <c r="F1580" s="7" t="s">
        <v>241</v>
      </c>
      <c r="G1580" s="7" t="s">
        <v>1545</v>
      </c>
      <c r="H1580" s="7" t="s">
        <v>1362</v>
      </c>
      <c r="I1580" s="7" t="s">
        <v>1253</v>
      </c>
      <c r="K1580" s="39" t="s">
        <v>260</v>
      </c>
      <c r="L1580" s="40">
        <v>16.190000000000001</v>
      </c>
      <c r="M1580" s="40">
        <v>203154.73</v>
      </c>
      <c r="N1580" s="40">
        <f t="shared" si="50"/>
        <v>16.190000000000001</v>
      </c>
    </row>
    <row r="1581" spans="1:14" ht="12.75" hidden="1" customHeight="1" x14ac:dyDescent="0.2">
      <c r="A1581">
        <v>65061</v>
      </c>
      <c r="B1581" s="3" t="s">
        <v>1844</v>
      </c>
      <c r="C1581" s="7" t="s">
        <v>1685</v>
      </c>
      <c r="D1581" s="7" t="s">
        <v>221</v>
      </c>
      <c r="F1581" s="7" t="s">
        <v>906</v>
      </c>
      <c r="G1581" s="7" t="s">
        <v>1545</v>
      </c>
      <c r="H1581" s="7" t="s">
        <v>1362</v>
      </c>
      <c r="I1581" s="7" t="s">
        <v>1253</v>
      </c>
      <c r="K1581" s="39" t="s">
        <v>260</v>
      </c>
      <c r="L1581" s="40">
        <v>7.51</v>
      </c>
      <c r="M1581" s="40">
        <v>203162.23999999999</v>
      </c>
      <c r="N1581" s="40">
        <f t="shared" si="50"/>
        <v>7.51</v>
      </c>
    </row>
    <row r="1582" spans="1:14" ht="12.75" hidden="1" customHeight="1" x14ac:dyDescent="0.2">
      <c r="A1582">
        <v>65061</v>
      </c>
      <c r="B1582" s="3" t="s">
        <v>1844</v>
      </c>
      <c r="C1582" s="7" t="s">
        <v>1685</v>
      </c>
      <c r="D1582" s="7" t="s">
        <v>221</v>
      </c>
      <c r="F1582" s="7" t="s">
        <v>564</v>
      </c>
      <c r="G1582" s="7" t="s">
        <v>1545</v>
      </c>
      <c r="H1582" s="7" t="s">
        <v>1362</v>
      </c>
      <c r="I1582" s="7" t="s">
        <v>1253</v>
      </c>
      <c r="K1582" s="39" t="s">
        <v>260</v>
      </c>
      <c r="L1582" s="40">
        <v>637.08000000000004</v>
      </c>
      <c r="M1582" s="40">
        <v>203799.32</v>
      </c>
      <c r="N1582" s="40">
        <f t="shared" si="50"/>
        <v>637.08000000000004</v>
      </c>
    </row>
    <row r="1583" spans="1:14" ht="12.75" hidden="1" customHeight="1" x14ac:dyDescent="0.2">
      <c r="A1583">
        <v>65061</v>
      </c>
      <c r="B1583" s="3" t="s">
        <v>1844</v>
      </c>
      <c r="C1583" s="7" t="s">
        <v>1685</v>
      </c>
      <c r="D1583" s="7" t="s">
        <v>221</v>
      </c>
      <c r="F1583" s="7" t="s">
        <v>706</v>
      </c>
      <c r="G1583" s="7" t="s">
        <v>1545</v>
      </c>
      <c r="H1583" s="7" t="s">
        <v>1362</v>
      </c>
      <c r="I1583" s="7" t="s">
        <v>1253</v>
      </c>
      <c r="K1583" s="39" t="s">
        <v>260</v>
      </c>
      <c r="L1583" s="40">
        <v>26.79</v>
      </c>
      <c r="M1583" s="40">
        <v>203826.11</v>
      </c>
      <c r="N1583" s="40">
        <f t="shared" si="50"/>
        <v>26.79</v>
      </c>
    </row>
    <row r="1584" spans="1:14" ht="12.75" hidden="1" customHeight="1" x14ac:dyDescent="0.2">
      <c r="A1584">
        <v>65061</v>
      </c>
      <c r="B1584" s="3" t="s">
        <v>1844</v>
      </c>
      <c r="C1584" s="7" t="s">
        <v>1685</v>
      </c>
      <c r="D1584" s="7" t="s">
        <v>221</v>
      </c>
      <c r="F1584" s="7" t="s">
        <v>718</v>
      </c>
      <c r="G1584" s="7" t="s">
        <v>1545</v>
      </c>
      <c r="H1584" s="7" t="s">
        <v>1362</v>
      </c>
      <c r="I1584" s="7" t="s">
        <v>1253</v>
      </c>
      <c r="K1584" s="39" t="s">
        <v>260</v>
      </c>
      <c r="L1584" s="40">
        <v>4.8600000000000003</v>
      </c>
      <c r="M1584" s="40">
        <v>203830.97</v>
      </c>
      <c r="N1584" s="40">
        <f t="shared" si="50"/>
        <v>4.8600000000000003</v>
      </c>
    </row>
    <row r="1585" spans="1:14" ht="12.75" hidden="1" customHeight="1" x14ac:dyDescent="0.2">
      <c r="A1585">
        <v>65061</v>
      </c>
      <c r="B1585" s="3" t="s">
        <v>1844</v>
      </c>
      <c r="C1585" s="7" t="s">
        <v>1686</v>
      </c>
      <c r="D1585" s="7" t="s">
        <v>221</v>
      </c>
      <c r="F1585" s="7" t="s">
        <v>589</v>
      </c>
      <c r="G1585" s="7" t="s">
        <v>1545</v>
      </c>
      <c r="H1585" s="7" t="s">
        <v>1362</v>
      </c>
      <c r="I1585" s="7" t="s">
        <v>1253</v>
      </c>
      <c r="K1585" s="39" t="s">
        <v>260</v>
      </c>
      <c r="L1585" s="40">
        <v>37.909999999999997</v>
      </c>
      <c r="M1585" s="40">
        <v>203933.85</v>
      </c>
      <c r="N1585" s="40">
        <f t="shared" si="50"/>
        <v>37.909999999999997</v>
      </c>
    </row>
    <row r="1586" spans="1:14" ht="12.75" hidden="1" customHeight="1" x14ac:dyDescent="0.2">
      <c r="A1586">
        <v>65061</v>
      </c>
      <c r="B1586" s="3" t="s">
        <v>1844</v>
      </c>
      <c r="C1586" s="7" t="s">
        <v>1686</v>
      </c>
      <c r="D1586" s="7" t="s">
        <v>221</v>
      </c>
      <c r="F1586" s="7" t="s">
        <v>563</v>
      </c>
      <c r="G1586" s="7" t="s">
        <v>1545</v>
      </c>
      <c r="H1586" s="7" t="s">
        <v>1362</v>
      </c>
      <c r="I1586" s="7" t="s">
        <v>1253</v>
      </c>
      <c r="K1586" s="39" t="s">
        <v>260</v>
      </c>
      <c r="L1586" s="40">
        <v>234.98</v>
      </c>
      <c r="M1586" s="40">
        <v>204168.83</v>
      </c>
      <c r="N1586" s="40">
        <f t="shared" si="50"/>
        <v>234.98</v>
      </c>
    </row>
    <row r="1587" spans="1:14" ht="12.75" hidden="1" customHeight="1" x14ac:dyDescent="0.2">
      <c r="A1587">
        <v>65061</v>
      </c>
      <c r="B1587" s="3" t="s">
        <v>1844</v>
      </c>
      <c r="C1587" s="7" t="s">
        <v>1686</v>
      </c>
      <c r="D1587" s="7" t="s">
        <v>221</v>
      </c>
      <c r="F1587" s="7" t="s">
        <v>648</v>
      </c>
      <c r="G1587" s="7" t="s">
        <v>1545</v>
      </c>
      <c r="H1587" s="7" t="s">
        <v>1362</v>
      </c>
      <c r="I1587" s="7" t="s">
        <v>1253</v>
      </c>
      <c r="K1587" s="39" t="s">
        <v>260</v>
      </c>
      <c r="L1587" s="40">
        <v>16.34</v>
      </c>
      <c r="M1587" s="40">
        <v>204185.17</v>
      </c>
      <c r="N1587" s="40">
        <f t="shared" si="50"/>
        <v>16.34</v>
      </c>
    </row>
    <row r="1588" spans="1:14" ht="12.75" hidden="1" customHeight="1" x14ac:dyDescent="0.2">
      <c r="A1588">
        <v>65061</v>
      </c>
      <c r="B1588" s="3" t="s">
        <v>1844</v>
      </c>
      <c r="C1588" s="7" t="s">
        <v>1686</v>
      </c>
      <c r="D1588" s="7" t="s">
        <v>221</v>
      </c>
      <c r="F1588" s="7" t="s">
        <v>564</v>
      </c>
      <c r="G1588" s="7" t="s">
        <v>1545</v>
      </c>
      <c r="H1588" s="7" t="s">
        <v>1362</v>
      </c>
      <c r="I1588" s="7" t="s">
        <v>1253</v>
      </c>
      <c r="K1588" s="39" t="s">
        <v>260</v>
      </c>
      <c r="L1588" s="40">
        <v>165.34</v>
      </c>
      <c r="M1588" s="40">
        <v>204350.51</v>
      </c>
      <c r="N1588" s="40">
        <f t="shared" si="50"/>
        <v>165.34</v>
      </c>
    </row>
    <row r="1589" spans="1:14" ht="12.75" hidden="1" customHeight="1" x14ac:dyDescent="0.2">
      <c r="A1589">
        <v>65061</v>
      </c>
      <c r="B1589" s="3" t="s">
        <v>1844</v>
      </c>
      <c r="C1589" s="7" t="s">
        <v>1686</v>
      </c>
      <c r="D1589" s="7" t="s">
        <v>221</v>
      </c>
      <c r="F1589" s="7" t="s">
        <v>602</v>
      </c>
      <c r="G1589" s="7" t="s">
        <v>1545</v>
      </c>
      <c r="H1589" s="7" t="s">
        <v>1362</v>
      </c>
      <c r="I1589" s="7" t="s">
        <v>1253</v>
      </c>
      <c r="K1589" s="39" t="s">
        <v>260</v>
      </c>
      <c r="L1589" s="40">
        <v>1.6</v>
      </c>
      <c r="M1589" s="40">
        <v>204352.11</v>
      </c>
      <c r="N1589" s="40">
        <f t="shared" si="50"/>
        <v>1.6</v>
      </c>
    </row>
    <row r="1590" spans="1:14" ht="12.75" hidden="1" customHeight="1" x14ac:dyDescent="0.2">
      <c r="A1590">
        <v>65061</v>
      </c>
      <c r="B1590" s="3" t="s">
        <v>1844</v>
      </c>
      <c r="C1590" s="7" t="s">
        <v>1649</v>
      </c>
      <c r="D1590" s="7" t="s">
        <v>242</v>
      </c>
      <c r="F1590" s="7" t="s">
        <v>574</v>
      </c>
      <c r="G1590" s="7" t="s">
        <v>1545</v>
      </c>
      <c r="H1590" s="7" t="s">
        <v>1362</v>
      </c>
      <c r="I1590" s="7" t="s">
        <v>1253</v>
      </c>
      <c r="K1590" s="39" t="s">
        <v>260</v>
      </c>
      <c r="L1590" s="40">
        <v>-19.309999999999999</v>
      </c>
      <c r="M1590" s="40">
        <v>208160.6</v>
      </c>
      <c r="N1590" s="40">
        <f t="shared" si="50"/>
        <v>-19.309999999999999</v>
      </c>
    </row>
    <row r="1591" spans="1:14" ht="12.75" hidden="1" customHeight="1" x14ac:dyDescent="0.2">
      <c r="A1591">
        <v>65061</v>
      </c>
      <c r="B1591" s="3" t="s">
        <v>1844</v>
      </c>
      <c r="C1591" s="7" t="s">
        <v>1649</v>
      </c>
      <c r="D1591" s="7" t="s">
        <v>221</v>
      </c>
      <c r="F1591" s="7" t="s">
        <v>564</v>
      </c>
      <c r="G1591" s="7" t="s">
        <v>1545</v>
      </c>
      <c r="H1591" s="7" t="s">
        <v>1362</v>
      </c>
      <c r="I1591" s="7" t="s">
        <v>1253</v>
      </c>
      <c r="K1591" s="39" t="s">
        <v>260</v>
      </c>
      <c r="L1591" s="40">
        <v>84.55</v>
      </c>
      <c r="M1591" s="40">
        <v>208245.15</v>
      </c>
      <c r="N1591" s="40">
        <f t="shared" si="50"/>
        <v>84.55</v>
      </c>
    </row>
    <row r="1592" spans="1:14" ht="12.75" hidden="1" customHeight="1" x14ac:dyDescent="0.2">
      <c r="A1592">
        <v>65061</v>
      </c>
      <c r="B1592" s="3" t="s">
        <v>1844</v>
      </c>
      <c r="C1592" s="7" t="s">
        <v>1856</v>
      </c>
      <c r="D1592" s="7" t="s">
        <v>200</v>
      </c>
      <c r="E1592" s="7">
        <v>1045</v>
      </c>
      <c r="F1592" s="7" t="s">
        <v>636</v>
      </c>
      <c r="G1592" s="7" t="s">
        <v>1545</v>
      </c>
      <c r="H1592" s="7" t="s">
        <v>1362</v>
      </c>
      <c r="I1592" s="7" t="s">
        <v>1253</v>
      </c>
      <c r="K1592" s="39" t="s">
        <v>260</v>
      </c>
      <c r="L1592" s="40">
        <v>287.17</v>
      </c>
      <c r="M1592" s="40">
        <v>209527.4</v>
      </c>
      <c r="N1592" s="40">
        <f t="shared" si="50"/>
        <v>287.17</v>
      </c>
    </row>
    <row r="1593" spans="1:14" ht="12.75" hidden="1" customHeight="1" x14ac:dyDescent="0.2">
      <c r="A1593">
        <v>65061</v>
      </c>
      <c r="B1593" s="3" t="s">
        <v>1844</v>
      </c>
      <c r="C1593" s="7" t="s">
        <v>1562</v>
      </c>
      <c r="D1593" s="7" t="s">
        <v>221</v>
      </c>
      <c r="F1593" s="7" t="s">
        <v>1862</v>
      </c>
      <c r="G1593" s="7" t="s">
        <v>1545</v>
      </c>
      <c r="H1593" s="7" t="s">
        <v>1362</v>
      </c>
      <c r="I1593" s="7" t="s">
        <v>1253</v>
      </c>
      <c r="K1593" s="39" t="s">
        <v>260</v>
      </c>
      <c r="L1593" s="40">
        <v>36.1</v>
      </c>
      <c r="M1593" s="40">
        <v>213665.99</v>
      </c>
      <c r="N1593" s="40">
        <f t="shared" si="50"/>
        <v>36.1</v>
      </c>
    </row>
    <row r="1594" spans="1:14" ht="12.75" hidden="1" customHeight="1" x14ac:dyDescent="0.2">
      <c r="A1594">
        <v>65061</v>
      </c>
      <c r="B1594" s="3" t="s">
        <v>1844</v>
      </c>
      <c r="C1594" s="7" t="s">
        <v>1562</v>
      </c>
      <c r="D1594" s="7" t="s">
        <v>221</v>
      </c>
      <c r="F1594" s="7" t="s">
        <v>241</v>
      </c>
      <c r="G1594" s="7" t="s">
        <v>1545</v>
      </c>
      <c r="H1594" s="7" t="s">
        <v>1362</v>
      </c>
      <c r="I1594" s="7" t="s">
        <v>1253</v>
      </c>
      <c r="K1594" s="39" t="s">
        <v>260</v>
      </c>
      <c r="L1594" s="40">
        <v>101.47</v>
      </c>
      <c r="M1594" s="40">
        <v>213767.46</v>
      </c>
      <c r="N1594" s="40">
        <f t="shared" si="50"/>
        <v>101.47</v>
      </c>
    </row>
    <row r="1595" spans="1:14" ht="12.75" hidden="1" customHeight="1" x14ac:dyDescent="0.2">
      <c r="A1595">
        <v>65061</v>
      </c>
      <c r="B1595" s="3" t="s">
        <v>1844</v>
      </c>
      <c r="C1595" s="7" t="s">
        <v>1562</v>
      </c>
      <c r="D1595" s="7" t="s">
        <v>242</v>
      </c>
      <c r="F1595" s="7" t="s">
        <v>589</v>
      </c>
      <c r="G1595" s="7" t="s">
        <v>1545</v>
      </c>
      <c r="H1595" s="7" t="s">
        <v>1362</v>
      </c>
      <c r="I1595" s="7" t="s">
        <v>1253</v>
      </c>
      <c r="K1595" s="39" t="s">
        <v>260</v>
      </c>
      <c r="L1595" s="40">
        <v>-10.76</v>
      </c>
      <c r="M1595" s="40">
        <v>213756.7</v>
      </c>
      <c r="N1595" s="40">
        <f t="shared" si="50"/>
        <v>-10.76</v>
      </c>
    </row>
    <row r="1596" spans="1:14" ht="12.75" hidden="1" customHeight="1" x14ac:dyDescent="0.2">
      <c r="A1596">
        <v>65061</v>
      </c>
      <c r="B1596" s="3" t="s">
        <v>1844</v>
      </c>
      <c r="C1596" s="7" t="s">
        <v>1793</v>
      </c>
      <c r="D1596" s="7" t="s">
        <v>242</v>
      </c>
      <c r="F1596" s="7" t="s">
        <v>241</v>
      </c>
      <c r="G1596" s="7" t="s">
        <v>1545</v>
      </c>
      <c r="H1596" s="7" t="s">
        <v>1362</v>
      </c>
      <c r="I1596" s="7" t="s">
        <v>1253</v>
      </c>
      <c r="K1596" s="39" t="s">
        <v>260</v>
      </c>
      <c r="L1596" s="40">
        <v>-142.30000000000001</v>
      </c>
      <c r="M1596" s="40">
        <v>215133.64</v>
      </c>
      <c r="N1596" s="40">
        <f t="shared" si="50"/>
        <v>-142.30000000000001</v>
      </c>
    </row>
    <row r="1597" spans="1:14" ht="12.75" hidden="1" customHeight="1" x14ac:dyDescent="0.2">
      <c r="A1597">
        <v>65061</v>
      </c>
      <c r="B1597" s="3" t="s">
        <v>1844</v>
      </c>
      <c r="C1597" s="7" t="s">
        <v>1793</v>
      </c>
      <c r="D1597" s="7" t="s">
        <v>242</v>
      </c>
      <c r="F1597" s="7" t="s">
        <v>241</v>
      </c>
      <c r="G1597" s="7" t="s">
        <v>1545</v>
      </c>
      <c r="H1597" s="7" t="s">
        <v>1362</v>
      </c>
      <c r="I1597" s="7" t="s">
        <v>1253</v>
      </c>
      <c r="K1597" s="39" t="s">
        <v>260</v>
      </c>
      <c r="L1597" s="40">
        <v>-42.17</v>
      </c>
      <c r="M1597" s="40">
        <v>215091.47</v>
      </c>
      <c r="N1597" s="40">
        <f t="shared" si="50"/>
        <v>-42.17</v>
      </c>
    </row>
    <row r="1598" spans="1:14" ht="12.75" hidden="1" customHeight="1" x14ac:dyDescent="0.2">
      <c r="A1598">
        <v>65061</v>
      </c>
      <c r="B1598" s="3" t="s">
        <v>1844</v>
      </c>
      <c r="C1598" s="7" t="s">
        <v>1793</v>
      </c>
      <c r="D1598" s="7" t="s">
        <v>242</v>
      </c>
      <c r="F1598" s="7" t="s">
        <v>241</v>
      </c>
      <c r="G1598" s="7" t="s">
        <v>1545</v>
      </c>
      <c r="H1598" s="7" t="s">
        <v>1362</v>
      </c>
      <c r="I1598" s="7" t="s">
        <v>1253</v>
      </c>
      <c r="K1598" s="39" t="s">
        <v>260</v>
      </c>
      <c r="L1598" s="40">
        <v>-71.14</v>
      </c>
      <c r="M1598" s="40">
        <v>215020.33</v>
      </c>
      <c r="N1598" s="40">
        <f t="shared" si="50"/>
        <v>-71.14</v>
      </c>
    </row>
    <row r="1599" spans="1:14" ht="12.75" hidden="1" customHeight="1" x14ac:dyDescent="0.2">
      <c r="A1599">
        <v>65061</v>
      </c>
      <c r="B1599" s="3" t="s">
        <v>1844</v>
      </c>
      <c r="C1599" s="7" t="s">
        <v>1567</v>
      </c>
      <c r="D1599" s="7" t="s">
        <v>242</v>
      </c>
      <c r="F1599" s="7" t="s">
        <v>573</v>
      </c>
      <c r="G1599" s="7" t="s">
        <v>1545</v>
      </c>
      <c r="H1599" s="7" t="s">
        <v>1362</v>
      </c>
      <c r="I1599" s="7" t="s">
        <v>1253</v>
      </c>
      <c r="K1599" s="39" t="s">
        <v>260</v>
      </c>
      <c r="L1599" s="40">
        <v>-138.35</v>
      </c>
      <c r="M1599" s="40">
        <v>217883.31</v>
      </c>
      <c r="N1599" s="40">
        <f t="shared" si="50"/>
        <v>-138.35</v>
      </c>
    </row>
    <row r="1600" spans="1:14" ht="12.75" hidden="1" customHeight="1" x14ac:dyDescent="0.2">
      <c r="A1600">
        <v>65061</v>
      </c>
      <c r="B1600" s="3" t="s">
        <v>1844</v>
      </c>
      <c r="C1600" s="7" t="s">
        <v>1569</v>
      </c>
      <c r="D1600" s="7" t="s">
        <v>200</v>
      </c>
      <c r="E1600" s="7">
        <v>1063</v>
      </c>
      <c r="F1600" s="7" t="s">
        <v>1871</v>
      </c>
      <c r="G1600" s="7" t="s">
        <v>1545</v>
      </c>
      <c r="H1600" s="7" t="s">
        <v>1362</v>
      </c>
      <c r="I1600" s="7" t="s">
        <v>1253</v>
      </c>
      <c r="K1600" s="39" t="s">
        <v>260</v>
      </c>
      <c r="L1600" s="40">
        <v>91.85</v>
      </c>
      <c r="M1600" s="40">
        <v>220283.06</v>
      </c>
      <c r="N1600" s="40">
        <f t="shared" si="50"/>
        <v>91.85</v>
      </c>
    </row>
    <row r="1601" spans="1:14" ht="12.75" hidden="1" customHeight="1" x14ac:dyDescent="0.2">
      <c r="A1601">
        <v>65061</v>
      </c>
      <c r="B1601" s="3" t="s">
        <v>1844</v>
      </c>
      <c r="C1601" s="7" t="s">
        <v>1570</v>
      </c>
      <c r="D1601" s="7" t="s">
        <v>221</v>
      </c>
      <c r="F1601" s="7" t="s">
        <v>345</v>
      </c>
      <c r="G1601" s="7" t="s">
        <v>1545</v>
      </c>
      <c r="H1601" s="7" t="s">
        <v>1362</v>
      </c>
      <c r="I1601" s="7" t="s">
        <v>1253</v>
      </c>
      <c r="K1601" s="39" t="s">
        <v>260</v>
      </c>
      <c r="L1601" s="40">
        <v>8.0299999999999994</v>
      </c>
      <c r="M1601" s="40">
        <v>220943.07</v>
      </c>
      <c r="N1601" s="40">
        <f t="shared" si="50"/>
        <v>8.0299999999999994</v>
      </c>
    </row>
    <row r="1602" spans="1:14" ht="12.75" hidden="1" customHeight="1" x14ac:dyDescent="0.2">
      <c r="A1602">
        <v>65061</v>
      </c>
      <c r="B1602" s="3" t="s">
        <v>1844</v>
      </c>
      <c r="C1602" s="7" t="s">
        <v>1570</v>
      </c>
      <c r="D1602" s="7" t="s">
        <v>242</v>
      </c>
      <c r="F1602" s="7" t="s">
        <v>563</v>
      </c>
      <c r="G1602" s="7" t="s">
        <v>1545</v>
      </c>
      <c r="H1602" s="7" t="s">
        <v>1362</v>
      </c>
      <c r="I1602" s="7" t="s">
        <v>1253</v>
      </c>
      <c r="K1602" s="39" t="s">
        <v>260</v>
      </c>
      <c r="L1602" s="40">
        <v>-135.99</v>
      </c>
      <c r="M1602" s="40">
        <v>220807.08</v>
      </c>
      <c r="N1602" s="40">
        <f t="shared" ref="N1602:N1665" si="51">+L1602</f>
        <v>-135.99</v>
      </c>
    </row>
    <row r="1603" spans="1:14" ht="12.75" hidden="1" customHeight="1" x14ac:dyDescent="0.2">
      <c r="A1603">
        <v>65061</v>
      </c>
      <c r="B1603" s="3" t="s">
        <v>1844</v>
      </c>
      <c r="C1603" s="7" t="s">
        <v>1765</v>
      </c>
      <c r="D1603" s="7" t="s">
        <v>221</v>
      </c>
      <c r="F1603" s="7" t="s">
        <v>597</v>
      </c>
      <c r="G1603" s="7" t="s">
        <v>1545</v>
      </c>
      <c r="H1603" s="7" t="s">
        <v>1362</v>
      </c>
      <c r="I1603" s="7" t="s">
        <v>1253</v>
      </c>
      <c r="K1603" s="39" t="s">
        <v>260</v>
      </c>
      <c r="L1603" s="40">
        <v>18.04</v>
      </c>
      <c r="M1603" s="40">
        <v>225790.79</v>
      </c>
      <c r="N1603" s="40">
        <f t="shared" si="51"/>
        <v>18.04</v>
      </c>
    </row>
    <row r="1604" spans="1:14" ht="12.75" hidden="1" customHeight="1" x14ac:dyDescent="0.2">
      <c r="A1604">
        <v>65061</v>
      </c>
      <c r="B1604" s="3" t="s">
        <v>1844</v>
      </c>
      <c r="C1604" s="7" t="s">
        <v>1765</v>
      </c>
      <c r="D1604" s="7" t="s">
        <v>221</v>
      </c>
      <c r="F1604" s="7" t="s">
        <v>564</v>
      </c>
      <c r="G1604" s="7" t="s">
        <v>1545</v>
      </c>
      <c r="H1604" s="7" t="s">
        <v>1362</v>
      </c>
      <c r="I1604" s="7" t="s">
        <v>1253</v>
      </c>
      <c r="K1604" s="39" t="s">
        <v>260</v>
      </c>
      <c r="L1604" s="40">
        <v>58.42</v>
      </c>
      <c r="M1604" s="40">
        <v>225849.21</v>
      </c>
      <c r="N1604" s="40">
        <f t="shared" si="51"/>
        <v>58.42</v>
      </c>
    </row>
    <row r="1605" spans="1:14" ht="12.75" hidden="1" customHeight="1" x14ac:dyDescent="0.2">
      <c r="A1605">
        <v>65061</v>
      </c>
      <c r="B1605" s="3" t="s">
        <v>1844</v>
      </c>
      <c r="C1605" s="7" t="s">
        <v>1765</v>
      </c>
      <c r="D1605" s="7" t="s">
        <v>221</v>
      </c>
      <c r="F1605" s="7" t="s">
        <v>548</v>
      </c>
      <c r="G1605" s="7" t="s">
        <v>1545</v>
      </c>
      <c r="H1605" s="7" t="s">
        <v>1362</v>
      </c>
      <c r="I1605" s="7" t="s">
        <v>1253</v>
      </c>
      <c r="K1605" s="39" t="s">
        <v>260</v>
      </c>
      <c r="L1605" s="40">
        <v>19.89</v>
      </c>
      <c r="M1605" s="40">
        <v>225869.1</v>
      </c>
      <c r="N1605" s="40">
        <f t="shared" si="51"/>
        <v>19.89</v>
      </c>
    </row>
    <row r="1606" spans="1:14" ht="12.75" hidden="1" customHeight="1" x14ac:dyDescent="0.2">
      <c r="A1606">
        <v>65061</v>
      </c>
      <c r="B1606" s="3" t="s">
        <v>1844</v>
      </c>
      <c r="C1606" s="7" t="s">
        <v>1575</v>
      </c>
      <c r="D1606" s="7" t="s">
        <v>221</v>
      </c>
      <c r="F1606" s="7" t="s">
        <v>634</v>
      </c>
      <c r="G1606" s="7" t="s">
        <v>1545</v>
      </c>
      <c r="H1606" s="7" t="s">
        <v>1362</v>
      </c>
      <c r="I1606" s="7" t="s">
        <v>1253</v>
      </c>
      <c r="K1606" s="39" t="s">
        <v>260</v>
      </c>
      <c r="L1606" s="40">
        <v>18.43</v>
      </c>
      <c r="M1606" s="40">
        <v>226090.23999999999</v>
      </c>
      <c r="N1606" s="40">
        <f t="shared" si="51"/>
        <v>18.43</v>
      </c>
    </row>
    <row r="1607" spans="1:14" ht="12.75" hidden="1" customHeight="1" x14ac:dyDescent="0.2">
      <c r="A1607">
        <v>65061</v>
      </c>
      <c r="B1607" s="3" t="s">
        <v>1844</v>
      </c>
      <c r="C1607" s="7" t="s">
        <v>1575</v>
      </c>
      <c r="D1607" s="7" t="s">
        <v>221</v>
      </c>
      <c r="F1607" s="7" t="s">
        <v>220</v>
      </c>
      <c r="G1607" s="7" t="s">
        <v>1545</v>
      </c>
      <c r="H1607" s="7" t="s">
        <v>1362</v>
      </c>
      <c r="I1607" s="7" t="s">
        <v>1253</v>
      </c>
      <c r="K1607" s="39" t="s">
        <v>260</v>
      </c>
      <c r="L1607" s="40">
        <v>13.56</v>
      </c>
      <c r="M1607" s="40">
        <v>226103.8</v>
      </c>
      <c r="N1607" s="40">
        <f t="shared" si="51"/>
        <v>13.56</v>
      </c>
    </row>
    <row r="1608" spans="1:14" ht="12.75" hidden="1" customHeight="1" x14ac:dyDescent="0.2">
      <c r="A1608">
        <v>65061</v>
      </c>
      <c r="B1608" s="3" t="s">
        <v>1844</v>
      </c>
      <c r="C1608" s="7" t="s">
        <v>1583</v>
      </c>
      <c r="D1608" s="7" t="s">
        <v>242</v>
      </c>
      <c r="F1608" s="7" t="s">
        <v>1889</v>
      </c>
      <c r="G1608" s="7" t="s">
        <v>1545</v>
      </c>
      <c r="H1608" s="7" t="s">
        <v>1362</v>
      </c>
      <c r="I1608" s="7" t="s">
        <v>1253</v>
      </c>
      <c r="K1608" s="39" t="s">
        <v>260</v>
      </c>
      <c r="L1608" s="40">
        <v>-26.64</v>
      </c>
      <c r="M1608" s="40">
        <v>234384.52</v>
      </c>
      <c r="N1608" s="40">
        <f t="shared" si="51"/>
        <v>-26.64</v>
      </c>
    </row>
    <row r="1609" spans="1:14" ht="12.75" hidden="1" customHeight="1" x14ac:dyDescent="0.2">
      <c r="A1609">
        <v>65061</v>
      </c>
      <c r="B1609" s="3" t="s">
        <v>1844</v>
      </c>
      <c r="C1609" s="7" t="s">
        <v>1583</v>
      </c>
      <c r="D1609" s="7" t="s">
        <v>221</v>
      </c>
      <c r="F1609" s="7" t="s">
        <v>564</v>
      </c>
      <c r="G1609" s="7" t="s">
        <v>1545</v>
      </c>
      <c r="H1609" s="7" t="s">
        <v>1362</v>
      </c>
      <c r="I1609" s="7" t="s">
        <v>1253</v>
      </c>
      <c r="K1609" s="39" t="s">
        <v>260</v>
      </c>
      <c r="L1609" s="40">
        <v>51.47</v>
      </c>
      <c r="M1609" s="40">
        <v>236027.66</v>
      </c>
      <c r="N1609" s="40">
        <f t="shared" si="51"/>
        <v>51.47</v>
      </c>
    </row>
    <row r="1610" spans="1:14" ht="12.75" hidden="1" customHeight="1" x14ac:dyDescent="0.2">
      <c r="A1610">
        <v>65061</v>
      </c>
      <c r="B1610" s="3" t="s">
        <v>1844</v>
      </c>
      <c r="C1610" s="7" t="s">
        <v>1555</v>
      </c>
      <c r="D1610" s="7" t="s">
        <v>221</v>
      </c>
      <c r="F1610" s="7" t="s">
        <v>578</v>
      </c>
      <c r="G1610" s="7" t="s">
        <v>1545</v>
      </c>
      <c r="H1610" s="7" t="s">
        <v>1362</v>
      </c>
      <c r="I1610" s="7" t="s">
        <v>1253</v>
      </c>
      <c r="K1610" s="39" t="s">
        <v>260</v>
      </c>
      <c r="L1610" s="40">
        <v>136.15</v>
      </c>
      <c r="M1610" s="40">
        <v>239202.68</v>
      </c>
      <c r="N1610" s="40">
        <f t="shared" si="51"/>
        <v>136.15</v>
      </c>
    </row>
    <row r="1611" spans="1:14" ht="12.75" hidden="1" customHeight="1" x14ac:dyDescent="0.2">
      <c r="A1611">
        <v>65061</v>
      </c>
      <c r="B1611" s="3" t="s">
        <v>1844</v>
      </c>
      <c r="C1611" s="7" t="s">
        <v>1591</v>
      </c>
      <c r="D1611" s="7" t="s">
        <v>221</v>
      </c>
      <c r="F1611" s="7" t="s">
        <v>1900</v>
      </c>
      <c r="G1611" s="7" t="s">
        <v>1545</v>
      </c>
      <c r="H1611" s="7" t="s">
        <v>1362</v>
      </c>
      <c r="I1611" s="7" t="s">
        <v>1253</v>
      </c>
      <c r="K1611" s="39" t="s">
        <v>260</v>
      </c>
      <c r="L1611" s="40">
        <v>24</v>
      </c>
      <c r="M1611" s="40">
        <v>240333.35</v>
      </c>
      <c r="N1611" s="40">
        <f t="shared" si="51"/>
        <v>24</v>
      </c>
    </row>
    <row r="1612" spans="1:14" ht="12.75" hidden="1" customHeight="1" x14ac:dyDescent="0.2">
      <c r="A1612">
        <v>65061</v>
      </c>
      <c r="B1612" s="3" t="s">
        <v>1844</v>
      </c>
      <c r="C1612" s="7" t="s">
        <v>1593</v>
      </c>
      <c r="D1612" s="7" t="s">
        <v>221</v>
      </c>
      <c r="F1612" s="7" t="s">
        <v>641</v>
      </c>
      <c r="G1612" s="7" t="s">
        <v>1545</v>
      </c>
      <c r="H1612" s="7" t="s">
        <v>1362</v>
      </c>
      <c r="I1612" s="7" t="s">
        <v>1253</v>
      </c>
      <c r="K1612" s="39" t="s">
        <v>260</v>
      </c>
      <c r="L1612" s="40">
        <v>30.49</v>
      </c>
      <c r="M1612" s="40">
        <v>243436.17</v>
      </c>
      <c r="N1612" s="40">
        <f t="shared" si="51"/>
        <v>30.49</v>
      </c>
    </row>
    <row r="1613" spans="1:14" ht="12.75" hidden="1" customHeight="1" x14ac:dyDescent="0.2">
      <c r="A1613">
        <v>65061</v>
      </c>
      <c r="B1613" s="3" t="s">
        <v>1844</v>
      </c>
      <c r="C1613" s="7" t="s">
        <v>1593</v>
      </c>
      <c r="D1613" s="7" t="s">
        <v>221</v>
      </c>
      <c r="F1613" s="7" t="s">
        <v>573</v>
      </c>
      <c r="G1613" s="7" t="s">
        <v>1545</v>
      </c>
      <c r="H1613" s="7" t="s">
        <v>1362</v>
      </c>
      <c r="I1613" s="7" t="s">
        <v>1253</v>
      </c>
      <c r="K1613" s="39" t="s">
        <v>260</v>
      </c>
      <c r="L1613" s="40">
        <v>21.77</v>
      </c>
      <c r="M1613" s="40">
        <v>243757.96</v>
      </c>
      <c r="N1613" s="40">
        <f t="shared" si="51"/>
        <v>21.77</v>
      </c>
    </row>
    <row r="1614" spans="1:14" ht="12.75" hidden="1" customHeight="1" x14ac:dyDescent="0.2">
      <c r="A1614">
        <v>65061</v>
      </c>
      <c r="B1614" s="3" t="s">
        <v>1844</v>
      </c>
      <c r="C1614" s="7" t="s">
        <v>1781</v>
      </c>
      <c r="D1614" s="7" t="s">
        <v>221</v>
      </c>
      <c r="F1614" s="7" t="s">
        <v>718</v>
      </c>
      <c r="G1614" s="7" t="s">
        <v>1545</v>
      </c>
      <c r="H1614" s="7" t="s">
        <v>1362</v>
      </c>
      <c r="I1614" s="7" t="s">
        <v>1253</v>
      </c>
      <c r="K1614" s="39" t="s">
        <v>260</v>
      </c>
      <c r="L1614" s="40">
        <v>12.94</v>
      </c>
      <c r="M1614" s="40">
        <v>244248.26</v>
      </c>
      <c r="N1614" s="40">
        <f t="shared" si="51"/>
        <v>12.94</v>
      </c>
    </row>
    <row r="1615" spans="1:14" ht="12.75" hidden="1" customHeight="1" x14ac:dyDescent="0.2">
      <c r="A1615">
        <v>65061</v>
      </c>
      <c r="B1615" s="3" t="s">
        <v>1844</v>
      </c>
      <c r="C1615" s="7" t="s">
        <v>1781</v>
      </c>
      <c r="D1615" s="7" t="s">
        <v>221</v>
      </c>
      <c r="F1615" s="7" t="s">
        <v>564</v>
      </c>
      <c r="G1615" s="7" t="s">
        <v>1545</v>
      </c>
      <c r="H1615" s="7" t="s">
        <v>1362</v>
      </c>
      <c r="I1615" s="7" t="s">
        <v>1253</v>
      </c>
      <c r="K1615" s="39" t="s">
        <v>260</v>
      </c>
      <c r="L1615" s="40">
        <v>117.18</v>
      </c>
      <c r="M1615" s="40">
        <v>244365.44</v>
      </c>
      <c r="N1615" s="40">
        <f t="shared" si="51"/>
        <v>117.18</v>
      </c>
    </row>
    <row r="1616" spans="1:14" ht="12.75" hidden="1" customHeight="1" x14ac:dyDescent="0.2">
      <c r="A1616">
        <v>65061</v>
      </c>
      <c r="B1616" s="3" t="s">
        <v>1844</v>
      </c>
      <c r="C1616" s="7" t="s">
        <v>1596</v>
      </c>
      <c r="D1616" s="7" t="s">
        <v>221</v>
      </c>
      <c r="F1616" s="7" t="s">
        <v>595</v>
      </c>
      <c r="G1616" s="7" t="s">
        <v>1545</v>
      </c>
      <c r="H1616" s="7" t="s">
        <v>1362</v>
      </c>
      <c r="I1616" s="7" t="s">
        <v>1253</v>
      </c>
      <c r="K1616" s="39" t="s">
        <v>260</v>
      </c>
      <c r="L1616" s="40">
        <v>36.520000000000003</v>
      </c>
      <c r="M1616" s="40">
        <v>244113.57</v>
      </c>
      <c r="N1616" s="40">
        <f t="shared" si="51"/>
        <v>36.520000000000003</v>
      </c>
    </row>
    <row r="1617" spans="1:14" ht="12.75" hidden="1" customHeight="1" x14ac:dyDescent="0.2">
      <c r="A1617">
        <v>65061</v>
      </c>
      <c r="B1617" s="3" t="s">
        <v>1844</v>
      </c>
      <c r="C1617" s="7" t="s">
        <v>1798</v>
      </c>
      <c r="D1617" s="7" t="s">
        <v>200</v>
      </c>
      <c r="E1617" s="7">
        <v>1046</v>
      </c>
      <c r="F1617" s="7" t="s">
        <v>1914</v>
      </c>
      <c r="G1617" s="7" t="s">
        <v>1545</v>
      </c>
      <c r="H1617" s="7" t="s">
        <v>1362</v>
      </c>
      <c r="I1617" s="7" t="s">
        <v>1253</v>
      </c>
      <c r="K1617" s="39" t="s">
        <v>260</v>
      </c>
      <c r="L1617" s="40">
        <v>221.53</v>
      </c>
      <c r="M1617" s="40">
        <v>245045.17</v>
      </c>
      <c r="N1617" s="40">
        <f t="shared" si="51"/>
        <v>221.53</v>
      </c>
    </row>
    <row r="1618" spans="1:14" ht="12.75" hidden="1" customHeight="1" x14ac:dyDescent="0.2">
      <c r="A1618">
        <v>65061</v>
      </c>
      <c r="B1618" s="3" t="s">
        <v>1844</v>
      </c>
      <c r="C1618" s="7" t="s">
        <v>1658</v>
      </c>
      <c r="D1618" s="7" t="s">
        <v>221</v>
      </c>
      <c r="F1618" s="7" t="s">
        <v>624</v>
      </c>
      <c r="G1618" s="7" t="s">
        <v>1545</v>
      </c>
      <c r="H1618" s="7" t="s">
        <v>1362</v>
      </c>
      <c r="I1618" s="7" t="s">
        <v>1253</v>
      </c>
      <c r="K1618" s="39" t="s">
        <v>260</v>
      </c>
      <c r="L1618" s="40">
        <v>137.05000000000001</v>
      </c>
      <c r="M1618" s="40">
        <v>245607.66</v>
      </c>
      <c r="N1618" s="40">
        <f t="shared" si="51"/>
        <v>137.05000000000001</v>
      </c>
    </row>
    <row r="1619" spans="1:14" ht="12.75" hidden="1" customHeight="1" x14ac:dyDescent="0.2">
      <c r="A1619">
        <v>65061</v>
      </c>
      <c r="B1619" s="3" t="s">
        <v>1844</v>
      </c>
      <c r="C1619" s="7" t="s">
        <v>1804</v>
      </c>
      <c r="D1619" s="7" t="s">
        <v>221</v>
      </c>
      <c r="F1619" s="7" t="s">
        <v>689</v>
      </c>
      <c r="G1619" s="7" t="s">
        <v>1545</v>
      </c>
      <c r="H1619" s="7" t="s">
        <v>1362</v>
      </c>
      <c r="I1619" s="7" t="s">
        <v>1253</v>
      </c>
      <c r="K1619" s="39" t="s">
        <v>260</v>
      </c>
      <c r="L1619" s="40">
        <v>254.95</v>
      </c>
      <c r="M1619" s="40">
        <v>246835.25</v>
      </c>
      <c r="N1619" s="40">
        <f t="shared" si="51"/>
        <v>254.95</v>
      </c>
    </row>
    <row r="1620" spans="1:14" ht="12.75" hidden="1" customHeight="1" x14ac:dyDescent="0.2">
      <c r="A1620">
        <v>65061</v>
      </c>
      <c r="B1620" s="3" t="s">
        <v>1844</v>
      </c>
      <c r="C1620" s="7" t="s">
        <v>1804</v>
      </c>
      <c r="D1620" s="7" t="s">
        <v>221</v>
      </c>
      <c r="F1620" s="7" t="s">
        <v>1916</v>
      </c>
      <c r="G1620" s="7" t="s">
        <v>1545</v>
      </c>
      <c r="H1620" s="7" t="s">
        <v>1362</v>
      </c>
      <c r="I1620" s="7" t="s">
        <v>1253</v>
      </c>
      <c r="K1620" s="39" t="s">
        <v>260</v>
      </c>
      <c r="L1620" s="40">
        <v>29.95</v>
      </c>
      <c r="M1620" s="40">
        <v>246865.2</v>
      </c>
      <c r="N1620" s="40">
        <f t="shared" si="51"/>
        <v>29.95</v>
      </c>
    </row>
    <row r="1621" spans="1:14" ht="12.75" hidden="1" customHeight="1" x14ac:dyDescent="0.2">
      <c r="A1621">
        <v>65061</v>
      </c>
      <c r="B1621" s="3" t="s">
        <v>1844</v>
      </c>
      <c r="C1621" s="7" t="s">
        <v>1804</v>
      </c>
      <c r="D1621" s="7" t="s">
        <v>221</v>
      </c>
      <c r="F1621" s="7" t="s">
        <v>589</v>
      </c>
      <c r="G1621" s="7" t="s">
        <v>1545</v>
      </c>
      <c r="H1621" s="7" t="s">
        <v>1362</v>
      </c>
      <c r="I1621" s="7" t="s">
        <v>1253</v>
      </c>
      <c r="K1621" s="39" t="s">
        <v>260</v>
      </c>
      <c r="L1621" s="40">
        <v>34.96</v>
      </c>
      <c r="M1621" s="40">
        <v>247432</v>
      </c>
      <c r="N1621" s="40">
        <f t="shared" si="51"/>
        <v>34.96</v>
      </c>
    </row>
    <row r="1622" spans="1:14" ht="12.75" hidden="1" customHeight="1" x14ac:dyDescent="0.2">
      <c r="A1622">
        <v>65061</v>
      </c>
      <c r="B1622" s="3" t="s">
        <v>1844</v>
      </c>
      <c r="C1622" s="7" t="s">
        <v>1804</v>
      </c>
      <c r="D1622" s="7" t="s">
        <v>221</v>
      </c>
      <c r="F1622" s="7" t="s">
        <v>1919</v>
      </c>
      <c r="G1622" s="7" t="s">
        <v>1545</v>
      </c>
      <c r="H1622" s="7" t="s">
        <v>1362</v>
      </c>
      <c r="I1622" s="7" t="s">
        <v>1253</v>
      </c>
      <c r="K1622" s="39" t="s">
        <v>260</v>
      </c>
      <c r="L1622" s="40">
        <v>35</v>
      </c>
      <c r="M1622" s="40">
        <v>247467</v>
      </c>
      <c r="N1622" s="40">
        <f t="shared" si="51"/>
        <v>35</v>
      </c>
    </row>
    <row r="1623" spans="1:14" ht="12.75" hidden="1" customHeight="1" x14ac:dyDescent="0.2">
      <c r="A1623">
        <v>65061</v>
      </c>
      <c r="B1623" s="3" t="s">
        <v>1844</v>
      </c>
      <c r="C1623" s="7" t="s">
        <v>1804</v>
      </c>
      <c r="D1623" s="7" t="s">
        <v>221</v>
      </c>
      <c r="F1623" s="7" t="s">
        <v>355</v>
      </c>
      <c r="G1623" s="7" t="s">
        <v>1545</v>
      </c>
      <c r="H1623" s="7" t="s">
        <v>1362</v>
      </c>
      <c r="I1623" s="7" t="s">
        <v>1253</v>
      </c>
      <c r="K1623" s="39" t="s">
        <v>260</v>
      </c>
      <c r="L1623" s="40">
        <v>28.13</v>
      </c>
      <c r="M1623" s="40">
        <v>247495.13</v>
      </c>
      <c r="N1623" s="40">
        <f t="shared" si="51"/>
        <v>28.13</v>
      </c>
    </row>
    <row r="1624" spans="1:14" ht="12.75" hidden="1" customHeight="1" x14ac:dyDescent="0.2">
      <c r="A1624">
        <v>65061</v>
      </c>
      <c r="B1624" s="3" t="s">
        <v>1844</v>
      </c>
      <c r="C1624" s="7" t="s">
        <v>1804</v>
      </c>
      <c r="D1624" s="7" t="s">
        <v>221</v>
      </c>
      <c r="F1624" s="7" t="s">
        <v>718</v>
      </c>
      <c r="G1624" s="7" t="s">
        <v>1545</v>
      </c>
      <c r="H1624" s="7" t="s">
        <v>1362</v>
      </c>
      <c r="I1624" s="7" t="s">
        <v>1253</v>
      </c>
      <c r="K1624" s="39" t="s">
        <v>260</v>
      </c>
      <c r="L1624" s="40">
        <v>16.16</v>
      </c>
      <c r="M1624" s="40">
        <v>247511.29</v>
      </c>
      <c r="N1624" s="40">
        <f t="shared" si="51"/>
        <v>16.16</v>
      </c>
    </row>
    <row r="1625" spans="1:14" ht="12.75" hidden="1" customHeight="1" x14ac:dyDescent="0.2">
      <c r="A1625">
        <v>65061</v>
      </c>
      <c r="B1625" s="3" t="s">
        <v>1844</v>
      </c>
      <c r="C1625" s="7" t="s">
        <v>1804</v>
      </c>
      <c r="D1625" s="7" t="s">
        <v>221</v>
      </c>
      <c r="F1625" s="7" t="s">
        <v>1920</v>
      </c>
      <c r="G1625" s="7" t="s">
        <v>1545</v>
      </c>
      <c r="H1625" s="7" t="s">
        <v>1362</v>
      </c>
      <c r="I1625" s="7" t="s">
        <v>1253</v>
      </c>
      <c r="K1625" s="39" t="s">
        <v>260</v>
      </c>
      <c r="L1625" s="40">
        <v>250</v>
      </c>
      <c r="M1625" s="40">
        <v>247761.29</v>
      </c>
      <c r="N1625" s="40">
        <f t="shared" si="51"/>
        <v>250</v>
      </c>
    </row>
    <row r="1626" spans="1:14" ht="12.75" hidden="1" customHeight="1" x14ac:dyDescent="0.2">
      <c r="A1626">
        <v>65061</v>
      </c>
      <c r="B1626" s="3" t="s">
        <v>1844</v>
      </c>
      <c r="C1626" s="7" t="s">
        <v>1804</v>
      </c>
      <c r="D1626" s="7" t="s">
        <v>221</v>
      </c>
      <c r="F1626" s="7" t="s">
        <v>574</v>
      </c>
      <c r="G1626" s="7" t="s">
        <v>1545</v>
      </c>
      <c r="H1626" s="7" t="s">
        <v>1362</v>
      </c>
      <c r="I1626" s="7" t="s">
        <v>1253</v>
      </c>
      <c r="K1626" s="39" t="s">
        <v>260</v>
      </c>
      <c r="L1626" s="40">
        <v>13.95</v>
      </c>
      <c r="M1626" s="40">
        <v>247775.24</v>
      </c>
      <c r="N1626" s="40">
        <f t="shared" si="51"/>
        <v>13.95</v>
      </c>
    </row>
    <row r="1627" spans="1:14" ht="12.75" hidden="1" customHeight="1" x14ac:dyDescent="0.2">
      <c r="A1627">
        <v>65061</v>
      </c>
      <c r="B1627" s="3" t="s">
        <v>1844</v>
      </c>
      <c r="C1627" s="7" t="s">
        <v>1804</v>
      </c>
      <c r="D1627" s="7" t="s">
        <v>221</v>
      </c>
      <c r="F1627" s="7" t="s">
        <v>241</v>
      </c>
      <c r="G1627" s="7" t="s">
        <v>1545</v>
      </c>
      <c r="H1627" s="7" t="s">
        <v>1362</v>
      </c>
      <c r="I1627" s="7" t="s">
        <v>1253</v>
      </c>
      <c r="K1627" s="39" t="s">
        <v>260</v>
      </c>
      <c r="L1627" s="40">
        <v>49.87</v>
      </c>
      <c r="M1627" s="40">
        <v>247825.11</v>
      </c>
      <c r="N1627" s="40">
        <f t="shared" si="51"/>
        <v>49.87</v>
      </c>
    </row>
    <row r="1628" spans="1:14" ht="12.75" hidden="1" customHeight="1" x14ac:dyDescent="0.2">
      <c r="A1628">
        <v>65061</v>
      </c>
      <c r="B1628" s="3" t="s">
        <v>1844</v>
      </c>
      <c r="C1628" s="7" t="s">
        <v>1804</v>
      </c>
      <c r="D1628" s="7" t="s">
        <v>221</v>
      </c>
      <c r="F1628" s="7" t="s">
        <v>1921</v>
      </c>
      <c r="G1628" s="7" t="s">
        <v>1545</v>
      </c>
      <c r="H1628" s="7" t="s">
        <v>1362</v>
      </c>
      <c r="I1628" s="7" t="s">
        <v>1253</v>
      </c>
      <c r="K1628" s="39" t="s">
        <v>260</v>
      </c>
      <c r="L1628" s="40">
        <v>80.11</v>
      </c>
      <c r="M1628" s="40">
        <v>247905.22</v>
      </c>
      <c r="N1628" s="40">
        <f t="shared" si="51"/>
        <v>80.11</v>
      </c>
    </row>
    <row r="1629" spans="1:14" ht="12.75" hidden="1" customHeight="1" x14ac:dyDescent="0.2">
      <c r="A1629">
        <v>65061</v>
      </c>
      <c r="B1629" s="3" t="s">
        <v>1844</v>
      </c>
      <c r="C1629" s="7" t="s">
        <v>1775</v>
      </c>
      <c r="D1629" s="7" t="s">
        <v>221</v>
      </c>
      <c r="F1629" s="7" t="s">
        <v>265</v>
      </c>
      <c r="G1629" s="7" t="s">
        <v>1545</v>
      </c>
      <c r="H1629" s="7" t="s">
        <v>1362</v>
      </c>
      <c r="I1629" s="7" t="s">
        <v>1253</v>
      </c>
      <c r="K1629" s="39" t="s">
        <v>260</v>
      </c>
      <c r="L1629" s="40">
        <v>90.74</v>
      </c>
      <c r="M1629" s="40">
        <v>249149.45</v>
      </c>
      <c r="N1629" s="40">
        <f t="shared" si="51"/>
        <v>90.74</v>
      </c>
    </row>
    <row r="1630" spans="1:14" ht="12.75" hidden="1" customHeight="1" x14ac:dyDescent="0.2">
      <c r="A1630">
        <v>65061</v>
      </c>
      <c r="B1630" s="3" t="s">
        <v>1844</v>
      </c>
      <c r="C1630" s="7" t="s">
        <v>1775</v>
      </c>
      <c r="D1630" s="7" t="s">
        <v>221</v>
      </c>
      <c r="F1630" s="7" t="s">
        <v>265</v>
      </c>
      <c r="G1630" s="7" t="s">
        <v>1545</v>
      </c>
      <c r="H1630" s="7" t="s">
        <v>1362</v>
      </c>
      <c r="I1630" s="7" t="s">
        <v>1253</v>
      </c>
      <c r="K1630" s="39" t="s">
        <v>260</v>
      </c>
      <c r="L1630" s="40">
        <v>280.77</v>
      </c>
      <c r="M1630" s="40">
        <v>249430.22</v>
      </c>
      <c r="N1630" s="40">
        <f t="shared" si="51"/>
        <v>280.77</v>
      </c>
    </row>
    <row r="1631" spans="1:14" ht="12.75" hidden="1" customHeight="1" x14ac:dyDescent="0.2">
      <c r="A1631">
        <v>65061</v>
      </c>
      <c r="B1631" s="3" t="s">
        <v>1844</v>
      </c>
      <c r="C1631" s="7" t="s">
        <v>1775</v>
      </c>
      <c r="D1631" s="7" t="s">
        <v>221</v>
      </c>
      <c r="F1631" s="7" t="s">
        <v>589</v>
      </c>
      <c r="G1631" s="7" t="s">
        <v>1545</v>
      </c>
      <c r="H1631" s="7" t="s">
        <v>1362</v>
      </c>
      <c r="I1631" s="7" t="s">
        <v>1253</v>
      </c>
      <c r="K1631" s="39" t="s">
        <v>260</v>
      </c>
      <c r="L1631" s="40">
        <v>28.22</v>
      </c>
      <c r="M1631" s="40">
        <v>249458.44</v>
      </c>
      <c r="N1631" s="40">
        <f t="shared" si="51"/>
        <v>28.22</v>
      </c>
    </row>
    <row r="1632" spans="1:14" ht="12.75" hidden="1" customHeight="1" x14ac:dyDescent="0.2">
      <c r="A1632">
        <v>65061</v>
      </c>
      <c r="B1632" s="3" t="s">
        <v>1844</v>
      </c>
      <c r="C1632" s="7" t="s">
        <v>1775</v>
      </c>
      <c r="D1632" s="7" t="s">
        <v>221</v>
      </c>
      <c r="F1632" s="7" t="s">
        <v>352</v>
      </c>
      <c r="G1632" s="7" t="s">
        <v>1545</v>
      </c>
      <c r="H1632" s="7" t="s">
        <v>1362</v>
      </c>
      <c r="I1632" s="7" t="s">
        <v>1253</v>
      </c>
      <c r="K1632" s="39" t="s">
        <v>260</v>
      </c>
      <c r="L1632" s="40">
        <v>5.27</v>
      </c>
      <c r="M1632" s="40">
        <v>249770.71</v>
      </c>
      <c r="N1632" s="40">
        <f t="shared" si="51"/>
        <v>5.27</v>
      </c>
    </row>
    <row r="1633" spans="1:14" ht="12.75" hidden="1" customHeight="1" x14ac:dyDescent="0.2">
      <c r="A1633">
        <v>65061</v>
      </c>
      <c r="B1633" s="3" t="s">
        <v>1844</v>
      </c>
      <c r="C1633" s="7" t="s">
        <v>1775</v>
      </c>
      <c r="D1633" s="7" t="s">
        <v>221</v>
      </c>
      <c r="F1633" s="7" t="s">
        <v>548</v>
      </c>
      <c r="G1633" s="7" t="s">
        <v>1545</v>
      </c>
      <c r="H1633" s="7" t="s">
        <v>1362</v>
      </c>
      <c r="I1633" s="7" t="s">
        <v>1253</v>
      </c>
      <c r="K1633" s="39" t="s">
        <v>260</v>
      </c>
      <c r="L1633" s="40">
        <v>12.93</v>
      </c>
      <c r="M1633" s="40">
        <v>249783.64</v>
      </c>
      <c r="N1633" s="40">
        <f t="shared" si="51"/>
        <v>12.93</v>
      </c>
    </row>
    <row r="1634" spans="1:14" ht="12.75" hidden="1" customHeight="1" x14ac:dyDescent="0.2">
      <c r="A1634">
        <v>65061</v>
      </c>
      <c r="B1634" s="3" t="s">
        <v>1844</v>
      </c>
      <c r="C1634" s="7" t="s">
        <v>1775</v>
      </c>
      <c r="D1634" s="7" t="s">
        <v>221</v>
      </c>
      <c r="F1634" s="7" t="s">
        <v>564</v>
      </c>
      <c r="G1634" s="7" t="s">
        <v>1545</v>
      </c>
      <c r="H1634" s="7" t="s">
        <v>1362</v>
      </c>
      <c r="I1634" s="7" t="s">
        <v>1253</v>
      </c>
      <c r="K1634" s="39" t="s">
        <v>260</v>
      </c>
      <c r="L1634" s="40">
        <v>117.18</v>
      </c>
      <c r="M1634" s="40">
        <v>250050.89</v>
      </c>
      <c r="N1634" s="40">
        <f t="shared" si="51"/>
        <v>117.18</v>
      </c>
    </row>
    <row r="1635" spans="1:14" ht="12.75" hidden="1" customHeight="1" x14ac:dyDescent="0.2">
      <c r="A1635">
        <v>65061</v>
      </c>
      <c r="B1635" s="3" t="s">
        <v>1844</v>
      </c>
      <c r="C1635" s="7" t="s">
        <v>1695</v>
      </c>
      <c r="D1635" s="7" t="s">
        <v>221</v>
      </c>
      <c r="F1635" s="7" t="s">
        <v>223</v>
      </c>
      <c r="G1635" s="7" t="s">
        <v>1545</v>
      </c>
      <c r="H1635" s="7" t="s">
        <v>1362</v>
      </c>
      <c r="I1635" s="7" t="s">
        <v>1253</v>
      </c>
      <c r="K1635" s="39" t="s">
        <v>260</v>
      </c>
      <c r="L1635" s="40">
        <v>4.3099999999999996</v>
      </c>
      <c r="M1635" s="40">
        <v>250055.2</v>
      </c>
      <c r="N1635" s="40">
        <f t="shared" si="51"/>
        <v>4.3099999999999996</v>
      </c>
    </row>
    <row r="1636" spans="1:14" ht="12.75" hidden="1" customHeight="1" x14ac:dyDescent="0.2">
      <c r="A1636">
        <v>65061</v>
      </c>
      <c r="B1636" s="3" t="s">
        <v>1844</v>
      </c>
      <c r="C1636" s="7" t="s">
        <v>1695</v>
      </c>
      <c r="D1636" s="7" t="s">
        <v>221</v>
      </c>
      <c r="F1636" s="7" t="s">
        <v>570</v>
      </c>
      <c r="G1636" s="7" t="s">
        <v>1545</v>
      </c>
      <c r="H1636" s="7" t="s">
        <v>1362</v>
      </c>
      <c r="I1636" s="7" t="s">
        <v>1253</v>
      </c>
      <c r="K1636" s="39" t="s">
        <v>260</v>
      </c>
      <c r="L1636" s="40">
        <v>265.25</v>
      </c>
      <c r="M1636" s="40">
        <v>249810.54</v>
      </c>
      <c r="N1636" s="40">
        <f t="shared" si="51"/>
        <v>265.25</v>
      </c>
    </row>
    <row r="1637" spans="1:14" ht="12.75" hidden="1" customHeight="1" x14ac:dyDescent="0.2">
      <c r="A1637">
        <v>65061</v>
      </c>
      <c r="B1637" s="3" t="s">
        <v>1844</v>
      </c>
      <c r="C1637" s="7" t="s">
        <v>1695</v>
      </c>
      <c r="D1637" s="7" t="s">
        <v>221</v>
      </c>
      <c r="F1637" s="7" t="s">
        <v>563</v>
      </c>
      <c r="G1637" s="7" t="s">
        <v>1545</v>
      </c>
      <c r="H1637" s="7" t="s">
        <v>1362</v>
      </c>
      <c r="I1637" s="7" t="s">
        <v>1253</v>
      </c>
      <c r="K1637" s="39" t="s">
        <v>260</v>
      </c>
      <c r="L1637" s="40">
        <v>121.49</v>
      </c>
      <c r="M1637" s="40">
        <v>250267.01</v>
      </c>
      <c r="N1637" s="40">
        <f t="shared" si="51"/>
        <v>121.49</v>
      </c>
    </row>
    <row r="1638" spans="1:14" ht="12.75" hidden="1" customHeight="1" x14ac:dyDescent="0.2">
      <c r="A1638">
        <v>65061</v>
      </c>
      <c r="B1638" s="3" t="s">
        <v>1844</v>
      </c>
      <c r="C1638" s="7" t="s">
        <v>1695</v>
      </c>
      <c r="D1638" s="7" t="s">
        <v>221</v>
      </c>
      <c r="F1638" s="7" t="s">
        <v>722</v>
      </c>
      <c r="G1638" s="7" t="s">
        <v>1545</v>
      </c>
      <c r="H1638" s="7" t="s">
        <v>1362</v>
      </c>
      <c r="I1638" s="7" t="s">
        <v>1253</v>
      </c>
      <c r="K1638" s="39" t="s">
        <v>260</v>
      </c>
      <c r="L1638" s="40">
        <v>34.47</v>
      </c>
      <c r="M1638" s="40">
        <v>250301.48</v>
      </c>
      <c r="N1638" s="40">
        <f t="shared" si="51"/>
        <v>34.47</v>
      </c>
    </row>
    <row r="1639" spans="1:14" ht="12.75" hidden="1" customHeight="1" x14ac:dyDescent="0.2">
      <c r="A1639">
        <v>65061</v>
      </c>
      <c r="B1639" s="3" t="s">
        <v>1844</v>
      </c>
      <c r="C1639" s="7" t="s">
        <v>1695</v>
      </c>
      <c r="D1639" s="7" t="s">
        <v>221</v>
      </c>
      <c r="F1639" s="7" t="s">
        <v>562</v>
      </c>
      <c r="G1639" s="7" t="s">
        <v>1545</v>
      </c>
      <c r="H1639" s="7" t="s">
        <v>1362</v>
      </c>
      <c r="I1639" s="7" t="s">
        <v>1253</v>
      </c>
      <c r="K1639" s="39" t="s">
        <v>260</v>
      </c>
      <c r="L1639" s="40">
        <v>134</v>
      </c>
      <c r="M1639" s="40">
        <v>250245.62</v>
      </c>
      <c r="N1639" s="40">
        <f t="shared" si="51"/>
        <v>134</v>
      </c>
    </row>
    <row r="1640" spans="1:14" ht="12.75" hidden="1" customHeight="1" x14ac:dyDescent="0.2">
      <c r="A1640">
        <v>65061</v>
      </c>
      <c r="B1640" s="3" t="s">
        <v>1844</v>
      </c>
      <c r="C1640" s="7" t="s">
        <v>1759</v>
      </c>
      <c r="D1640" s="7" t="s">
        <v>221</v>
      </c>
      <c r="F1640" s="7" t="s">
        <v>1928</v>
      </c>
      <c r="G1640" s="7" t="s">
        <v>1545</v>
      </c>
      <c r="H1640" s="7" t="s">
        <v>1362</v>
      </c>
      <c r="I1640" s="7" t="s">
        <v>1253</v>
      </c>
      <c r="K1640" s="39" t="s">
        <v>260</v>
      </c>
      <c r="L1640" s="40">
        <v>465.07</v>
      </c>
      <c r="M1640" s="40">
        <v>250710.69</v>
      </c>
      <c r="N1640" s="40">
        <f t="shared" si="51"/>
        <v>465.07</v>
      </c>
    </row>
    <row r="1641" spans="1:14" ht="12.75" hidden="1" customHeight="1" x14ac:dyDescent="0.2">
      <c r="A1641">
        <v>65061</v>
      </c>
      <c r="B1641" s="3" t="s">
        <v>1844</v>
      </c>
      <c r="C1641" s="7" t="s">
        <v>1759</v>
      </c>
      <c r="D1641" s="7" t="s">
        <v>221</v>
      </c>
      <c r="F1641" s="7" t="s">
        <v>352</v>
      </c>
      <c r="G1641" s="7" t="s">
        <v>1545</v>
      </c>
      <c r="H1641" s="7" t="s">
        <v>1362</v>
      </c>
      <c r="I1641" s="7" t="s">
        <v>1253</v>
      </c>
      <c r="K1641" s="39" t="s">
        <v>260</v>
      </c>
      <c r="L1641" s="40">
        <v>19.54</v>
      </c>
      <c r="M1641" s="40">
        <v>250687.24</v>
      </c>
      <c r="N1641" s="40">
        <f t="shared" si="51"/>
        <v>19.54</v>
      </c>
    </row>
    <row r="1642" spans="1:14" ht="12.75" hidden="1" customHeight="1" x14ac:dyDescent="0.2">
      <c r="A1642">
        <v>65061</v>
      </c>
      <c r="B1642" s="3" t="s">
        <v>1844</v>
      </c>
      <c r="C1642" s="7" t="s">
        <v>1759</v>
      </c>
      <c r="D1642" s="7" t="s">
        <v>221</v>
      </c>
      <c r="F1642" s="7" t="s">
        <v>950</v>
      </c>
      <c r="G1642" s="7" t="s">
        <v>1545</v>
      </c>
      <c r="H1642" s="7" t="s">
        <v>1362</v>
      </c>
      <c r="I1642" s="7" t="s">
        <v>1253</v>
      </c>
      <c r="K1642" s="39" t="s">
        <v>260</v>
      </c>
      <c r="L1642" s="40">
        <v>5.39</v>
      </c>
      <c r="M1642" s="40">
        <v>250664.18</v>
      </c>
      <c r="N1642" s="40">
        <f t="shared" si="51"/>
        <v>5.39</v>
      </c>
    </row>
    <row r="1643" spans="1:14" ht="12.75" hidden="1" customHeight="1" x14ac:dyDescent="0.2">
      <c r="A1643">
        <v>65061</v>
      </c>
      <c r="B1643" s="3" t="s">
        <v>1844</v>
      </c>
      <c r="C1643" s="7" t="s">
        <v>1759</v>
      </c>
      <c r="D1643" s="7" t="s">
        <v>221</v>
      </c>
      <c r="F1643" s="7" t="s">
        <v>355</v>
      </c>
      <c r="G1643" s="7" t="s">
        <v>1545</v>
      </c>
      <c r="H1643" s="7" t="s">
        <v>1362</v>
      </c>
      <c r="I1643" s="7" t="s">
        <v>1253</v>
      </c>
      <c r="K1643" s="39" t="s">
        <v>260</v>
      </c>
      <c r="L1643" s="40">
        <v>6.87</v>
      </c>
      <c r="M1643" s="40">
        <v>250783.05</v>
      </c>
      <c r="N1643" s="40">
        <f t="shared" si="51"/>
        <v>6.87</v>
      </c>
    </row>
    <row r="1644" spans="1:14" ht="12.75" hidden="1" customHeight="1" x14ac:dyDescent="0.2">
      <c r="A1644">
        <v>65061</v>
      </c>
      <c r="B1644" s="3" t="s">
        <v>1844</v>
      </c>
      <c r="C1644" s="7" t="s">
        <v>1600</v>
      </c>
      <c r="D1644" s="7" t="s">
        <v>221</v>
      </c>
      <c r="F1644" s="7" t="s">
        <v>1930</v>
      </c>
      <c r="G1644" s="7" t="s">
        <v>1545</v>
      </c>
      <c r="H1644" s="7" t="s">
        <v>1362</v>
      </c>
      <c r="I1644" s="7" t="s">
        <v>1253</v>
      </c>
      <c r="K1644" s="39" t="s">
        <v>260</v>
      </c>
      <c r="L1644" s="40">
        <v>234.99</v>
      </c>
      <c r="M1644" s="40">
        <v>251950.95</v>
      </c>
      <c r="N1644" s="40">
        <f t="shared" si="51"/>
        <v>234.99</v>
      </c>
    </row>
    <row r="1645" spans="1:14" ht="12.75" hidden="1" customHeight="1" x14ac:dyDescent="0.2">
      <c r="A1645">
        <v>65061</v>
      </c>
      <c r="B1645" s="3" t="s">
        <v>1844</v>
      </c>
      <c r="C1645" s="7" t="s">
        <v>1600</v>
      </c>
      <c r="D1645" s="7" t="s">
        <v>221</v>
      </c>
      <c r="F1645" s="7" t="s">
        <v>589</v>
      </c>
      <c r="G1645" s="7" t="s">
        <v>1545</v>
      </c>
      <c r="H1645" s="7" t="s">
        <v>1362</v>
      </c>
      <c r="I1645" s="7" t="s">
        <v>1253</v>
      </c>
      <c r="K1645" s="39" t="s">
        <v>260</v>
      </c>
      <c r="L1645" s="40">
        <v>18.27</v>
      </c>
      <c r="M1645" s="40">
        <v>251969.22</v>
      </c>
      <c r="N1645" s="40">
        <f t="shared" si="51"/>
        <v>18.27</v>
      </c>
    </row>
    <row r="1646" spans="1:14" ht="12.75" hidden="1" customHeight="1" x14ac:dyDescent="0.2">
      <c r="A1646">
        <v>65061</v>
      </c>
      <c r="B1646" s="3" t="s">
        <v>1844</v>
      </c>
      <c r="C1646" s="7" t="s">
        <v>1600</v>
      </c>
      <c r="D1646" s="7" t="s">
        <v>242</v>
      </c>
      <c r="F1646" s="7" t="s">
        <v>564</v>
      </c>
      <c r="G1646" s="7" t="s">
        <v>1545</v>
      </c>
      <c r="H1646" s="7" t="s">
        <v>1362</v>
      </c>
      <c r="I1646" s="7" t="s">
        <v>1253</v>
      </c>
      <c r="K1646" s="39" t="s">
        <v>260</v>
      </c>
      <c r="L1646" s="40">
        <v>-117.18</v>
      </c>
      <c r="M1646" s="40">
        <v>251852.04</v>
      </c>
      <c r="N1646" s="40">
        <f t="shared" si="51"/>
        <v>-117.18</v>
      </c>
    </row>
    <row r="1647" spans="1:14" ht="12.75" hidden="1" customHeight="1" x14ac:dyDescent="0.2">
      <c r="A1647">
        <v>65061</v>
      </c>
      <c r="B1647" s="3" t="s">
        <v>1844</v>
      </c>
      <c r="C1647" s="7" t="s">
        <v>1600</v>
      </c>
      <c r="D1647" s="7" t="s">
        <v>221</v>
      </c>
      <c r="F1647" s="7" t="s">
        <v>564</v>
      </c>
      <c r="G1647" s="7" t="s">
        <v>1545</v>
      </c>
      <c r="H1647" s="7" t="s">
        <v>1362</v>
      </c>
      <c r="I1647" s="7" t="s">
        <v>1253</v>
      </c>
      <c r="K1647" s="39" t="s">
        <v>260</v>
      </c>
      <c r="L1647" s="40">
        <v>23.3</v>
      </c>
      <c r="M1647" s="40">
        <v>251875.34</v>
      </c>
      <c r="N1647" s="40">
        <f t="shared" si="51"/>
        <v>23.3</v>
      </c>
    </row>
    <row r="1648" spans="1:14" ht="12.75" hidden="1" customHeight="1" x14ac:dyDescent="0.2">
      <c r="A1648">
        <v>65061</v>
      </c>
      <c r="B1648" s="3" t="s">
        <v>1844</v>
      </c>
      <c r="C1648" s="7" t="s">
        <v>1600</v>
      </c>
      <c r="D1648" s="7" t="s">
        <v>221</v>
      </c>
      <c r="F1648" s="7" t="s">
        <v>352</v>
      </c>
      <c r="G1648" s="7" t="s">
        <v>1545</v>
      </c>
      <c r="H1648" s="7" t="s">
        <v>1362</v>
      </c>
      <c r="I1648" s="7" t="s">
        <v>1253</v>
      </c>
      <c r="K1648" s="39" t="s">
        <v>260</v>
      </c>
      <c r="L1648" s="40">
        <v>72.41</v>
      </c>
      <c r="M1648" s="40">
        <v>251947.75</v>
      </c>
      <c r="N1648" s="40">
        <f t="shared" si="51"/>
        <v>72.41</v>
      </c>
    </row>
    <row r="1649" spans="1:14" ht="12.75" hidden="1" customHeight="1" x14ac:dyDescent="0.2">
      <c r="A1649">
        <v>65061</v>
      </c>
      <c r="B1649" s="3" t="s">
        <v>1844</v>
      </c>
      <c r="C1649" s="7" t="s">
        <v>1600</v>
      </c>
      <c r="D1649" s="7" t="s">
        <v>221</v>
      </c>
      <c r="F1649" s="7" t="s">
        <v>1896</v>
      </c>
      <c r="G1649" s="7" t="s">
        <v>1545</v>
      </c>
      <c r="H1649" s="7" t="s">
        <v>1362</v>
      </c>
      <c r="I1649" s="7" t="s">
        <v>1253</v>
      </c>
      <c r="K1649" s="39" t="s">
        <v>260</v>
      </c>
      <c r="L1649" s="40">
        <v>29.09</v>
      </c>
      <c r="M1649" s="40">
        <v>251976.84</v>
      </c>
      <c r="N1649" s="40">
        <f t="shared" si="51"/>
        <v>29.09</v>
      </c>
    </row>
    <row r="1650" spans="1:14" ht="12.75" hidden="1" customHeight="1" x14ac:dyDescent="0.2">
      <c r="A1650">
        <v>65061</v>
      </c>
      <c r="B1650" s="3" t="s">
        <v>1844</v>
      </c>
      <c r="C1650" s="7" t="s">
        <v>1603</v>
      </c>
      <c r="D1650" s="7" t="s">
        <v>221</v>
      </c>
      <c r="F1650" s="7" t="s">
        <v>1931</v>
      </c>
      <c r="G1650" s="7" t="s">
        <v>1545</v>
      </c>
      <c r="H1650" s="7" t="s">
        <v>1362</v>
      </c>
      <c r="I1650" s="7" t="s">
        <v>1253</v>
      </c>
      <c r="K1650" s="39" t="s">
        <v>260</v>
      </c>
      <c r="L1650" s="40">
        <v>43.99</v>
      </c>
      <c r="M1650" s="40">
        <v>252020.83</v>
      </c>
      <c r="N1650" s="40">
        <f t="shared" si="51"/>
        <v>43.99</v>
      </c>
    </row>
    <row r="1651" spans="1:14" ht="12.75" hidden="1" customHeight="1" x14ac:dyDescent="0.2">
      <c r="A1651">
        <v>65061</v>
      </c>
      <c r="B1651" s="3" t="s">
        <v>1844</v>
      </c>
      <c r="C1651" s="7" t="s">
        <v>1603</v>
      </c>
      <c r="D1651" s="7" t="s">
        <v>221</v>
      </c>
      <c r="F1651" s="7" t="s">
        <v>591</v>
      </c>
      <c r="G1651" s="7" t="s">
        <v>1545</v>
      </c>
      <c r="H1651" s="7" t="s">
        <v>1362</v>
      </c>
      <c r="I1651" s="7" t="s">
        <v>1253</v>
      </c>
      <c r="K1651" s="39" t="s">
        <v>260</v>
      </c>
      <c r="L1651" s="40">
        <v>72.709999999999994</v>
      </c>
      <c r="M1651" s="40">
        <v>252093.54</v>
      </c>
      <c r="N1651" s="40">
        <f t="shared" si="51"/>
        <v>72.709999999999994</v>
      </c>
    </row>
    <row r="1652" spans="1:14" ht="12.75" hidden="1" customHeight="1" x14ac:dyDescent="0.2">
      <c r="A1652">
        <v>65061</v>
      </c>
      <c r="B1652" s="3" t="s">
        <v>1844</v>
      </c>
      <c r="C1652" s="7" t="s">
        <v>1603</v>
      </c>
      <c r="D1652" s="7" t="s">
        <v>221</v>
      </c>
      <c r="F1652" s="7" t="s">
        <v>1932</v>
      </c>
      <c r="G1652" s="7" t="s">
        <v>1545</v>
      </c>
      <c r="H1652" s="7" t="s">
        <v>1362</v>
      </c>
      <c r="I1652" s="7" t="s">
        <v>1253</v>
      </c>
      <c r="K1652" s="39" t="s">
        <v>260</v>
      </c>
      <c r="L1652" s="40">
        <v>97.51</v>
      </c>
      <c r="M1652" s="40">
        <v>252191.05</v>
      </c>
      <c r="N1652" s="40">
        <f t="shared" si="51"/>
        <v>97.51</v>
      </c>
    </row>
    <row r="1653" spans="1:14" ht="12.75" hidden="1" customHeight="1" x14ac:dyDescent="0.2">
      <c r="A1653">
        <v>65061</v>
      </c>
      <c r="B1653" s="3" t="s">
        <v>1844</v>
      </c>
      <c r="C1653" s="7" t="s">
        <v>1603</v>
      </c>
      <c r="D1653" s="7" t="s">
        <v>221</v>
      </c>
      <c r="F1653" s="7" t="s">
        <v>352</v>
      </c>
      <c r="G1653" s="7" t="s">
        <v>1545</v>
      </c>
      <c r="H1653" s="7" t="s">
        <v>1362</v>
      </c>
      <c r="I1653" s="7" t="s">
        <v>1253</v>
      </c>
      <c r="K1653" s="39" t="s">
        <v>260</v>
      </c>
      <c r="L1653" s="40">
        <v>73.39</v>
      </c>
      <c r="M1653" s="40">
        <v>252264.44</v>
      </c>
      <c r="N1653" s="40">
        <f t="shared" si="51"/>
        <v>73.39</v>
      </c>
    </row>
    <row r="1654" spans="1:14" ht="12.75" hidden="1" customHeight="1" x14ac:dyDescent="0.2">
      <c r="A1654">
        <v>65061</v>
      </c>
      <c r="B1654" s="3" t="s">
        <v>1844</v>
      </c>
      <c r="C1654" s="7" t="s">
        <v>1603</v>
      </c>
      <c r="D1654" s="7" t="s">
        <v>221</v>
      </c>
      <c r="F1654" s="7" t="s">
        <v>770</v>
      </c>
      <c r="G1654" s="7" t="s">
        <v>1545</v>
      </c>
      <c r="H1654" s="7" t="s">
        <v>1362</v>
      </c>
      <c r="I1654" s="7" t="s">
        <v>1253</v>
      </c>
      <c r="K1654" s="39" t="s">
        <v>260</v>
      </c>
      <c r="L1654" s="40">
        <v>10.76</v>
      </c>
      <c r="M1654" s="40">
        <v>252274.2</v>
      </c>
      <c r="N1654" s="40">
        <f t="shared" si="51"/>
        <v>10.76</v>
      </c>
    </row>
    <row r="1655" spans="1:14" ht="12.75" hidden="1" customHeight="1" x14ac:dyDescent="0.2">
      <c r="A1655">
        <v>65061</v>
      </c>
      <c r="B1655" s="3" t="s">
        <v>1844</v>
      </c>
      <c r="C1655" s="7" t="s">
        <v>1784</v>
      </c>
      <c r="D1655" s="7" t="s">
        <v>221</v>
      </c>
      <c r="F1655" s="7" t="s">
        <v>265</v>
      </c>
      <c r="G1655" s="7" t="s">
        <v>1545</v>
      </c>
      <c r="H1655" s="7" t="s">
        <v>1362</v>
      </c>
      <c r="I1655" s="7" t="s">
        <v>1253</v>
      </c>
      <c r="K1655" s="39" t="s">
        <v>260</v>
      </c>
      <c r="L1655" s="40">
        <v>35</v>
      </c>
      <c r="M1655" s="40">
        <v>252447.26</v>
      </c>
      <c r="N1655" s="40">
        <f t="shared" si="51"/>
        <v>35</v>
      </c>
    </row>
    <row r="1656" spans="1:14" ht="12.75" hidden="1" customHeight="1" x14ac:dyDescent="0.2">
      <c r="A1656">
        <v>65061</v>
      </c>
      <c r="B1656" s="3" t="s">
        <v>1844</v>
      </c>
      <c r="C1656" s="7" t="s">
        <v>1784</v>
      </c>
      <c r="D1656" s="7" t="s">
        <v>221</v>
      </c>
      <c r="F1656" s="7" t="s">
        <v>265</v>
      </c>
      <c r="G1656" s="7" t="s">
        <v>1545</v>
      </c>
      <c r="H1656" s="7" t="s">
        <v>1362</v>
      </c>
      <c r="I1656" s="7" t="s">
        <v>1253</v>
      </c>
      <c r="K1656" s="39" t="s">
        <v>260</v>
      </c>
      <c r="L1656" s="40">
        <v>12.9</v>
      </c>
      <c r="M1656" s="40">
        <v>252460.16</v>
      </c>
      <c r="N1656" s="40">
        <f t="shared" si="51"/>
        <v>12.9</v>
      </c>
    </row>
    <row r="1657" spans="1:14" ht="12.75" hidden="1" customHeight="1" x14ac:dyDescent="0.2">
      <c r="A1657">
        <v>65061</v>
      </c>
      <c r="B1657" s="3" t="s">
        <v>1844</v>
      </c>
      <c r="C1657" s="7" t="s">
        <v>1784</v>
      </c>
      <c r="D1657" s="7" t="s">
        <v>221</v>
      </c>
      <c r="F1657" s="7" t="s">
        <v>644</v>
      </c>
      <c r="G1657" s="7" t="s">
        <v>1545</v>
      </c>
      <c r="H1657" s="7" t="s">
        <v>1362</v>
      </c>
      <c r="I1657" s="7" t="s">
        <v>1253</v>
      </c>
      <c r="K1657" s="39" t="s">
        <v>260</v>
      </c>
      <c r="L1657" s="40">
        <v>109.58</v>
      </c>
      <c r="M1657" s="40">
        <v>252569.74</v>
      </c>
      <c r="N1657" s="40">
        <f t="shared" si="51"/>
        <v>109.58</v>
      </c>
    </row>
    <row r="1658" spans="1:14" ht="12.75" hidden="1" customHeight="1" x14ac:dyDescent="0.2">
      <c r="A1658">
        <v>65061</v>
      </c>
      <c r="B1658" s="3" t="s">
        <v>1844</v>
      </c>
      <c r="C1658" s="7" t="s">
        <v>1784</v>
      </c>
      <c r="D1658" s="7" t="s">
        <v>221</v>
      </c>
      <c r="F1658" s="7" t="s">
        <v>564</v>
      </c>
      <c r="G1658" s="7" t="s">
        <v>1545</v>
      </c>
      <c r="H1658" s="7" t="s">
        <v>1362</v>
      </c>
      <c r="I1658" s="7" t="s">
        <v>1253</v>
      </c>
      <c r="K1658" s="39" t="s">
        <v>260</v>
      </c>
      <c r="L1658" s="40">
        <v>103.8</v>
      </c>
      <c r="M1658" s="40">
        <v>252673.54</v>
      </c>
      <c r="N1658" s="40">
        <f t="shared" si="51"/>
        <v>103.8</v>
      </c>
    </row>
    <row r="1659" spans="1:14" ht="12.75" hidden="1" customHeight="1" x14ac:dyDescent="0.2">
      <c r="A1659">
        <v>65061</v>
      </c>
      <c r="B1659" s="3" t="s">
        <v>1844</v>
      </c>
      <c r="C1659" s="7" t="s">
        <v>1784</v>
      </c>
      <c r="D1659" s="7" t="s">
        <v>221</v>
      </c>
      <c r="F1659" s="7" t="s">
        <v>602</v>
      </c>
      <c r="G1659" s="7" t="s">
        <v>1545</v>
      </c>
      <c r="H1659" s="7" t="s">
        <v>1362</v>
      </c>
      <c r="I1659" s="7" t="s">
        <v>1253</v>
      </c>
      <c r="K1659" s="39" t="s">
        <v>260</v>
      </c>
      <c r="L1659" s="40">
        <v>4.32</v>
      </c>
      <c r="M1659" s="40">
        <v>252700.69</v>
      </c>
      <c r="N1659" s="40">
        <f t="shared" si="51"/>
        <v>4.32</v>
      </c>
    </row>
    <row r="1660" spans="1:14" ht="12.75" hidden="1" customHeight="1" x14ac:dyDescent="0.2">
      <c r="A1660">
        <v>65061</v>
      </c>
      <c r="B1660" s="3" t="s">
        <v>1844</v>
      </c>
      <c r="C1660" s="7" t="s">
        <v>1784</v>
      </c>
      <c r="D1660" s="7" t="s">
        <v>221</v>
      </c>
      <c r="F1660" s="7" t="s">
        <v>564</v>
      </c>
      <c r="G1660" s="7" t="s">
        <v>1545</v>
      </c>
      <c r="H1660" s="7" t="s">
        <v>1362</v>
      </c>
      <c r="I1660" s="7" t="s">
        <v>1253</v>
      </c>
      <c r="K1660" s="39" t="s">
        <v>260</v>
      </c>
      <c r="L1660" s="40">
        <v>130.71</v>
      </c>
      <c r="M1660" s="40">
        <v>252831.4</v>
      </c>
      <c r="N1660" s="40">
        <f t="shared" si="51"/>
        <v>130.71</v>
      </c>
    </row>
    <row r="1661" spans="1:14" ht="12.75" hidden="1" customHeight="1" x14ac:dyDescent="0.2">
      <c r="A1661">
        <v>65061</v>
      </c>
      <c r="B1661" s="3" t="s">
        <v>1844</v>
      </c>
      <c r="C1661" s="7" t="s">
        <v>1607</v>
      </c>
      <c r="D1661" s="7" t="s">
        <v>221</v>
      </c>
      <c r="F1661" s="7" t="s">
        <v>718</v>
      </c>
      <c r="G1661" s="7" t="s">
        <v>1545</v>
      </c>
      <c r="H1661" s="7" t="s">
        <v>1362</v>
      </c>
      <c r="I1661" s="7" t="s">
        <v>1253</v>
      </c>
      <c r="K1661" s="39" t="s">
        <v>260</v>
      </c>
      <c r="L1661" s="40">
        <v>9.69</v>
      </c>
      <c r="M1661" s="40">
        <v>253111.79</v>
      </c>
      <c r="N1661" s="40">
        <f t="shared" si="51"/>
        <v>9.69</v>
      </c>
    </row>
    <row r="1662" spans="1:14" ht="12.75" hidden="1" customHeight="1" x14ac:dyDescent="0.2">
      <c r="A1662">
        <v>65061</v>
      </c>
      <c r="B1662" s="3" t="s">
        <v>1844</v>
      </c>
      <c r="C1662" s="7" t="s">
        <v>1607</v>
      </c>
      <c r="D1662" s="7" t="s">
        <v>221</v>
      </c>
      <c r="F1662" s="7" t="s">
        <v>546</v>
      </c>
      <c r="G1662" s="7" t="s">
        <v>1545</v>
      </c>
      <c r="H1662" s="7" t="s">
        <v>1362</v>
      </c>
      <c r="I1662" s="7" t="s">
        <v>1253</v>
      </c>
      <c r="K1662" s="39" t="s">
        <v>260</v>
      </c>
      <c r="L1662" s="40">
        <v>81.099999999999994</v>
      </c>
      <c r="M1662" s="40">
        <v>253341.4</v>
      </c>
      <c r="N1662" s="40">
        <f t="shared" si="51"/>
        <v>81.099999999999994</v>
      </c>
    </row>
    <row r="1663" spans="1:14" ht="12.75" hidden="1" customHeight="1" x14ac:dyDescent="0.2">
      <c r="A1663">
        <v>65061</v>
      </c>
      <c r="B1663" s="3" t="s">
        <v>1844</v>
      </c>
      <c r="C1663" s="7" t="s">
        <v>1607</v>
      </c>
      <c r="D1663" s="7" t="s">
        <v>221</v>
      </c>
      <c r="F1663" s="7" t="s">
        <v>548</v>
      </c>
      <c r="G1663" s="7" t="s">
        <v>1545</v>
      </c>
      <c r="H1663" s="7" t="s">
        <v>1362</v>
      </c>
      <c r="I1663" s="7" t="s">
        <v>1253</v>
      </c>
      <c r="K1663" s="39" t="s">
        <v>260</v>
      </c>
      <c r="L1663" s="40">
        <v>56.73</v>
      </c>
      <c r="M1663" s="40">
        <v>253724.12</v>
      </c>
      <c r="N1663" s="40">
        <f t="shared" si="51"/>
        <v>56.73</v>
      </c>
    </row>
    <row r="1664" spans="1:14" ht="12.75" hidden="1" customHeight="1" x14ac:dyDescent="0.2">
      <c r="A1664">
        <v>65061</v>
      </c>
      <c r="B1664" s="3" t="s">
        <v>1844</v>
      </c>
      <c r="C1664" s="7" t="s">
        <v>1607</v>
      </c>
      <c r="D1664" s="7" t="s">
        <v>221</v>
      </c>
      <c r="F1664" s="7" t="s">
        <v>602</v>
      </c>
      <c r="G1664" s="7" t="s">
        <v>1545</v>
      </c>
      <c r="H1664" s="7" t="s">
        <v>1362</v>
      </c>
      <c r="I1664" s="7" t="s">
        <v>1253</v>
      </c>
      <c r="K1664" s="39" t="s">
        <v>260</v>
      </c>
      <c r="L1664" s="40">
        <v>5.53</v>
      </c>
      <c r="M1664" s="40">
        <v>253729.65</v>
      </c>
      <c r="N1664" s="40">
        <f t="shared" si="51"/>
        <v>5.53</v>
      </c>
    </row>
    <row r="1665" spans="1:14" ht="12.75" hidden="1" customHeight="1" x14ac:dyDescent="0.2">
      <c r="A1665">
        <v>65061</v>
      </c>
      <c r="B1665" s="3" t="s">
        <v>1844</v>
      </c>
      <c r="C1665" s="7" t="s">
        <v>1607</v>
      </c>
      <c r="D1665" s="7" t="s">
        <v>221</v>
      </c>
      <c r="F1665" s="7" t="s">
        <v>595</v>
      </c>
      <c r="G1665" s="7" t="s">
        <v>1545</v>
      </c>
      <c r="H1665" s="7" t="s">
        <v>1362</v>
      </c>
      <c r="I1665" s="7" t="s">
        <v>1253</v>
      </c>
      <c r="K1665" s="39" t="s">
        <v>260</v>
      </c>
      <c r="L1665" s="40">
        <v>119.59</v>
      </c>
      <c r="M1665" s="40">
        <v>253849.24</v>
      </c>
      <c r="N1665" s="40">
        <f t="shared" si="51"/>
        <v>119.59</v>
      </c>
    </row>
    <row r="1666" spans="1:14" ht="12.75" hidden="1" customHeight="1" x14ac:dyDescent="0.2">
      <c r="A1666">
        <v>65061</v>
      </c>
      <c r="B1666" s="3" t="s">
        <v>1844</v>
      </c>
      <c r="C1666" s="7" t="s">
        <v>1696</v>
      </c>
      <c r="D1666" s="7" t="s">
        <v>221</v>
      </c>
      <c r="F1666" s="7" t="s">
        <v>1935</v>
      </c>
      <c r="G1666" s="7" t="s">
        <v>1545</v>
      </c>
      <c r="H1666" s="7" t="s">
        <v>1362</v>
      </c>
      <c r="I1666" s="7" t="s">
        <v>1253</v>
      </c>
      <c r="K1666" s="39" t="s">
        <v>260</v>
      </c>
      <c r="L1666" s="40">
        <v>109.13</v>
      </c>
      <c r="M1666" s="40">
        <v>254131.36</v>
      </c>
      <c r="N1666" s="40">
        <f t="shared" ref="N1666:N1729" si="52">+L1666</f>
        <v>109.13</v>
      </c>
    </row>
    <row r="1667" spans="1:14" ht="12.75" hidden="1" customHeight="1" x14ac:dyDescent="0.2">
      <c r="A1667">
        <v>65061</v>
      </c>
      <c r="B1667" s="3" t="s">
        <v>1844</v>
      </c>
      <c r="C1667" s="7" t="s">
        <v>1696</v>
      </c>
      <c r="D1667" s="7" t="s">
        <v>221</v>
      </c>
      <c r="F1667" s="7" t="s">
        <v>546</v>
      </c>
      <c r="G1667" s="7" t="s">
        <v>1545</v>
      </c>
      <c r="H1667" s="7" t="s">
        <v>1362</v>
      </c>
      <c r="I1667" s="7" t="s">
        <v>1253</v>
      </c>
      <c r="K1667" s="39" t="s">
        <v>260</v>
      </c>
      <c r="L1667" s="40">
        <v>15.1</v>
      </c>
      <c r="M1667" s="40">
        <v>254356.01</v>
      </c>
      <c r="N1667" s="40">
        <f t="shared" si="52"/>
        <v>15.1</v>
      </c>
    </row>
    <row r="1668" spans="1:14" ht="12.75" hidden="1" customHeight="1" x14ac:dyDescent="0.2">
      <c r="A1668">
        <v>65061</v>
      </c>
      <c r="B1668" s="3" t="s">
        <v>1844</v>
      </c>
      <c r="C1668" s="7" t="s">
        <v>1608</v>
      </c>
      <c r="D1668" s="7" t="s">
        <v>221</v>
      </c>
      <c r="F1668" s="7" t="s">
        <v>1937</v>
      </c>
      <c r="G1668" s="7" t="s">
        <v>1545</v>
      </c>
      <c r="H1668" s="7" t="s">
        <v>1362</v>
      </c>
      <c r="I1668" s="7" t="s">
        <v>1253</v>
      </c>
      <c r="K1668" s="39" t="s">
        <v>260</v>
      </c>
      <c r="L1668" s="40">
        <v>39.6</v>
      </c>
      <c r="M1668" s="40">
        <v>255504.3</v>
      </c>
      <c r="N1668" s="40">
        <f t="shared" si="52"/>
        <v>39.6</v>
      </c>
    </row>
    <row r="1669" spans="1:14" ht="12.75" hidden="1" customHeight="1" x14ac:dyDescent="0.2">
      <c r="A1669">
        <v>65061</v>
      </c>
      <c r="B1669" s="3" t="s">
        <v>1844</v>
      </c>
      <c r="C1669" s="7" t="s">
        <v>1608</v>
      </c>
      <c r="D1669" s="7" t="s">
        <v>221</v>
      </c>
      <c r="F1669" s="7" t="s">
        <v>241</v>
      </c>
      <c r="G1669" s="7" t="s">
        <v>1545</v>
      </c>
      <c r="H1669" s="7" t="s">
        <v>1362</v>
      </c>
      <c r="I1669" s="7" t="s">
        <v>1253</v>
      </c>
      <c r="K1669" s="39" t="s">
        <v>260</v>
      </c>
      <c r="L1669" s="40">
        <v>13.96</v>
      </c>
      <c r="M1669" s="40">
        <v>255518.26</v>
      </c>
      <c r="N1669" s="40">
        <f t="shared" si="52"/>
        <v>13.96</v>
      </c>
    </row>
    <row r="1670" spans="1:14" ht="12.75" hidden="1" customHeight="1" x14ac:dyDescent="0.2">
      <c r="A1670">
        <v>65061</v>
      </c>
      <c r="B1670" s="3" t="s">
        <v>1844</v>
      </c>
      <c r="C1670" s="7" t="s">
        <v>1612</v>
      </c>
      <c r="D1670" s="7" t="s">
        <v>221</v>
      </c>
      <c r="F1670" s="7" t="s">
        <v>1939</v>
      </c>
      <c r="G1670" s="7" t="s">
        <v>1545</v>
      </c>
      <c r="H1670" s="7" t="s">
        <v>1362</v>
      </c>
      <c r="I1670" s="7" t="s">
        <v>1253</v>
      </c>
      <c r="K1670" s="39" t="s">
        <v>260</v>
      </c>
      <c r="L1670" s="40">
        <v>65.39</v>
      </c>
      <c r="M1670" s="40">
        <v>257082</v>
      </c>
      <c r="N1670" s="40">
        <f t="shared" si="52"/>
        <v>65.39</v>
      </c>
    </row>
    <row r="1671" spans="1:14" ht="12.75" hidden="1" customHeight="1" x14ac:dyDescent="0.2">
      <c r="A1671">
        <v>65061</v>
      </c>
      <c r="B1671" s="3" t="s">
        <v>1844</v>
      </c>
      <c r="C1671" s="7" t="s">
        <v>1612</v>
      </c>
      <c r="D1671" s="7" t="s">
        <v>221</v>
      </c>
      <c r="F1671" s="7" t="s">
        <v>548</v>
      </c>
      <c r="G1671" s="7" t="s">
        <v>1545</v>
      </c>
      <c r="H1671" s="7" t="s">
        <v>1362</v>
      </c>
      <c r="I1671" s="7" t="s">
        <v>1253</v>
      </c>
      <c r="K1671" s="39" t="s">
        <v>260</v>
      </c>
      <c r="L1671" s="40">
        <v>12.02</v>
      </c>
      <c r="M1671" s="40">
        <v>257094.02</v>
      </c>
      <c r="N1671" s="40">
        <f t="shared" si="52"/>
        <v>12.02</v>
      </c>
    </row>
    <row r="1672" spans="1:14" ht="12.75" hidden="1" customHeight="1" x14ac:dyDescent="0.2">
      <c r="A1672">
        <v>65061</v>
      </c>
      <c r="B1672" s="3" t="s">
        <v>1844</v>
      </c>
      <c r="C1672" s="7" t="s">
        <v>1786</v>
      </c>
      <c r="D1672" s="7" t="s">
        <v>200</v>
      </c>
      <c r="E1672" s="7">
        <v>1065</v>
      </c>
      <c r="F1672" s="7" t="s">
        <v>636</v>
      </c>
      <c r="G1672" s="7" t="s">
        <v>1545</v>
      </c>
      <c r="H1672" s="7" t="s">
        <v>1362</v>
      </c>
      <c r="I1672" s="7" t="s">
        <v>1253</v>
      </c>
      <c r="K1672" s="39" t="s">
        <v>260</v>
      </c>
      <c r="L1672" s="40">
        <v>539.73</v>
      </c>
      <c r="M1672" s="40">
        <v>258558.96</v>
      </c>
      <c r="N1672" s="40">
        <f t="shared" si="52"/>
        <v>539.73</v>
      </c>
    </row>
    <row r="1673" spans="1:14" ht="12.75" hidden="1" customHeight="1" x14ac:dyDescent="0.2">
      <c r="A1673">
        <v>65061</v>
      </c>
      <c r="B1673" s="3" t="s">
        <v>1844</v>
      </c>
      <c r="C1673" s="7" t="s">
        <v>1786</v>
      </c>
      <c r="D1673" s="7" t="s">
        <v>221</v>
      </c>
      <c r="F1673" s="7" t="s">
        <v>873</v>
      </c>
      <c r="G1673" s="7" t="s">
        <v>1545</v>
      </c>
      <c r="H1673" s="7" t="s">
        <v>1362</v>
      </c>
      <c r="I1673" s="7" t="s">
        <v>1253</v>
      </c>
      <c r="K1673" s="39" t="s">
        <v>260</v>
      </c>
      <c r="L1673" s="40">
        <v>200</v>
      </c>
      <c r="M1673" s="40">
        <v>258886.93</v>
      </c>
      <c r="N1673" s="40">
        <f t="shared" si="52"/>
        <v>200</v>
      </c>
    </row>
    <row r="1674" spans="1:14" ht="12.75" hidden="1" customHeight="1" x14ac:dyDescent="0.2">
      <c r="A1674">
        <v>65061</v>
      </c>
      <c r="B1674" s="3" t="s">
        <v>1844</v>
      </c>
      <c r="C1674" s="7" t="s">
        <v>1703</v>
      </c>
      <c r="D1674" s="7" t="s">
        <v>221</v>
      </c>
      <c r="F1674" s="7" t="s">
        <v>265</v>
      </c>
      <c r="G1674" s="7" t="s">
        <v>1545</v>
      </c>
      <c r="H1674" s="7" t="s">
        <v>1362</v>
      </c>
      <c r="I1674" s="7" t="s">
        <v>1253</v>
      </c>
      <c r="K1674" s="39" t="s">
        <v>260</v>
      </c>
      <c r="L1674" s="40">
        <v>107.95</v>
      </c>
      <c r="M1674" s="40">
        <v>262035.4</v>
      </c>
      <c r="N1674" s="40">
        <f t="shared" si="52"/>
        <v>107.95</v>
      </c>
    </row>
    <row r="1675" spans="1:14" ht="12.75" hidden="1" customHeight="1" x14ac:dyDescent="0.2">
      <c r="A1675">
        <v>65061</v>
      </c>
      <c r="B1675" s="3" t="s">
        <v>1844</v>
      </c>
      <c r="C1675" s="7" t="s">
        <v>1703</v>
      </c>
      <c r="D1675" s="7" t="s">
        <v>221</v>
      </c>
      <c r="F1675" s="7" t="s">
        <v>570</v>
      </c>
      <c r="G1675" s="7" t="s">
        <v>1545</v>
      </c>
      <c r="H1675" s="7" t="s">
        <v>1362</v>
      </c>
      <c r="I1675" s="7" t="s">
        <v>1253</v>
      </c>
      <c r="K1675" s="39" t="s">
        <v>260</v>
      </c>
      <c r="L1675" s="40">
        <v>8.69</v>
      </c>
      <c r="M1675" s="40">
        <v>262044.09</v>
      </c>
      <c r="N1675" s="40">
        <f t="shared" si="52"/>
        <v>8.69</v>
      </c>
    </row>
    <row r="1676" spans="1:14" ht="12.75" hidden="1" customHeight="1" x14ac:dyDescent="0.2">
      <c r="A1676">
        <v>65061</v>
      </c>
      <c r="B1676" s="3" t="s">
        <v>1844</v>
      </c>
      <c r="C1676" s="7" t="s">
        <v>1703</v>
      </c>
      <c r="D1676" s="7" t="s">
        <v>221</v>
      </c>
      <c r="F1676" s="7" t="s">
        <v>355</v>
      </c>
      <c r="G1676" s="7" t="s">
        <v>1545</v>
      </c>
      <c r="H1676" s="7" t="s">
        <v>1362</v>
      </c>
      <c r="I1676" s="7" t="s">
        <v>1253</v>
      </c>
      <c r="K1676" s="39" t="s">
        <v>260</v>
      </c>
      <c r="L1676" s="40">
        <v>13.42</v>
      </c>
      <c r="M1676" s="40">
        <v>262057.51</v>
      </c>
      <c r="N1676" s="40">
        <f t="shared" si="52"/>
        <v>13.42</v>
      </c>
    </row>
    <row r="1677" spans="1:14" ht="12.75" hidden="1" customHeight="1" x14ac:dyDescent="0.2">
      <c r="A1677">
        <v>65061</v>
      </c>
      <c r="B1677" s="3" t="s">
        <v>1844</v>
      </c>
      <c r="C1677" s="7" t="s">
        <v>1704</v>
      </c>
      <c r="D1677" s="7" t="s">
        <v>221</v>
      </c>
      <c r="F1677" s="7" t="s">
        <v>564</v>
      </c>
      <c r="G1677" s="7" t="s">
        <v>1545</v>
      </c>
      <c r="H1677" s="7" t="s">
        <v>1362</v>
      </c>
      <c r="I1677" s="7" t="s">
        <v>1253</v>
      </c>
      <c r="K1677" s="39" t="s">
        <v>260</v>
      </c>
      <c r="L1677" s="40">
        <v>57.02</v>
      </c>
      <c r="M1677" s="40">
        <v>265327.23</v>
      </c>
      <c r="N1677" s="40">
        <f t="shared" si="52"/>
        <v>57.02</v>
      </c>
    </row>
    <row r="1678" spans="1:14" ht="12.75" hidden="1" customHeight="1" x14ac:dyDescent="0.2">
      <c r="A1678">
        <v>65061</v>
      </c>
      <c r="B1678" s="3" t="s">
        <v>1844</v>
      </c>
      <c r="C1678" s="7" t="s">
        <v>1613</v>
      </c>
      <c r="D1678" s="7" t="s">
        <v>242</v>
      </c>
      <c r="F1678" s="7" t="s">
        <v>578</v>
      </c>
      <c r="G1678" s="7" t="s">
        <v>1545</v>
      </c>
      <c r="H1678" s="7" t="s">
        <v>1362</v>
      </c>
      <c r="I1678" s="7" t="s">
        <v>1253</v>
      </c>
      <c r="K1678" s="39" t="s">
        <v>260</v>
      </c>
      <c r="L1678" s="40">
        <v>-26.93</v>
      </c>
      <c r="M1678" s="40">
        <v>266966.81</v>
      </c>
      <c r="N1678" s="40">
        <f t="shared" si="52"/>
        <v>-26.93</v>
      </c>
    </row>
    <row r="1679" spans="1:14" ht="12.75" hidden="1" customHeight="1" x14ac:dyDescent="0.2">
      <c r="A1679">
        <v>65061</v>
      </c>
      <c r="B1679" s="3" t="s">
        <v>1844</v>
      </c>
      <c r="C1679" s="7" t="s">
        <v>1613</v>
      </c>
      <c r="D1679" s="7" t="s">
        <v>221</v>
      </c>
      <c r="F1679" s="7" t="s">
        <v>265</v>
      </c>
      <c r="G1679" s="7" t="s">
        <v>1545</v>
      </c>
      <c r="H1679" s="7" t="s">
        <v>1362</v>
      </c>
      <c r="I1679" s="7" t="s">
        <v>1253</v>
      </c>
      <c r="K1679" s="39" t="s">
        <v>260</v>
      </c>
      <c r="L1679" s="40">
        <v>116.1</v>
      </c>
      <c r="M1679" s="40">
        <v>267228.84999999998</v>
      </c>
      <c r="N1679" s="40">
        <f t="shared" si="52"/>
        <v>116.1</v>
      </c>
    </row>
    <row r="1680" spans="1:14" ht="12.75" hidden="1" customHeight="1" x14ac:dyDescent="0.2">
      <c r="A1680">
        <v>65061</v>
      </c>
      <c r="B1680" s="3" t="s">
        <v>1844</v>
      </c>
      <c r="C1680" s="7" t="s">
        <v>1613</v>
      </c>
      <c r="D1680" s="7" t="s">
        <v>221</v>
      </c>
      <c r="F1680" s="7" t="s">
        <v>578</v>
      </c>
      <c r="G1680" s="7" t="s">
        <v>1545</v>
      </c>
      <c r="H1680" s="7" t="s">
        <v>1362</v>
      </c>
      <c r="I1680" s="7" t="s">
        <v>1253</v>
      </c>
      <c r="K1680" s="39" t="s">
        <v>260</v>
      </c>
      <c r="L1680" s="40">
        <v>107.7</v>
      </c>
      <c r="M1680" s="40">
        <v>267336.55</v>
      </c>
      <c r="N1680" s="40">
        <f t="shared" si="52"/>
        <v>107.7</v>
      </c>
    </row>
    <row r="1681" spans="1:14" ht="12.75" hidden="1" customHeight="1" x14ac:dyDescent="0.2">
      <c r="A1681">
        <v>65061</v>
      </c>
      <c r="B1681" s="3" t="s">
        <v>1844</v>
      </c>
      <c r="C1681" s="7" t="s">
        <v>1616</v>
      </c>
      <c r="D1681" s="7" t="s">
        <v>221</v>
      </c>
      <c r="F1681" s="7" t="s">
        <v>563</v>
      </c>
      <c r="G1681" s="7" t="s">
        <v>1545</v>
      </c>
      <c r="H1681" s="7" t="s">
        <v>1362</v>
      </c>
      <c r="I1681" s="7" t="s">
        <v>1253</v>
      </c>
      <c r="K1681" s="39" t="s">
        <v>260</v>
      </c>
      <c r="L1681" s="40">
        <v>167.67</v>
      </c>
      <c r="M1681" s="40">
        <v>267898.33</v>
      </c>
      <c r="N1681" s="40">
        <f t="shared" si="52"/>
        <v>167.67</v>
      </c>
    </row>
    <row r="1682" spans="1:14" ht="12.75" hidden="1" customHeight="1" x14ac:dyDescent="0.2">
      <c r="A1682">
        <v>65061</v>
      </c>
      <c r="B1682" s="3" t="s">
        <v>1844</v>
      </c>
      <c r="C1682" s="7" t="s">
        <v>1616</v>
      </c>
      <c r="D1682" s="7" t="s">
        <v>221</v>
      </c>
      <c r="F1682" s="7" t="s">
        <v>602</v>
      </c>
      <c r="G1682" s="7" t="s">
        <v>1545</v>
      </c>
      <c r="H1682" s="7" t="s">
        <v>1362</v>
      </c>
      <c r="I1682" s="7" t="s">
        <v>1253</v>
      </c>
      <c r="K1682" s="39" t="s">
        <v>260</v>
      </c>
      <c r="L1682" s="40">
        <v>14.94</v>
      </c>
      <c r="M1682" s="40">
        <v>268376.46999999997</v>
      </c>
      <c r="N1682" s="40">
        <f t="shared" si="52"/>
        <v>14.94</v>
      </c>
    </row>
    <row r="1683" spans="1:14" ht="12.75" hidden="1" customHeight="1" x14ac:dyDescent="0.2">
      <c r="A1683">
        <v>65061</v>
      </c>
      <c r="B1683" s="3" t="s">
        <v>1844</v>
      </c>
      <c r="C1683" s="7" t="s">
        <v>1805</v>
      </c>
      <c r="D1683" s="7" t="s">
        <v>221</v>
      </c>
      <c r="F1683" s="7" t="s">
        <v>220</v>
      </c>
      <c r="G1683" s="7" t="s">
        <v>1545</v>
      </c>
      <c r="H1683" s="7" t="s">
        <v>1362</v>
      </c>
      <c r="I1683" s="7" t="s">
        <v>1253</v>
      </c>
      <c r="K1683" s="39" t="s">
        <v>260</v>
      </c>
      <c r="L1683" s="40">
        <v>32.28</v>
      </c>
      <c r="M1683" s="40">
        <v>269521.08</v>
      </c>
      <c r="N1683" s="40">
        <f t="shared" si="52"/>
        <v>32.28</v>
      </c>
    </row>
    <row r="1684" spans="1:14" ht="12.75" hidden="1" customHeight="1" x14ac:dyDescent="0.2">
      <c r="A1684">
        <v>65061</v>
      </c>
      <c r="B1684" s="3" t="s">
        <v>1844</v>
      </c>
      <c r="C1684" s="7" t="s">
        <v>1805</v>
      </c>
      <c r="D1684" s="7" t="s">
        <v>221</v>
      </c>
      <c r="F1684" s="7" t="s">
        <v>563</v>
      </c>
      <c r="G1684" s="7" t="s">
        <v>1545</v>
      </c>
      <c r="H1684" s="7" t="s">
        <v>1362</v>
      </c>
      <c r="I1684" s="7" t="s">
        <v>1253</v>
      </c>
      <c r="K1684" s="39" t="s">
        <v>260</v>
      </c>
      <c r="L1684" s="40">
        <v>454.28</v>
      </c>
      <c r="M1684" s="40">
        <v>269975.36</v>
      </c>
      <c r="N1684" s="40">
        <f t="shared" si="52"/>
        <v>454.28</v>
      </c>
    </row>
    <row r="1685" spans="1:14" ht="12.75" hidden="1" customHeight="1" x14ac:dyDescent="0.2">
      <c r="A1685">
        <v>65061</v>
      </c>
      <c r="B1685" s="3" t="s">
        <v>1844</v>
      </c>
      <c r="C1685" s="7" t="s">
        <v>1805</v>
      </c>
      <c r="D1685" s="7" t="s">
        <v>221</v>
      </c>
      <c r="F1685" s="7" t="s">
        <v>564</v>
      </c>
      <c r="G1685" s="7" t="s">
        <v>1545</v>
      </c>
      <c r="H1685" s="7" t="s">
        <v>1362</v>
      </c>
      <c r="I1685" s="7" t="s">
        <v>1253</v>
      </c>
      <c r="K1685" s="39" t="s">
        <v>260</v>
      </c>
      <c r="L1685" s="40">
        <v>59.44</v>
      </c>
      <c r="M1685" s="40">
        <v>270070.82</v>
      </c>
      <c r="N1685" s="40">
        <f t="shared" si="52"/>
        <v>59.44</v>
      </c>
    </row>
    <row r="1686" spans="1:14" ht="12.75" hidden="1" customHeight="1" x14ac:dyDescent="0.2">
      <c r="A1686">
        <v>65061</v>
      </c>
      <c r="B1686" s="3" t="s">
        <v>1844</v>
      </c>
      <c r="C1686" s="7" t="s">
        <v>1617</v>
      </c>
      <c r="D1686" s="7" t="s">
        <v>200</v>
      </c>
      <c r="E1686" s="7">
        <v>1067</v>
      </c>
      <c r="F1686" s="7" t="s">
        <v>902</v>
      </c>
      <c r="G1686" s="7" t="s">
        <v>1545</v>
      </c>
      <c r="H1686" s="7" t="s">
        <v>1362</v>
      </c>
      <c r="I1686" s="7" t="s">
        <v>1253</v>
      </c>
      <c r="K1686" s="39" t="s">
        <v>260</v>
      </c>
      <c r="L1686" s="40">
        <v>217.82</v>
      </c>
      <c r="M1686" s="40">
        <v>271150.51</v>
      </c>
      <c r="N1686" s="40">
        <f t="shared" si="52"/>
        <v>217.82</v>
      </c>
    </row>
    <row r="1687" spans="1:14" ht="12.75" hidden="1" customHeight="1" x14ac:dyDescent="0.2">
      <c r="A1687">
        <v>65061</v>
      </c>
      <c r="B1687" s="3" t="s">
        <v>1844</v>
      </c>
      <c r="C1687" s="7" t="s">
        <v>1617</v>
      </c>
      <c r="D1687" s="7" t="s">
        <v>200</v>
      </c>
      <c r="E1687" s="7">
        <v>1068</v>
      </c>
      <c r="F1687" s="7" t="s">
        <v>902</v>
      </c>
      <c r="G1687" s="7" t="s">
        <v>1545</v>
      </c>
      <c r="H1687" s="7" t="s">
        <v>1362</v>
      </c>
      <c r="I1687" s="7" t="s">
        <v>1253</v>
      </c>
      <c r="K1687" s="39" t="s">
        <v>260</v>
      </c>
      <c r="L1687" s="40">
        <v>104.26</v>
      </c>
      <c r="M1687" s="40">
        <v>271254.77</v>
      </c>
      <c r="N1687" s="40">
        <f t="shared" si="52"/>
        <v>104.26</v>
      </c>
    </row>
    <row r="1688" spans="1:14" ht="12.75" hidden="1" customHeight="1" x14ac:dyDescent="0.2">
      <c r="A1688">
        <v>65061</v>
      </c>
      <c r="B1688" s="3" t="s">
        <v>1844</v>
      </c>
      <c r="C1688" s="7" t="s">
        <v>1617</v>
      </c>
      <c r="D1688" s="7" t="s">
        <v>242</v>
      </c>
      <c r="F1688" s="7" t="s">
        <v>1850</v>
      </c>
      <c r="G1688" s="7" t="s">
        <v>1545</v>
      </c>
      <c r="H1688" s="7" t="s">
        <v>1362</v>
      </c>
      <c r="I1688" s="7" t="s">
        <v>1253</v>
      </c>
      <c r="K1688" s="39" t="s">
        <v>260</v>
      </c>
      <c r="L1688" s="40">
        <v>-21.57</v>
      </c>
      <c r="M1688" s="40">
        <v>271233.2</v>
      </c>
      <c r="N1688" s="40">
        <f t="shared" si="52"/>
        <v>-21.57</v>
      </c>
    </row>
    <row r="1689" spans="1:14" ht="12.75" hidden="1" customHeight="1" x14ac:dyDescent="0.2">
      <c r="A1689">
        <v>65061</v>
      </c>
      <c r="B1689" s="3" t="s">
        <v>1844</v>
      </c>
      <c r="C1689" s="7" t="s">
        <v>1617</v>
      </c>
      <c r="D1689" s="7" t="s">
        <v>221</v>
      </c>
      <c r="F1689" s="7" t="s">
        <v>355</v>
      </c>
      <c r="G1689" s="7" t="s">
        <v>1545</v>
      </c>
      <c r="H1689" s="7" t="s">
        <v>1362</v>
      </c>
      <c r="I1689" s="7" t="s">
        <v>1253</v>
      </c>
      <c r="K1689" s="39" t="s">
        <v>260</v>
      </c>
      <c r="L1689" s="40">
        <v>54.13</v>
      </c>
      <c r="M1689" s="40">
        <v>271287.33</v>
      </c>
      <c r="N1689" s="40">
        <f t="shared" si="52"/>
        <v>54.13</v>
      </c>
    </row>
    <row r="1690" spans="1:14" ht="12.75" hidden="1" customHeight="1" x14ac:dyDescent="0.2">
      <c r="A1690">
        <v>65061</v>
      </c>
      <c r="B1690" s="3" t="s">
        <v>1844</v>
      </c>
      <c r="C1690" s="7" t="s">
        <v>1617</v>
      </c>
      <c r="D1690" s="7" t="s">
        <v>221</v>
      </c>
      <c r="F1690" s="7" t="s">
        <v>345</v>
      </c>
      <c r="G1690" s="7" t="s">
        <v>1545</v>
      </c>
      <c r="H1690" s="7" t="s">
        <v>1362</v>
      </c>
      <c r="I1690" s="7" t="s">
        <v>1253</v>
      </c>
      <c r="K1690" s="39" t="s">
        <v>260</v>
      </c>
      <c r="L1690" s="40">
        <v>21.23</v>
      </c>
      <c r="M1690" s="40">
        <v>271308.56</v>
      </c>
      <c r="N1690" s="40">
        <f t="shared" si="52"/>
        <v>21.23</v>
      </c>
    </row>
    <row r="1691" spans="1:14" ht="12.75" hidden="1" customHeight="1" x14ac:dyDescent="0.2">
      <c r="A1691">
        <v>65061</v>
      </c>
      <c r="B1691" s="3" t="s">
        <v>1844</v>
      </c>
      <c r="C1691" s="7" t="s">
        <v>1663</v>
      </c>
      <c r="D1691" s="7" t="s">
        <v>221</v>
      </c>
      <c r="F1691" s="7" t="s">
        <v>569</v>
      </c>
      <c r="G1691" s="7" t="s">
        <v>1545</v>
      </c>
      <c r="H1691" s="7" t="s">
        <v>1362</v>
      </c>
      <c r="I1691" s="7" t="s">
        <v>1253</v>
      </c>
      <c r="K1691" s="39" t="s">
        <v>260</v>
      </c>
      <c r="L1691" s="40">
        <v>24.58</v>
      </c>
      <c r="M1691" s="40">
        <v>273852.58</v>
      </c>
      <c r="N1691" s="40">
        <f t="shared" si="52"/>
        <v>24.58</v>
      </c>
    </row>
    <row r="1692" spans="1:14" ht="12.75" hidden="1" customHeight="1" x14ac:dyDescent="0.2">
      <c r="A1692">
        <v>65061</v>
      </c>
      <c r="B1692" s="3" t="s">
        <v>1844</v>
      </c>
      <c r="C1692" s="7" t="s">
        <v>1663</v>
      </c>
      <c r="D1692" s="7" t="s">
        <v>221</v>
      </c>
      <c r="F1692" s="7" t="s">
        <v>241</v>
      </c>
      <c r="G1692" s="7" t="s">
        <v>1545</v>
      </c>
      <c r="H1692" s="7" t="s">
        <v>1362</v>
      </c>
      <c r="I1692" s="7" t="s">
        <v>1253</v>
      </c>
      <c r="K1692" s="39" t="s">
        <v>260</v>
      </c>
      <c r="L1692" s="40">
        <v>3.05</v>
      </c>
      <c r="M1692" s="40">
        <v>273855.63</v>
      </c>
      <c r="N1692" s="40">
        <f t="shared" si="52"/>
        <v>3.05</v>
      </c>
    </row>
    <row r="1693" spans="1:14" ht="12.75" hidden="1" customHeight="1" x14ac:dyDescent="0.2">
      <c r="A1693">
        <v>65061</v>
      </c>
      <c r="B1693" s="3" t="s">
        <v>1844</v>
      </c>
      <c r="C1693" s="7" t="s">
        <v>1619</v>
      </c>
      <c r="D1693" s="7" t="s">
        <v>221</v>
      </c>
      <c r="F1693" s="7" t="s">
        <v>573</v>
      </c>
      <c r="G1693" s="7" t="s">
        <v>1545</v>
      </c>
      <c r="H1693" s="7" t="s">
        <v>1362</v>
      </c>
      <c r="I1693" s="7" t="s">
        <v>1253</v>
      </c>
      <c r="K1693" s="39" t="s">
        <v>260</v>
      </c>
      <c r="L1693" s="40">
        <v>37.97</v>
      </c>
      <c r="M1693" s="40">
        <v>274702.46000000002</v>
      </c>
      <c r="N1693" s="40">
        <f t="shared" si="52"/>
        <v>37.97</v>
      </c>
    </row>
    <row r="1694" spans="1:14" ht="12.75" hidden="1" customHeight="1" x14ac:dyDescent="0.2">
      <c r="A1694">
        <v>65061</v>
      </c>
      <c r="B1694" s="3" t="s">
        <v>1844</v>
      </c>
      <c r="C1694" s="7" t="s">
        <v>1709</v>
      </c>
      <c r="D1694" s="7" t="s">
        <v>221</v>
      </c>
      <c r="F1694" s="7" t="s">
        <v>615</v>
      </c>
      <c r="G1694" s="7" t="s">
        <v>1545</v>
      </c>
      <c r="H1694" s="7" t="s">
        <v>1362</v>
      </c>
      <c r="I1694" s="7" t="s">
        <v>1253</v>
      </c>
      <c r="K1694" s="39" t="s">
        <v>260</v>
      </c>
      <c r="L1694" s="40">
        <v>7.55</v>
      </c>
      <c r="M1694" s="40">
        <v>276112.58</v>
      </c>
      <c r="N1694" s="40">
        <f t="shared" si="52"/>
        <v>7.55</v>
      </c>
    </row>
    <row r="1695" spans="1:14" ht="12.75" hidden="1" customHeight="1" x14ac:dyDescent="0.2">
      <c r="A1695">
        <v>65061</v>
      </c>
      <c r="B1695" s="3" t="s">
        <v>1844</v>
      </c>
      <c r="C1695" s="7" t="s">
        <v>1622</v>
      </c>
      <c r="D1695" s="7" t="s">
        <v>221</v>
      </c>
      <c r="F1695" s="7" t="s">
        <v>1955</v>
      </c>
      <c r="G1695" s="7" t="s">
        <v>1545</v>
      </c>
      <c r="H1695" s="7" t="s">
        <v>1362</v>
      </c>
      <c r="I1695" s="7" t="s">
        <v>1253</v>
      </c>
      <c r="K1695" s="39" t="s">
        <v>260</v>
      </c>
      <c r="L1695" s="40">
        <v>229.99</v>
      </c>
      <c r="M1695" s="40">
        <v>277208.84000000003</v>
      </c>
      <c r="N1695" s="40">
        <f t="shared" si="52"/>
        <v>229.99</v>
      </c>
    </row>
    <row r="1696" spans="1:14" ht="12.75" hidden="1" customHeight="1" x14ac:dyDescent="0.2">
      <c r="A1696">
        <v>65061</v>
      </c>
      <c r="B1696" s="3" t="s">
        <v>1844</v>
      </c>
      <c r="C1696" s="7" t="s">
        <v>1760</v>
      </c>
      <c r="D1696" s="7" t="s">
        <v>221</v>
      </c>
      <c r="F1696" s="7" t="s">
        <v>548</v>
      </c>
      <c r="G1696" s="7" t="s">
        <v>1545</v>
      </c>
      <c r="H1696" s="7" t="s">
        <v>1362</v>
      </c>
      <c r="I1696" s="7" t="s">
        <v>1253</v>
      </c>
      <c r="K1696" s="39" t="s">
        <v>260</v>
      </c>
      <c r="L1696" s="40">
        <v>32.369999999999997</v>
      </c>
      <c r="M1696" s="40">
        <v>279022.53999999998</v>
      </c>
      <c r="N1696" s="40">
        <f t="shared" si="52"/>
        <v>32.369999999999997</v>
      </c>
    </row>
    <row r="1697" spans="1:14" ht="12.75" hidden="1" customHeight="1" x14ac:dyDescent="0.2">
      <c r="A1697">
        <v>65061</v>
      </c>
      <c r="B1697" s="3" t="s">
        <v>1844</v>
      </c>
      <c r="C1697" s="7" t="s">
        <v>1760</v>
      </c>
      <c r="D1697" s="7" t="s">
        <v>242</v>
      </c>
      <c r="F1697" s="7" t="s">
        <v>563</v>
      </c>
      <c r="G1697" s="7" t="s">
        <v>1545</v>
      </c>
      <c r="H1697" s="7" t="s">
        <v>1362</v>
      </c>
      <c r="I1697" s="7" t="s">
        <v>1253</v>
      </c>
      <c r="K1697" s="39" t="s">
        <v>260</v>
      </c>
      <c r="L1697" s="40">
        <v>-93.45</v>
      </c>
      <c r="M1697" s="40">
        <v>278929.09000000003</v>
      </c>
      <c r="N1697" s="40">
        <f t="shared" si="52"/>
        <v>-93.45</v>
      </c>
    </row>
    <row r="1698" spans="1:14" ht="12.75" hidden="1" customHeight="1" x14ac:dyDescent="0.2">
      <c r="A1698">
        <v>65061</v>
      </c>
      <c r="B1698" s="3" t="s">
        <v>1844</v>
      </c>
      <c r="C1698" s="7" t="s">
        <v>1760</v>
      </c>
      <c r="D1698" s="7" t="s">
        <v>221</v>
      </c>
      <c r="F1698" s="7" t="s">
        <v>241</v>
      </c>
      <c r="G1698" s="7" t="s">
        <v>1545</v>
      </c>
      <c r="H1698" s="7" t="s">
        <v>1362</v>
      </c>
      <c r="I1698" s="7" t="s">
        <v>1253</v>
      </c>
      <c r="K1698" s="39" t="s">
        <v>260</v>
      </c>
      <c r="L1698" s="40">
        <v>9.11</v>
      </c>
      <c r="M1698" s="40">
        <v>278938.2</v>
      </c>
      <c r="N1698" s="40">
        <f t="shared" si="52"/>
        <v>9.11</v>
      </c>
    </row>
    <row r="1699" spans="1:14" ht="12.75" hidden="1" customHeight="1" x14ac:dyDescent="0.2">
      <c r="A1699">
        <v>65061</v>
      </c>
      <c r="B1699" s="3" t="s">
        <v>1844</v>
      </c>
      <c r="C1699" s="7" t="s">
        <v>1760</v>
      </c>
      <c r="D1699" s="7" t="s">
        <v>221</v>
      </c>
      <c r="F1699" s="7" t="s">
        <v>564</v>
      </c>
      <c r="G1699" s="7" t="s">
        <v>1545</v>
      </c>
      <c r="H1699" s="7" t="s">
        <v>1362</v>
      </c>
      <c r="I1699" s="7" t="s">
        <v>1253</v>
      </c>
      <c r="K1699" s="39" t="s">
        <v>260</v>
      </c>
      <c r="L1699" s="40">
        <v>8.6199999999999992</v>
      </c>
      <c r="M1699" s="40">
        <v>280175.17</v>
      </c>
      <c r="N1699" s="40">
        <f t="shared" si="52"/>
        <v>8.6199999999999992</v>
      </c>
    </row>
    <row r="1700" spans="1:14" ht="12.75" hidden="1" customHeight="1" x14ac:dyDescent="0.2">
      <c r="A1700">
        <v>65061</v>
      </c>
      <c r="B1700" s="3" t="s">
        <v>1844</v>
      </c>
      <c r="C1700" s="7" t="s">
        <v>1760</v>
      </c>
      <c r="D1700" s="7" t="s">
        <v>221</v>
      </c>
      <c r="F1700" s="7" t="s">
        <v>1962</v>
      </c>
      <c r="G1700" s="7" t="s">
        <v>1545</v>
      </c>
      <c r="H1700" s="7" t="s">
        <v>1362</v>
      </c>
      <c r="I1700" s="7" t="s">
        <v>1253</v>
      </c>
      <c r="K1700" s="39" t="s">
        <v>260</v>
      </c>
      <c r="L1700" s="40">
        <v>57.32</v>
      </c>
      <c r="M1700" s="40">
        <v>280232.49</v>
      </c>
      <c r="N1700" s="40">
        <f t="shared" si="52"/>
        <v>57.32</v>
      </c>
    </row>
    <row r="1701" spans="1:14" ht="12.75" hidden="1" customHeight="1" x14ac:dyDescent="0.2">
      <c r="A1701">
        <v>65061</v>
      </c>
      <c r="B1701" s="3" t="s">
        <v>1844</v>
      </c>
      <c r="C1701" s="7" t="s">
        <v>1624</v>
      </c>
      <c r="D1701" s="7" t="s">
        <v>221</v>
      </c>
      <c r="F1701" s="7" t="s">
        <v>589</v>
      </c>
      <c r="G1701" s="7" t="s">
        <v>1545</v>
      </c>
      <c r="H1701" s="7" t="s">
        <v>1362</v>
      </c>
      <c r="I1701" s="7" t="s">
        <v>1253</v>
      </c>
      <c r="K1701" s="39" t="s">
        <v>260</v>
      </c>
      <c r="L1701" s="40">
        <v>17.22</v>
      </c>
      <c r="M1701" s="40">
        <v>283128.44</v>
      </c>
      <c r="N1701" s="40">
        <f t="shared" si="52"/>
        <v>17.22</v>
      </c>
    </row>
    <row r="1702" spans="1:14" ht="12.75" hidden="1" customHeight="1" x14ac:dyDescent="0.2">
      <c r="A1702">
        <v>65061</v>
      </c>
      <c r="B1702" s="3" t="s">
        <v>1844</v>
      </c>
      <c r="C1702" s="7" t="s">
        <v>1624</v>
      </c>
      <c r="D1702" s="7" t="s">
        <v>221</v>
      </c>
      <c r="F1702" s="7" t="s">
        <v>573</v>
      </c>
      <c r="G1702" s="7" t="s">
        <v>1545</v>
      </c>
      <c r="H1702" s="7" t="s">
        <v>1362</v>
      </c>
      <c r="I1702" s="7" t="s">
        <v>1253</v>
      </c>
      <c r="K1702" s="39" t="s">
        <v>260</v>
      </c>
      <c r="L1702" s="40">
        <v>122.26</v>
      </c>
      <c r="M1702" s="40">
        <v>285985.42</v>
      </c>
      <c r="N1702" s="40">
        <f t="shared" si="52"/>
        <v>122.26</v>
      </c>
    </row>
    <row r="1703" spans="1:14" ht="12.75" hidden="1" customHeight="1" x14ac:dyDescent="0.2">
      <c r="A1703">
        <v>65061</v>
      </c>
      <c r="B1703" s="3" t="s">
        <v>1844</v>
      </c>
      <c r="C1703" s="7" t="s">
        <v>1626</v>
      </c>
      <c r="D1703" s="7" t="s">
        <v>221</v>
      </c>
      <c r="F1703" s="7" t="s">
        <v>241</v>
      </c>
      <c r="G1703" s="7" t="s">
        <v>1545</v>
      </c>
      <c r="H1703" s="7" t="s">
        <v>1362</v>
      </c>
      <c r="I1703" s="7" t="s">
        <v>1253</v>
      </c>
      <c r="K1703" s="39" t="s">
        <v>260</v>
      </c>
      <c r="L1703" s="40">
        <v>56.37</v>
      </c>
      <c r="M1703" s="40">
        <v>287968.90000000002</v>
      </c>
      <c r="N1703" s="40">
        <f t="shared" si="52"/>
        <v>56.37</v>
      </c>
    </row>
    <row r="1704" spans="1:14" ht="12.75" hidden="1" customHeight="1" x14ac:dyDescent="0.2">
      <c r="A1704">
        <v>65061</v>
      </c>
      <c r="B1704" s="3" t="s">
        <v>1844</v>
      </c>
      <c r="C1704" s="7" t="s">
        <v>1546</v>
      </c>
      <c r="D1704" s="7" t="s">
        <v>221</v>
      </c>
      <c r="F1704" s="7" t="s">
        <v>1962</v>
      </c>
      <c r="G1704" s="7" t="s">
        <v>1545</v>
      </c>
      <c r="H1704" s="7" t="s">
        <v>1362</v>
      </c>
      <c r="I1704" s="7" t="s">
        <v>1253</v>
      </c>
      <c r="K1704" s="39" t="s">
        <v>260</v>
      </c>
      <c r="L1704" s="40">
        <v>57.32</v>
      </c>
      <c r="M1704" s="40">
        <v>288865.27</v>
      </c>
      <c r="N1704" s="40">
        <f t="shared" si="52"/>
        <v>57.32</v>
      </c>
    </row>
    <row r="1705" spans="1:14" ht="12.75" hidden="1" customHeight="1" x14ac:dyDescent="0.2">
      <c r="A1705">
        <v>65061</v>
      </c>
      <c r="B1705" s="3" t="s">
        <v>1844</v>
      </c>
      <c r="C1705" s="7" t="s">
        <v>1631</v>
      </c>
      <c r="D1705" s="7" t="s">
        <v>221</v>
      </c>
      <c r="F1705" s="7" t="s">
        <v>594</v>
      </c>
      <c r="G1705" s="7" t="s">
        <v>1545</v>
      </c>
      <c r="H1705" s="7" t="s">
        <v>1362</v>
      </c>
      <c r="I1705" s="7" t="s">
        <v>1253</v>
      </c>
      <c r="K1705" s="39" t="s">
        <v>260</v>
      </c>
      <c r="L1705" s="40">
        <v>143.62</v>
      </c>
      <c r="M1705" s="40">
        <v>289576.73</v>
      </c>
      <c r="N1705" s="40">
        <f t="shared" si="52"/>
        <v>143.62</v>
      </c>
    </row>
    <row r="1706" spans="1:14" ht="12.75" hidden="1" customHeight="1" x14ac:dyDescent="0.2">
      <c r="A1706">
        <v>65061</v>
      </c>
      <c r="B1706" s="3" t="s">
        <v>1844</v>
      </c>
      <c r="C1706" s="7" t="s">
        <v>1631</v>
      </c>
      <c r="D1706" s="7" t="s">
        <v>221</v>
      </c>
      <c r="F1706" s="7" t="s">
        <v>577</v>
      </c>
      <c r="G1706" s="7" t="s">
        <v>1545</v>
      </c>
      <c r="H1706" s="7" t="s">
        <v>1362</v>
      </c>
      <c r="I1706" s="7" t="s">
        <v>1253</v>
      </c>
      <c r="K1706" s="39" t="s">
        <v>260</v>
      </c>
      <c r="L1706" s="40">
        <v>4.28</v>
      </c>
      <c r="M1706" s="40">
        <v>289581.01</v>
      </c>
      <c r="N1706" s="40">
        <f t="shared" si="52"/>
        <v>4.28</v>
      </c>
    </row>
    <row r="1707" spans="1:14" ht="12.75" hidden="1" customHeight="1" x14ac:dyDescent="0.2">
      <c r="A1707">
        <v>65061</v>
      </c>
      <c r="B1707" s="3" t="s">
        <v>1844</v>
      </c>
      <c r="C1707" s="7" t="s">
        <v>1631</v>
      </c>
      <c r="D1707" s="7" t="s">
        <v>221</v>
      </c>
      <c r="F1707" s="7" t="s">
        <v>570</v>
      </c>
      <c r="G1707" s="7" t="s">
        <v>1545</v>
      </c>
      <c r="H1707" s="7" t="s">
        <v>1362</v>
      </c>
      <c r="I1707" s="7" t="s">
        <v>1253</v>
      </c>
      <c r="K1707" s="39" t="s">
        <v>260</v>
      </c>
      <c r="L1707" s="40">
        <v>56.65</v>
      </c>
      <c r="M1707" s="40">
        <v>289637.65999999997</v>
      </c>
      <c r="N1707" s="40">
        <f t="shared" si="52"/>
        <v>56.65</v>
      </c>
    </row>
    <row r="1708" spans="1:14" ht="12.75" hidden="1" customHeight="1" x14ac:dyDescent="0.2">
      <c r="A1708">
        <v>65061</v>
      </c>
      <c r="B1708" s="3" t="s">
        <v>1844</v>
      </c>
      <c r="C1708" s="7" t="s">
        <v>1631</v>
      </c>
      <c r="D1708" s="7" t="s">
        <v>221</v>
      </c>
      <c r="F1708" s="7" t="s">
        <v>573</v>
      </c>
      <c r="G1708" s="7" t="s">
        <v>1545</v>
      </c>
      <c r="H1708" s="7" t="s">
        <v>1362</v>
      </c>
      <c r="I1708" s="7" t="s">
        <v>1253</v>
      </c>
      <c r="K1708" s="39" t="s">
        <v>260</v>
      </c>
      <c r="L1708" s="40">
        <v>210.86</v>
      </c>
      <c r="M1708" s="40">
        <v>289848.52</v>
      </c>
      <c r="N1708" s="40">
        <f t="shared" si="52"/>
        <v>210.86</v>
      </c>
    </row>
    <row r="1709" spans="1:14" ht="12.75" hidden="1" customHeight="1" x14ac:dyDescent="0.2">
      <c r="A1709">
        <v>65061</v>
      </c>
      <c r="B1709" s="3" t="s">
        <v>1844</v>
      </c>
      <c r="C1709" s="7" t="s">
        <v>1631</v>
      </c>
      <c r="D1709" s="7" t="s">
        <v>221</v>
      </c>
      <c r="F1709" s="7" t="s">
        <v>241</v>
      </c>
      <c r="G1709" s="7" t="s">
        <v>1545</v>
      </c>
      <c r="H1709" s="7" t="s">
        <v>1362</v>
      </c>
      <c r="I1709" s="7" t="s">
        <v>1253</v>
      </c>
      <c r="K1709" s="39" t="s">
        <v>260</v>
      </c>
      <c r="L1709" s="40">
        <v>120.32</v>
      </c>
      <c r="M1709" s="40">
        <v>289968.84000000003</v>
      </c>
      <c r="N1709" s="40">
        <f t="shared" si="52"/>
        <v>120.32</v>
      </c>
    </row>
    <row r="1710" spans="1:14" ht="12.75" hidden="1" customHeight="1" x14ac:dyDescent="0.2">
      <c r="A1710">
        <v>65061</v>
      </c>
      <c r="B1710" s="3" t="s">
        <v>1844</v>
      </c>
      <c r="C1710" s="7" t="s">
        <v>1680</v>
      </c>
      <c r="D1710" s="7" t="s">
        <v>221</v>
      </c>
      <c r="F1710" s="7" t="s">
        <v>722</v>
      </c>
      <c r="G1710" s="7" t="s">
        <v>1545</v>
      </c>
      <c r="H1710" s="7" t="s">
        <v>1362</v>
      </c>
      <c r="I1710" s="7" t="s">
        <v>1253</v>
      </c>
      <c r="K1710" s="39" t="s">
        <v>260</v>
      </c>
      <c r="L1710" s="40">
        <v>220.48</v>
      </c>
      <c r="M1710" s="40">
        <v>291444.05</v>
      </c>
      <c r="N1710" s="40">
        <f t="shared" si="52"/>
        <v>220.48</v>
      </c>
    </row>
    <row r="1711" spans="1:14" ht="12.75" hidden="1" customHeight="1" x14ac:dyDescent="0.2">
      <c r="A1711">
        <v>65061</v>
      </c>
      <c r="B1711" s="3" t="s">
        <v>1844</v>
      </c>
      <c r="C1711" s="7" t="s">
        <v>1789</v>
      </c>
      <c r="D1711" s="7" t="s">
        <v>221</v>
      </c>
      <c r="F1711" s="7" t="s">
        <v>241</v>
      </c>
      <c r="G1711" s="7" t="s">
        <v>1545</v>
      </c>
      <c r="H1711" s="7" t="s">
        <v>1362</v>
      </c>
      <c r="I1711" s="7" t="s">
        <v>1253</v>
      </c>
      <c r="K1711" s="39" t="s">
        <v>260</v>
      </c>
      <c r="L1711" s="40">
        <v>52.97</v>
      </c>
      <c r="M1711" s="40">
        <v>295316.53999999998</v>
      </c>
      <c r="N1711" s="40">
        <f t="shared" si="52"/>
        <v>52.97</v>
      </c>
    </row>
    <row r="1712" spans="1:14" ht="12.75" hidden="1" customHeight="1" x14ac:dyDescent="0.2">
      <c r="A1712">
        <v>65061</v>
      </c>
      <c r="B1712" s="3" t="s">
        <v>1844</v>
      </c>
      <c r="C1712" s="7" t="s">
        <v>1638</v>
      </c>
      <c r="D1712" s="7" t="s">
        <v>200</v>
      </c>
      <c r="E1712" s="7">
        <v>1069</v>
      </c>
      <c r="F1712" s="7" t="s">
        <v>636</v>
      </c>
      <c r="G1712" s="7" t="s">
        <v>1545</v>
      </c>
      <c r="H1712" s="7" t="s">
        <v>1362</v>
      </c>
      <c r="I1712" s="7" t="s">
        <v>1253</v>
      </c>
      <c r="K1712" s="39" t="s">
        <v>260</v>
      </c>
      <c r="L1712" s="40">
        <v>187.96</v>
      </c>
      <c r="M1712" s="40">
        <v>296023.32</v>
      </c>
      <c r="N1712" s="40">
        <f t="shared" si="52"/>
        <v>187.96</v>
      </c>
    </row>
    <row r="1713" spans="1:14" ht="12.75" hidden="1" customHeight="1" x14ac:dyDescent="0.2">
      <c r="A1713">
        <v>65061</v>
      </c>
      <c r="B1713" s="3" t="s">
        <v>1844</v>
      </c>
      <c r="C1713" s="7" t="s">
        <v>1638</v>
      </c>
      <c r="D1713" s="7" t="s">
        <v>221</v>
      </c>
      <c r="F1713" s="7" t="s">
        <v>684</v>
      </c>
      <c r="G1713" s="7" t="s">
        <v>1545</v>
      </c>
      <c r="H1713" s="7" t="s">
        <v>1362</v>
      </c>
      <c r="I1713" s="7" t="s">
        <v>1253</v>
      </c>
      <c r="K1713" s="39" t="s">
        <v>260</v>
      </c>
      <c r="L1713" s="40">
        <v>41.88</v>
      </c>
      <c r="M1713" s="40">
        <v>296065.2</v>
      </c>
      <c r="N1713" s="40">
        <f t="shared" si="52"/>
        <v>41.88</v>
      </c>
    </row>
    <row r="1714" spans="1:14" ht="12.75" hidden="1" customHeight="1" x14ac:dyDescent="0.2">
      <c r="A1714">
        <v>65061</v>
      </c>
      <c r="B1714" s="3" t="s">
        <v>1844</v>
      </c>
      <c r="C1714" s="7" t="s">
        <v>1638</v>
      </c>
      <c r="D1714" s="7" t="s">
        <v>221</v>
      </c>
      <c r="F1714" s="7" t="s">
        <v>570</v>
      </c>
      <c r="G1714" s="7" t="s">
        <v>1545</v>
      </c>
      <c r="H1714" s="7" t="s">
        <v>1362</v>
      </c>
      <c r="I1714" s="7" t="s">
        <v>1253</v>
      </c>
      <c r="K1714" s="39" t="s">
        <v>260</v>
      </c>
      <c r="L1714" s="40">
        <v>107.83</v>
      </c>
      <c r="M1714" s="40">
        <v>296173.03000000003</v>
      </c>
      <c r="N1714" s="40">
        <f t="shared" si="52"/>
        <v>107.83</v>
      </c>
    </row>
    <row r="1715" spans="1:14" ht="12.75" hidden="1" customHeight="1" x14ac:dyDescent="0.2">
      <c r="A1715">
        <v>65061</v>
      </c>
      <c r="B1715" s="3" t="s">
        <v>1844</v>
      </c>
      <c r="C1715" s="7" t="s">
        <v>1638</v>
      </c>
      <c r="D1715" s="7" t="s">
        <v>221</v>
      </c>
      <c r="F1715" s="7" t="s">
        <v>352</v>
      </c>
      <c r="G1715" s="7" t="s">
        <v>1545</v>
      </c>
      <c r="H1715" s="7" t="s">
        <v>1362</v>
      </c>
      <c r="I1715" s="7" t="s">
        <v>1253</v>
      </c>
      <c r="K1715" s="39" t="s">
        <v>260</v>
      </c>
      <c r="L1715" s="40">
        <v>38.369999999999997</v>
      </c>
      <c r="M1715" s="40">
        <v>296211.40000000002</v>
      </c>
      <c r="N1715" s="40">
        <f t="shared" si="52"/>
        <v>38.369999999999997</v>
      </c>
    </row>
    <row r="1716" spans="1:14" ht="12.75" hidden="1" customHeight="1" x14ac:dyDescent="0.2">
      <c r="A1716">
        <v>65061</v>
      </c>
      <c r="B1716" s="3" t="s">
        <v>1844</v>
      </c>
      <c r="C1716" s="7" t="s">
        <v>1638</v>
      </c>
      <c r="D1716" s="7" t="s">
        <v>221</v>
      </c>
      <c r="F1716" s="7" t="s">
        <v>743</v>
      </c>
      <c r="G1716" s="7" t="s">
        <v>1545</v>
      </c>
      <c r="H1716" s="7" t="s">
        <v>1362</v>
      </c>
      <c r="I1716" s="7" t="s">
        <v>1253</v>
      </c>
      <c r="K1716" s="39" t="s">
        <v>260</v>
      </c>
      <c r="L1716" s="40">
        <v>16.760000000000002</v>
      </c>
      <c r="M1716" s="40">
        <v>296228.15999999997</v>
      </c>
      <c r="N1716" s="40">
        <f t="shared" si="52"/>
        <v>16.760000000000002</v>
      </c>
    </row>
    <row r="1717" spans="1:14" ht="12.75" hidden="1" customHeight="1" x14ac:dyDescent="0.2">
      <c r="A1717">
        <v>65061</v>
      </c>
      <c r="B1717" s="3" t="s">
        <v>1844</v>
      </c>
      <c r="C1717" s="7" t="s">
        <v>1638</v>
      </c>
      <c r="D1717" s="7" t="s">
        <v>221</v>
      </c>
      <c r="F1717" s="7" t="s">
        <v>641</v>
      </c>
      <c r="G1717" s="7" t="s">
        <v>1545</v>
      </c>
      <c r="H1717" s="7" t="s">
        <v>1362</v>
      </c>
      <c r="I1717" s="7" t="s">
        <v>1253</v>
      </c>
      <c r="K1717" s="39" t="s">
        <v>260</v>
      </c>
      <c r="L1717" s="40">
        <v>8.6999999999999993</v>
      </c>
      <c r="M1717" s="40">
        <v>296236.86</v>
      </c>
      <c r="N1717" s="40">
        <f t="shared" si="52"/>
        <v>8.6999999999999993</v>
      </c>
    </row>
    <row r="1718" spans="1:14" ht="12.75" hidden="1" customHeight="1" x14ac:dyDescent="0.2">
      <c r="A1718">
        <v>65061</v>
      </c>
      <c r="B1718" s="3" t="s">
        <v>1844</v>
      </c>
      <c r="C1718" s="7" t="s">
        <v>1638</v>
      </c>
      <c r="D1718" s="7" t="s">
        <v>221</v>
      </c>
      <c r="F1718" s="7" t="s">
        <v>597</v>
      </c>
      <c r="G1718" s="7" t="s">
        <v>1545</v>
      </c>
      <c r="H1718" s="7" t="s">
        <v>1362</v>
      </c>
      <c r="I1718" s="7" t="s">
        <v>1253</v>
      </c>
      <c r="K1718" s="39" t="s">
        <v>260</v>
      </c>
      <c r="L1718" s="40">
        <v>1.94</v>
      </c>
      <c r="M1718" s="40">
        <v>296238.8</v>
      </c>
      <c r="N1718" s="40">
        <f t="shared" si="52"/>
        <v>1.94</v>
      </c>
    </row>
    <row r="1719" spans="1:14" ht="12.75" hidden="1" customHeight="1" x14ac:dyDescent="0.2">
      <c r="A1719">
        <v>65061</v>
      </c>
      <c r="B1719" s="3" t="s">
        <v>1844</v>
      </c>
      <c r="C1719" s="7" t="s">
        <v>1640</v>
      </c>
      <c r="D1719" s="7" t="s">
        <v>221</v>
      </c>
      <c r="F1719" s="7" t="s">
        <v>1981</v>
      </c>
      <c r="G1719" s="7" t="s">
        <v>1545</v>
      </c>
      <c r="H1719" s="7" t="s">
        <v>1362</v>
      </c>
      <c r="I1719" s="7" t="s">
        <v>1253</v>
      </c>
      <c r="K1719" s="39" t="s">
        <v>260</v>
      </c>
      <c r="L1719" s="40">
        <v>367.58</v>
      </c>
      <c r="M1719" s="40">
        <v>296986.94</v>
      </c>
      <c r="N1719" s="40">
        <f t="shared" si="52"/>
        <v>367.58</v>
      </c>
    </row>
    <row r="1720" spans="1:14" ht="12.75" hidden="1" customHeight="1" x14ac:dyDescent="0.2">
      <c r="A1720">
        <v>65061</v>
      </c>
      <c r="B1720" s="3" t="s">
        <v>1844</v>
      </c>
      <c r="C1720" s="7" t="s">
        <v>1640</v>
      </c>
      <c r="D1720" s="7" t="s">
        <v>221</v>
      </c>
      <c r="F1720" s="7" t="s">
        <v>577</v>
      </c>
      <c r="G1720" s="7" t="s">
        <v>1545</v>
      </c>
      <c r="H1720" s="7" t="s">
        <v>1362</v>
      </c>
      <c r="I1720" s="7" t="s">
        <v>1253</v>
      </c>
      <c r="K1720" s="39" t="s">
        <v>260</v>
      </c>
      <c r="L1720" s="40">
        <v>9.15</v>
      </c>
      <c r="M1720" s="40">
        <v>296996.09000000003</v>
      </c>
      <c r="N1720" s="40">
        <f t="shared" si="52"/>
        <v>9.15</v>
      </c>
    </row>
    <row r="1721" spans="1:14" ht="12.75" hidden="1" customHeight="1" x14ac:dyDescent="0.2">
      <c r="A1721">
        <v>65061</v>
      </c>
      <c r="B1721" s="3" t="s">
        <v>1844</v>
      </c>
      <c r="C1721" s="7" t="s">
        <v>1640</v>
      </c>
      <c r="D1721" s="7" t="s">
        <v>221</v>
      </c>
      <c r="F1721" s="7" t="s">
        <v>548</v>
      </c>
      <c r="G1721" s="7" t="s">
        <v>1545</v>
      </c>
      <c r="H1721" s="7" t="s">
        <v>1362</v>
      </c>
      <c r="I1721" s="7" t="s">
        <v>1253</v>
      </c>
      <c r="K1721" s="39" t="s">
        <v>260</v>
      </c>
      <c r="L1721" s="40">
        <v>29.69</v>
      </c>
      <c r="M1721" s="40">
        <v>297025.78000000003</v>
      </c>
      <c r="N1721" s="40">
        <f t="shared" si="52"/>
        <v>29.69</v>
      </c>
    </row>
    <row r="1722" spans="1:14" ht="12.75" hidden="1" customHeight="1" x14ac:dyDescent="0.2">
      <c r="A1722">
        <v>65061</v>
      </c>
      <c r="B1722" s="3" t="s">
        <v>1844</v>
      </c>
      <c r="C1722" s="7" t="s">
        <v>1790</v>
      </c>
      <c r="D1722" s="7" t="s">
        <v>221</v>
      </c>
      <c r="F1722" s="7" t="s">
        <v>873</v>
      </c>
      <c r="G1722" s="7" t="s">
        <v>1545</v>
      </c>
      <c r="H1722" s="7" t="s">
        <v>1362</v>
      </c>
      <c r="I1722" s="7" t="s">
        <v>1253</v>
      </c>
      <c r="K1722" s="39" t="s">
        <v>260</v>
      </c>
      <c r="L1722" s="40">
        <v>67.78</v>
      </c>
      <c r="M1722" s="40">
        <v>297280.28999999998</v>
      </c>
      <c r="N1722" s="40">
        <f t="shared" si="52"/>
        <v>67.78</v>
      </c>
    </row>
    <row r="1723" spans="1:14" ht="12.75" hidden="1" customHeight="1" x14ac:dyDescent="0.2">
      <c r="A1723">
        <v>65061</v>
      </c>
      <c r="B1723" s="3" t="s">
        <v>1844</v>
      </c>
      <c r="C1723" s="7" t="s">
        <v>1790</v>
      </c>
      <c r="D1723" s="7" t="s">
        <v>221</v>
      </c>
      <c r="F1723" s="7" t="s">
        <v>602</v>
      </c>
      <c r="G1723" s="7" t="s">
        <v>1545</v>
      </c>
      <c r="H1723" s="7" t="s">
        <v>1362</v>
      </c>
      <c r="I1723" s="7" t="s">
        <v>1253</v>
      </c>
      <c r="K1723" s="39" t="s">
        <v>260</v>
      </c>
      <c r="L1723" s="40">
        <v>1.07</v>
      </c>
      <c r="M1723" s="40">
        <v>297349.36</v>
      </c>
      <c r="N1723" s="40">
        <f t="shared" si="52"/>
        <v>1.07</v>
      </c>
    </row>
    <row r="1724" spans="1:14" ht="12.75" hidden="1" customHeight="1" x14ac:dyDescent="0.2">
      <c r="A1724">
        <v>65061</v>
      </c>
      <c r="B1724" s="3" t="s">
        <v>1844</v>
      </c>
      <c r="C1724" s="7" t="s">
        <v>1790</v>
      </c>
      <c r="D1724" s="7" t="s">
        <v>221</v>
      </c>
      <c r="F1724" s="7" t="s">
        <v>589</v>
      </c>
      <c r="G1724" s="7" t="s">
        <v>1545</v>
      </c>
      <c r="H1724" s="7" t="s">
        <v>1362</v>
      </c>
      <c r="I1724" s="7" t="s">
        <v>1253</v>
      </c>
      <c r="K1724" s="39" t="s">
        <v>260</v>
      </c>
      <c r="L1724" s="40">
        <v>43.55</v>
      </c>
      <c r="M1724" s="40">
        <v>297392.90999999997</v>
      </c>
      <c r="N1724" s="40">
        <f t="shared" si="52"/>
        <v>43.55</v>
      </c>
    </row>
    <row r="1725" spans="1:14" ht="12.75" hidden="1" customHeight="1" x14ac:dyDescent="0.2">
      <c r="A1725">
        <v>65061</v>
      </c>
      <c r="B1725" s="3" t="s">
        <v>1844</v>
      </c>
      <c r="C1725" s="7" t="s">
        <v>1790</v>
      </c>
      <c r="D1725" s="7" t="s">
        <v>221</v>
      </c>
      <c r="F1725" s="7" t="s">
        <v>564</v>
      </c>
      <c r="G1725" s="7" t="s">
        <v>1545</v>
      </c>
      <c r="H1725" s="7" t="s">
        <v>1362</v>
      </c>
      <c r="I1725" s="7" t="s">
        <v>1253</v>
      </c>
      <c r="K1725" s="39" t="s">
        <v>260</v>
      </c>
      <c r="L1725" s="40">
        <v>6.22</v>
      </c>
      <c r="M1725" s="40">
        <v>297399.13</v>
      </c>
      <c r="N1725" s="40">
        <f t="shared" si="52"/>
        <v>6.22</v>
      </c>
    </row>
    <row r="1726" spans="1:14" ht="12.75" hidden="1" customHeight="1" x14ac:dyDescent="0.2">
      <c r="A1726">
        <v>65061</v>
      </c>
      <c r="B1726" s="3" t="s">
        <v>1844</v>
      </c>
      <c r="C1726" s="7" t="s">
        <v>1722</v>
      </c>
      <c r="D1726" s="7" t="s">
        <v>221</v>
      </c>
      <c r="F1726" s="7" t="s">
        <v>595</v>
      </c>
      <c r="G1726" s="7" t="s">
        <v>1545</v>
      </c>
      <c r="H1726" s="7" t="s">
        <v>1362</v>
      </c>
      <c r="I1726" s="7" t="s">
        <v>1253</v>
      </c>
      <c r="K1726" s="39" t="s">
        <v>260</v>
      </c>
      <c r="L1726" s="40">
        <v>133.27000000000001</v>
      </c>
      <c r="M1726" s="40">
        <v>297619.51</v>
      </c>
      <c r="N1726" s="40">
        <f t="shared" si="52"/>
        <v>133.27000000000001</v>
      </c>
    </row>
    <row r="1727" spans="1:14" ht="12.75" hidden="1" customHeight="1" x14ac:dyDescent="0.2">
      <c r="A1727">
        <v>65061</v>
      </c>
      <c r="B1727" s="3" t="s">
        <v>1844</v>
      </c>
      <c r="C1727" s="7" t="s">
        <v>1722</v>
      </c>
      <c r="D1727" s="7" t="s">
        <v>221</v>
      </c>
      <c r="F1727" s="7" t="s">
        <v>546</v>
      </c>
      <c r="G1727" s="7" t="s">
        <v>1545</v>
      </c>
      <c r="H1727" s="7" t="s">
        <v>1362</v>
      </c>
      <c r="I1727" s="7" t="s">
        <v>1253</v>
      </c>
      <c r="K1727" s="39" t="s">
        <v>260</v>
      </c>
      <c r="L1727" s="40">
        <v>45.18</v>
      </c>
      <c r="M1727" s="40">
        <v>297984.69</v>
      </c>
      <c r="N1727" s="40">
        <f t="shared" si="52"/>
        <v>45.18</v>
      </c>
    </row>
    <row r="1728" spans="1:14" ht="12.75" hidden="1" customHeight="1" x14ac:dyDescent="0.2">
      <c r="A1728">
        <v>65061</v>
      </c>
      <c r="B1728" s="3" t="s">
        <v>1844</v>
      </c>
      <c r="C1728" s="7" t="s">
        <v>1550</v>
      </c>
      <c r="D1728" s="7" t="s">
        <v>221</v>
      </c>
      <c r="F1728" s="7" t="s">
        <v>589</v>
      </c>
      <c r="G1728" s="7" t="s">
        <v>1545</v>
      </c>
      <c r="H1728" s="7" t="s">
        <v>1362</v>
      </c>
      <c r="I1728" s="7" t="s">
        <v>1253</v>
      </c>
      <c r="K1728" s="39" t="s">
        <v>260</v>
      </c>
      <c r="L1728" s="40">
        <v>5.41</v>
      </c>
      <c r="M1728" s="40">
        <v>298721.68</v>
      </c>
      <c r="N1728" s="40">
        <f t="shared" si="52"/>
        <v>5.41</v>
      </c>
    </row>
    <row r="1729" spans="1:14" ht="12.75" hidden="1" customHeight="1" x14ac:dyDescent="0.2">
      <c r="A1729">
        <v>65061</v>
      </c>
      <c r="B1729" s="3" t="s">
        <v>1844</v>
      </c>
      <c r="C1729" s="7" t="s">
        <v>1728</v>
      </c>
      <c r="D1729" s="7" t="s">
        <v>242</v>
      </c>
      <c r="F1729" s="7" t="s">
        <v>578</v>
      </c>
      <c r="G1729" s="7" t="s">
        <v>1545</v>
      </c>
      <c r="H1729" s="7" t="s">
        <v>1362</v>
      </c>
      <c r="I1729" s="7" t="s">
        <v>1253</v>
      </c>
      <c r="K1729" s="39" t="s">
        <v>260</v>
      </c>
      <c r="L1729" s="40">
        <v>-18.260000000000002</v>
      </c>
      <c r="M1729" s="40">
        <v>298754.17</v>
      </c>
      <c r="N1729" s="40">
        <f t="shared" si="52"/>
        <v>-18.260000000000002</v>
      </c>
    </row>
    <row r="1730" spans="1:14" ht="12.75" hidden="1" customHeight="1" x14ac:dyDescent="0.2">
      <c r="A1730">
        <v>65061</v>
      </c>
      <c r="B1730" s="3" t="s">
        <v>1844</v>
      </c>
      <c r="C1730" s="7" t="s">
        <v>1646</v>
      </c>
      <c r="D1730" s="7" t="s">
        <v>221</v>
      </c>
      <c r="F1730" s="7" t="s">
        <v>241</v>
      </c>
      <c r="G1730" s="7" t="s">
        <v>1545</v>
      </c>
      <c r="H1730" s="7" t="s">
        <v>1362</v>
      </c>
      <c r="I1730" s="7" t="s">
        <v>1253</v>
      </c>
      <c r="K1730" s="39" t="s">
        <v>260</v>
      </c>
      <c r="L1730" s="40">
        <v>113.11</v>
      </c>
      <c r="M1730" s="40">
        <v>299910.05</v>
      </c>
      <c r="N1730" s="40">
        <f t="shared" ref="N1730:N1740" si="53">+L1730</f>
        <v>113.11</v>
      </c>
    </row>
    <row r="1731" spans="1:14" ht="12.75" hidden="1" customHeight="1" x14ac:dyDescent="0.2">
      <c r="A1731">
        <v>65061</v>
      </c>
      <c r="B1731" s="3" t="s">
        <v>1844</v>
      </c>
      <c r="C1731" s="7" t="s">
        <v>1646</v>
      </c>
      <c r="D1731" s="7" t="s">
        <v>221</v>
      </c>
      <c r="F1731" s="7" t="s">
        <v>241</v>
      </c>
      <c r="G1731" s="7" t="s">
        <v>1545</v>
      </c>
      <c r="H1731" s="7" t="s">
        <v>1362</v>
      </c>
      <c r="I1731" s="7" t="s">
        <v>1253</v>
      </c>
      <c r="K1731" s="39" t="s">
        <v>260</v>
      </c>
      <c r="L1731" s="40">
        <v>228.57</v>
      </c>
      <c r="M1731" s="40">
        <v>301793.44</v>
      </c>
      <c r="N1731" s="40">
        <f t="shared" si="53"/>
        <v>228.57</v>
      </c>
    </row>
    <row r="1732" spans="1:14" ht="12.75" hidden="1" customHeight="1" x14ac:dyDescent="0.2">
      <c r="A1732">
        <v>65061</v>
      </c>
      <c r="B1732" s="3" t="s">
        <v>1844</v>
      </c>
      <c r="C1732" s="7" t="s">
        <v>1647</v>
      </c>
      <c r="D1732" s="7" t="s">
        <v>221</v>
      </c>
      <c r="F1732" s="7" t="s">
        <v>563</v>
      </c>
      <c r="G1732" s="7" t="s">
        <v>1545</v>
      </c>
      <c r="H1732" s="7" t="s">
        <v>1362</v>
      </c>
      <c r="I1732" s="7" t="s">
        <v>1253</v>
      </c>
      <c r="K1732" s="39" t="s">
        <v>260</v>
      </c>
      <c r="L1732" s="40">
        <v>44.33</v>
      </c>
      <c r="M1732" s="40">
        <v>302675.56</v>
      </c>
      <c r="N1732" s="40">
        <f t="shared" si="53"/>
        <v>44.33</v>
      </c>
    </row>
    <row r="1733" spans="1:14" ht="12.75" hidden="1" customHeight="1" x14ac:dyDescent="0.2">
      <c r="A1733">
        <v>65061</v>
      </c>
      <c r="B1733" s="3" t="s">
        <v>1844</v>
      </c>
      <c r="C1733" s="7" t="s">
        <v>1647</v>
      </c>
      <c r="D1733" s="7" t="s">
        <v>221</v>
      </c>
      <c r="F1733" s="7" t="s">
        <v>563</v>
      </c>
      <c r="G1733" s="7" t="s">
        <v>1545</v>
      </c>
      <c r="H1733" s="7" t="s">
        <v>1362</v>
      </c>
      <c r="I1733" s="7" t="s">
        <v>1253</v>
      </c>
      <c r="K1733" s="39" t="s">
        <v>260</v>
      </c>
      <c r="L1733" s="40">
        <v>91.79</v>
      </c>
      <c r="M1733" s="40">
        <v>302767.34999999998</v>
      </c>
      <c r="N1733" s="40">
        <f t="shared" si="53"/>
        <v>91.79</v>
      </c>
    </row>
    <row r="1734" spans="1:14" ht="12.75" hidden="1" customHeight="1" x14ac:dyDescent="0.2">
      <c r="A1734">
        <v>65061</v>
      </c>
      <c r="B1734" s="3" t="s">
        <v>1844</v>
      </c>
      <c r="C1734" s="7" t="s">
        <v>1647</v>
      </c>
      <c r="D1734" s="7" t="s">
        <v>221</v>
      </c>
      <c r="F1734" s="7" t="s">
        <v>595</v>
      </c>
      <c r="G1734" s="7" t="s">
        <v>1545</v>
      </c>
      <c r="H1734" s="7" t="s">
        <v>1362</v>
      </c>
      <c r="I1734" s="7" t="s">
        <v>1253</v>
      </c>
      <c r="K1734" s="39" t="s">
        <v>260</v>
      </c>
      <c r="L1734" s="40">
        <v>22.49</v>
      </c>
      <c r="M1734" s="40">
        <v>302934.07</v>
      </c>
      <c r="N1734" s="40">
        <f t="shared" si="53"/>
        <v>22.49</v>
      </c>
    </row>
    <row r="1735" spans="1:14" ht="12.75" hidden="1" customHeight="1" x14ac:dyDescent="0.2">
      <c r="A1735">
        <v>65061</v>
      </c>
      <c r="B1735" s="3" t="s">
        <v>1844</v>
      </c>
      <c r="C1735" s="7" t="s">
        <v>1647</v>
      </c>
      <c r="D1735" s="7" t="s">
        <v>221</v>
      </c>
      <c r="F1735" s="7" t="s">
        <v>241</v>
      </c>
      <c r="G1735" s="7" t="s">
        <v>1545</v>
      </c>
      <c r="H1735" s="7" t="s">
        <v>1362</v>
      </c>
      <c r="I1735" s="7" t="s">
        <v>1253</v>
      </c>
      <c r="K1735" s="39" t="s">
        <v>260</v>
      </c>
      <c r="L1735" s="40">
        <v>29.74</v>
      </c>
      <c r="M1735" s="40">
        <v>302963.81</v>
      </c>
      <c r="N1735" s="40">
        <f t="shared" si="53"/>
        <v>29.74</v>
      </c>
    </row>
    <row r="1736" spans="1:14" ht="12.75" hidden="1" customHeight="1" x14ac:dyDescent="0.2">
      <c r="A1736">
        <v>65061</v>
      </c>
      <c r="B1736" s="3" t="s">
        <v>1844</v>
      </c>
      <c r="C1736" s="7" t="s">
        <v>1647</v>
      </c>
      <c r="D1736" s="7" t="s">
        <v>221</v>
      </c>
      <c r="F1736" s="7" t="s">
        <v>241</v>
      </c>
      <c r="G1736" s="7" t="s">
        <v>1545</v>
      </c>
      <c r="H1736" s="7" t="s">
        <v>1362</v>
      </c>
      <c r="I1736" s="7" t="s">
        <v>1253</v>
      </c>
      <c r="K1736" s="39" t="s">
        <v>260</v>
      </c>
      <c r="L1736" s="40">
        <v>16.989999999999998</v>
      </c>
      <c r="M1736" s="40">
        <v>302980.8</v>
      </c>
      <c r="N1736" s="40">
        <f t="shared" si="53"/>
        <v>16.989999999999998</v>
      </c>
    </row>
    <row r="1737" spans="1:14" ht="12.75" hidden="1" customHeight="1" x14ac:dyDescent="0.2">
      <c r="A1737">
        <v>65061</v>
      </c>
      <c r="B1737" s="3" t="s">
        <v>1844</v>
      </c>
      <c r="C1737" s="7" t="s">
        <v>1648</v>
      </c>
      <c r="D1737" s="7" t="s">
        <v>221</v>
      </c>
      <c r="F1737" s="7" t="s">
        <v>595</v>
      </c>
      <c r="G1737" s="7" t="s">
        <v>1545</v>
      </c>
      <c r="H1737" s="7" t="s">
        <v>1362</v>
      </c>
      <c r="I1737" s="7" t="s">
        <v>1253</v>
      </c>
      <c r="K1737" s="39" t="s">
        <v>260</v>
      </c>
      <c r="L1737" s="40">
        <v>588.5</v>
      </c>
      <c r="M1737" s="40">
        <v>304762.94</v>
      </c>
      <c r="N1737" s="40">
        <f t="shared" si="53"/>
        <v>588.5</v>
      </c>
    </row>
    <row r="1738" spans="1:14" ht="12.75" hidden="1" customHeight="1" x14ac:dyDescent="0.2">
      <c r="A1738">
        <v>65061</v>
      </c>
      <c r="B1738" s="3" t="s">
        <v>1844</v>
      </c>
      <c r="C1738" s="7" t="s">
        <v>1648</v>
      </c>
      <c r="D1738" s="7" t="s">
        <v>221</v>
      </c>
      <c r="F1738" s="7" t="s">
        <v>234</v>
      </c>
      <c r="G1738" s="7" t="s">
        <v>1545</v>
      </c>
      <c r="H1738" s="7" t="s">
        <v>1362</v>
      </c>
      <c r="I1738" s="7" t="s">
        <v>1253</v>
      </c>
      <c r="K1738" s="39" t="s">
        <v>260</v>
      </c>
      <c r="L1738" s="40">
        <v>34.11</v>
      </c>
      <c r="M1738" s="40">
        <v>304797.05</v>
      </c>
      <c r="N1738" s="40">
        <f t="shared" si="53"/>
        <v>34.11</v>
      </c>
    </row>
    <row r="1739" spans="1:14" ht="12.75" hidden="1" customHeight="1" x14ac:dyDescent="0.2">
      <c r="A1739">
        <v>65061</v>
      </c>
      <c r="B1739" s="3" t="s">
        <v>1844</v>
      </c>
      <c r="C1739" s="7" t="s">
        <v>1664</v>
      </c>
      <c r="D1739" s="7" t="s">
        <v>221</v>
      </c>
      <c r="F1739" s="7" t="s">
        <v>573</v>
      </c>
      <c r="G1739" s="7" t="s">
        <v>1545</v>
      </c>
      <c r="H1739" s="7" t="s">
        <v>1362</v>
      </c>
      <c r="I1739" s="7" t="s">
        <v>1253</v>
      </c>
      <c r="K1739" s="39" t="s">
        <v>260</v>
      </c>
      <c r="L1739" s="40">
        <v>332.92</v>
      </c>
      <c r="M1739" s="40">
        <v>306316.62</v>
      </c>
      <c r="N1739" s="40">
        <f t="shared" si="53"/>
        <v>332.92</v>
      </c>
    </row>
    <row r="1740" spans="1:14" ht="12.75" hidden="1" customHeight="1" x14ac:dyDescent="0.2">
      <c r="A1740">
        <v>65095</v>
      </c>
      <c r="B1740" s="3" t="s">
        <v>1259</v>
      </c>
      <c r="C1740" s="7" t="s">
        <v>1617</v>
      </c>
      <c r="D1740" s="7" t="s">
        <v>183</v>
      </c>
      <c r="E1740" s="7">
        <v>689</v>
      </c>
      <c r="G1740" s="7" t="s">
        <v>1545</v>
      </c>
      <c r="H1740" s="43" t="s">
        <v>1361</v>
      </c>
      <c r="I1740" s="7" t="s">
        <v>1259</v>
      </c>
      <c r="K1740" s="39" t="s">
        <v>180</v>
      </c>
      <c r="L1740" s="40">
        <v>6.06</v>
      </c>
      <c r="M1740" s="40">
        <v>1009.51</v>
      </c>
      <c r="N1740" s="40">
        <f t="shared" si="53"/>
        <v>6.06</v>
      </c>
    </row>
    <row r="1741" spans="1:14" ht="12.75" customHeight="1" x14ac:dyDescent="0.2">
      <c r="A1741">
        <v>43400</v>
      </c>
      <c r="B1741" s="3" t="s">
        <v>1224</v>
      </c>
      <c r="C1741" s="7" t="s">
        <v>1608</v>
      </c>
      <c r="D1741" s="7" t="s">
        <v>1168</v>
      </c>
      <c r="E1741" s="7">
        <v>1005</v>
      </c>
      <c r="F1741" s="7" t="s">
        <v>1167</v>
      </c>
      <c r="G1741" s="7" t="s">
        <v>182</v>
      </c>
      <c r="H1741" s="7" t="s">
        <v>1359</v>
      </c>
      <c r="I1741" s="7" t="s">
        <v>1224</v>
      </c>
      <c r="J1741" s="39" t="s">
        <v>1609</v>
      </c>
      <c r="K1741" s="39" t="s">
        <v>1165</v>
      </c>
      <c r="L1741" s="40">
        <v>5500</v>
      </c>
      <c r="M1741" s="40">
        <v>254747.42</v>
      </c>
      <c r="N1741" s="41">
        <f>-L1741</f>
        <v>-5500</v>
      </c>
    </row>
    <row r="1742" spans="1:14" ht="12.75" hidden="1" customHeight="1" x14ac:dyDescent="0.2">
      <c r="A1742">
        <v>65061</v>
      </c>
      <c r="B1742" s="3" t="s">
        <v>1844</v>
      </c>
      <c r="C1742" s="7" t="s">
        <v>1686</v>
      </c>
      <c r="D1742" s="7" t="s">
        <v>221</v>
      </c>
      <c r="F1742" s="7" t="s">
        <v>1812</v>
      </c>
      <c r="G1742" s="7" t="s">
        <v>1598</v>
      </c>
      <c r="H1742" s="7" t="s">
        <v>1362</v>
      </c>
      <c r="I1742" s="7" t="s">
        <v>1253</v>
      </c>
      <c r="K1742" s="39" t="s">
        <v>696</v>
      </c>
      <c r="L1742" s="40">
        <v>1695</v>
      </c>
      <c r="M1742" s="40">
        <v>207625.47</v>
      </c>
      <c r="N1742" s="40">
        <f t="shared" ref="N1742:N1773" si="54">+L1742</f>
        <v>1695</v>
      </c>
    </row>
    <row r="1743" spans="1:14" ht="12.75" hidden="1" customHeight="1" x14ac:dyDescent="0.2">
      <c r="A1743">
        <v>65061</v>
      </c>
      <c r="B1743" s="3" t="s">
        <v>1844</v>
      </c>
      <c r="C1743" s="7" t="s">
        <v>1649</v>
      </c>
      <c r="D1743" s="7" t="s">
        <v>221</v>
      </c>
      <c r="F1743" s="7" t="s">
        <v>589</v>
      </c>
      <c r="G1743" s="7" t="s">
        <v>1598</v>
      </c>
      <c r="H1743" s="7" t="s">
        <v>1362</v>
      </c>
      <c r="I1743" s="7" t="s">
        <v>1253</v>
      </c>
      <c r="K1743" s="39" t="s">
        <v>696</v>
      </c>
      <c r="L1743" s="40">
        <v>172.54</v>
      </c>
      <c r="M1743" s="40">
        <v>208683.72</v>
      </c>
      <c r="N1743" s="40">
        <f t="shared" si="54"/>
        <v>172.54</v>
      </c>
    </row>
    <row r="1744" spans="1:14" ht="12.75" hidden="1" customHeight="1" x14ac:dyDescent="0.2">
      <c r="A1744">
        <v>65061</v>
      </c>
      <c r="B1744" s="3" t="s">
        <v>1844</v>
      </c>
      <c r="C1744" s="7" t="s">
        <v>1649</v>
      </c>
      <c r="D1744" s="7" t="s">
        <v>221</v>
      </c>
      <c r="F1744" s="7" t="s">
        <v>570</v>
      </c>
      <c r="G1744" s="7" t="s">
        <v>1598</v>
      </c>
      <c r="H1744" s="7" t="s">
        <v>1362</v>
      </c>
      <c r="I1744" s="7" t="s">
        <v>1253</v>
      </c>
      <c r="K1744" s="39" t="s">
        <v>696</v>
      </c>
      <c r="L1744" s="40">
        <v>250</v>
      </c>
      <c r="M1744" s="40">
        <v>208933.72</v>
      </c>
      <c r="N1744" s="40">
        <f t="shared" si="54"/>
        <v>250</v>
      </c>
    </row>
    <row r="1745" spans="1:14" ht="12.75" hidden="1" customHeight="1" x14ac:dyDescent="0.2">
      <c r="A1745">
        <v>65061</v>
      </c>
      <c r="B1745" s="3" t="s">
        <v>1844</v>
      </c>
      <c r="C1745" s="7" t="s">
        <v>1649</v>
      </c>
      <c r="D1745" s="7" t="s">
        <v>221</v>
      </c>
      <c r="F1745" s="7" t="s">
        <v>355</v>
      </c>
      <c r="G1745" s="7" t="s">
        <v>1598</v>
      </c>
      <c r="H1745" s="7" t="s">
        <v>1362</v>
      </c>
      <c r="I1745" s="7" t="s">
        <v>1253</v>
      </c>
      <c r="K1745" s="39" t="s">
        <v>696</v>
      </c>
      <c r="L1745" s="40">
        <v>46.58</v>
      </c>
      <c r="M1745" s="40">
        <v>208980.3</v>
      </c>
      <c r="N1745" s="40">
        <f t="shared" si="54"/>
        <v>46.58</v>
      </c>
    </row>
    <row r="1746" spans="1:14" ht="12.75" hidden="1" customHeight="1" x14ac:dyDescent="0.2">
      <c r="A1746">
        <v>65061</v>
      </c>
      <c r="B1746" s="3" t="s">
        <v>1844</v>
      </c>
      <c r="C1746" s="7" t="s">
        <v>1649</v>
      </c>
      <c r="D1746" s="7" t="s">
        <v>221</v>
      </c>
      <c r="F1746" s="7" t="s">
        <v>1855</v>
      </c>
      <c r="G1746" s="7" t="s">
        <v>1598</v>
      </c>
      <c r="H1746" s="7" t="s">
        <v>1362</v>
      </c>
      <c r="I1746" s="7" t="s">
        <v>1253</v>
      </c>
      <c r="K1746" s="39" t="s">
        <v>696</v>
      </c>
      <c r="L1746" s="40">
        <v>31.95</v>
      </c>
      <c r="M1746" s="40">
        <v>209012.25</v>
      </c>
      <c r="N1746" s="40">
        <f t="shared" si="54"/>
        <v>31.95</v>
      </c>
    </row>
    <row r="1747" spans="1:14" ht="12.75" hidden="1" customHeight="1" x14ac:dyDescent="0.2">
      <c r="A1747">
        <v>65061</v>
      </c>
      <c r="B1747" s="3" t="s">
        <v>1844</v>
      </c>
      <c r="C1747" s="7" t="s">
        <v>1562</v>
      </c>
      <c r="D1747" s="7" t="s">
        <v>221</v>
      </c>
      <c r="F1747" s="7" t="s">
        <v>767</v>
      </c>
      <c r="G1747" s="7" t="s">
        <v>1598</v>
      </c>
      <c r="H1747" s="7" t="s">
        <v>1362</v>
      </c>
      <c r="I1747" s="7" t="s">
        <v>1253</v>
      </c>
      <c r="K1747" s="39" t="s">
        <v>696</v>
      </c>
      <c r="L1747" s="40">
        <v>160.65</v>
      </c>
      <c r="M1747" s="40">
        <v>213917.35</v>
      </c>
      <c r="N1747" s="40">
        <f t="shared" si="54"/>
        <v>160.65</v>
      </c>
    </row>
    <row r="1748" spans="1:14" ht="12.75" hidden="1" customHeight="1" x14ac:dyDescent="0.2">
      <c r="A1748">
        <v>65061</v>
      </c>
      <c r="B1748" s="3" t="s">
        <v>1844</v>
      </c>
      <c r="C1748" s="7" t="s">
        <v>1562</v>
      </c>
      <c r="D1748" s="7" t="s">
        <v>221</v>
      </c>
      <c r="F1748" s="7" t="s">
        <v>548</v>
      </c>
      <c r="G1748" s="7" t="s">
        <v>1598</v>
      </c>
      <c r="H1748" s="7" t="s">
        <v>1362</v>
      </c>
      <c r="I1748" s="7" t="s">
        <v>1253</v>
      </c>
      <c r="K1748" s="39" t="s">
        <v>696</v>
      </c>
      <c r="L1748" s="40">
        <v>214.03</v>
      </c>
      <c r="M1748" s="40">
        <v>214131.38</v>
      </c>
      <c r="N1748" s="40">
        <f t="shared" si="54"/>
        <v>214.03</v>
      </c>
    </row>
    <row r="1749" spans="1:14" ht="12.75" hidden="1" customHeight="1" x14ac:dyDescent="0.2">
      <c r="A1749">
        <v>65061</v>
      </c>
      <c r="B1749" s="3" t="s">
        <v>1844</v>
      </c>
      <c r="C1749" s="7" t="s">
        <v>1562</v>
      </c>
      <c r="D1749" s="7" t="s">
        <v>221</v>
      </c>
      <c r="F1749" s="7" t="s">
        <v>1863</v>
      </c>
      <c r="G1749" s="7" t="s">
        <v>1598</v>
      </c>
      <c r="H1749" s="7" t="s">
        <v>1362</v>
      </c>
      <c r="I1749" s="7" t="s">
        <v>1253</v>
      </c>
      <c r="K1749" s="39" t="s">
        <v>696</v>
      </c>
      <c r="L1749" s="40">
        <v>257.66000000000003</v>
      </c>
      <c r="M1749" s="40">
        <v>214389.04</v>
      </c>
      <c r="N1749" s="40">
        <f t="shared" si="54"/>
        <v>257.66000000000003</v>
      </c>
    </row>
    <row r="1750" spans="1:14" ht="12.75" hidden="1" customHeight="1" x14ac:dyDescent="0.2">
      <c r="A1750">
        <v>65061</v>
      </c>
      <c r="B1750" s="3" t="s">
        <v>1844</v>
      </c>
      <c r="C1750" s="7" t="s">
        <v>1793</v>
      </c>
      <c r="D1750" s="7" t="s">
        <v>221</v>
      </c>
      <c r="F1750" s="7" t="s">
        <v>658</v>
      </c>
      <c r="G1750" s="7" t="s">
        <v>1598</v>
      </c>
      <c r="H1750" s="7" t="s">
        <v>1362</v>
      </c>
      <c r="I1750" s="7" t="s">
        <v>1253</v>
      </c>
      <c r="K1750" s="39" t="s">
        <v>696</v>
      </c>
      <c r="L1750" s="40">
        <v>59.68</v>
      </c>
      <c r="M1750" s="40">
        <v>215080.01</v>
      </c>
      <c r="N1750" s="40">
        <f t="shared" si="54"/>
        <v>59.68</v>
      </c>
    </row>
    <row r="1751" spans="1:14" ht="12.75" hidden="1" customHeight="1" x14ac:dyDescent="0.2">
      <c r="A1751">
        <v>65061</v>
      </c>
      <c r="B1751" s="3" t="s">
        <v>1844</v>
      </c>
      <c r="C1751" s="7" t="s">
        <v>1793</v>
      </c>
      <c r="D1751" s="7" t="s">
        <v>221</v>
      </c>
      <c r="F1751" s="7" t="s">
        <v>241</v>
      </c>
      <c r="G1751" s="7" t="s">
        <v>1598</v>
      </c>
      <c r="H1751" s="7" t="s">
        <v>1362</v>
      </c>
      <c r="I1751" s="7" t="s">
        <v>1253</v>
      </c>
      <c r="K1751" s="39" t="s">
        <v>696</v>
      </c>
      <c r="L1751" s="40">
        <v>63.41</v>
      </c>
      <c r="M1751" s="40">
        <v>215143.42</v>
      </c>
      <c r="N1751" s="40">
        <f t="shared" si="54"/>
        <v>63.41</v>
      </c>
    </row>
    <row r="1752" spans="1:14" ht="12.75" hidden="1" customHeight="1" x14ac:dyDescent="0.2">
      <c r="A1752">
        <v>65061</v>
      </c>
      <c r="B1752" s="3" t="s">
        <v>1844</v>
      </c>
      <c r="C1752" s="7" t="s">
        <v>1793</v>
      </c>
      <c r="D1752" s="7" t="s">
        <v>221</v>
      </c>
      <c r="F1752" s="7" t="s">
        <v>241</v>
      </c>
      <c r="G1752" s="7" t="s">
        <v>1598</v>
      </c>
      <c r="H1752" s="7" t="s">
        <v>1362</v>
      </c>
      <c r="I1752" s="7" t="s">
        <v>1253</v>
      </c>
      <c r="K1752" s="39" t="s">
        <v>696</v>
      </c>
      <c r="L1752" s="40">
        <v>217.94</v>
      </c>
      <c r="M1752" s="40">
        <v>215361.36</v>
      </c>
      <c r="N1752" s="40">
        <f t="shared" si="54"/>
        <v>217.94</v>
      </c>
    </row>
    <row r="1753" spans="1:14" ht="12.75" hidden="1" customHeight="1" x14ac:dyDescent="0.2">
      <c r="A1753">
        <v>65061</v>
      </c>
      <c r="B1753" s="3" t="s">
        <v>1844</v>
      </c>
      <c r="C1753" s="7" t="s">
        <v>1567</v>
      </c>
      <c r="D1753" s="7" t="s">
        <v>221</v>
      </c>
      <c r="F1753" s="7" t="s">
        <v>644</v>
      </c>
      <c r="G1753" s="7" t="s">
        <v>1598</v>
      </c>
      <c r="H1753" s="7" t="s">
        <v>1362</v>
      </c>
      <c r="I1753" s="7" t="s">
        <v>1253</v>
      </c>
      <c r="K1753" s="39" t="s">
        <v>696</v>
      </c>
      <c r="L1753" s="40">
        <v>288.26</v>
      </c>
      <c r="M1753" s="40">
        <v>216475.01</v>
      </c>
      <c r="N1753" s="40">
        <f t="shared" si="54"/>
        <v>288.26</v>
      </c>
    </row>
    <row r="1754" spans="1:14" ht="12.75" hidden="1" customHeight="1" x14ac:dyDescent="0.2">
      <c r="A1754">
        <v>65061</v>
      </c>
      <c r="B1754" s="3" t="s">
        <v>1844</v>
      </c>
      <c r="C1754" s="7" t="s">
        <v>1567</v>
      </c>
      <c r="D1754" s="7" t="s">
        <v>221</v>
      </c>
      <c r="F1754" s="7" t="s">
        <v>712</v>
      </c>
      <c r="G1754" s="7" t="s">
        <v>1598</v>
      </c>
      <c r="H1754" s="7" t="s">
        <v>1362</v>
      </c>
      <c r="I1754" s="7" t="s">
        <v>1253</v>
      </c>
      <c r="K1754" s="39" t="s">
        <v>696</v>
      </c>
      <c r="L1754" s="40">
        <v>335.5</v>
      </c>
      <c r="M1754" s="40">
        <v>216810.51</v>
      </c>
      <c r="N1754" s="40">
        <f t="shared" si="54"/>
        <v>335.5</v>
      </c>
    </row>
    <row r="1755" spans="1:14" ht="12.75" hidden="1" customHeight="1" x14ac:dyDescent="0.2">
      <c r="A1755">
        <v>65061</v>
      </c>
      <c r="B1755" s="3" t="s">
        <v>1844</v>
      </c>
      <c r="C1755" s="7" t="s">
        <v>1569</v>
      </c>
      <c r="D1755" s="7" t="s">
        <v>221</v>
      </c>
      <c r="F1755" s="7" t="s">
        <v>711</v>
      </c>
      <c r="G1755" s="7" t="s">
        <v>1598</v>
      </c>
      <c r="H1755" s="7" t="s">
        <v>1362</v>
      </c>
      <c r="I1755" s="7" t="s">
        <v>1253</v>
      </c>
      <c r="K1755" s="39" t="s">
        <v>696</v>
      </c>
      <c r="L1755" s="40">
        <v>170.13</v>
      </c>
      <c r="M1755" s="40">
        <v>219484.71</v>
      </c>
      <c r="N1755" s="40">
        <f t="shared" si="54"/>
        <v>170.13</v>
      </c>
    </row>
    <row r="1756" spans="1:14" ht="12.75" hidden="1" customHeight="1" x14ac:dyDescent="0.2">
      <c r="A1756">
        <v>65061</v>
      </c>
      <c r="B1756" s="3" t="s">
        <v>1844</v>
      </c>
      <c r="C1756" s="7" t="s">
        <v>1570</v>
      </c>
      <c r="D1756" s="7" t="s">
        <v>221</v>
      </c>
      <c r="F1756" s="7" t="s">
        <v>644</v>
      </c>
      <c r="G1756" s="7" t="s">
        <v>1598</v>
      </c>
      <c r="H1756" s="7" t="s">
        <v>1362</v>
      </c>
      <c r="I1756" s="7" t="s">
        <v>1253</v>
      </c>
      <c r="K1756" s="39" t="s">
        <v>696</v>
      </c>
      <c r="L1756" s="40">
        <v>44.67</v>
      </c>
      <c r="M1756" s="40">
        <v>222307.04</v>
      </c>
      <c r="N1756" s="40">
        <f t="shared" si="54"/>
        <v>44.67</v>
      </c>
    </row>
    <row r="1757" spans="1:14" ht="12.75" hidden="1" customHeight="1" x14ac:dyDescent="0.2">
      <c r="A1757">
        <v>65061</v>
      </c>
      <c r="B1757" s="3" t="s">
        <v>1844</v>
      </c>
      <c r="C1757" s="7" t="s">
        <v>1570</v>
      </c>
      <c r="D1757" s="7" t="s">
        <v>242</v>
      </c>
      <c r="F1757" s="7" t="s">
        <v>1863</v>
      </c>
      <c r="G1757" s="7" t="s">
        <v>1598</v>
      </c>
      <c r="H1757" s="7" t="s">
        <v>1362</v>
      </c>
      <c r="I1757" s="7" t="s">
        <v>1253</v>
      </c>
      <c r="K1757" s="39" t="s">
        <v>696</v>
      </c>
      <c r="L1757" s="40">
        <v>-53.48</v>
      </c>
      <c r="M1757" s="40">
        <v>222253.56</v>
      </c>
      <c r="N1757" s="40">
        <f t="shared" si="54"/>
        <v>-53.48</v>
      </c>
    </row>
    <row r="1758" spans="1:14" ht="12.75" hidden="1" customHeight="1" x14ac:dyDescent="0.2">
      <c r="A1758">
        <v>65061</v>
      </c>
      <c r="B1758" s="3" t="s">
        <v>1844</v>
      </c>
      <c r="C1758" s="7" t="s">
        <v>1570</v>
      </c>
      <c r="D1758" s="7" t="s">
        <v>242</v>
      </c>
      <c r="F1758" s="7" t="s">
        <v>644</v>
      </c>
      <c r="G1758" s="7" t="s">
        <v>1598</v>
      </c>
      <c r="H1758" s="7" t="s">
        <v>1362</v>
      </c>
      <c r="I1758" s="7" t="s">
        <v>1253</v>
      </c>
      <c r="K1758" s="39" t="s">
        <v>696</v>
      </c>
      <c r="L1758" s="40">
        <v>-60.04</v>
      </c>
      <c r="M1758" s="40">
        <v>222193.52</v>
      </c>
      <c r="N1758" s="40">
        <f t="shared" si="54"/>
        <v>-60.04</v>
      </c>
    </row>
    <row r="1759" spans="1:14" ht="12.75" hidden="1" customHeight="1" x14ac:dyDescent="0.2">
      <c r="A1759">
        <v>65061</v>
      </c>
      <c r="B1759" s="3" t="s">
        <v>1844</v>
      </c>
      <c r="C1759" s="7" t="s">
        <v>1570</v>
      </c>
      <c r="D1759" s="7" t="s">
        <v>221</v>
      </c>
      <c r="F1759" s="7" t="s">
        <v>589</v>
      </c>
      <c r="G1759" s="7" t="s">
        <v>1598</v>
      </c>
      <c r="H1759" s="7" t="s">
        <v>1362</v>
      </c>
      <c r="I1759" s="7" t="s">
        <v>1253</v>
      </c>
      <c r="K1759" s="39" t="s">
        <v>696</v>
      </c>
      <c r="L1759" s="40">
        <v>44.72</v>
      </c>
      <c r="M1759" s="40">
        <v>222238.24</v>
      </c>
      <c r="N1759" s="40">
        <f t="shared" si="54"/>
        <v>44.72</v>
      </c>
    </row>
    <row r="1760" spans="1:14" ht="12.75" hidden="1" customHeight="1" x14ac:dyDescent="0.2">
      <c r="A1760">
        <v>65061</v>
      </c>
      <c r="B1760" s="3" t="s">
        <v>1844</v>
      </c>
      <c r="C1760" s="7" t="s">
        <v>1821</v>
      </c>
      <c r="D1760" s="7" t="s">
        <v>242</v>
      </c>
      <c r="F1760" s="7" t="s">
        <v>241</v>
      </c>
      <c r="G1760" s="7" t="s">
        <v>1598</v>
      </c>
      <c r="H1760" s="7" t="s">
        <v>1362</v>
      </c>
      <c r="I1760" s="7" t="s">
        <v>1253</v>
      </c>
      <c r="K1760" s="39" t="s">
        <v>696</v>
      </c>
      <c r="L1760" s="40">
        <v>-39.57</v>
      </c>
      <c r="M1760" s="40">
        <v>238277.1</v>
      </c>
      <c r="N1760" s="40">
        <f t="shared" si="54"/>
        <v>-39.57</v>
      </c>
    </row>
    <row r="1761" spans="1:14" ht="12.75" hidden="1" customHeight="1" x14ac:dyDescent="0.2">
      <c r="A1761">
        <v>65061</v>
      </c>
      <c r="B1761" s="3" t="s">
        <v>1844</v>
      </c>
      <c r="C1761" s="7" t="s">
        <v>1821</v>
      </c>
      <c r="D1761" s="7" t="s">
        <v>242</v>
      </c>
      <c r="F1761" s="7" t="s">
        <v>616</v>
      </c>
      <c r="G1761" s="7" t="s">
        <v>1598</v>
      </c>
      <c r="H1761" s="7" t="s">
        <v>1362</v>
      </c>
      <c r="I1761" s="7" t="s">
        <v>1253</v>
      </c>
      <c r="K1761" s="39" t="s">
        <v>696</v>
      </c>
      <c r="L1761" s="40">
        <v>-32.06</v>
      </c>
      <c r="M1761" s="40">
        <v>238245.04</v>
      </c>
      <c r="N1761" s="40">
        <f t="shared" si="54"/>
        <v>-32.06</v>
      </c>
    </row>
    <row r="1762" spans="1:14" ht="12.75" hidden="1" customHeight="1" x14ac:dyDescent="0.2">
      <c r="A1762">
        <v>65061</v>
      </c>
      <c r="B1762" s="3" t="s">
        <v>1844</v>
      </c>
      <c r="C1762" s="7" t="s">
        <v>1821</v>
      </c>
      <c r="D1762" s="7" t="s">
        <v>242</v>
      </c>
      <c r="F1762" s="7" t="s">
        <v>616</v>
      </c>
      <c r="G1762" s="7" t="s">
        <v>1598</v>
      </c>
      <c r="H1762" s="7" t="s">
        <v>1362</v>
      </c>
      <c r="I1762" s="7" t="s">
        <v>1253</v>
      </c>
      <c r="K1762" s="39" t="s">
        <v>696</v>
      </c>
      <c r="L1762" s="40">
        <v>-41.69</v>
      </c>
      <c r="M1762" s="40">
        <v>238203.35</v>
      </c>
      <c r="N1762" s="40">
        <f t="shared" si="54"/>
        <v>-41.69</v>
      </c>
    </row>
    <row r="1763" spans="1:14" ht="12.75" hidden="1" customHeight="1" x14ac:dyDescent="0.2">
      <c r="A1763">
        <v>65061</v>
      </c>
      <c r="B1763" s="3" t="s">
        <v>1844</v>
      </c>
      <c r="C1763" s="7" t="s">
        <v>1555</v>
      </c>
      <c r="D1763" s="7" t="s">
        <v>242</v>
      </c>
      <c r="F1763" s="7" t="s">
        <v>589</v>
      </c>
      <c r="G1763" s="7" t="s">
        <v>1598</v>
      </c>
      <c r="H1763" s="7" t="s">
        <v>1362</v>
      </c>
      <c r="I1763" s="7" t="s">
        <v>1253</v>
      </c>
      <c r="K1763" s="39" t="s">
        <v>696</v>
      </c>
      <c r="L1763" s="40">
        <v>-45.47</v>
      </c>
      <c r="M1763" s="40">
        <v>239148.81</v>
      </c>
      <c r="N1763" s="40">
        <f t="shared" si="54"/>
        <v>-45.47</v>
      </c>
    </row>
    <row r="1764" spans="1:14" ht="12.75" hidden="1" customHeight="1" x14ac:dyDescent="0.2">
      <c r="A1764">
        <v>65061</v>
      </c>
      <c r="B1764" s="3" t="s">
        <v>1844</v>
      </c>
      <c r="C1764" s="7" t="s">
        <v>1555</v>
      </c>
      <c r="D1764" s="7" t="s">
        <v>242</v>
      </c>
      <c r="F1764" s="7" t="s">
        <v>589</v>
      </c>
      <c r="G1764" s="7" t="s">
        <v>1598</v>
      </c>
      <c r="H1764" s="7" t="s">
        <v>1362</v>
      </c>
      <c r="I1764" s="7" t="s">
        <v>1253</v>
      </c>
      <c r="K1764" s="39" t="s">
        <v>696</v>
      </c>
      <c r="L1764" s="40">
        <v>-34.700000000000003</v>
      </c>
      <c r="M1764" s="40">
        <v>239114.11</v>
      </c>
      <c r="N1764" s="40">
        <f t="shared" si="54"/>
        <v>-34.700000000000003</v>
      </c>
    </row>
    <row r="1765" spans="1:14" ht="12.75" hidden="1" customHeight="1" x14ac:dyDescent="0.2">
      <c r="A1765">
        <v>65061</v>
      </c>
      <c r="B1765" s="3" t="s">
        <v>1844</v>
      </c>
      <c r="C1765" s="7" t="s">
        <v>1596</v>
      </c>
      <c r="D1765" s="7" t="s">
        <v>242</v>
      </c>
      <c r="F1765" s="7" t="s">
        <v>570</v>
      </c>
      <c r="G1765" s="7" t="s">
        <v>1598</v>
      </c>
      <c r="H1765" s="7" t="s">
        <v>1362</v>
      </c>
      <c r="I1765" s="7" t="s">
        <v>1253</v>
      </c>
      <c r="K1765" s="39" t="s">
        <v>696</v>
      </c>
      <c r="L1765" s="40">
        <v>-250</v>
      </c>
      <c r="M1765" s="40">
        <v>244115.44</v>
      </c>
      <c r="N1765" s="40">
        <f t="shared" si="54"/>
        <v>-250</v>
      </c>
    </row>
    <row r="1766" spans="1:14" ht="12.75" hidden="1" customHeight="1" x14ac:dyDescent="0.2">
      <c r="A1766">
        <v>65061</v>
      </c>
      <c r="B1766" s="3" t="s">
        <v>1844</v>
      </c>
      <c r="C1766" s="7" t="s">
        <v>1804</v>
      </c>
      <c r="D1766" s="7" t="s">
        <v>221</v>
      </c>
      <c r="F1766" s="7" t="s">
        <v>241</v>
      </c>
      <c r="G1766" s="7" t="s">
        <v>1598</v>
      </c>
      <c r="H1766" s="7" t="s">
        <v>1362</v>
      </c>
      <c r="I1766" s="7" t="s">
        <v>1253</v>
      </c>
      <c r="K1766" s="39" t="s">
        <v>696</v>
      </c>
      <c r="L1766" s="40">
        <v>126.07</v>
      </c>
      <c r="M1766" s="40">
        <v>245893.84</v>
      </c>
      <c r="N1766" s="40">
        <f t="shared" si="54"/>
        <v>126.07</v>
      </c>
    </row>
    <row r="1767" spans="1:14" ht="12.75" hidden="1" customHeight="1" x14ac:dyDescent="0.2">
      <c r="A1767">
        <v>65061</v>
      </c>
      <c r="B1767" s="3" t="s">
        <v>1844</v>
      </c>
      <c r="C1767" s="7" t="s">
        <v>1804</v>
      </c>
      <c r="D1767" s="7" t="s">
        <v>221</v>
      </c>
      <c r="F1767" s="7" t="s">
        <v>548</v>
      </c>
      <c r="G1767" s="7" t="s">
        <v>1598</v>
      </c>
      <c r="H1767" s="7" t="s">
        <v>1362</v>
      </c>
      <c r="I1767" s="7" t="s">
        <v>1253</v>
      </c>
      <c r="K1767" s="39" t="s">
        <v>696</v>
      </c>
      <c r="L1767" s="40">
        <v>511.46</v>
      </c>
      <c r="M1767" s="40">
        <v>246580.3</v>
      </c>
      <c r="N1767" s="40">
        <f t="shared" si="54"/>
        <v>511.46</v>
      </c>
    </row>
    <row r="1768" spans="1:14" ht="12.75" hidden="1" customHeight="1" x14ac:dyDescent="0.2">
      <c r="A1768">
        <v>65061</v>
      </c>
      <c r="B1768" s="3" t="s">
        <v>1844</v>
      </c>
      <c r="C1768" s="7" t="s">
        <v>1804</v>
      </c>
      <c r="D1768" s="7" t="s">
        <v>221</v>
      </c>
      <c r="F1768" s="7" t="s">
        <v>1924</v>
      </c>
      <c r="G1768" s="7" t="s">
        <v>1598</v>
      </c>
      <c r="H1768" s="7" t="s">
        <v>1362</v>
      </c>
      <c r="I1768" s="7" t="s">
        <v>1253</v>
      </c>
      <c r="K1768" s="39" t="s">
        <v>696</v>
      </c>
      <c r="L1768" s="40">
        <v>140</v>
      </c>
      <c r="M1768" s="40">
        <v>248770.5</v>
      </c>
      <c r="N1768" s="40">
        <f t="shared" si="54"/>
        <v>140</v>
      </c>
    </row>
    <row r="1769" spans="1:14" ht="12.75" hidden="1" customHeight="1" x14ac:dyDescent="0.2">
      <c r="A1769">
        <v>65061</v>
      </c>
      <c r="B1769" s="3" t="s">
        <v>1844</v>
      </c>
      <c r="C1769" s="7" t="s">
        <v>1804</v>
      </c>
      <c r="D1769" s="7" t="s">
        <v>221</v>
      </c>
      <c r="F1769" s="7" t="s">
        <v>241</v>
      </c>
      <c r="G1769" s="7" t="s">
        <v>1598</v>
      </c>
      <c r="H1769" s="7" t="s">
        <v>1362</v>
      </c>
      <c r="I1769" s="7" t="s">
        <v>1253</v>
      </c>
      <c r="K1769" s="39" t="s">
        <v>696</v>
      </c>
      <c r="L1769" s="40">
        <v>31.79</v>
      </c>
      <c r="M1769" s="40">
        <v>248912.19</v>
      </c>
      <c r="N1769" s="40">
        <f t="shared" si="54"/>
        <v>31.79</v>
      </c>
    </row>
    <row r="1770" spans="1:14" ht="12.75" hidden="1" customHeight="1" x14ac:dyDescent="0.2">
      <c r="A1770">
        <v>65061</v>
      </c>
      <c r="B1770" s="3" t="s">
        <v>1844</v>
      </c>
      <c r="C1770" s="7" t="s">
        <v>1775</v>
      </c>
      <c r="D1770" s="7" t="s">
        <v>221</v>
      </c>
      <c r="F1770" s="7" t="s">
        <v>241</v>
      </c>
      <c r="G1770" s="7" t="s">
        <v>1598</v>
      </c>
      <c r="H1770" s="7" t="s">
        <v>1362</v>
      </c>
      <c r="I1770" s="7" t="s">
        <v>1253</v>
      </c>
      <c r="K1770" s="39" t="s">
        <v>696</v>
      </c>
      <c r="L1770" s="40">
        <v>132.62</v>
      </c>
      <c r="M1770" s="40">
        <v>249044.81</v>
      </c>
      <c r="N1770" s="40">
        <f t="shared" si="54"/>
        <v>132.62</v>
      </c>
    </row>
    <row r="1771" spans="1:14" ht="12.75" hidden="1" customHeight="1" x14ac:dyDescent="0.2">
      <c r="A1771">
        <v>65061</v>
      </c>
      <c r="B1771" s="3" t="s">
        <v>1844</v>
      </c>
      <c r="C1771" s="7" t="s">
        <v>1775</v>
      </c>
      <c r="D1771" s="7" t="s">
        <v>221</v>
      </c>
      <c r="F1771" s="7" t="s">
        <v>241</v>
      </c>
      <c r="G1771" s="7" t="s">
        <v>1598</v>
      </c>
      <c r="H1771" s="7" t="s">
        <v>1362</v>
      </c>
      <c r="I1771" s="7" t="s">
        <v>1253</v>
      </c>
      <c r="K1771" s="39" t="s">
        <v>696</v>
      </c>
      <c r="L1771" s="40">
        <v>13.9</v>
      </c>
      <c r="M1771" s="40">
        <v>249058.71</v>
      </c>
      <c r="N1771" s="40">
        <f t="shared" si="54"/>
        <v>13.9</v>
      </c>
    </row>
    <row r="1772" spans="1:14" ht="12.75" hidden="1" customHeight="1" x14ac:dyDescent="0.2">
      <c r="A1772">
        <v>65061</v>
      </c>
      <c r="B1772" s="3" t="s">
        <v>1844</v>
      </c>
      <c r="C1772" s="7" t="s">
        <v>1775</v>
      </c>
      <c r="D1772" s="7" t="s">
        <v>221</v>
      </c>
      <c r="F1772" s="7" t="s">
        <v>796</v>
      </c>
      <c r="G1772" s="7" t="s">
        <v>1598</v>
      </c>
      <c r="H1772" s="7" t="s">
        <v>1362</v>
      </c>
      <c r="I1772" s="7" t="s">
        <v>1253</v>
      </c>
      <c r="K1772" s="39" t="s">
        <v>696</v>
      </c>
      <c r="L1772" s="40">
        <v>307</v>
      </c>
      <c r="M1772" s="40">
        <v>249765.44</v>
      </c>
      <c r="N1772" s="40">
        <f t="shared" si="54"/>
        <v>307</v>
      </c>
    </row>
    <row r="1773" spans="1:14" ht="12.75" hidden="1" customHeight="1" x14ac:dyDescent="0.2">
      <c r="A1773">
        <v>65061</v>
      </c>
      <c r="B1773" s="3" t="s">
        <v>1844</v>
      </c>
      <c r="C1773" s="7" t="s">
        <v>1600</v>
      </c>
      <c r="D1773" s="7" t="s">
        <v>221</v>
      </c>
      <c r="F1773" s="7" t="s">
        <v>711</v>
      </c>
      <c r="G1773" s="7" t="s">
        <v>1598</v>
      </c>
      <c r="H1773" s="7" t="s">
        <v>1362</v>
      </c>
      <c r="I1773" s="7" t="s">
        <v>1253</v>
      </c>
      <c r="K1773" s="39" t="s">
        <v>696</v>
      </c>
      <c r="L1773" s="40">
        <v>593.85</v>
      </c>
      <c r="M1773" s="40">
        <v>251376.9</v>
      </c>
      <c r="N1773" s="40">
        <f t="shared" si="54"/>
        <v>593.85</v>
      </c>
    </row>
    <row r="1774" spans="1:14" ht="12.75" hidden="1" customHeight="1" x14ac:dyDescent="0.2">
      <c r="A1774">
        <v>65061</v>
      </c>
      <c r="B1774" s="3" t="s">
        <v>1844</v>
      </c>
      <c r="C1774" s="7" t="s">
        <v>1784</v>
      </c>
      <c r="D1774" s="7" t="s">
        <v>221</v>
      </c>
      <c r="F1774" s="7" t="s">
        <v>767</v>
      </c>
      <c r="G1774" s="7" t="s">
        <v>1598</v>
      </c>
      <c r="H1774" s="7" t="s">
        <v>1362</v>
      </c>
      <c r="I1774" s="7" t="s">
        <v>1253</v>
      </c>
      <c r="K1774" s="39" t="s">
        <v>696</v>
      </c>
      <c r="L1774" s="40">
        <v>120</v>
      </c>
      <c r="M1774" s="40">
        <v>252412.26</v>
      </c>
      <c r="N1774" s="40">
        <f t="shared" ref="N1774:N1790" si="55">+L1774</f>
        <v>120</v>
      </c>
    </row>
    <row r="1775" spans="1:14" ht="12.75" hidden="1" customHeight="1" x14ac:dyDescent="0.2">
      <c r="A1775">
        <v>65061</v>
      </c>
      <c r="B1775" s="3" t="s">
        <v>1844</v>
      </c>
      <c r="C1775" s="7" t="s">
        <v>1607</v>
      </c>
      <c r="D1775" s="7" t="s">
        <v>221</v>
      </c>
      <c r="F1775" s="7" t="s">
        <v>548</v>
      </c>
      <c r="G1775" s="7" t="s">
        <v>1598</v>
      </c>
      <c r="H1775" s="7" t="s">
        <v>1362</v>
      </c>
      <c r="I1775" s="7" t="s">
        <v>1253</v>
      </c>
      <c r="K1775" s="39" t="s">
        <v>696</v>
      </c>
      <c r="L1775" s="40">
        <v>248.95</v>
      </c>
      <c r="M1775" s="40">
        <v>253102.1</v>
      </c>
      <c r="N1775" s="40">
        <f t="shared" si="55"/>
        <v>248.95</v>
      </c>
    </row>
    <row r="1776" spans="1:14" ht="12.75" hidden="1" customHeight="1" x14ac:dyDescent="0.2">
      <c r="A1776">
        <v>65061</v>
      </c>
      <c r="B1776" s="3" t="s">
        <v>1844</v>
      </c>
      <c r="C1776" s="7" t="s">
        <v>1696</v>
      </c>
      <c r="D1776" s="7" t="s">
        <v>221</v>
      </c>
      <c r="F1776" s="7" t="s">
        <v>589</v>
      </c>
      <c r="G1776" s="7" t="s">
        <v>1598</v>
      </c>
      <c r="H1776" s="7" t="s">
        <v>1362</v>
      </c>
      <c r="I1776" s="7" t="s">
        <v>1253</v>
      </c>
      <c r="K1776" s="39" t="s">
        <v>696</v>
      </c>
      <c r="L1776" s="40">
        <v>135.01</v>
      </c>
      <c r="M1776" s="40">
        <v>254022.23</v>
      </c>
      <c r="N1776" s="40">
        <f t="shared" si="55"/>
        <v>135.01</v>
      </c>
    </row>
    <row r="1777" spans="1:14" ht="12.75" hidden="1" customHeight="1" x14ac:dyDescent="0.2">
      <c r="A1777">
        <v>65061</v>
      </c>
      <c r="B1777" s="3" t="s">
        <v>1844</v>
      </c>
      <c r="C1777" s="7" t="s">
        <v>1543</v>
      </c>
      <c r="D1777" s="7" t="s">
        <v>221</v>
      </c>
      <c r="F1777" s="7" t="s">
        <v>241</v>
      </c>
      <c r="G1777" s="7" t="s">
        <v>1598</v>
      </c>
      <c r="H1777" s="7" t="s">
        <v>1362</v>
      </c>
      <c r="I1777" s="7" t="s">
        <v>1253</v>
      </c>
      <c r="K1777" s="39" t="s">
        <v>696</v>
      </c>
      <c r="L1777" s="40">
        <v>123.23</v>
      </c>
      <c r="M1777" s="40">
        <v>256376.8</v>
      </c>
      <c r="N1777" s="40">
        <f t="shared" si="55"/>
        <v>123.23</v>
      </c>
    </row>
    <row r="1778" spans="1:14" ht="12.75" hidden="1" customHeight="1" x14ac:dyDescent="0.2">
      <c r="A1778">
        <v>65061</v>
      </c>
      <c r="B1778" s="3" t="s">
        <v>1844</v>
      </c>
      <c r="C1778" s="7" t="s">
        <v>1543</v>
      </c>
      <c r="D1778" s="7" t="s">
        <v>221</v>
      </c>
      <c r="F1778" s="7" t="s">
        <v>241</v>
      </c>
      <c r="G1778" s="7" t="s">
        <v>1598</v>
      </c>
      <c r="H1778" s="7" t="s">
        <v>1362</v>
      </c>
      <c r="I1778" s="7" t="s">
        <v>1253</v>
      </c>
      <c r="K1778" s="39" t="s">
        <v>696</v>
      </c>
      <c r="L1778" s="40">
        <v>197.91</v>
      </c>
      <c r="M1778" s="40">
        <v>256574.71</v>
      </c>
      <c r="N1778" s="40">
        <f t="shared" si="55"/>
        <v>197.91</v>
      </c>
    </row>
    <row r="1779" spans="1:14" ht="12.75" hidden="1" customHeight="1" x14ac:dyDescent="0.2">
      <c r="A1779">
        <v>65061</v>
      </c>
      <c r="B1779" s="3" t="s">
        <v>1844</v>
      </c>
      <c r="C1779" s="7" t="s">
        <v>1543</v>
      </c>
      <c r="D1779" s="7" t="s">
        <v>242</v>
      </c>
      <c r="F1779" s="7" t="s">
        <v>241</v>
      </c>
      <c r="G1779" s="7" t="s">
        <v>1598</v>
      </c>
      <c r="H1779" s="7" t="s">
        <v>1362</v>
      </c>
      <c r="I1779" s="7" t="s">
        <v>1253</v>
      </c>
      <c r="K1779" s="39" t="s">
        <v>696</v>
      </c>
      <c r="L1779" s="40">
        <v>-104.89</v>
      </c>
      <c r="M1779" s="40">
        <v>256626.5</v>
      </c>
      <c r="N1779" s="40">
        <f t="shared" si="55"/>
        <v>-104.89</v>
      </c>
    </row>
    <row r="1780" spans="1:14" ht="12.75" hidden="1" customHeight="1" x14ac:dyDescent="0.2">
      <c r="A1780">
        <v>65061</v>
      </c>
      <c r="B1780" s="3" t="s">
        <v>1844</v>
      </c>
      <c r="C1780" s="7" t="s">
        <v>1543</v>
      </c>
      <c r="D1780" s="7" t="s">
        <v>221</v>
      </c>
      <c r="F1780" s="7" t="s">
        <v>241</v>
      </c>
      <c r="G1780" s="7" t="s">
        <v>1598</v>
      </c>
      <c r="H1780" s="7" t="s">
        <v>1362</v>
      </c>
      <c r="I1780" s="7" t="s">
        <v>1253</v>
      </c>
      <c r="K1780" s="39" t="s">
        <v>696</v>
      </c>
      <c r="L1780" s="40">
        <v>144.15</v>
      </c>
      <c r="M1780" s="40">
        <v>256786.65</v>
      </c>
      <c r="N1780" s="40">
        <f t="shared" si="55"/>
        <v>144.15</v>
      </c>
    </row>
    <row r="1781" spans="1:14" ht="12.75" hidden="1" customHeight="1" x14ac:dyDescent="0.2">
      <c r="A1781">
        <v>65061</v>
      </c>
      <c r="B1781" s="3" t="s">
        <v>1844</v>
      </c>
      <c r="C1781" s="7" t="s">
        <v>1612</v>
      </c>
      <c r="D1781" s="7" t="s">
        <v>221</v>
      </c>
      <c r="F1781" s="7" t="s">
        <v>241</v>
      </c>
      <c r="G1781" s="7" t="s">
        <v>1598</v>
      </c>
      <c r="H1781" s="7" t="s">
        <v>1362</v>
      </c>
      <c r="I1781" s="7" t="s">
        <v>1253</v>
      </c>
      <c r="K1781" s="39" t="s">
        <v>696</v>
      </c>
      <c r="L1781" s="40">
        <v>63.59</v>
      </c>
      <c r="M1781" s="40">
        <v>256850.24</v>
      </c>
      <c r="N1781" s="40">
        <f t="shared" si="55"/>
        <v>63.59</v>
      </c>
    </row>
    <row r="1782" spans="1:14" ht="12.75" hidden="1" customHeight="1" x14ac:dyDescent="0.2">
      <c r="A1782">
        <v>65061</v>
      </c>
      <c r="B1782" s="3" t="s">
        <v>1844</v>
      </c>
      <c r="C1782" s="7" t="s">
        <v>1703</v>
      </c>
      <c r="D1782" s="7" t="s">
        <v>221</v>
      </c>
      <c r="F1782" s="7" t="s">
        <v>589</v>
      </c>
      <c r="G1782" s="7" t="s">
        <v>1598</v>
      </c>
      <c r="H1782" s="7" t="s">
        <v>1362</v>
      </c>
      <c r="I1782" s="7" t="s">
        <v>1253</v>
      </c>
      <c r="K1782" s="39" t="s">
        <v>696</v>
      </c>
      <c r="L1782" s="40">
        <v>18.37</v>
      </c>
      <c r="M1782" s="40">
        <v>262547.84000000003</v>
      </c>
      <c r="N1782" s="40">
        <f t="shared" si="55"/>
        <v>18.37</v>
      </c>
    </row>
    <row r="1783" spans="1:14" ht="12.75" hidden="1" customHeight="1" x14ac:dyDescent="0.2">
      <c r="A1783">
        <v>65061</v>
      </c>
      <c r="B1783" s="3" t="s">
        <v>1844</v>
      </c>
      <c r="C1783" s="7" t="s">
        <v>1703</v>
      </c>
      <c r="D1783" s="7" t="s">
        <v>221</v>
      </c>
      <c r="F1783" s="7" t="s">
        <v>589</v>
      </c>
      <c r="G1783" s="7" t="s">
        <v>1598</v>
      </c>
      <c r="H1783" s="7" t="s">
        <v>1362</v>
      </c>
      <c r="I1783" s="7" t="s">
        <v>1253</v>
      </c>
      <c r="K1783" s="39" t="s">
        <v>696</v>
      </c>
      <c r="L1783" s="40">
        <v>20.48</v>
      </c>
      <c r="M1783" s="40">
        <v>262568.32000000001</v>
      </c>
      <c r="N1783" s="40">
        <f t="shared" si="55"/>
        <v>20.48</v>
      </c>
    </row>
    <row r="1784" spans="1:14" ht="12.75" hidden="1" customHeight="1" x14ac:dyDescent="0.2">
      <c r="A1784">
        <v>65061</v>
      </c>
      <c r="B1784" s="3" t="s">
        <v>1844</v>
      </c>
      <c r="C1784" s="7" t="s">
        <v>1703</v>
      </c>
      <c r="D1784" s="7" t="s">
        <v>221</v>
      </c>
      <c r="F1784" s="7" t="s">
        <v>767</v>
      </c>
      <c r="G1784" s="7" t="s">
        <v>1598</v>
      </c>
      <c r="H1784" s="7" t="s">
        <v>1362</v>
      </c>
      <c r="I1784" s="7" t="s">
        <v>1253</v>
      </c>
      <c r="K1784" s="39" t="s">
        <v>696</v>
      </c>
      <c r="L1784" s="40">
        <v>70.8</v>
      </c>
      <c r="M1784" s="40">
        <v>262639.12</v>
      </c>
      <c r="N1784" s="40">
        <f t="shared" si="55"/>
        <v>70.8</v>
      </c>
    </row>
    <row r="1785" spans="1:14" ht="12.75" hidden="1" customHeight="1" x14ac:dyDescent="0.2">
      <c r="A1785">
        <v>65061</v>
      </c>
      <c r="B1785" s="3" t="s">
        <v>1844</v>
      </c>
      <c r="C1785" s="7" t="s">
        <v>1613</v>
      </c>
      <c r="D1785" s="7" t="s">
        <v>221</v>
      </c>
      <c r="F1785" s="7" t="s">
        <v>546</v>
      </c>
      <c r="G1785" s="7" t="s">
        <v>1598</v>
      </c>
      <c r="H1785" s="7" t="s">
        <v>1362</v>
      </c>
      <c r="I1785" s="7" t="s">
        <v>1253</v>
      </c>
      <c r="K1785" s="39" t="s">
        <v>696</v>
      </c>
      <c r="L1785" s="40">
        <v>60.6</v>
      </c>
      <c r="M1785" s="40">
        <v>267027.40999999997</v>
      </c>
      <c r="N1785" s="40">
        <f t="shared" si="55"/>
        <v>60.6</v>
      </c>
    </row>
    <row r="1786" spans="1:14" ht="12.75" hidden="1" customHeight="1" x14ac:dyDescent="0.2">
      <c r="A1786">
        <v>65061</v>
      </c>
      <c r="B1786" s="3" t="s">
        <v>1844</v>
      </c>
      <c r="C1786" s="7" t="s">
        <v>1613</v>
      </c>
      <c r="D1786" s="7" t="s">
        <v>221</v>
      </c>
      <c r="F1786" s="7" t="s">
        <v>548</v>
      </c>
      <c r="G1786" s="7" t="s">
        <v>1598</v>
      </c>
      <c r="H1786" s="7" t="s">
        <v>1362</v>
      </c>
      <c r="I1786" s="7" t="s">
        <v>1253</v>
      </c>
      <c r="K1786" s="39" t="s">
        <v>696</v>
      </c>
      <c r="L1786" s="40">
        <v>85.34</v>
      </c>
      <c r="M1786" s="40">
        <v>267112.75</v>
      </c>
      <c r="N1786" s="40">
        <f t="shared" si="55"/>
        <v>85.34</v>
      </c>
    </row>
    <row r="1787" spans="1:14" ht="12.75" hidden="1" customHeight="1" x14ac:dyDescent="0.2">
      <c r="A1787">
        <v>65061</v>
      </c>
      <c r="B1787" s="3" t="s">
        <v>1844</v>
      </c>
      <c r="C1787" s="7" t="s">
        <v>1616</v>
      </c>
      <c r="D1787" s="7" t="s">
        <v>221</v>
      </c>
      <c r="F1787" s="7" t="s">
        <v>658</v>
      </c>
      <c r="G1787" s="7" t="s">
        <v>1598</v>
      </c>
      <c r="H1787" s="7" t="s">
        <v>1362</v>
      </c>
      <c r="I1787" s="7" t="s">
        <v>1253</v>
      </c>
      <c r="K1787" s="39" t="s">
        <v>696</v>
      </c>
      <c r="L1787" s="40">
        <v>121.12</v>
      </c>
      <c r="M1787" s="40">
        <v>268386.01</v>
      </c>
      <c r="N1787" s="40">
        <f t="shared" si="55"/>
        <v>121.12</v>
      </c>
    </row>
    <row r="1788" spans="1:14" ht="12.75" hidden="1" customHeight="1" x14ac:dyDescent="0.2">
      <c r="A1788">
        <v>65061</v>
      </c>
      <c r="B1788" s="3" t="s">
        <v>1844</v>
      </c>
      <c r="C1788" s="7" t="s">
        <v>1616</v>
      </c>
      <c r="D1788" s="7" t="s">
        <v>242</v>
      </c>
      <c r="F1788" s="7" t="s">
        <v>616</v>
      </c>
      <c r="G1788" s="7" t="s">
        <v>1598</v>
      </c>
      <c r="H1788" s="7" t="s">
        <v>1362</v>
      </c>
      <c r="I1788" s="7" t="s">
        <v>1253</v>
      </c>
      <c r="K1788" s="39" t="s">
        <v>696</v>
      </c>
      <c r="L1788" s="40">
        <v>-24.48</v>
      </c>
      <c r="M1788" s="40">
        <v>268361.53000000003</v>
      </c>
      <c r="N1788" s="40">
        <f t="shared" si="55"/>
        <v>-24.48</v>
      </c>
    </row>
    <row r="1789" spans="1:14" ht="12.75" hidden="1" customHeight="1" x14ac:dyDescent="0.2">
      <c r="A1789">
        <v>65061</v>
      </c>
      <c r="B1789" s="3" t="s">
        <v>1844</v>
      </c>
      <c r="C1789" s="7" t="s">
        <v>1805</v>
      </c>
      <c r="D1789" s="7" t="s">
        <v>221</v>
      </c>
      <c r="F1789" s="7" t="s">
        <v>644</v>
      </c>
      <c r="G1789" s="7" t="s">
        <v>1598</v>
      </c>
      <c r="H1789" s="7" t="s">
        <v>1362</v>
      </c>
      <c r="I1789" s="7" t="s">
        <v>1253</v>
      </c>
      <c r="K1789" s="39" t="s">
        <v>696</v>
      </c>
      <c r="L1789" s="40">
        <v>40.79</v>
      </c>
      <c r="M1789" s="40">
        <v>269488.8</v>
      </c>
      <c r="N1789" s="40">
        <f t="shared" si="55"/>
        <v>40.79</v>
      </c>
    </row>
    <row r="1790" spans="1:14" ht="12.75" hidden="1" customHeight="1" x14ac:dyDescent="0.2">
      <c r="A1790">
        <v>65061</v>
      </c>
      <c r="B1790" s="3" t="s">
        <v>1844</v>
      </c>
      <c r="C1790" s="7" t="s">
        <v>1805</v>
      </c>
      <c r="D1790" s="7" t="s">
        <v>221</v>
      </c>
      <c r="F1790" s="7" t="s">
        <v>589</v>
      </c>
      <c r="G1790" s="7" t="s">
        <v>1598</v>
      </c>
      <c r="H1790" s="7" t="s">
        <v>1362</v>
      </c>
      <c r="I1790" s="7" t="s">
        <v>1253</v>
      </c>
      <c r="K1790" s="39" t="s">
        <v>696</v>
      </c>
      <c r="L1790" s="40">
        <v>44.44</v>
      </c>
      <c r="M1790" s="40">
        <v>270011.38</v>
      </c>
      <c r="N1790" s="40">
        <f t="shared" si="55"/>
        <v>44.44</v>
      </c>
    </row>
    <row r="1791" spans="1:14" ht="12.75" customHeight="1" x14ac:dyDescent="0.2">
      <c r="A1791">
        <v>43400</v>
      </c>
      <c r="B1791" s="3" t="s">
        <v>1224</v>
      </c>
      <c r="C1791" s="7" t="s">
        <v>1543</v>
      </c>
      <c r="D1791" s="7" t="s">
        <v>183</v>
      </c>
      <c r="E1791" s="7">
        <v>670</v>
      </c>
      <c r="G1791" s="7" t="s">
        <v>182</v>
      </c>
      <c r="H1791" s="7" t="s">
        <v>1359</v>
      </c>
      <c r="I1791" s="7" t="s">
        <v>1224</v>
      </c>
      <c r="J1791" s="39" t="s">
        <v>1595</v>
      </c>
      <c r="K1791" s="39" t="s">
        <v>180</v>
      </c>
      <c r="L1791" s="40">
        <v>170</v>
      </c>
      <c r="M1791" s="40">
        <v>256017.42</v>
      </c>
      <c r="N1791" s="41">
        <f t="shared" ref="N1791:N1799" si="56">-L1791</f>
        <v>-170</v>
      </c>
    </row>
    <row r="1792" spans="1:14" ht="12.75" customHeight="1" x14ac:dyDescent="0.2">
      <c r="A1792">
        <v>43400</v>
      </c>
      <c r="B1792" s="3" t="s">
        <v>1224</v>
      </c>
      <c r="C1792" s="7" t="s">
        <v>1612</v>
      </c>
      <c r="D1792" s="7" t="s">
        <v>242</v>
      </c>
      <c r="F1792" s="7" t="s">
        <v>665</v>
      </c>
      <c r="G1792" s="7" t="s">
        <v>182</v>
      </c>
      <c r="H1792" s="7" t="s">
        <v>1359</v>
      </c>
      <c r="I1792" s="7" t="s">
        <v>1224</v>
      </c>
      <c r="K1792" s="39" t="s">
        <v>198</v>
      </c>
      <c r="L1792" s="40">
        <v>24.55</v>
      </c>
      <c r="M1792" s="40">
        <v>256691.97</v>
      </c>
      <c r="N1792" s="41">
        <f t="shared" si="56"/>
        <v>-24.55</v>
      </c>
    </row>
    <row r="1793" spans="1:14" ht="12.75" customHeight="1" x14ac:dyDescent="0.2">
      <c r="A1793">
        <v>43400</v>
      </c>
      <c r="B1793" s="3" t="s">
        <v>1224</v>
      </c>
      <c r="C1793" s="7" t="s">
        <v>1617</v>
      </c>
      <c r="D1793" s="7" t="s">
        <v>183</v>
      </c>
      <c r="E1793" s="7">
        <v>689</v>
      </c>
      <c r="G1793" s="7" t="s">
        <v>182</v>
      </c>
      <c r="H1793" s="7" t="s">
        <v>1359</v>
      </c>
      <c r="I1793" s="7" t="s">
        <v>1224</v>
      </c>
      <c r="K1793" s="39" t="s">
        <v>180</v>
      </c>
      <c r="L1793" s="40">
        <v>200</v>
      </c>
      <c r="M1793" s="40">
        <v>259041.97</v>
      </c>
      <c r="N1793" s="41">
        <f t="shared" si="56"/>
        <v>-200</v>
      </c>
    </row>
    <row r="1794" spans="1:14" ht="12.75" customHeight="1" x14ac:dyDescent="0.2">
      <c r="A1794">
        <v>43400</v>
      </c>
      <c r="B1794" s="3" t="s">
        <v>1224</v>
      </c>
      <c r="C1794" s="7" t="s">
        <v>1617</v>
      </c>
      <c r="D1794" s="7" t="s">
        <v>183</v>
      </c>
      <c r="E1794" s="7">
        <v>695</v>
      </c>
      <c r="G1794" s="7" t="s">
        <v>182</v>
      </c>
      <c r="H1794" s="7" t="s">
        <v>1359</v>
      </c>
      <c r="I1794" s="7" t="s">
        <v>1224</v>
      </c>
      <c r="J1794" s="39" t="s">
        <v>1618</v>
      </c>
      <c r="K1794" s="39" t="s">
        <v>180</v>
      </c>
      <c r="L1794" s="40">
        <v>-3489.76</v>
      </c>
      <c r="M1794" s="40">
        <v>259641.97</v>
      </c>
      <c r="N1794" s="41">
        <f t="shared" si="56"/>
        <v>3489.76</v>
      </c>
    </row>
    <row r="1795" spans="1:14" ht="12.75" customHeight="1" x14ac:dyDescent="0.2">
      <c r="A1795">
        <v>43400</v>
      </c>
      <c r="B1795" s="3" t="s">
        <v>1224</v>
      </c>
      <c r="C1795" s="7" t="s">
        <v>1629</v>
      </c>
      <c r="D1795" s="7" t="s">
        <v>183</v>
      </c>
      <c r="E1795" s="7">
        <v>716</v>
      </c>
      <c r="G1795" s="7" t="s">
        <v>182</v>
      </c>
      <c r="H1795" s="7" t="s">
        <v>1359</v>
      </c>
      <c r="I1795" s="7" t="s">
        <v>1224</v>
      </c>
      <c r="K1795" s="39" t="s">
        <v>180</v>
      </c>
      <c r="L1795" s="40">
        <v>0.1</v>
      </c>
      <c r="M1795" s="40">
        <v>277797.52</v>
      </c>
      <c r="N1795" s="41">
        <f t="shared" si="56"/>
        <v>-0.1</v>
      </c>
    </row>
    <row r="1796" spans="1:14" ht="12.75" customHeight="1" x14ac:dyDescent="0.2">
      <c r="A1796">
        <v>43400</v>
      </c>
      <c r="B1796" s="3" t="s">
        <v>1224</v>
      </c>
      <c r="C1796" s="7" t="s">
        <v>1631</v>
      </c>
      <c r="D1796" s="7" t="s">
        <v>242</v>
      </c>
      <c r="F1796" s="7" t="s">
        <v>1632</v>
      </c>
      <c r="G1796" s="7" t="s">
        <v>182</v>
      </c>
      <c r="H1796" s="7" t="s">
        <v>1359</v>
      </c>
      <c r="I1796" s="7" t="s">
        <v>1224</v>
      </c>
      <c r="K1796" s="39" t="s">
        <v>445</v>
      </c>
      <c r="L1796" s="40">
        <v>6000</v>
      </c>
      <c r="M1796" s="40">
        <v>284998.89</v>
      </c>
      <c r="N1796" s="41">
        <f t="shared" si="56"/>
        <v>-6000</v>
      </c>
    </row>
    <row r="1797" spans="1:14" ht="12.75" customHeight="1" x14ac:dyDescent="0.2">
      <c r="A1797">
        <v>43400</v>
      </c>
      <c r="B1797" s="3" t="s">
        <v>1224</v>
      </c>
      <c r="C1797" s="7" t="s">
        <v>1631</v>
      </c>
      <c r="D1797" s="7" t="s">
        <v>183</v>
      </c>
      <c r="E1797" s="7">
        <v>724</v>
      </c>
      <c r="G1797" s="7" t="s">
        <v>182</v>
      </c>
      <c r="H1797" s="7" t="s">
        <v>1359</v>
      </c>
      <c r="I1797" s="7" t="s">
        <v>1224</v>
      </c>
      <c r="J1797" s="39" t="s">
        <v>425</v>
      </c>
      <c r="K1797" s="39" t="s">
        <v>180</v>
      </c>
      <c r="L1797" s="40">
        <v>1</v>
      </c>
      <c r="M1797" s="40">
        <v>284999.89</v>
      </c>
      <c r="N1797" s="41">
        <f t="shared" si="56"/>
        <v>-1</v>
      </c>
    </row>
    <row r="1798" spans="1:14" ht="12.75" customHeight="1" x14ac:dyDescent="0.2">
      <c r="A1798">
        <v>43400</v>
      </c>
      <c r="B1798" s="3" t="s">
        <v>1224</v>
      </c>
      <c r="C1798" s="7" t="s">
        <v>1631</v>
      </c>
      <c r="D1798" s="7" t="s">
        <v>200</v>
      </c>
      <c r="E1798" s="7">
        <v>1005</v>
      </c>
      <c r="F1798" s="7" t="s">
        <v>1178</v>
      </c>
      <c r="G1798" s="7" t="s">
        <v>182</v>
      </c>
      <c r="H1798" s="7" t="s">
        <v>1359</v>
      </c>
      <c r="I1798" s="7" t="s">
        <v>1224</v>
      </c>
      <c r="K1798" s="39" t="s">
        <v>874</v>
      </c>
      <c r="L1798" s="40">
        <v>-6000</v>
      </c>
      <c r="M1798" s="40">
        <v>279199.89</v>
      </c>
      <c r="N1798" s="41">
        <f t="shared" si="56"/>
        <v>6000</v>
      </c>
    </row>
    <row r="1799" spans="1:14" ht="12.75" customHeight="1" x14ac:dyDescent="0.2">
      <c r="A1799">
        <v>43400</v>
      </c>
      <c r="B1799" s="3" t="s">
        <v>1224</v>
      </c>
      <c r="C1799" s="7" t="s">
        <v>1640</v>
      </c>
      <c r="D1799" s="7" t="s">
        <v>242</v>
      </c>
      <c r="F1799" s="7" t="s">
        <v>665</v>
      </c>
      <c r="G1799" s="7" t="s">
        <v>182</v>
      </c>
      <c r="H1799" s="7" t="s">
        <v>1359</v>
      </c>
      <c r="I1799" s="7" t="s">
        <v>1224</v>
      </c>
      <c r="K1799" s="39" t="s">
        <v>198</v>
      </c>
      <c r="L1799" s="40">
        <v>24.55</v>
      </c>
      <c r="M1799" s="40">
        <v>286147.44</v>
      </c>
      <c r="N1799" s="41">
        <f t="shared" si="56"/>
        <v>-24.55</v>
      </c>
    </row>
    <row r="1800" spans="1:14" ht="12.75" hidden="1" customHeight="1" x14ac:dyDescent="0.2">
      <c r="A1800">
        <v>43440</v>
      </c>
      <c r="B1800" s="3" t="s">
        <v>1228</v>
      </c>
      <c r="C1800" s="7" t="s">
        <v>415</v>
      </c>
      <c r="D1800" s="7" t="s">
        <v>183</v>
      </c>
      <c r="E1800" s="7">
        <v>487</v>
      </c>
      <c r="G1800" s="7" t="s">
        <v>1621</v>
      </c>
      <c r="H1800" s="7" t="s">
        <v>1360</v>
      </c>
      <c r="I1800" s="7" t="s">
        <v>1228</v>
      </c>
      <c r="J1800" s="7" t="s">
        <v>508</v>
      </c>
      <c r="K1800" s="7" t="s">
        <v>180</v>
      </c>
      <c r="L1800" s="11">
        <v>406.43</v>
      </c>
      <c r="M1800" s="11">
        <v>14379.38</v>
      </c>
      <c r="N1800" s="9">
        <f t="shared" ref="N1800:N1831" si="57">IF(A1800&lt;60000,-L1800,+L1800)</f>
        <v>-406.43</v>
      </c>
    </row>
    <row r="1801" spans="1:14" ht="12.75" hidden="1" customHeight="1" x14ac:dyDescent="0.2">
      <c r="A1801">
        <v>65015</v>
      </c>
      <c r="B1801" s="3" t="s">
        <v>1244</v>
      </c>
      <c r="C1801" s="7" t="s">
        <v>393</v>
      </c>
      <c r="D1801" s="7" t="s">
        <v>200</v>
      </c>
      <c r="F1801" s="7" t="s">
        <v>1064</v>
      </c>
      <c r="G1801" s="7" t="s">
        <v>1621</v>
      </c>
      <c r="H1801" s="7" t="s">
        <v>1362</v>
      </c>
      <c r="I1801" s="7" t="s">
        <v>1244</v>
      </c>
      <c r="K1801" s="7" t="s">
        <v>565</v>
      </c>
      <c r="L1801" s="11">
        <v>52.62</v>
      </c>
      <c r="M1801" s="11">
        <v>87.7</v>
      </c>
      <c r="N1801" s="9">
        <f t="shared" si="57"/>
        <v>52.62</v>
      </c>
    </row>
    <row r="1802" spans="1:14" ht="12.75" hidden="1" customHeight="1" x14ac:dyDescent="0.2">
      <c r="A1802">
        <v>65015</v>
      </c>
      <c r="B1802" s="3" t="s">
        <v>1244</v>
      </c>
      <c r="C1802" s="7" t="s">
        <v>384</v>
      </c>
      <c r="D1802" s="7" t="s">
        <v>200</v>
      </c>
      <c r="F1802" s="7" t="s">
        <v>1049</v>
      </c>
      <c r="G1802" s="7" t="s">
        <v>1621</v>
      </c>
      <c r="H1802" s="7" t="s">
        <v>1362</v>
      </c>
      <c r="I1802" s="7" t="s">
        <v>1244</v>
      </c>
      <c r="K1802" s="7" t="s">
        <v>565</v>
      </c>
      <c r="L1802" s="11">
        <v>90</v>
      </c>
      <c r="M1802" s="11">
        <v>177.7</v>
      </c>
      <c r="N1802" s="9">
        <f t="shared" si="57"/>
        <v>90</v>
      </c>
    </row>
    <row r="1803" spans="1:14" ht="12.75" hidden="1" customHeight="1" x14ac:dyDescent="0.2">
      <c r="A1803">
        <v>65015</v>
      </c>
      <c r="B1803" s="3" t="s">
        <v>1244</v>
      </c>
      <c r="C1803" s="7" t="s">
        <v>384</v>
      </c>
      <c r="D1803" s="7" t="s">
        <v>200</v>
      </c>
      <c r="F1803" s="7" t="s">
        <v>1064</v>
      </c>
      <c r="G1803" s="7" t="s">
        <v>1621</v>
      </c>
      <c r="H1803" s="7" t="s">
        <v>1362</v>
      </c>
      <c r="I1803" s="7" t="s">
        <v>1244</v>
      </c>
      <c r="K1803" s="7" t="s">
        <v>565</v>
      </c>
      <c r="L1803" s="11">
        <v>74.34</v>
      </c>
      <c r="M1803" s="11">
        <v>494.04</v>
      </c>
      <c r="N1803" s="9">
        <f t="shared" si="57"/>
        <v>74.34</v>
      </c>
    </row>
    <row r="1804" spans="1:14" ht="12.75" hidden="1" customHeight="1" x14ac:dyDescent="0.2">
      <c r="A1804">
        <v>65015</v>
      </c>
      <c r="B1804" s="3" t="s">
        <v>1244</v>
      </c>
      <c r="C1804" s="7" t="s">
        <v>361</v>
      </c>
      <c r="D1804" s="7" t="s">
        <v>200</v>
      </c>
      <c r="F1804" s="7" t="s">
        <v>1050</v>
      </c>
      <c r="G1804" s="7" t="s">
        <v>1621</v>
      </c>
      <c r="H1804" s="7" t="s">
        <v>1362</v>
      </c>
      <c r="I1804" s="7" t="s">
        <v>1244</v>
      </c>
      <c r="K1804" s="7" t="s">
        <v>565</v>
      </c>
      <c r="L1804" s="11">
        <v>53.71</v>
      </c>
      <c r="M1804" s="11">
        <v>1225.98</v>
      </c>
      <c r="N1804" s="9">
        <f t="shared" si="57"/>
        <v>53.71</v>
      </c>
    </row>
    <row r="1805" spans="1:14" ht="12.75" hidden="1" customHeight="1" x14ac:dyDescent="0.2">
      <c r="A1805">
        <v>65015</v>
      </c>
      <c r="B1805" s="3" t="s">
        <v>1244</v>
      </c>
      <c r="C1805" s="7" t="s">
        <v>312</v>
      </c>
      <c r="D1805" s="7" t="s">
        <v>200</v>
      </c>
      <c r="F1805" s="7" t="s">
        <v>1050</v>
      </c>
      <c r="G1805" s="7" t="s">
        <v>1621</v>
      </c>
      <c r="H1805" s="7" t="s">
        <v>1362</v>
      </c>
      <c r="I1805" s="7" t="s">
        <v>1244</v>
      </c>
      <c r="K1805" s="7" t="s">
        <v>565</v>
      </c>
      <c r="L1805" s="11">
        <v>90</v>
      </c>
      <c r="M1805" s="11">
        <v>2790.26</v>
      </c>
      <c r="N1805" s="9">
        <f t="shared" si="57"/>
        <v>90</v>
      </c>
    </row>
    <row r="1806" spans="1:14" ht="12.75" hidden="1" customHeight="1" x14ac:dyDescent="0.2">
      <c r="A1806">
        <v>65015</v>
      </c>
      <c r="B1806" s="3" t="s">
        <v>1244</v>
      </c>
      <c r="C1806" s="7" t="s">
        <v>238</v>
      </c>
      <c r="D1806" s="7" t="s">
        <v>221</v>
      </c>
      <c r="F1806" s="7" t="s">
        <v>1052</v>
      </c>
      <c r="G1806" s="7" t="s">
        <v>1621</v>
      </c>
      <c r="H1806" s="7" t="s">
        <v>1362</v>
      </c>
      <c r="I1806" s="7" t="s">
        <v>1244</v>
      </c>
      <c r="K1806" s="7" t="s">
        <v>565</v>
      </c>
      <c r="L1806" s="11">
        <v>21.5</v>
      </c>
      <c r="M1806" s="11">
        <v>3074.18</v>
      </c>
      <c r="N1806" s="9">
        <f t="shared" si="57"/>
        <v>21.5</v>
      </c>
    </row>
    <row r="1807" spans="1:14" ht="12.75" hidden="1" customHeight="1" x14ac:dyDescent="0.2">
      <c r="A1807">
        <v>65015</v>
      </c>
      <c r="B1807" s="3" t="s">
        <v>1244</v>
      </c>
      <c r="C1807" s="7" t="s">
        <v>585</v>
      </c>
      <c r="D1807" s="7" t="s">
        <v>221</v>
      </c>
      <c r="F1807" s="7" t="s">
        <v>1052</v>
      </c>
      <c r="G1807" s="7" t="s">
        <v>1621</v>
      </c>
      <c r="H1807" s="7" t="s">
        <v>1362</v>
      </c>
      <c r="I1807" s="7" t="s">
        <v>1244</v>
      </c>
      <c r="K1807" s="7" t="s">
        <v>565</v>
      </c>
      <c r="L1807" s="11">
        <v>63.78</v>
      </c>
      <c r="M1807" s="11">
        <v>3365.42</v>
      </c>
      <c r="N1807" s="9">
        <f t="shared" si="57"/>
        <v>63.78</v>
      </c>
    </row>
    <row r="1808" spans="1:14" ht="12.75" hidden="1" customHeight="1" x14ac:dyDescent="0.2">
      <c r="A1808">
        <v>65015</v>
      </c>
      <c r="B1808" s="3" t="s">
        <v>1244</v>
      </c>
      <c r="C1808" s="7" t="s">
        <v>210</v>
      </c>
      <c r="D1808" s="7" t="s">
        <v>221</v>
      </c>
      <c r="F1808" s="7" t="s">
        <v>1049</v>
      </c>
      <c r="G1808" s="7" t="s">
        <v>1621</v>
      </c>
      <c r="H1808" s="7" t="s">
        <v>1362</v>
      </c>
      <c r="I1808" s="7" t="s">
        <v>1244</v>
      </c>
      <c r="K1808" s="7" t="s">
        <v>565</v>
      </c>
      <c r="L1808" s="11">
        <v>63.53</v>
      </c>
      <c r="M1808" s="11">
        <v>3698.95</v>
      </c>
      <c r="N1808" s="9">
        <f t="shared" si="57"/>
        <v>63.53</v>
      </c>
    </row>
    <row r="1809" spans="1:14" ht="12.75" hidden="1" customHeight="1" x14ac:dyDescent="0.2">
      <c r="A1809">
        <v>65015</v>
      </c>
      <c r="B1809" s="3" t="s">
        <v>1244</v>
      </c>
      <c r="C1809" s="7" t="s">
        <v>426</v>
      </c>
      <c r="D1809" s="7" t="s">
        <v>221</v>
      </c>
      <c r="F1809" s="7" t="s">
        <v>1049</v>
      </c>
      <c r="G1809" s="7" t="s">
        <v>1621</v>
      </c>
      <c r="H1809" s="7" t="s">
        <v>1362</v>
      </c>
      <c r="I1809" s="7" t="s">
        <v>1244</v>
      </c>
      <c r="K1809" s="7" t="s">
        <v>565</v>
      </c>
      <c r="L1809" s="11">
        <v>8.26</v>
      </c>
      <c r="M1809" s="11">
        <v>3707.21</v>
      </c>
      <c r="N1809" s="9">
        <f t="shared" si="57"/>
        <v>8.26</v>
      </c>
    </row>
    <row r="1810" spans="1:14" ht="12.75" hidden="1" customHeight="1" x14ac:dyDescent="0.2">
      <c r="A1810">
        <v>65015</v>
      </c>
      <c r="B1810" s="3" t="s">
        <v>1244</v>
      </c>
      <c r="C1810" s="7" t="s">
        <v>426</v>
      </c>
      <c r="D1810" s="7" t="s">
        <v>221</v>
      </c>
      <c r="F1810" s="7" t="s">
        <v>1050</v>
      </c>
      <c r="G1810" s="7" t="s">
        <v>1621</v>
      </c>
      <c r="H1810" s="7" t="s">
        <v>1362</v>
      </c>
      <c r="I1810" s="7" t="s">
        <v>1244</v>
      </c>
      <c r="K1810" s="7" t="s">
        <v>565</v>
      </c>
      <c r="L1810" s="11">
        <v>58</v>
      </c>
      <c r="M1810" s="11">
        <v>3765.21</v>
      </c>
      <c r="N1810" s="9">
        <f t="shared" si="57"/>
        <v>58</v>
      </c>
    </row>
    <row r="1811" spans="1:14" ht="12.75" hidden="1" customHeight="1" x14ac:dyDescent="0.2">
      <c r="A1811">
        <v>65025</v>
      </c>
      <c r="B1811" s="3" t="s">
        <v>1246</v>
      </c>
      <c r="C1811" s="7" t="s">
        <v>207</v>
      </c>
      <c r="D1811" s="7" t="s">
        <v>221</v>
      </c>
      <c r="F1811" s="7" t="s">
        <v>446</v>
      </c>
      <c r="G1811" s="7" t="s">
        <v>1621</v>
      </c>
      <c r="H1811" s="7" t="s">
        <v>1362</v>
      </c>
      <c r="I1811" s="7" t="s">
        <v>1246</v>
      </c>
      <c r="K1811" s="7" t="s">
        <v>565</v>
      </c>
      <c r="L1811" s="11">
        <v>35</v>
      </c>
      <c r="M1811" s="11">
        <v>1603.91</v>
      </c>
      <c r="N1811" s="9">
        <f t="shared" si="57"/>
        <v>35</v>
      </c>
    </row>
    <row r="1812" spans="1:14" ht="12.75" hidden="1" customHeight="1" x14ac:dyDescent="0.2">
      <c r="A1812">
        <v>65036</v>
      </c>
      <c r="B1812" s="3" t="s">
        <v>1249</v>
      </c>
      <c r="C1812" s="7" t="s">
        <v>238</v>
      </c>
      <c r="D1812" s="7" t="s">
        <v>221</v>
      </c>
      <c r="F1812" s="7" t="s">
        <v>1017</v>
      </c>
      <c r="G1812" s="7" t="s">
        <v>1621</v>
      </c>
      <c r="H1812" s="7" t="s">
        <v>1362</v>
      </c>
      <c r="I1812" s="7" t="s">
        <v>1249</v>
      </c>
      <c r="K1812" s="7" t="s">
        <v>565</v>
      </c>
      <c r="L1812" s="11">
        <v>45</v>
      </c>
      <c r="M1812" s="11">
        <v>4577.1499999999996</v>
      </c>
      <c r="N1812" s="9">
        <f t="shared" si="57"/>
        <v>45</v>
      </c>
    </row>
    <row r="1813" spans="1:14" ht="12.75" hidden="1" customHeight="1" x14ac:dyDescent="0.2">
      <c r="A1813">
        <v>65036</v>
      </c>
      <c r="B1813" s="3" t="s">
        <v>1249</v>
      </c>
      <c r="C1813" s="7" t="s">
        <v>238</v>
      </c>
      <c r="D1813" s="7" t="s">
        <v>221</v>
      </c>
      <c r="F1813" s="7" t="s">
        <v>1015</v>
      </c>
      <c r="G1813" s="7" t="s">
        <v>1621</v>
      </c>
      <c r="H1813" s="7" t="s">
        <v>1362</v>
      </c>
      <c r="I1813" s="7" t="s">
        <v>1249</v>
      </c>
      <c r="K1813" s="7" t="s">
        <v>565</v>
      </c>
      <c r="L1813" s="11">
        <v>90</v>
      </c>
      <c r="M1813" s="11">
        <v>4730.09</v>
      </c>
      <c r="N1813" s="9">
        <f t="shared" si="57"/>
        <v>90</v>
      </c>
    </row>
    <row r="1814" spans="1:14" ht="12.75" hidden="1" customHeight="1" x14ac:dyDescent="0.2">
      <c r="A1814">
        <v>65036</v>
      </c>
      <c r="B1814" s="3" t="s">
        <v>1249</v>
      </c>
      <c r="C1814" s="7" t="s">
        <v>210</v>
      </c>
      <c r="D1814" s="7" t="s">
        <v>221</v>
      </c>
      <c r="F1814" s="7" t="s">
        <v>1009</v>
      </c>
      <c r="G1814" s="7" t="s">
        <v>1621</v>
      </c>
      <c r="H1814" s="7" t="s">
        <v>1362</v>
      </c>
      <c r="I1814" s="7" t="s">
        <v>1249</v>
      </c>
      <c r="K1814" s="7" t="s">
        <v>565</v>
      </c>
      <c r="L1814" s="11">
        <v>123.1</v>
      </c>
      <c r="M1814" s="11">
        <v>5232.29</v>
      </c>
      <c r="N1814" s="9">
        <f t="shared" si="57"/>
        <v>123.1</v>
      </c>
    </row>
    <row r="1815" spans="1:14" ht="12.75" hidden="1" customHeight="1" x14ac:dyDescent="0.2">
      <c r="A1815">
        <v>65061</v>
      </c>
      <c r="B1815" s="3" t="s">
        <v>1253</v>
      </c>
      <c r="C1815" s="7" t="s">
        <v>388</v>
      </c>
      <c r="D1815" s="7" t="s">
        <v>200</v>
      </c>
      <c r="F1815" s="7" t="s">
        <v>241</v>
      </c>
      <c r="G1815" s="7" t="s">
        <v>1621</v>
      </c>
      <c r="H1815" s="7" t="s">
        <v>1362</v>
      </c>
      <c r="I1815" s="7" t="s">
        <v>1253</v>
      </c>
      <c r="K1815" s="7" t="s">
        <v>565</v>
      </c>
      <c r="L1815" s="11">
        <v>55.98</v>
      </c>
      <c r="M1815" s="11">
        <v>1647.75</v>
      </c>
      <c r="N1815" s="9">
        <f t="shared" si="57"/>
        <v>55.98</v>
      </c>
    </row>
    <row r="1816" spans="1:14" ht="12.75" hidden="1" customHeight="1" x14ac:dyDescent="0.2">
      <c r="A1816">
        <v>65061</v>
      </c>
      <c r="B1816" s="3" t="s">
        <v>1253</v>
      </c>
      <c r="C1816" s="7" t="s">
        <v>388</v>
      </c>
      <c r="D1816" s="7" t="s">
        <v>200</v>
      </c>
      <c r="F1816" s="7" t="s">
        <v>571</v>
      </c>
      <c r="G1816" s="7" t="s">
        <v>1621</v>
      </c>
      <c r="H1816" s="7" t="s">
        <v>1362</v>
      </c>
      <c r="I1816" s="7" t="s">
        <v>1253</v>
      </c>
      <c r="K1816" s="7" t="s">
        <v>565</v>
      </c>
      <c r="L1816" s="11">
        <v>309.98</v>
      </c>
      <c r="M1816" s="11">
        <v>1957.73</v>
      </c>
      <c r="N1816" s="9">
        <f t="shared" si="57"/>
        <v>309.98</v>
      </c>
    </row>
    <row r="1817" spans="1:14" ht="12.75" hidden="1" customHeight="1" x14ac:dyDescent="0.2">
      <c r="A1817">
        <v>65061</v>
      </c>
      <c r="B1817" s="3" t="s">
        <v>1253</v>
      </c>
      <c r="C1817" s="7" t="s">
        <v>965</v>
      </c>
      <c r="D1817" s="7" t="s">
        <v>200</v>
      </c>
      <c r="F1817" s="7" t="s">
        <v>968</v>
      </c>
      <c r="G1817" s="7" t="s">
        <v>1621</v>
      </c>
      <c r="H1817" s="7" t="s">
        <v>1362</v>
      </c>
      <c r="I1817" s="7" t="s">
        <v>1253</v>
      </c>
      <c r="K1817" s="7" t="s">
        <v>565</v>
      </c>
      <c r="L1817" s="11">
        <v>77.94</v>
      </c>
      <c r="M1817" s="11">
        <v>3809.98</v>
      </c>
      <c r="N1817" s="9">
        <f t="shared" si="57"/>
        <v>77.94</v>
      </c>
    </row>
    <row r="1818" spans="1:14" ht="12.75" hidden="1" customHeight="1" x14ac:dyDescent="0.2">
      <c r="A1818">
        <v>65061</v>
      </c>
      <c r="B1818" s="3" t="s">
        <v>1253</v>
      </c>
      <c r="C1818" s="7" t="s">
        <v>962</v>
      </c>
      <c r="D1818" s="7" t="s">
        <v>200</v>
      </c>
      <c r="F1818" s="7" t="s">
        <v>241</v>
      </c>
      <c r="G1818" s="7" t="s">
        <v>1621</v>
      </c>
      <c r="H1818" s="7" t="s">
        <v>1362</v>
      </c>
      <c r="I1818" s="7" t="s">
        <v>1253</v>
      </c>
      <c r="K1818" s="7" t="s">
        <v>565</v>
      </c>
      <c r="L1818" s="11">
        <v>319.94</v>
      </c>
      <c r="M1818" s="11">
        <v>4661.46</v>
      </c>
      <c r="N1818" s="9">
        <f t="shared" si="57"/>
        <v>319.94</v>
      </c>
    </row>
    <row r="1819" spans="1:14" ht="12.75" hidden="1" customHeight="1" x14ac:dyDescent="0.2">
      <c r="A1819">
        <v>65061</v>
      </c>
      <c r="B1819" s="3" t="s">
        <v>1253</v>
      </c>
      <c r="C1819" s="7" t="s">
        <v>392</v>
      </c>
      <c r="D1819" s="7" t="s">
        <v>200</v>
      </c>
      <c r="E1819" s="7">
        <v>399</v>
      </c>
      <c r="F1819" s="7" t="s">
        <v>865</v>
      </c>
      <c r="G1819" s="7" t="s">
        <v>1621</v>
      </c>
      <c r="H1819" s="7" t="s">
        <v>1362</v>
      </c>
      <c r="I1819" s="7" t="s">
        <v>1253</v>
      </c>
      <c r="J1819" s="7" t="s">
        <v>961</v>
      </c>
      <c r="K1819" s="7" t="s">
        <v>198</v>
      </c>
      <c r="L1819" s="11">
        <v>56.16</v>
      </c>
      <c r="M1819" s="11">
        <v>6234.41</v>
      </c>
      <c r="N1819" s="9">
        <f t="shared" si="57"/>
        <v>56.16</v>
      </c>
    </row>
    <row r="1820" spans="1:14" ht="12.75" hidden="1" customHeight="1" x14ac:dyDescent="0.2">
      <c r="A1820">
        <v>65061</v>
      </c>
      <c r="B1820" s="3" t="s">
        <v>1253</v>
      </c>
      <c r="C1820" s="7" t="s">
        <v>384</v>
      </c>
      <c r="D1820" s="7" t="s">
        <v>200</v>
      </c>
      <c r="F1820" s="7" t="s">
        <v>546</v>
      </c>
      <c r="G1820" s="7" t="s">
        <v>1621</v>
      </c>
      <c r="H1820" s="7" t="s">
        <v>1362</v>
      </c>
      <c r="I1820" s="7" t="s">
        <v>1253</v>
      </c>
      <c r="K1820" s="7" t="s">
        <v>565</v>
      </c>
      <c r="L1820" s="11">
        <v>314.5</v>
      </c>
      <c r="M1820" s="11">
        <v>11935.14</v>
      </c>
      <c r="N1820" s="9">
        <f t="shared" si="57"/>
        <v>314.5</v>
      </c>
    </row>
    <row r="1821" spans="1:14" ht="12.75" hidden="1" customHeight="1" x14ac:dyDescent="0.2">
      <c r="A1821">
        <v>65061</v>
      </c>
      <c r="B1821" s="3" t="s">
        <v>1253</v>
      </c>
      <c r="C1821" s="7" t="s">
        <v>361</v>
      </c>
      <c r="D1821" s="7" t="s">
        <v>200</v>
      </c>
      <c r="F1821" s="7" t="s">
        <v>548</v>
      </c>
      <c r="G1821" s="7" t="s">
        <v>1621</v>
      </c>
      <c r="H1821" s="7" t="s">
        <v>1362</v>
      </c>
      <c r="I1821" s="7" t="s">
        <v>1253</v>
      </c>
      <c r="K1821" s="7" t="s">
        <v>565</v>
      </c>
      <c r="L1821" s="11">
        <v>125.38</v>
      </c>
      <c r="M1821" s="11">
        <v>44163.54</v>
      </c>
      <c r="N1821" s="9">
        <f t="shared" si="57"/>
        <v>125.38</v>
      </c>
    </row>
    <row r="1822" spans="1:14" ht="12.75" hidden="1" customHeight="1" x14ac:dyDescent="0.2">
      <c r="A1822">
        <v>65061</v>
      </c>
      <c r="B1822" s="3" t="s">
        <v>1253</v>
      </c>
      <c r="C1822" s="7" t="s">
        <v>361</v>
      </c>
      <c r="D1822" s="7" t="s">
        <v>200</v>
      </c>
      <c r="F1822" s="7" t="s">
        <v>548</v>
      </c>
      <c r="G1822" s="7" t="s">
        <v>1621</v>
      </c>
      <c r="H1822" s="7" t="s">
        <v>1362</v>
      </c>
      <c r="I1822" s="7" t="s">
        <v>1253</v>
      </c>
      <c r="K1822" s="7" t="s">
        <v>565</v>
      </c>
      <c r="L1822" s="11">
        <v>179</v>
      </c>
      <c r="M1822" s="11">
        <v>44342.54</v>
      </c>
      <c r="N1822" s="9">
        <f t="shared" si="57"/>
        <v>179</v>
      </c>
    </row>
    <row r="1823" spans="1:14" ht="12.75" hidden="1" customHeight="1" x14ac:dyDescent="0.2">
      <c r="A1823">
        <v>65061</v>
      </c>
      <c r="B1823" s="3" t="s">
        <v>1253</v>
      </c>
      <c r="C1823" s="7" t="s">
        <v>361</v>
      </c>
      <c r="D1823" s="7" t="s">
        <v>200</v>
      </c>
      <c r="F1823" s="7" t="s">
        <v>900</v>
      </c>
      <c r="G1823" s="7" t="s">
        <v>1621</v>
      </c>
      <c r="H1823" s="7" t="s">
        <v>1362</v>
      </c>
      <c r="I1823" s="7" t="s">
        <v>1253</v>
      </c>
      <c r="K1823" s="7" t="s">
        <v>565</v>
      </c>
      <c r="L1823" s="11">
        <v>38.229999999999997</v>
      </c>
      <c r="M1823" s="11">
        <v>44887.62</v>
      </c>
      <c r="N1823" s="9">
        <f t="shared" si="57"/>
        <v>38.229999999999997</v>
      </c>
    </row>
    <row r="1824" spans="1:14" ht="12.75" hidden="1" customHeight="1" x14ac:dyDescent="0.2">
      <c r="A1824">
        <v>65061</v>
      </c>
      <c r="B1824" s="3" t="s">
        <v>1253</v>
      </c>
      <c r="C1824" s="7" t="s">
        <v>323</v>
      </c>
      <c r="D1824" s="7" t="s">
        <v>200</v>
      </c>
      <c r="E1824" s="7">
        <v>419</v>
      </c>
      <c r="F1824" s="7" t="s">
        <v>865</v>
      </c>
      <c r="G1824" s="7" t="s">
        <v>1621</v>
      </c>
      <c r="H1824" s="7" t="s">
        <v>1362</v>
      </c>
      <c r="I1824" s="7" t="s">
        <v>1253</v>
      </c>
      <c r="K1824" s="7" t="s">
        <v>198</v>
      </c>
      <c r="L1824" s="11">
        <v>0</v>
      </c>
      <c r="M1824" s="11">
        <v>65924.41</v>
      </c>
      <c r="N1824" s="9">
        <f t="shared" si="57"/>
        <v>0</v>
      </c>
    </row>
    <row r="1825" spans="1:14" ht="12.75" hidden="1" customHeight="1" x14ac:dyDescent="0.2">
      <c r="A1825">
        <v>65061</v>
      </c>
      <c r="B1825" s="3" t="s">
        <v>1253</v>
      </c>
      <c r="C1825" s="7" t="s">
        <v>323</v>
      </c>
      <c r="D1825" s="7" t="s">
        <v>200</v>
      </c>
      <c r="E1825" s="7">
        <v>420</v>
      </c>
      <c r="F1825" s="7" t="s">
        <v>705</v>
      </c>
      <c r="G1825" s="7" t="s">
        <v>1621</v>
      </c>
      <c r="H1825" s="7" t="s">
        <v>1362</v>
      </c>
      <c r="I1825" s="7" t="s">
        <v>1253</v>
      </c>
      <c r="K1825" s="7" t="s">
        <v>198</v>
      </c>
      <c r="L1825" s="11">
        <v>962.59</v>
      </c>
      <c r="M1825" s="11">
        <v>67105.490000000005</v>
      </c>
      <c r="N1825" s="9">
        <f t="shared" si="57"/>
        <v>962.59</v>
      </c>
    </row>
    <row r="1826" spans="1:14" ht="12.75" hidden="1" customHeight="1" x14ac:dyDescent="0.2">
      <c r="A1826">
        <v>65061</v>
      </c>
      <c r="B1826" s="3" t="s">
        <v>1253</v>
      </c>
      <c r="C1826" s="7" t="s">
        <v>312</v>
      </c>
      <c r="D1826" s="7" t="s">
        <v>200</v>
      </c>
      <c r="F1826" s="7" t="s">
        <v>851</v>
      </c>
      <c r="G1826" s="7" t="s">
        <v>1621</v>
      </c>
      <c r="H1826" s="7" t="s">
        <v>1362</v>
      </c>
      <c r="I1826" s="7" t="s">
        <v>1253</v>
      </c>
      <c r="K1826" s="7" t="s">
        <v>565</v>
      </c>
      <c r="L1826" s="11">
        <v>249</v>
      </c>
      <c r="M1826" s="11">
        <v>72906.94</v>
      </c>
      <c r="N1826" s="9">
        <f t="shared" si="57"/>
        <v>249</v>
      </c>
    </row>
    <row r="1827" spans="1:14" ht="12.75" hidden="1" customHeight="1" x14ac:dyDescent="0.2">
      <c r="A1827">
        <v>65061</v>
      </c>
      <c r="B1827" s="3" t="s">
        <v>1253</v>
      </c>
      <c r="C1827" s="7" t="s">
        <v>293</v>
      </c>
      <c r="D1827" s="7" t="s">
        <v>200</v>
      </c>
      <c r="E1827" s="7">
        <v>432</v>
      </c>
      <c r="F1827" s="7" t="s">
        <v>705</v>
      </c>
      <c r="G1827" s="7" t="s">
        <v>1621</v>
      </c>
      <c r="H1827" s="7" t="s">
        <v>1362</v>
      </c>
      <c r="I1827" s="7" t="s">
        <v>1253</v>
      </c>
      <c r="J1827" s="7" t="s">
        <v>704</v>
      </c>
      <c r="K1827" s="7" t="s">
        <v>198</v>
      </c>
      <c r="L1827" s="11">
        <v>242.32</v>
      </c>
      <c r="M1827" s="11">
        <v>86133.85</v>
      </c>
      <c r="N1827" s="9">
        <f t="shared" si="57"/>
        <v>242.32</v>
      </c>
    </row>
    <row r="1828" spans="1:14" ht="12.75" hidden="1" customHeight="1" x14ac:dyDescent="0.2">
      <c r="A1828">
        <v>65061</v>
      </c>
      <c r="B1828" s="3" t="s">
        <v>1253</v>
      </c>
      <c r="C1828" s="7" t="s">
        <v>293</v>
      </c>
      <c r="D1828" s="7" t="s">
        <v>200</v>
      </c>
      <c r="F1828" s="7" t="s">
        <v>705</v>
      </c>
      <c r="G1828" s="7" t="s">
        <v>1621</v>
      </c>
      <c r="H1828" s="7" t="s">
        <v>1362</v>
      </c>
      <c r="I1828" s="7" t="s">
        <v>1253</v>
      </c>
      <c r="K1828" s="7" t="s">
        <v>565</v>
      </c>
      <c r="L1828" s="11">
        <v>242.32</v>
      </c>
      <c r="M1828" s="11">
        <v>86376.17</v>
      </c>
      <c r="N1828" s="9">
        <f t="shared" si="57"/>
        <v>242.32</v>
      </c>
    </row>
    <row r="1829" spans="1:14" ht="12.75" hidden="1" customHeight="1" x14ac:dyDescent="0.2">
      <c r="A1829">
        <v>65061</v>
      </c>
      <c r="B1829" s="3" t="s">
        <v>1253</v>
      </c>
      <c r="C1829" s="7" t="s">
        <v>794</v>
      </c>
      <c r="D1829" s="7" t="s">
        <v>200</v>
      </c>
      <c r="F1829" s="7" t="s">
        <v>241</v>
      </c>
      <c r="G1829" s="7" t="s">
        <v>1621</v>
      </c>
      <c r="H1829" s="7" t="s">
        <v>1362</v>
      </c>
      <c r="I1829" s="7" t="s">
        <v>1253</v>
      </c>
      <c r="K1829" s="7" t="s">
        <v>565</v>
      </c>
      <c r="L1829" s="11">
        <v>152.21</v>
      </c>
      <c r="M1829" s="11">
        <v>97595.38</v>
      </c>
      <c r="N1829" s="9">
        <f t="shared" si="57"/>
        <v>152.21</v>
      </c>
    </row>
    <row r="1830" spans="1:14" ht="12.75" hidden="1" customHeight="1" x14ac:dyDescent="0.2">
      <c r="A1830">
        <v>65061</v>
      </c>
      <c r="B1830" s="3" t="s">
        <v>1253</v>
      </c>
      <c r="C1830" s="7" t="s">
        <v>794</v>
      </c>
      <c r="D1830" s="7" t="s">
        <v>200</v>
      </c>
      <c r="F1830" s="7" t="s">
        <v>241</v>
      </c>
      <c r="G1830" s="7" t="s">
        <v>1621</v>
      </c>
      <c r="H1830" s="7" t="s">
        <v>1362</v>
      </c>
      <c r="I1830" s="7" t="s">
        <v>1253</v>
      </c>
      <c r="K1830" s="7" t="s">
        <v>565</v>
      </c>
      <c r="L1830" s="11">
        <v>163.9</v>
      </c>
      <c r="M1830" s="11">
        <v>98213.08</v>
      </c>
      <c r="N1830" s="9">
        <f t="shared" si="57"/>
        <v>163.9</v>
      </c>
    </row>
    <row r="1831" spans="1:14" ht="12.75" hidden="1" customHeight="1" x14ac:dyDescent="0.2">
      <c r="A1831">
        <v>65061</v>
      </c>
      <c r="B1831" s="3" t="s">
        <v>1253</v>
      </c>
      <c r="C1831" s="7" t="s">
        <v>794</v>
      </c>
      <c r="D1831" s="7" t="s">
        <v>200</v>
      </c>
      <c r="F1831" s="7" t="s">
        <v>793</v>
      </c>
      <c r="G1831" s="7" t="s">
        <v>1621</v>
      </c>
      <c r="H1831" s="7" t="s">
        <v>1362</v>
      </c>
      <c r="I1831" s="7" t="s">
        <v>1253</v>
      </c>
      <c r="K1831" s="7" t="s">
        <v>565</v>
      </c>
      <c r="L1831" s="11">
        <v>67.400000000000006</v>
      </c>
      <c r="M1831" s="11">
        <v>98280.48</v>
      </c>
      <c r="N1831" s="9">
        <f t="shared" si="57"/>
        <v>67.400000000000006</v>
      </c>
    </row>
    <row r="1832" spans="1:14" ht="12.75" hidden="1" customHeight="1" x14ac:dyDescent="0.2">
      <c r="A1832">
        <v>65061</v>
      </c>
      <c r="B1832" s="3" t="s">
        <v>1253</v>
      </c>
      <c r="C1832" s="7" t="s">
        <v>794</v>
      </c>
      <c r="D1832" s="7" t="s">
        <v>200</v>
      </c>
      <c r="F1832" s="7" t="s">
        <v>793</v>
      </c>
      <c r="G1832" s="7" t="s">
        <v>1621</v>
      </c>
      <c r="H1832" s="7" t="s">
        <v>1362</v>
      </c>
      <c r="I1832" s="7" t="s">
        <v>1253</v>
      </c>
      <c r="K1832" s="7" t="s">
        <v>565</v>
      </c>
      <c r="L1832" s="11">
        <v>106.17</v>
      </c>
      <c r="M1832" s="11">
        <v>98406.65</v>
      </c>
      <c r="N1832" s="9">
        <f t="shared" ref="N1832:N1862" si="58">IF(A1832&lt;60000,-L1832,+L1832)</f>
        <v>106.17</v>
      </c>
    </row>
    <row r="1833" spans="1:14" ht="12.75" hidden="1" customHeight="1" x14ac:dyDescent="0.2">
      <c r="A1833">
        <v>65061</v>
      </c>
      <c r="B1833" s="3" t="s">
        <v>1253</v>
      </c>
      <c r="C1833" s="7" t="s">
        <v>788</v>
      </c>
      <c r="D1833" s="7" t="s">
        <v>200</v>
      </c>
      <c r="F1833" s="7" t="s">
        <v>241</v>
      </c>
      <c r="G1833" s="7" t="s">
        <v>1621</v>
      </c>
      <c r="H1833" s="7" t="s">
        <v>1362</v>
      </c>
      <c r="I1833" s="7" t="s">
        <v>1253</v>
      </c>
      <c r="K1833" s="7" t="s">
        <v>565</v>
      </c>
      <c r="L1833" s="11">
        <v>92.4</v>
      </c>
      <c r="M1833" s="11">
        <v>98499.05</v>
      </c>
      <c r="N1833" s="9">
        <f t="shared" si="58"/>
        <v>92.4</v>
      </c>
    </row>
    <row r="1834" spans="1:14" ht="12.75" hidden="1" customHeight="1" x14ac:dyDescent="0.2">
      <c r="A1834">
        <v>65061</v>
      </c>
      <c r="B1834" s="3" t="s">
        <v>1253</v>
      </c>
      <c r="C1834" s="7" t="s">
        <v>788</v>
      </c>
      <c r="D1834" s="7" t="s">
        <v>200</v>
      </c>
      <c r="G1834" s="7" t="s">
        <v>1621</v>
      </c>
      <c r="H1834" s="7" t="s">
        <v>1362</v>
      </c>
      <c r="I1834" s="7" t="s">
        <v>1253</v>
      </c>
      <c r="K1834" s="7" t="s">
        <v>565</v>
      </c>
      <c r="L1834" s="11">
        <v>6.51</v>
      </c>
      <c r="M1834" s="11">
        <v>98505.56</v>
      </c>
      <c r="N1834" s="9">
        <f t="shared" si="58"/>
        <v>6.51</v>
      </c>
    </row>
    <row r="1835" spans="1:14" ht="12.75" hidden="1" customHeight="1" x14ac:dyDescent="0.2">
      <c r="A1835">
        <v>65061</v>
      </c>
      <c r="B1835" s="3" t="s">
        <v>1253</v>
      </c>
      <c r="C1835" s="7" t="s">
        <v>788</v>
      </c>
      <c r="D1835" s="7" t="s">
        <v>200</v>
      </c>
      <c r="F1835" s="7" t="s">
        <v>594</v>
      </c>
      <c r="G1835" s="7" t="s">
        <v>1621</v>
      </c>
      <c r="H1835" s="7" t="s">
        <v>1362</v>
      </c>
      <c r="I1835" s="7" t="s">
        <v>1253</v>
      </c>
      <c r="K1835" s="7" t="s">
        <v>565</v>
      </c>
      <c r="L1835" s="11">
        <v>16.3</v>
      </c>
      <c r="M1835" s="11">
        <v>98633.87</v>
      </c>
      <c r="N1835" s="9">
        <f t="shared" si="58"/>
        <v>16.3</v>
      </c>
    </row>
    <row r="1836" spans="1:14" ht="12.75" hidden="1" customHeight="1" x14ac:dyDescent="0.2">
      <c r="A1836">
        <v>65061</v>
      </c>
      <c r="B1836" s="3" t="s">
        <v>1253</v>
      </c>
      <c r="C1836" s="7" t="s">
        <v>788</v>
      </c>
      <c r="D1836" s="7" t="s">
        <v>200</v>
      </c>
      <c r="F1836" s="7" t="s">
        <v>355</v>
      </c>
      <c r="G1836" s="7" t="s">
        <v>1621</v>
      </c>
      <c r="H1836" s="7" t="s">
        <v>1362</v>
      </c>
      <c r="I1836" s="7" t="s">
        <v>1253</v>
      </c>
      <c r="K1836" s="7" t="s">
        <v>565</v>
      </c>
      <c r="L1836" s="11">
        <v>11.94</v>
      </c>
      <c r="M1836" s="11">
        <v>99097.22</v>
      </c>
      <c r="N1836" s="9">
        <f t="shared" si="58"/>
        <v>11.94</v>
      </c>
    </row>
    <row r="1837" spans="1:14" ht="12.75" hidden="1" customHeight="1" x14ac:dyDescent="0.2">
      <c r="A1837">
        <v>65061</v>
      </c>
      <c r="B1837" s="3" t="s">
        <v>1253</v>
      </c>
      <c r="C1837" s="7" t="s">
        <v>201</v>
      </c>
      <c r="D1837" s="7" t="s">
        <v>200</v>
      </c>
      <c r="F1837" s="7" t="s">
        <v>774</v>
      </c>
      <c r="G1837" s="7" t="s">
        <v>1621</v>
      </c>
      <c r="H1837" s="7" t="s">
        <v>1362</v>
      </c>
      <c r="I1837" s="7" t="s">
        <v>1253</v>
      </c>
      <c r="K1837" s="7" t="s">
        <v>565</v>
      </c>
      <c r="L1837" s="11">
        <v>11.95</v>
      </c>
      <c r="M1837" s="11">
        <v>99508.65</v>
      </c>
      <c r="N1837" s="9">
        <f t="shared" si="58"/>
        <v>11.95</v>
      </c>
    </row>
    <row r="1838" spans="1:14" ht="12.75" hidden="1" customHeight="1" x14ac:dyDescent="0.2">
      <c r="A1838">
        <v>65061</v>
      </c>
      <c r="B1838" s="3" t="s">
        <v>1253</v>
      </c>
      <c r="C1838" s="7" t="s">
        <v>201</v>
      </c>
      <c r="D1838" s="7" t="s">
        <v>200</v>
      </c>
      <c r="F1838" s="7" t="s">
        <v>787</v>
      </c>
      <c r="G1838" s="7" t="s">
        <v>1621</v>
      </c>
      <c r="H1838" s="7" t="s">
        <v>1362</v>
      </c>
      <c r="I1838" s="7" t="s">
        <v>1253</v>
      </c>
      <c r="K1838" s="7" t="s">
        <v>565</v>
      </c>
      <c r="L1838" s="11">
        <v>13</v>
      </c>
      <c r="M1838" s="11">
        <v>99758.5</v>
      </c>
      <c r="N1838" s="9">
        <f t="shared" si="58"/>
        <v>13</v>
      </c>
    </row>
    <row r="1839" spans="1:14" ht="12.75" hidden="1" customHeight="1" x14ac:dyDescent="0.2">
      <c r="A1839">
        <v>65061</v>
      </c>
      <c r="B1839" s="3" t="s">
        <v>1253</v>
      </c>
      <c r="C1839" s="7" t="s">
        <v>201</v>
      </c>
      <c r="D1839" s="7" t="s">
        <v>200</v>
      </c>
      <c r="F1839" s="7" t="s">
        <v>548</v>
      </c>
      <c r="G1839" s="7" t="s">
        <v>1621</v>
      </c>
      <c r="H1839" s="7" t="s">
        <v>1362</v>
      </c>
      <c r="I1839" s="7" t="s">
        <v>1253</v>
      </c>
      <c r="K1839" s="7" t="s">
        <v>565</v>
      </c>
      <c r="L1839" s="11">
        <v>56.42</v>
      </c>
      <c r="M1839" s="11">
        <v>99889.73</v>
      </c>
      <c r="N1839" s="9">
        <f t="shared" si="58"/>
        <v>56.42</v>
      </c>
    </row>
    <row r="1840" spans="1:14" ht="12.75" hidden="1" customHeight="1" x14ac:dyDescent="0.2">
      <c r="A1840">
        <v>65061</v>
      </c>
      <c r="B1840" s="3" t="s">
        <v>1253</v>
      </c>
      <c r="C1840" s="7" t="s">
        <v>201</v>
      </c>
      <c r="D1840" s="7" t="s">
        <v>200</v>
      </c>
      <c r="F1840" s="7" t="s">
        <v>786</v>
      </c>
      <c r="G1840" s="7" t="s">
        <v>1621</v>
      </c>
      <c r="H1840" s="7" t="s">
        <v>1362</v>
      </c>
      <c r="I1840" s="7" t="s">
        <v>1253</v>
      </c>
      <c r="K1840" s="7" t="s">
        <v>565</v>
      </c>
      <c r="L1840" s="11">
        <v>43.49</v>
      </c>
      <c r="M1840" s="11">
        <v>100357.27</v>
      </c>
      <c r="N1840" s="9">
        <f t="shared" si="58"/>
        <v>43.49</v>
      </c>
    </row>
    <row r="1841" spans="1:14" ht="12.75" hidden="1" customHeight="1" x14ac:dyDescent="0.2">
      <c r="A1841">
        <v>65061</v>
      </c>
      <c r="B1841" s="3" t="s">
        <v>1253</v>
      </c>
      <c r="C1841" s="7" t="s">
        <v>201</v>
      </c>
      <c r="D1841" s="7" t="s">
        <v>200</v>
      </c>
      <c r="F1841" s="7" t="s">
        <v>785</v>
      </c>
      <c r="G1841" s="7" t="s">
        <v>1621</v>
      </c>
      <c r="H1841" s="7" t="s">
        <v>1362</v>
      </c>
      <c r="I1841" s="7" t="s">
        <v>1253</v>
      </c>
      <c r="K1841" s="7" t="s">
        <v>565</v>
      </c>
      <c r="L1841" s="11">
        <v>150</v>
      </c>
      <c r="M1841" s="11">
        <v>101439.33</v>
      </c>
      <c r="N1841" s="9">
        <f t="shared" si="58"/>
        <v>150</v>
      </c>
    </row>
    <row r="1842" spans="1:14" ht="12.75" hidden="1" customHeight="1" x14ac:dyDescent="0.2">
      <c r="A1842">
        <v>65061</v>
      </c>
      <c r="B1842" s="3" t="s">
        <v>1253</v>
      </c>
      <c r="C1842" s="7" t="s">
        <v>239</v>
      </c>
      <c r="D1842" s="7" t="s">
        <v>221</v>
      </c>
      <c r="F1842" s="7" t="s">
        <v>589</v>
      </c>
      <c r="G1842" s="7" t="s">
        <v>1621</v>
      </c>
      <c r="H1842" s="7" t="s">
        <v>1362</v>
      </c>
      <c r="I1842" s="7" t="s">
        <v>1253</v>
      </c>
      <c r="K1842" s="7" t="s">
        <v>565</v>
      </c>
      <c r="L1842" s="11">
        <v>19.05</v>
      </c>
      <c r="M1842" s="11">
        <v>115893.35</v>
      </c>
      <c r="N1842" s="9">
        <f t="shared" si="58"/>
        <v>19.05</v>
      </c>
    </row>
    <row r="1843" spans="1:14" ht="12.75" hidden="1" customHeight="1" x14ac:dyDescent="0.2">
      <c r="A1843">
        <v>65061</v>
      </c>
      <c r="B1843" s="3" t="s">
        <v>1253</v>
      </c>
      <c r="C1843" s="7" t="s">
        <v>759</v>
      </c>
      <c r="D1843" s="7" t="s">
        <v>221</v>
      </c>
      <c r="F1843" s="7" t="s">
        <v>761</v>
      </c>
      <c r="G1843" s="7" t="s">
        <v>1621</v>
      </c>
      <c r="H1843" s="7" t="s">
        <v>1362</v>
      </c>
      <c r="I1843" s="7" t="s">
        <v>1253</v>
      </c>
      <c r="K1843" s="7" t="s">
        <v>565</v>
      </c>
      <c r="L1843" s="11">
        <v>171.99</v>
      </c>
      <c r="M1843" s="11">
        <v>120646.37</v>
      </c>
      <c r="N1843" s="9">
        <f t="shared" si="58"/>
        <v>171.99</v>
      </c>
    </row>
    <row r="1844" spans="1:14" ht="12.75" hidden="1" customHeight="1" x14ac:dyDescent="0.2">
      <c r="A1844">
        <v>65061</v>
      </c>
      <c r="B1844" s="3" t="s">
        <v>1253</v>
      </c>
      <c r="C1844" s="7" t="s">
        <v>496</v>
      </c>
      <c r="D1844" s="7" t="s">
        <v>221</v>
      </c>
      <c r="F1844" s="7" t="s">
        <v>546</v>
      </c>
      <c r="G1844" s="7" t="s">
        <v>1621</v>
      </c>
      <c r="H1844" s="7" t="s">
        <v>1362</v>
      </c>
      <c r="I1844" s="7" t="s">
        <v>1253</v>
      </c>
      <c r="K1844" s="7" t="s">
        <v>565</v>
      </c>
      <c r="L1844" s="11">
        <v>395.25</v>
      </c>
      <c r="M1844" s="11">
        <v>127139.86</v>
      </c>
      <c r="N1844" s="9">
        <f t="shared" si="58"/>
        <v>395.25</v>
      </c>
    </row>
    <row r="1845" spans="1:14" ht="12.75" hidden="1" customHeight="1" x14ac:dyDescent="0.2">
      <c r="A1845">
        <v>65061</v>
      </c>
      <c r="B1845" s="3" t="s">
        <v>1253</v>
      </c>
      <c r="C1845" s="7" t="s">
        <v>496</v>
      </c>
      <c r="D1845" s="7" t="s">
        <v>221</v>
      </c>
      <c r="F1845" s="7" t="s">
        <v>548</v>
      </c>
      <c r="G1845" s="7" t="s">
        <v>1621</v>
      </c>
      <c r="H1845" s="7" t="s">
        <v>1362</v>
      </c>
      <c r="I1845" s="7" t="s">
        <v>1253</v>
      </c>
      <c r="K1845" s="7" t="s">
        <v>565</v>
      </c>
      <c r="L1845" s="11">
        <v>758.69</v>
      </c>
      <c r="M1845" s="11">
        <v>127898.55</v>
      </c>
      <c r="N1845" s="9">
        <f t="shared" si="58"/>
        <v>758.69</v>
      </c>
    </row>
    <row r="1846" spans="1:14" ht="12.75" hidden="1" customHeight="1" x14ac:dyDescent="0.2">
      <c r="A1846">
        <v>65061</v>
      </c>
      <c r="B1846" s="3" t="s">
        <v>1253</v>
      </c>
      <c r="C1846" s="7" t="s">
        <v>496</v>
      </c>
      <c r="D1846" s="7" t="s">
        <v>221</v>
      </c>
      <c r="F1846" s="7" t="s">
        <v>606</v>
      </c>
      <c r="G1846" s="7" t="s">
        <v>1621</v>
      </c>
      <c r="H1846" s="7" t="s">
        <v>1362</v>
      </c>
      <c r="I1846" s="7" t="s">
        <v>1253</v>
      </c>
      <c r="K1846" s="7" t="s">
        <v>565</v>
      </c>
      <c r="L1846" s="11">
        <v>462.97</v>
      </c>
      <c r="M1846" s="11">
        <v>128361.52</v>
      </c>
      <c r="N1846" s="9">
        <f t="shared" si="58"/>
        <v>462.97</v>
      </c>
    </row>
    <row r="1847" spans="1:14" ht="12.75" hidden="1" customHeight="1" x14ac:dyDescent="0.2">
      <c r="A1847">
        <v>65061</v>
      </c>
      <c r="B1847" s="3" t="s">
        <v>1253</v>
      </c>
      <c r="C1847" s="7" t="s">
        <v>496</v>
      </c>
      <c r="D1847" s="7" t="s">
        <v>221</v>
      </c>
      <c r="F1847" s="7" t="s">
        <v>548</v>
      </c>
      <c r="G1847" s="7" t="s">
        <v>1621</v>
      </c>
      <c r="H1847" s="7" t="s">
        <v>1362</v>
      </c>
      <c r="I1847" s="7" t="s">
        <v>1253</v>
      </c>
      <c r="K1847" s="7" t="s">
        <v>565</v>
      </c>
      <c r="L1847" s="11">
        <v>227.96</v>
      </c>
      <c r="M1847" s="11">
        <v>128589.48</v>
      </c>
      <c r="N1847" s="9">
        <f t="shared" si="58"/>
        <v>227.96</v>
      </c>
    </row>
    <row r="1848" spans="1:14" ht="12.75" hidden="1" customHeight="1" x14ac:dyDescent="0.2">
      <c r="A1848">
        <v>65061</v>
      </c>
      <c r="B1848" s="3" t="s">
        <v>1253</v>
      </c>
      <c r="C1848" s="7" t="s">
        <v>238</v>
      </c>
      <c r="D1848" s="7" t="s">
        <v>221</v>
      </c>
      <c r="F1848" s="7" t="s">
        <v>741</v>
      </c>
      <c r="G1848" s="7" t="s">
        <v>1621</v>
      </c>
      <c r="H1848" s="7" t="s">
        <v>1362</v>
      </c>
      <c r="I1848" s="7" t="s">
        <v>1253</v>
      </c>
      <c r="K1848" s="7" t="s">
        <v>565</v>
      </c>
      <c r="L1848" s="11">
        <v>16.43</v>
      </c>
      <c r="M1848" s="11">
        <v>128677.37</v>
      </c>
      <c r="N1848" s="9">
        <f t="shared" si="58"/>
        <v>16.43</v>
      </c>
    </row>
    <row r="1849" spans="1:14" ht="12.75" hidden="1" customHeight="1" x14ac:dyDescent="0.2">
      <c r="A1849">
        <v>65061</v>
      </c>
      <c r="B1849" s="3" t="s">
        <v>1253</v>
      </c>
      <c r="C1849" s="7" t="s">
        <v>238</v>
      </c>
      <c r="D1849" s="7" t="s">
        <v>221</v>
      </c>
      <c r="F1849" s="7" t="s">
        <v>740</v>
      </c>
      <c r="G1849" s="7" t="s">
        <v>1621</v>
      </c>
      <c r="H1849" s="7" t="s">
        <v>1362</v>
      </c>
      <c r="I1849" s="7" t="s">
        <v>1253</v>
      </c>
      <c r="K1849" s="7" t="s">
        <v>565</v>
      </c>
      <c r="L1849" s="11">
        <v>400</v>
      </c>
      <c r="M1849" s="11">
        <v>129077.37</v>
      </c>
      <c r="N1849" s="9">
        <f t="shared" si="58"/>
        <v>400</v>
      </c>
    </row>
    <row r="1850" spans="1:14" ht="12.75" hidden="1" customHeight="1" x14ac:dyDescent="0.2">
      <c r="A1850">
        <v>65061</v>
      </c>
      <c r="B1850" s="3" t="s">
        <v>1253</v>
      </c>
      <c r="C1850" s="7" t="s">
        <v>238</v>
      </c>
      <c r="D1850" s="7" t="s">
        <v>221</v>
      </c>
      <c r="F1850" s="7" t="s">
        <v>548</v>
      </c>
      <c r="G1850" s="7" t="s">
        <v>1621</v>
      </c>
      <c r="H1850" s="7" t="s">
        <v>1362</v>
      </c>
      <c r="I1850" s="7" t="s">
        <v>1253</v>
      </c>
      <c r="K1850" s="7" t="s">
        <v>565</v>
      </c>
      <c r="L1850" s="11">
        <v>25.84</v>
      </c>
      <c r="M1850" s="11">
        <v>129103.21</v>
      </c>
      <c r="N1850" s="9">
        <f t="shared" si="58"/>
        <v>25.84</v>
      </c>
    </row>
    <row r="1851" spans="1:14" ht="12.75" hidden="1" customHeight="1" x14ac:dyDescent="0.2">
      <c r="A1851">
        <v>65061</v>
      </c>
      <c r="B1851" s="3" t="s">
        <v>1253</v>
      </c>
      <c r="C1851" s="7" t="s">
        <v>238</v>
      </c>
      <c r="D1851" s="7" t="s">
        <v>221</v>
      </c>
      <c r="F1851" s="7" t="s">
        <v>727</v>
      </c>
      <c r="G1851" s="7" t="s">
        <v>1621</v>
      </c>
      <c r="H1851" s="7" t="s">
        <v>1362</v>
      </c>
      <c r="I1851" s="7" t="s">
        <v>1253</v>
      </c>
      <c r="K1851" s="7" t="s">
        <v>565</v>
      </c>
      <c r="L1851" s="11">
        <v>303.81</v>
      </c>
      <c r="M1851" s="11">
        <v>131731.65</v>
      </c>
      <c r="N1851" s="9">
        <f t="shared" si="58"/>
        <v>303.81</v>
      </c>
    </row>
    <row r="1852" spans="1:14" ht="12.75" hidden="1" customHeight="1" x14ac:dyDescent="0.2">
      <c r="A1852">
        <v>65061</v>
      </c>
      <c r="B1852" s="3" t="s">
        <v>1253</v>
      </c>
      <c r="C1852" s="7" t="s">
        <v>238</v>
      </c>
      <c r="D1852" s="7" t="s">
        <v>221</v>
      </c>
      <c r="F1852" s="7" t="s">
        <v>737</v>
      </c>
      <c r="G1852" s="7" t="s">
        <v>1621</v>
      </c>
      <c r="H1852" s="7" t="s">
        <v>1362</v>
      </c>
      <c r="I1852" s="7" t="s">
        <v>1253</v>
      </c>
      <c r="K1852" s="7" t="s">
        <v>565</v>
      </c>
      <c r="L1852" s="11">
        <v>31.82</v>
      </c>
      <c r="M1852" s="11">
        <v>131763.47</v>
      </c>
      <c r="N1852" s="9">
        <f t="shared" si="58"/>
        <v>31.82</v>
      </c>
    </row>
    <row r="1853" spans="1:14" ht="12.75" hidden="1" customHeight="1" x14ac:dyDescent="0.2">
      <c r="A1853">
        <v>65061</v>
      </c>
      <c r="B1853" s="3" t="s">
        <v>1253</v>
      </c>
      <c r="C1853" s="7" t="s">
        <v>431</v>
      </c>
      <c r="D1853" s="7" t="s">
        <v>221</v>
      </c>
      <c r="F1853" s="7" t="s">
        <v>265</v>
      </c>
      <c r="G1853" s="7" t="s">
        <v>1621</v>
      </c>
      <c r="H1853" s="7" t="s">
        <v>1362</v>
      </c>
      <c r="I1853" s="7" t="s">
        <v>1253</v>
      </c>
      <c r="K1853" s="7" t="s">
        <v>565</v>
      </c>
      <c r="L1853" s="11">
        <v>134.55000000000001</v>
      </c>
      <c r="M1853" s="11">
        <v>131898.01999999999</v>
      </c>
      <c r="N1853" s="9">
        <f t="shared" si="58"/>
        <v>134.55000000000001</v>
      </c>
    </row>
    <row r="1854" spans="1:14" ht="12.75" hidden="1" customHeight="1" x14ac:dyDescent="0.2">
      <c r="A1854">
        <v>65061</v>
      </c>
      <c r="B1854" s="3" t="s">
        <v>1253</v>
      </c>
      <c r="C1854" s="7" t="s">
        <v>233</v>
      </c>
      <c r="D1854" s="7" t="s">
        <v>221</v>
      </c>
      <c r="F1854" s="7" t="s">
        <v>731</v>
      </c>
      <c r="G1854" s="7" t="s">
        <v>1621</v>
      </c>
      <c r="H1854" s="7" t="s">
        <v>1362</v>
      </c>
      <c r="I1854" s="7" t="s">
        <v>1253</v>
      </c>
      <c r="K1854" s="7" t="s">
        <v>565</v>
      </c>
      <c r="L1854" s="11">
        <v>1100</v>
      </c>
      <c r="M1854" s="11">
        <v>134130.15</v>
      </c>
      <c r="N1854" s="9">
        <f t="shared" si="58"/>
        <v>1100</v>
      </c>
    </row>
    <row r="1855" spans="1:14" ht="12.75" hidden="1" customHeight="1" x14ac:dyDescent="0.2">
      <c r="A1855">
        <v>65061</v>
      </c>
      <c r="B1855" s="3" t="s">
        <v>1253</v>
      </c>
      <c r="C1855" s="7" t="s">
        <v>224</v>
      </c>
      <c r="D1855" s="7" t="s">
        <v>200</v>
      </c>
      <c r="E1855" s="7">
        <v>459</v>
      </c>
      <c r="F1855" s="7" t="s">
        <v>705</v>
      </c>
      <c r="G1855" s="7" t="s">
        <v>1621</v>
      </c>
      <c r="H1855" s="7" t="s">
        <v>1362</v>
      </c>
      <c r="I1855" s="7" t="s">
        <v>1253</v>
      </c>
      <c r="J1855" s="7" t="s">
        <v>704</v>
      </c>
      <c r="K1855" s="7" t="s">
        <v>198</v>
      </c>
      <c r="L1855" s="11">
        <v>167.53</v>
      </c>
      <c r="M1855" s="11">
        <v>142193.97</v>
      </c>
      <c r="N1855" s="9">
        <f t="shared" si="58"/>
        <v>167.53</v>
      </c>
    </row>
    <row r="1856" spans="1:14" ht="12.75" hidden="1" customHeight="1" x14ac:dyDescent="0.2">
      <c r="A1856">
        <v>65061</v>
      </c>
      <c r="B1856" s="3" t="s">
        <v>1253</v>
      </c>
      <c r="C1856" s="7" t="s">
        <v>639</v>
      </c>
      <c r="D1856" s="7" t="s">
        <v>221</v>
      </c>
      <c r="F1856" s="7" t="s">
        <v>548</v>
      </c>
      <c r="G1856" s="7" t="s">
        <v>1621</v>
      </c>
      <c r="H1856" s="7" t="s">
        <v>1362</v>
      </c>
      <c r="I1856" s="7" t="s">
        <v>1253</v>
      </c>
      <c r="K1856" s="7" t="s">
        <v>565</v>
      </c>
      <c r="L1856" s="11">
        <v>256</v>
      </c>
      <c r="M1856" s="11">
        <v>169050.32</v>
      </c>
      <c r="N1856" s="9">
        <f t="shared" si="58"/>
        <v>256</v>
      </c>
    </row>
    <row r="1857" spans="1:14" ht="12.75" hidden="1" customHeight="1" x14ac:dyDescent="0.2">
      <c r="A1857">
        <v>65061</v>
      </c>
      <c r="B1857" s="3" t="s">
        <v>1253</v>
      </c>
      <c r="C1857" s="7" t="s">
        <v>585</v>
      </c>
      <c r="D1857" s="7" t="s">
        <v>221</v>
      </c>
      <c r="F1857" s="7" t="s">
        <v>546</v>
      </c>
      <c r="G1857" s="7" t="s">
        <v>1621</v>
      </c>
      <c r="H1857" s="7" t="s">
        <v>1362</v>
      </c>
      <c r="I1857" s="7" t="s">
        <v>1253</v>
      </c>
      <c r="K1857" s="7" t="s">
        <v>565</v>
      </c>
      <c r="L1857" s="11">
        <v>278.73</v>
      </c>
      <c r="M1857" s="11">
        <v>183054.26</v>
      </c>
      <c r="N1857" s="9">
        <f t="shared" si="58"/>
        <v>278.73</v>
      </c>
    </row>
    <row r="1858" spans="1:14" ht="12.75" hidden="1" customHeight="1" x14ac:dyDescent="0.2">
      <c r="A1858">
        <v>65061</v>
      </c>
      <c r="B1858" s="3" t="s">
        <v>1253</v>
      </c>
      <c r="C1858" s="7" t="s">
        <v>585</v>
      </c>
      <c r="D1858" s="7" t="s">
        <v>221</v>
      </c>
      <c r="F1858" s="7" t="s">
        <v>588</v>
      </c>
      <c r="G1858" s="7" t="s">
        <v>1621</v>
      </c>
      <c r="H1858" s="7" t="s">
        <v>1362</v>
      </c>
      <c r="I1858" s="7" t="s">
        <v>1253</v>
      </c>
      <c r="K1858" s="7" t="s">
        <v>565</v>
      </c>
      <c r="L1858" s="11">
        <v>47.01</v>
      </c>
      <c r="M1858" s="11">
        <v>183101.27</v>
      </c>
      <c r="N1858" s="9">
        <f t="shared" si="58"/>
        <v>47.01</v>
      </c>
    </row>
    <row r="1859" spans="1:14" ht="12.75" hidden="1" customHeight="1" x14ac:dyDescent="0.2">
      <c r="A1859">
        <v>65061</v>
      </c>
      <c r="B1859" s="3" t="s">
        <v>1253</v>
      </c>
      <c r="C1859" s="7" t="s">
        <v>585</v>
      </c>
      <c r="D1859" s="7" t="s">
        <v>221</v>
      </c>
      <c r="F1859" s="7" t="s">
        <v>546</v>
      </c>
      <c r="G1859" s="7" t="s">
        <v>1621</v>
      </c>
      <c r="H1859" s="7" t="s">
        <v>1362</v>
      </c>
      <c r="I1859" s="7" t="s">
        <v>1253</v>
      </c>
      <c r="K1859" s="7" t="s">
        <v>565</v>
      </c>
      <c r="L1859" s="11">
        <v>96.45</v>
      </c>
      <c r="M1859" s="11">
        <v>183197.72</v>
      </c>
      <c r="N1859" s="9">
        <f t="shared" si="58"/>
        <v>96.45</v>
      </c>
    </row>
    <row r="1860" spans="1:14" ht="12.75" hidden="1" customHeight="1" x14ac:dyDescent="0.2">
      <c r="A1860">
        <v>65061</v>
      </c>
      <c r="B1860" s="3" t="s">
        <v>1253</v>
      </c>
      <c r="C1860" s="7" t="s">
        <v>210</v>
      </c>
      <c r="D1860" s="7" t="s">
        <v>221</v>
      </c>
      <c r="F1860" s="7" t="s">
        <v>345</v>
      </c>
      <c r="G1860" s="7" t="s">
        <v>1621</v>
      </c>
      <c r="H1860" s="7" t="s">
        <v>1362</v>
      </c>
      <c r="I1860" s="7" t="s">
        <v>1253</v>
      </c>
      <c r="K1860" s="7" t="s">
        <v>565</v>
      </c>
      <c r="L1860" s="11">
        <v>35.96</v>
      </c>
      <c r="M1860" s="11">
        <v>187744.2</v>
      </c>
      <c r="N1860" s="9">
        <f t="shared" si="58"/>
        <v>35.96</v>
      </c>
    </row>
    <row r="1861" spans="1:14" ht="12.75" hidden="1" customHeight="1" x14ac:dyDescent="0.2">
      <c r="A1861">
        <v>65061</v>
      </c>
      <c r="B1861" s="3" t="s">
        <v>1253</v>
      </c>
      <c r="C1861" s="7" t="s">
        <v>207</v>
      </c>
      <c r="D1861" s="7" t="s">
        <v>221</v>
      </c>
      <c r="F1861" s="7" t="s">
        <v>566</v>
      </c>
      <c r="G1861" s="7" t="s">
        <v>1621</v>
      </c>
      <c r="H1861" s="7" t="s">
        <v>1362</v>
      </c>
      <c r="I1861" s="7" t="s">
        <v>1253</v>
      </c>
      <c r="K1861" s="7" t="s">
        <v>565</v>
      </c>
      <c r="L1861" s="11">
        <v>619.20000000000005</v>
      </c>
      <c r="M1861" s="11">
        <v>191654.15</v>
      </c>
      <c r="N1861" s="9">
        <f t="shared" si="58"/>
        <v>619.20000000000005</v>
      </c>
    </row>
    <row r="1862" spans="1:14" ht="12.75" hidden="1" customHeight="1" x14ac:dyDescent="0.2">
      <c r="A1862">
        <v>65062</v>
      </c>
      <c r="B1862" s="3" t="s">
        <v>1254</v>
      </c>
      <c r="C1862" s="7" t="s">
        <v>415</v>
      </c>
      <c r="D1862" s="7" t="s">
        <v>183</v>
      </c>
      <c r="E1862" s="7">
        <v>487</v>
      </c>
      <c r="G1862" s="7" t="s">
        <v>1621</v>
      </c>
      <c r="H1862" s="7" t="s">
        <v>1362</v>
      </c>
      <c r="I1862" s="7" t="s">
        <v>1254</v>
      </c>
      <c r="J1862" s="7" t="s">
        <v>508</v>
      </c>
      <c r="K1862" s="7" t="s">
        <v>180</v>
      </c>
      <c r="L1862" s="11">
        <v>406.43</v>
      </c>
      <c r="M1862" s="11">
        <v>14379.38</v>
      </c>
      <c r="N1862" s="9">
        <f t="shared" si="58"/>
        <v>406.43</v>
      </c>
    </row>
    <row r="1863" spans="1:14" ht="12.75" customHeight="1" x14ac:dyDescent="0.2">
      <c r="A1863">
        <v>43400</v>
      </c>
      <c r="B1863" s="3" t="s">
        <v>1224</v>
      </c>
      <c r="C1863" s="7" t="s">
        <v>1640</v>
      </c>
      <c r="D1863" s="7" t="s">
        <v>242</v>
      </c>
      <c r="G1863" s="7" t="s">
        <v>182</v>
      </c>
      <c r="H1863" s="7" t="s">
        <v>1359</v>
      </c>
      <c r="I1863" s="7" t="s">
        <v>1224</v>
      </c>
      <c r="K1863" s="39" t="s">
        <v>445</v>
      </c>
      <c r="L1863" s="40">
        <v>3500</v>
      </c>
      <c r="M1863" s="40">
        <v>289647.44</v>
      </c>
      <c r="N1863" s="41">
        <f>-L1863</f>
        <v>-3500</v>
      </c>
    </row>
    <row r="1864" spans="1:14" ht="12.75" customHeight="1" x14ac:dyDescent="0.2">
      <c r="A1864">
        <v>43400</v>
      </c>
      <c r="B1864" s="3" t="s">
        <v>1224</v>
      </c>
      <c r="C1864" s="7" t="s">
        <v>1640</v>
      </c>
      <c r="D1864" s="7" t="s">
        <v>242</v>
      </c>
      <c r="G1864" s="7" t="s">
        <v>182</v>
      </c>
      <c r="H1864" s="7" t="s">
        <v>1359</v>
      </c>
      <c r="I1864" s="7" t="s">
        <v>1224</v>
      </c>
      <c r="K1864" s="39" t="s">
        <v>445</v>
      </c>
      <c r="L1864" s="40">
        <v>184</v>
      </c>
      <c r="M1864" s="40">
        <v>289831.44</v>
      </c>
      <c r="N1864" s="41">
        <f>-L1864</f>
        <v>-184</v>
      </c>
    </row>
    <row r="1865" spans="1:14" ht="12.75" hidden="1" customHeight="1" x14ac:dyDescent="0.2">
      <c r="A1865">
        <v>65025</v>
      </c>
      <c r="B1865" s="3" t="s">
        <v>1246</v>
      </c>
      <c r="C1865" s="7" t="s">
        <v>449</v>
      </c>
      <c r="D1865" s="7" t="s">
        <v>200</v>
      </c>
      <c r="F1865" s="7" t="s">
        <v>446</v>
      </c>
      <c r="G1865" s="7" t="s">
        <v>1606</v>
      </c>
      <c r="H1865" s="7" t="s">
        <v>1362</v>
      </c>
      <c r="I1865" s="7" t="s">
        <v>1246</v>
      </c>
      <c r="K1865" s="7" t="s">
        <v>992</v>
      </c>
      <c r="L1865" s="11">
        <v>15</v>
      </c>
      <c r="M1865" s="11">
        <v>60</v>
      </c>
      <c r="N1865" s="9">
        <f t="shared" ref="N1865:N1871" si="59">IF(A1865&lt;60000,-L1865,+L1865)</f>
        <v>15</v>
      </c>
    </row>
    <row r="1866" spans="1:14" ht="12.75" hidden="1" customHeight="1" x14ac:dyDescent="0.2">
      <c r="A1866">
        <v>65025</v>
      </c>
      <c r="B1866" s="3" t="s">
        <v>1246</v>
      </c>
      <c r="C1866" s="7" t="s">
        <v>379</v>
      </c>
      <c r="D1866" s="7" t="s">
        <v>200</v>
      </c>
      <c r="F1866" s="7" t="s">
        <v>446</v>
      </c>
      <c r="G1866" s="7" t="s">
        <v>1606</v>
      </c>
      <c r="H1866" s="7" t="s">
        <v>1362</v>
      </c>
      <c r="I1866" s="7" t="s">
        <v>1246</v>
      </c>
      <c r="K1866" s="7" t="s">
        <v>992</v>
      </c>
      <c r="L1866" s="11">
        <v>15</v>
      </c>
      <c r="M1866" s="11">
        <v>264.2</v>
      </c>
      <c r="N1866" s="9">
        <f t="shared" si="59"/>
        <v>15</v>
      </c>
    </row>
    <row r="1867" spans="1:14" ht="12.75" hidden="1" customHeight="1" x14ac:dyDescent="0.2">
      <c r="A1867">
        <v>65025</v>
      </c>
      <c r="B1867" s="3" t="s">
        <v>1246</v>
      </c>
      <c r="C1867" s="7" t="s">
        <v>334</v>
      </c>
      <c r="D1867" s="7" t="s">
        <v>200</v>
      </c>
      <c r="F1867" s="7" t="s">
        <v>446</v>
      </c>
      <c r="G1867" s="7" t="s">
        <v>1606</v>
      </c>
      <c r="H1867" s="7" t="s">
        <v>1362</v>
      </c>
      <c r="I1867" s="7" t="s">
        <v>1246</v>
      </c>
      <c r="K1867" s="7" t="s">
        <v>992</v>
      </c>
      <c r="L1867" s="11">
        <v>15</v>
      </c>
      <c r="M1867" s="11">
        <v>443.72</v>
      </c>
      <c r="N1867" s="9">
        <f t="shared" si="59"/>
        <v>15</v>
      </c>
    </row>
    <row r="1868" spans="1:14" ht="12.75" hidden="1" customHeight="1" x14ac:dyDescent="0.2">
      <c r="A1868">
        <v>65025</v>
      </c>
      <c r="B1868" s="3" t="s">
        <v>1246</v>
      </c>
      <c r="C1868" s="7" t="s">
        <v>406</v>
      </c>
      <c r="D1868" s="7" t="s">
        <v>200</v>
      </c>
      <c r="F1868" s="7" t="s">
        <v>446</v>
      </c>
      <c r="G1868" s="7" t="s">
        <v>1606</v>
      </c>
      <c r="H1868" s="7" t="s">
        <v>1362</v>
      </c>
      <c r="I1868" s="7" t="s">
        <v>1246</v>
      </c>
      <c r="K1868" s="7" t="s">
        <v>992</v>
      </c>
      <c r="L1868" s="11">
        <v>15</v>
      </c>
      <c r="M1868" s="11">
        <v>634.66999999999996</v>
      </c>
      <c r="N1868" s="9">
        <f t="shared" si="59"/>
        <v>15</v>
      </c>
    </row>
    <row r="1869" spans="1:14" ht="12.75" hidden="1" customHeight="1" x14ac:dyDescent="0.2">
      <c r="A1869">
        <v>65025</v>
      </c>
      <c r="B1869" s="3" t="s">
        <v>1246</v>
      </c>
      <c r="C1869" s="7" t="s">
        <v>194</v>
      </c>
      <c r="D1869" s="7" t="s">
        <v>221</v>
      </c>
      <c r="F1869" s="7" t="s">
        <v>446</v>
      </c>
      <c r="G1869" s="7" t="s">
        <v>1606</v>
      </c>
      <c r="H1869" s="7" t="s">
        <v>1362</v>
      </c>
      <c r="I1869" s="7" t="s">
        <v>1246</v>
      </c>
      <c r="K1869" s="7" t="s">
        <v>992</v>
      </c>
      <c r="L1869" s="11">
        <v>15</v>
      </c>
      <c r="M1869" s="11">
        <v>1022.28</v>
      </c>
      <c r="N1869" s="9">
        <f t="shared" si="59"/>
        <v>15</v>
      </c>
    </row>
    <row r="1870" spans="1:14" ht="12.75" hidden="1" customHeight="1" x14ac:dyDescent="0.2">
      <c r="A1870">
        <v>65025</v>
      </c>
      <c r="B1870" s="3" t="s">
        <v>1246</v>
      </c>
      <c r="C1870" s="7" t="s">
        <v>222</v>
      </c>
      <c r="D1870" s="7" t="s">
        <v>221</v>
      </c>
      <c r="F1870" s="7" t="s">
        <v>446</v>
      </c>
      <c r="G1870" s="7" t="s">
        <v>1606</v>
      </c>
      <c r="H1870" s="7" t="s">
        <v>1362</v>
      </c>
      <c r="I1870" s="7" t="s">
        <v>1246</v>
      </c>
      <c r="K1870" s="7" t="s">
        <v>992</v>
      </c>
      <c r="L1870" s="11">
        <v>15</v>
      </c>
      <c r="M1870" s="11">
        <v>1411.96</v>
      </c>
      <c r="N1870" s="9">
        <f t="shared" si="59"/>
        <v>15</v>
      </c>
    </row>
    <row r="1871" spans="1:14" ht="12.75" hidden="1" customHeight="1" x14ac:dyDescent="0.2">
      <c r="A1871">
        <v>65060</v>
      </c>
      <c r="B1871" s="3" t="s">
        <v>1253</v>
      </c>
      <c r="C1871" s="7" t="s">
        <v>701</v>
      </c>
      <c r="D1871" s="7" t="s">
        <v>221</v>
      </c>
      <c r="F1871" s="7" t="s">
        <v>366</v>
      </c>
      <c r="G1871" s="7" t="s">
        <v>1606</v>
      </c>
      <c r="H1871" s="7" t="s">
        <v>1362</v>
      </c>
      <c r="I1871" s="7" t="s">
        <v>1253</v>
      </c>
      <c r="K1871" s="7" t="s">
        <v>992</v>
      </c>
      <c r="L1871" s="11">
        <v>102</v>
      </c>
      <c r="M1871" s="11">
        <v>1322.2</v>
      </c>
      <c r="N1871" s="9">
        <f t="shared" si="59"/>
        <v>102</v>
      </c>
    </row>
    <row r="1872" spans="1:14" ht="12.75" customHeight="1" x14ac:dyDescent="0.2">
      <c r="A1872">
        <v>43400</v>
      </c>
      <c r="B1872" s="3" t="s">
        <v>1224</v>
      </c>
      <c r="C1872" s="7" t="s">
        <v>1640</v>
      </c>
      <c r="D1872" s="7" t="s">
        <v>242</v>
      </c>
      <c r="G1872" s="7" t="s">
        <v>182</v>
      </c>
      <c r="H1872" s="7" t="s">
        <v>1359</v>
      </c>
      <c r="I1872" s="7" t="s">
        <v>1224</v>
      </c>
      <c r="K1872" s="39" t="s">
        <v>445</v>
      </c>
      <c r="L1872" s="40">
        <v>2500</v>
      </c>
      <c r="M1872" s="40">
        <v>292331.44</v>
      </c>
      <c r="N1872" s="41">
        <f t="shared" ref="N1872:N1888" si="60">-L1872</f>
        <v>-2500</v>
      </c>
    </row>
    <row r="1873" spans="1:14" ht="12.75" customHeight="1" x14ac:dyDescent="0.2">
      <c r="A1873">
        <v>43400</v>
      </c>
      <c r="B1873" s="3" t="s">
        <v>1224</v>
      </c>
      <c r="C1873" s="7" t="s">
        <v>1640</v>
      </c>
      <c r="D1873" s="7" t="s">
        <v>242</v>
      </c>
      <c r="G1873" s="7" t="s">
        <v>182</v>
      </c>
      <c r="H1873" s="7" t="s">
        <v>1359</v>
      </c>
      <c r="I1873" s="7" t="s">
        <v>1224</v>
      </c>
      <c r="K1873" s="39" t="s">
        <v>445</v>
      </c>
      <c r="L1873" s="40">
        <v>250</v>
      </c>
      <c r="M1873" s="40">
        <v>292581.44</v>
      </c>
      <c r="N1873" s="41">
        <f t="shared" si="60"/>
        <v>-250</v>
      </c>
    </row>
    <row r="1874" spans="1:14" ht="12.75" customHeight="1" x14ac:dyDescent="0.2">
      <c r="A1874">
        <v>43400</v>
      </c>
      <c r="B1874" s="3" t="s">
        <v>1224</v>
      </c>
      <c r="C1874" s="7" t="s">
        <v>1550</v>
      </c>
      <c r="D1874" s="7" t="s">
        <v>183</v>
      </c>
      <c r="E1874" s="7">
        <v>740</v>
      </c>
      <c r="G1874" s="7" t="s">
        <v>182</v>
      </c>
      <c r="H1874" s="7" t="s">
        <v>1359</v>
      </c>
      <c r="I1874" s="7" t="s">
        <v>1224</v>
      </c>
      <c r="J1874" s="39" t="s">
        <v>1642</v>
      </c>
      <c r="K1874" s="39" t="s">
        <v>180</v>
      </c>
      <c r="L1874" s="40">
        <v>0</v>
      </c>
      <c r="M1874" s="40">
        <v>293835.82</v>
      </c>
      <c r="N1874" s="41">
        <f t="shared" si="60"/>
        <v>0</v>
      </c>
    </row>
    <row r="1875" spans="1:14" ht="12.75" hidden="1" customHeight="1" x14ac:dyDescent="0.2">
      <c r="A1875">
        <v>43430</v>
      </c>
      <c r="B1875" s="3" t="s">
        <v>1226</v>
      </c>
      <c r="C1875" s="7" t="s">
        <v>1652</v>
      </c>
      <c r="D1875" s="7" t="s">
        <v>183</v>
      </c>
      <c r="E1875" s="7">
        <v>684</v>
      </c>
      <c r="G1875" s="7" t="s">
        <v>1563</v>
      </c>
      <c r="H1875" s="7" t="s">
        <v>1360</v>
      </c>
      <c r="I1875" s="7" t="s">
        <v>1226</v>
      </c>
      <c r="J1875" s="39" t="s">
        <v>1653</v>
      </c>
      <c r="K1875" s="39" t="s">
        <v>180</v>
      </c>
      <c r="L1875" s="40">
        <v>1750</v>
      </c>
      <c r="M1875" s="40">
        <v>23865.5</v>
      </c>
      <c r="N1875" s="41">
        <f t="shared" si="60"/>
        <v>-1750</v>
      </c>
    </row>
    <row r="1876" spans="1:14" ht="12.75" hidden="1" customHeight="1" x14ac:dyDescent="0.2">
      <c r="A1876">
        <v>43430</v>
      </c>
      <c r="B1876" s="3" t="s">
        <v>1226</v>
      </c>
      <c r="C1876" s="7" t="s">
        <v>1652</v>
      </c>
      <c r="D1876" s="7" t="s">
        <v>183</v>
      </c>
      <c r="E1876" s="7">
        <v>684</v>
      </c>
      <c r="G1876" s="7" t="s">
        <v>1563</v>
      </c>
      <c r="H1876" s="7" t="s">
        <v>1360</v>
      </c>
      <c r="I1876" s="7" t="s">
        <v>1226</v>
      </c>
      <c r="J1876" s="39" t="s">
        <v>1654</v>
      </c>
      <c r="K1876" s="39" t="s">
        <v>180</v>
      </c>
      <c r="L1876" s="40">
        <v>6000</v>
      </c>
      <c r="M1876" s="40">
        <v>29865.5</v>
      </c>
      <c r="N1876" s="41">
        <f t="shared" si="60"/>
        <v>-6000</v>
      </c>
    </row>
    <row r="1877" spans="1:14" ht="12.75" hidden="1" customHeight="1" x14ac:dyDescent="0.2">
      <c r="A1877">
        <v>43430</v>
      </c>
      <c r="B1877" s="3" t="s">
        <v>1226</v>
      </c>
      <c r="C1877" s="7" t="s">
        <v>1652</v>
      </c>
      <c r="D1877" s="7" t="s">
        <v>183</v>
      </c>
      <c r="E1877" s="7">
        <v>684</v>
      </c>
      <c r="G1877" s="7" t="s">
        <v>1563</v>
      </c>
      <c r="H1877" s="7" t="s">
        <v>1360</v>
      </c>
      <c r="I1877" s="7" t="s">
        <v>1226</v>
      </c>
      <c r="J1877" s="39" t="s">
        <v>1655</v>
      </c>
      <c r="K1877" s="39" t="s">
        <v>180</v>
      </c>
      <c r="L1877" s="40">
        <v>1290</v>
      </c>
      <c r="M1877" s="40">
        <v>31155.5</v>
      </c>
      <c r="N1877" s="41">
        <f t="shared" si="60"/>
        <v>-1290</v>
      </c>
    </row>
    <row r="1878" spans="1:14" ht="12.75" hidden="1" customHeight="1" x14ac:dyDescent="0.2">
      <c r="A1878">
        <v>43430</v>
      </c>
      <c r="B1878" s="3" t="s">
        <v>1226</v>
      </c>
      <c r="C1878" s="7" t="s">
        <v>1652</v>
      </c>
      <c r="D1878" s="7" t="s">
        <v>183</v>
      </c>
      <c r="E1878" s="7">
        <v>684</v>
      </c>
      <c r="G1878" s="7" t="s">
        <v>1563</v>
      </c>
      <c r="H1878" s="7" t="s">
        <v>1360</v>
      </c>
      <c r="I1878" s="7" t="s">
        <v>1226</v>
      </c>
      <c r="J1878" s="39" t="s">
        <v>1656</v>
      </c>
      <c r="K1878" s="39" t="s">
        <v>180</v>
      </c>
      <c r="L1878" s="40">
        <v>850</v>
      </c>
      <c r="M1878" s="40">
        <v>32005.5</v>
      </c>
      <c r="N1878" s="41">
        <f t="shared" si="60"/>
        <v>-850</v>
      </c>
    </row>
    <row r="1879" spans="1:14" ht="12.75" hidden="1" customHeight="1" x14ac:dyDescent="0.2">
      <c r="A1879">
        <v>43430</v>
      </c>
      <c r="B1879" s="3" t="s">
        <v>1226</v>
      </c>
      <c r="C1879" s="7" t="s">
        <v>1652</v>
      </c>
      <c r="D1879" s="7" t="s">
        <v>183</v>
      </c>
      <c r="E1879" s="7">
        <v>684</v>
      </c>
      <c r="G1879" s="7" t="s">
        <v>1563</v>
      </c>
      <c r="H1879" s="7" t="s">
        <v>1360</v>
      </c>
      <c r="I1879" s="7" t="s">
        <v>1226</v>
      </c>
      <c r="J1879" s="39" t="s">
        <v>1657</v>
      </c>
      <c r="K1879" s="39" t="s">
        <v>180</v>
      </c>
      <c r="L1879" s="40">
        <v>4125</v>
      </c>
      <c r="M1879" s="40">
        <v>36130.5</v>
      </c>
      <c r="N1879" s="41">
        <f t="shared" si="60"/>
        <v>-4125</v>
      </c>
    </row>
    <row r="1880" spans="1:14" ht="12.75" hidden="1" customHeight="1" x14ac:dyDescent="0.2">
      <c r="A1880">
        <v>43440</v>
      </c>
      <c r="B1880" s="3" t="s">
        <v>1228</v>
      </c>
      <c r="C1880" s="7" t="s">
        <v>1652</v>
      </c>
      <c r="D1880" s="7" t="s">
        <v>183</v>
      </c>
      <c r="E1880" s="7">
        <v>684</v>
      </c>
      <c r="G1880" s="7" t="s">
        <v>1563</v>
      </c>
      <c r="H1880" s="7" t="s">
        <v>1360</v>
      </c>
      <c r="I1880" s="7" t="s">
        <v>1228</v>
      </c>
      <c r="J1880" s="39" t="s">
        <v>1669</v>
      </c>
      <c r="K1880" s="39" t="s">
        <v>180</v>
      </c>
      <c r="L1880" s="40">
        <v>146</v>
      </c>
      <c r="M1880" s="40">
        <v>38690.53</v>
      </c>
      <c r="N1880" s="41">
        <f t="shared" si="60"/>
        <v>-146</v>
      </c>
    </row>
    <row r="1881" spans="1:14" ht="12.75" hidden="1" customHeight="1" x14ac:dyDescent="0.2">
      <c r="A1881">
        <v>43440</v>
      </c>
      <c r="B1881" s="3" t="s">
        <v>1228</v>
      </c>
      <c r="C1881" s="7" t="s">
        <v>1652</v>
      </c>
      <c r="D1881" s="7" t="s">
        <v>183</v>
      </c>
      <c r="E1881" s="7">
        <v>684</v>
      </c>
      <c r="G1881" s="7" t="s">
        <v>1563</v>
      </c>
      <c r="H1881" s="7" t="s">
        <v>1360</v>
      </c>
      <c r="I1881" s="7" t="s">
        <v>1228</v>
      </c>
      <c r="J1881" s="39" t="s">
        <v>1670</v>
      </c>
      <c r="K1881" s="39" t="s">
        <v>180</v>
      </c>
      <c r="L1881" s="40">
        <v>1800</v>
      </c>
      <c r="M1881" s="40">
        <v>40490.53</v>
      </c>
      <c r="N1881" s="41">
        <f t="shared" si="60"/>
        <v>-1800</v>
      </c>
    </row>
    <row r="1882" spans="1:14" ht="12.75" hidden="1" customHeight="1" x14ac:dyDescent="0.2">
      <c r="A1882">
        <v>43440</v>
      </c>
      <c r="B1882" s="3" t="s">
        <v>1228</v>
      </c>
      <c r="C1882" s="7" t="s">
        <v>1652</v>
      </c>
      <c r="D1882" s="7" t="s">
        <v>183</v>
      </c>
      <c r="E1882" s="7">
        <v>684</v>
      </c>
      <c r="G1882" s="7" t="s">
        <v>1563</v>
      </c>
      <c r="H1882" s="7" t="s">
        <v>1360</v>
      </c>
      <c r="I1882" s="7" t="s">
        <v>1228</v>
      </c>
      <c r="J1882" s="39" t="s">
        <v>1671</v>
      </c>
      <c r="K1882" s="39" t="s">
        <v>180</v>
      </c>
      <c r="L1882" s="40">
        <v>200</v>
      </c>
      <c r="M1882" s="40">
        <v>40690.53</v>
      </c>
      <c r="N1882" s="41">
        <f t="shared" si="60"/>
        <v>-200</v>
      </c>
    </row>
    <row r="1883" spans="1:14" ht="12.75" hidden="1" customHeight="1" x14ac:dyDescent="0.2">
      <c r="A1883">
        <v>43440</v>
      </c>
      <c r="B1883" s="3" t="s">
        <v>1228</v>
      </c>
      <c r="C1883" s="7" t="s">
        <v>1652</v>
      </c>
      <c r="D1883" s="7" t="s">
        <v>183</v>
      </c>
      <c r="E1883" s="7">
        <v>684</v>
      </c>
      <c r="G1883" s="7" t="s">
        <v>1563</v>
      </c>
      <c r="H1883" s="7" t="s">
        <v>1360</v>
      </c>
      <c r="I1883" s="7" t="s">
        <v>1228</v>
      </c>
      <c r="J1883" s="39" t="s">
        <v>1672</v>
      </c>
      <c r="K1883" s="39" t="s">
        <v>180</v>
      </c>
      <c r="L1883" s="40">
        <v>391</v>
      </c>
      <c r="M1883" s="40">
        <v>41081.53</v>
      </c>
      <c r="N1883" s="41">
        <f t="shared" si="60"/>
        <v>-391</v>
      </c>
    </row>
    <row r="1884" spans="1:14" ht="12.75" hidden="1" customHeight="1" x14ac:dyDescent="0.2">
      <c r="A1884">
        <v>43440</v>
      </c>
      <c r="B1884" s="3" t="s">
        <v>1228</v>
      </c>
      <c r="C1884" s="7" t="s">
        <v>1652</v>
      </c>
      <c r="D1884" s="7" t="s">
        <v>183</v>
      </c>
      <c r="E1884" s="7">
        <v>684</v>
      </c>
      <c r="G1884" s="7" t="s">
        <v>1563</v>
      </c>
      <c r="H1884" s="7" t="s">
        <v>1360</v>
      </c>
      <c r="I1884" s="7" t="s">
        <v>1228</v>
      </c>
      <c r="J1884" s="39" t="s">
        <v>1673</v>
      </c>
      <c r="K1884" s="39" t="s">
        <v>180</v>
      </c>
      <c r="L1884" s="40">
        <v>650</v>
      </c>
      <c r="M1884" s="40">
        <v>41731.53</v>
      </c>
      <c r="N1884" s="41">
        <f t="shared" si="60"/>
        <v>-650</v>
      </c>
    </row>
    <row r="1885" spans="1:14" ht="12.75" hidden="1" customHeight="1" x14ac:dyDescent="0.2">
      <c r="A1885">
        <v>43440</v>
      </c>
      <c r="B1885" s="3" t="s">
        <v>1228</v>
      </c>
      <c r="C1885" s="7" t="s">
        <v>1652</v>
      </c>
      <c r="D1885" s="7" t="s">
        <v>183</v>
      </c>
      <c r="E1885" s="7">
        <v>684</v>
      </c>
      <c r="G1885" s="7" t="s">
        <v>1563</v>
      </c>
      <c r="H1885" s="7" t="s">
        <v>1360</v>
      </c>
      <c r="I1885" s="7" t="s">
        <v>1228</v>
      </c>
      <c r="J1885" s="39" t="s">
        <v>1674</v>
      </c>
      <c r="K1885" s="39" t="s">
        <v>180</v>
      </c>
      <c r="L1885" s="40">
        <v>1018</v>
      </c>
      <c r="M1885" s="40">
        <v>42749.53</v>
      </c>
      <c r="N1885" s="41">
        <f t="shared" si="60"/>
        <v>-1018</v>
      </c>
    </row>
    <row r="1886" spans="1:14" ht="12.75" hidden="1" customHeight="1" x14ac:dyDescent="0.2">
      <c r="A1886">
        <v>43440</v>
      </c>
      <c r="B1886" s="3" t="s">
        <v>1228</v>
      </c>
      <c r="C1886" s="7" t="s">
        <v>1652</v>
      </c>
      <c r="D1886" s="7" t="s">
        <v>183</v>
      </c>
      <c r="E1886" s="7">
        <v>684</v>
      </c>
      <c r="G1886" s="7" t="s">
        <v>1563</v>
      </c>
      <c r="H1886" s="7" t="s">
        <v>1360</v>
      </c>
      <c r="I1886" s="7" t="s">
        <v>1228</v>
      </c>
      <c r="J1886" s="39" t="s">
        <v>1675</v>
      </c>
      <c r="K1886" s="39" t="s">
        <v>180</v>
      </c>
      <c r="L1886" s="40">
        <v>375</v>
      </c>
      <c r="M1886" s="40">
        <v>43124.53</v>
      </c>
      <c r="N1886" s="41">
        <f t="shared" si="60"/>
        <v>-375</v>
      </c>
    </row>
    <row r="1887" spans="1:14" ht="12.75" hidden="1" customHeight="1" x14ac:dyDescent="0.2">
      <c r="A1887">
        <v>43440</v>
      </c>
      <c r="B1887" s="3" t="s">
        <v>1228</v>
      </c>
      <c r="C1887" s="7" t="s">
        <v>1652</v>
      </c>
      <c r="D1887" s="7" t="s">
        <v>183</v>
      </c>
      <c r="E1887" s="7">
        <v>684</v>
      </c>
      <c r="G1887" s="7" t="s">
        <v>1563</v>
      </c>
      <c r="H1887" s="7" t="s">
        <v>1360</v>
      </c>
      <c r="I1887" s="7" t="s">
        <v>1228</v>
      </c>
      <c r="J1887" s="39" t="s">
        <v>1676</v>
      </c>
      <c r="K1887" s="39" t="s">
        <v>180</v>
      </c>
      <c r="L1887" s="40">
        <v>157</v>
      </c>
      <c r="M1887" s="40">
        <v>43281.53</v>
      </c>
      <c r="N1887" s="41">
        <f t="shared" si="60"/>
        <v>-157</v>
      </c>
    </row>
    <row r="1888" spans="1:14" ht="12.75" hidden="1" customHeight="1" x14ac:dyDescent="0.2">
      <c r="A1888">
        <v>43440</v>
      </c>
      <c r="B1888" s="3" t="s">
        <v>1228</v>
      </c>
      <c r="C1888" s="7" t="s">
        <v>1652</v>
      </c>
      <c r="D1888" s="7" t="s">
        <v>183</v>
      </c>
      <c r="E1888" s="7">
        <v>684</v>
      </c>
      <c r="G1888" s="7" t="s">
        <v>1563</v>
      </c>
      <c r="H1888" s="7" t="s">
        <v>1360</v>
      </c>
      <c r="I1888" s="7" t="s">
        <v>1228</v>
      </c>
      <c r="J1888" s="39" t="s">
        <v>1677</v>
      </c>
      <c r="K1888" s="39" t="s">
        <v>180</v>
      </c>
      <c r="L1888" s="40">
        <v>3200</v>
      </c>
      <c r="M1888" s="40">
        <v>46481.53</v>
      </c>
      <c r="N1888" s="41">
        <f t="shared" si="60"/>
        <v>-3200</v>
      </c>
    </row>
    <row r="1889" spans="1:14" ht="12.75" hidden="1" customHeight="1" x14ac:dyDescent="0.2">
      <c r="A1889">
        <v>65020</v>
      </c>
      <c r="B1889" s="3" t="s">
        <v>1245</v>
      </c>
      <c r="C1889" s="7" t="s">
        <v>1795</v>
      </c>
      <c r="D1889" s="7" t="s">
        <v>221</v>
      </c>
      <c r="F1889" s="7" t="s">
        <v>338</v>
      </c>
      <c r="G1889" s="7" t="s">
        <v>1563</v>
      </c>
      <c r="H1889" s="7" t="s">
        <v>1362</v>
      </c>
      <c r="I1889" s="7" t="s">
        <v>1245</v>
      </c>
      <c r="K1889" s="39" t="s">
        <v>971</v>
      </c>
      <c r="L1889" s="40">
        <v>29.4</v>
      </c>
      <c r="M1889" s="40">
        <v>2402.42</v>
      </c>
      <c r="N1889" s="40">
        <f t="shared" ref="N1889:N1920" si="61">+L1889</f>
        <v>29.4</v>
      </c>
    </row>
    <row r="1890" spans="1:14" ht="12.75" hidden="1" customHeight="1" x14ac:dyDescent="0.2">
      <c r="A1890">
        <v>65036</v>
      </c>
      <c r="B1890" s="3" t="s">
        <v>1249</v>
      </c>
      <c r="C1890" s="7" t="s">
        <v>1818</v>
      </c>
      <c r="D1890" s="7" t="s">
        <v>221</v>
      </c>
      <c r="F1890" s="7" t="s">
        <v>1819</v>
      </c>
      <c r="G1890" s="7" t="s">
        <v>1563</v>
      </c>
      <c r="H1890" s="7" t="s">
        <v>1362</v>
      </c>
      <c r="I1890" s="7" t="s">
        <v>1249</v>
      </c>
      <c r="K1890" s="39" t="s">
        <v>971</v>
      </c>
      <c r="L1890" s="40">
        <v>77.150000000000006</v>
      </c>
      <c r="M1890" s="40">
        <v>5475.86</v>
      </c>
      <c r="N1890" s="40">
        <f t="shared" si="61"/>
        <v>77.150000000000006</v>
      </c>
    </row>
    <row r="1891" spans="1:14" ht="12.75" hidden="1" customHeight="1" x14ac:dyDescent="0.2">
      <c r="A1891">
        <v>65061</v>
      </c>
      <c r="B1891" s="3" t="s">
        <v>1844</v>
      </c>
      <c r="C1891" s="7" t="s">
        <v>1574</v>
      </c>
      <c r="D1891" s="7" t="s">
        <v>221</v>
      </c>
      <c r="F1891" s="7" t="s">
        <v>658</v>
      </c>
      <c r="G1891" s="7" t="s">
        <v>1563</v>
      </c>
      <c r="H1891" s="7" t="s">
        <v>1362</v>
      </c>
      <c r="I1891" s="7" t="s">
        <v>1253</v>
      </c>
      <c r="K1891" s="39" t="s">
        <v>971</v>
      </c>
      <c r="L1891" s="40">
        <v>51.45</v>
      </c>
      <c r="M1891" s="40">
        <v>222750.09</v>
      </c>
      <c r="N1891" s="40">
        <f t="shared" si="61"/>
        <v>51.45</v>
      </c>
    </row>
    <row r="1892" spans="1:14" ht="12.75" hidden="1" customHeight="1" x14ac:dyDescent="0.2">
      <c r="A1892">
        <v>65061</v>
      </c>
      <c r="B1892" s="3" t="s">
        <v>1844</v>
      </c>
      <c r="C1892" s="7" t="s">
        <v>1574</v>
      </c>
      <c r="D1892" s="7" t="s">
        <v>221</v>
      </c>
      <c r="F1892" s="7" t="s">
        <v>570</v>
      </c>
      <c r="G1892" s="7" t="s">
        <v>1563</v>
      </c>
      <c r="H1892" s="7" t="s">
        <v>1362</v>
      </c>
      <c r="I1892" s="7" t="s">
        <v>1253</v>
      </c>
      <c r="K1892" s="39" t="s">
        <v>971</v>
      </c>
      <c r="L1892" s="40">
        <v>1571.71</v>
      </c>
      <c r="M1892" s="40">
        <v>224321.8</v>
      </c>
      <c r="N1892" s="40">
        <f t="shared" si="61"/>
        <v>1571.71</v>
      </c>
    </row>
    <row r="1893" spans="1:14" ht="12.75" hidden="1" customHeight="1" x14ac:dyDescent="0.2">
      <c r="A1893">
        <v>65061</v>
      </c>
      <c r="B1893" s="3" t="s">
        <v>1844</v>
      </c>
      <c r="C1893" s="7" t="s">
        <v>1818</v>
      </c>
      <c r="D1893" s="7" t="s">
        <v>221</v>
      </c>
      <c r="F1893" s="7" t="s">
        <v>241</v>
      </c>
      <c r="G1893" s="7" t="s">
        <v>1563</v>
      </c>
      <c r="H1893" s="7" t="s">
        <v>1362</v>
      </c>
      <c r="I1893" s="7" t="s">
        <v>1253</v>
      </c>
      <c r="K1893" s="39" t="s">
        <v>971</v>
      </c>
      <c r="L1893" s="40">
        <v>128.53</v>
      </c>
      <c r="M1893" s="40">
        <v>224450.33</v>
      </c>
      <c r="N1893" s="40">
        <f t="shared" si="61"/>
        <v>128.53</v>
      </c>
    </row>
    <row r="1894" spans="1:14" ht="12.75" hidden="1" customHeight="1" x14ac:dyDescent="0.2">
      <c r="A1894">
        <v>65061</v>
      </c>
      <c r="B1894" s="3" t="s">
        <v>1844</v>
      </c>
      <c r="C1894" s="7" t="s">
        <v>1818</v>
      </c>
      <c r="D1894" s="7" t="s">
        <v>221</v>
      </c>
      <c r="F1894" s="7" t="s">
        <v>1878</v>
      </c>
      <c r="G1894" s="7" t="s">
        <v>1563</v>
      </c>
      <c r="H1894" s="7" t="s">
        <v>1362</v>
      </c>
      <c r="I1894" s="7" t="s">
        <v>1253</v>
      </c>
      <c r="K1894" s="39" t="s">
        <v>971</v>
      </c>
      <c r="L1894" s="40">
        <v>30</v>
      </c>
      <c r="M1894" s="40">
        <v>224509.64</v>
      </c>
      <c r="N1894" s="40">
        <f t="shared" si="61"/>
        <v>30</v>
      </c>
    </row>
    <row r="1895" spans="1:14" ht="12.75" hidden="1" customHeight="1" x14ac:dyDescent="0.2">
      <c r="A1895">
        <v>65061</v>
      </c>
      <c r="B1895" s="3" t="s">
        <v>1844</v>
      </c>
      <c r="C1895" s="7" t="s">
        <v>1818</v>
      </c>
      <c r="D1895" s="7" t="s">
        <v>221</v>
      </c>
      <c r="F1895" s="7" t="s">
        <v>1879</v>
      </c>
      <c r="G1895" s="7" t="s">
        <v>1563</v>
      </c>
      <c r="H1895" s="7" t="s">
        <v>1362</v>
      </c>
      <c r="I1895" s="7" t="s">
        <v>1253</v>
      </c>
      <c r="K1895" s="39" t="s">
        <v>971</v>
      </c>
      <c r="L1895" s="40">
        <v>300</v>
      </c>
      <c r="M1895" s="40">
        <v>224809.64</v>
      </c>
      <c r="N1895" s="40">
        <f t="shared" si="61"/>
        <v>300</v>
      </c>
    </row>
    <row r="1896" spans="1:14" ht="12.75" hidden="1" customHeight="1" x14ac:dyDescent="0.2">
      <c r="A1896">
        <v>65061</v>
      </c>
      <c r="B1896" s="3" t="s">
        <v>1844</v>
      </c>
      <c r="C1896" s="7" t="s">
        <v>1818</v>
      </c>
      <c r="D1896" s="7" t="s">
        <v>242</v>
      </c>
      <c r="F1896" s="7" t="s">
        <v>1879</v>
      </c>
      <c r="G1896" s="7" t="s">
        <v>1563</v>
      </c>
      <c r="H1896" s="7" t="s">
        <v>1362</v>
      </c>
      <c r="I1896" s="7" t="s">
        <v>1253</v>
      </c>
      <c r="K1896" s="39" t="s">
        <v>971</v>
      </c>
      <c r="L1896" s="40">
        <v>-119.38</v>
      </c>
      <c r="M1896" s="40">
        <v>224690.26</v>
      </c>
      <c r="N1896" s="40">
        <f t="shared" si="61"/>
        <v>-119.38</v>
      </c>
    </row>
    <row r="1897" spans="1:14" ht="12.75" hidden="1" customHeight="1" x14ac:dyDescent="0.2">
      <c r="A1897">
        <v>65061</v>
      </c>
      <c r="B1897" s="3" t="s">
        <v>1844</v>
      </c>
      <c r="C1897" s="7" t="s">
        <v>1652</v>
      </c>
      <c r="D1897" s="7" t="s">
        <v>221</v>
      </c>
      <c r="F1897" s="7" t="s">
        <v>564</v>
      </c>
      <c r="G1897" s="7" t="s">
        <v>1563</v>
      </c>
      <c r="H1897" s="7" t="s">
        <v>1362</v>
      </c>
      <c r="I1897" s="7" t="s">
        <v>1253</v>
      </c>
      <c r="K1897" s="39" t="s">
        <v>971</v>
      </c>
      <c r="L1897" s="40">
        <v>172.41</v>
      </c>
      <c r="M1897" s="40">
        <v>225062.67</v>
      </c>
      <c r="N1897" s="40">
        <f t="shared" si="61"/>
        <v>172.41</v>
      </c>
    </row>
    <row r="1898" spans="1:14" ht="12.75" hidden="1" customHeight="1" x14ac:dyDescent="0.2">
      <c r="A1898">
        <v>65061</v>
      </c>
      <c r="B1898" s="3" t="s">
        <v>1844</v>
      </c>
      <c r="C1898" s="7" t="s">
        <v>1765</v>
      </c>
      <c r="D1898" s="7" t="s">
        <v>221</v>
      </c>
      <c r="F1898" s="7" t="s">
        <v>564</v>
      </c>
      <c r="G1898" s="7" t="s">
        <v>1563</v>
      </c>
      <c r="H1898" s="7" t="s">
        <v>1362</v>
      </c>
      <c r="I1898" s="7" t="s">
        <v>1253</v>
      </c>
      <c r="K1898" s="39" t="s">
        <v>971</v>
      </c>
      <c r="L1898" s="40">
        <v>23.6</v>
      </c>
      <c r="M1898" s="40">
        <v>225086.27</v>
      </c>
      <c r="N1898" s="40">
        <f t="shared" si="61"/>
        <v>23.6</v>
      </c>
    </row>
    <row r="1899" spans="1:14" ht="12.75" hidden="1" customHeight="1" x14ac:dyDescent="0.2">
      <c r="A1899">
        <v>65061</v>
      </c>
      <c r="B1899" s="3" t="s">
        <v>1844</v>
      </c>
      <c r="C1899" s="7" t="s">
        <v>1765</v>
      </c>
      <c r="D1899" s="7" t="s">
        <v>221</v>
      </c>
      <c r="F1899" s="7" t="s">
        <v>1880</v>
      </c>
      <c r="G1899" s="7" t="s">
        <v>1563</v>
      </c>
      <c r="H1899" s="7" t="s">
        <v>1362</v>
      </c>
      <c r="I1899" s="7" t="s">
        <v>1253</v>
      </c>
      <c r="K1899" s="39" t="s">
        <v>971</v>
      </c>
      <c r="L1899" s="40">
        <v>110.24</v>
      </c>
      <c r="M1899" s="40">
        <v>225321.51</v>
      </c>
      <c r="N1899" s="40">
        <f t="shared" si="61"/>
        <v>110.24</v>
      </c>
    </row>
    <row r="1900" spans="1:14" ht="12.75" hidden="1" customHeight="1" x14ac:dyDescent="0.2">
      <c r="A1900">
        <v>65061</v>
      </c>
      <c r="B1900" s="3" t="s">
        <v>1844</v>
      </c>
      <c r="C1900" s="7" t="s">
        <v>1765</v>
      </c>
      <c r="D1900" s="7" t="s">
        <v>221</v>
      </c>
      <c r="F1900" s="7" t="s">
        <v>564</v>
      </c>
      <c r="G1900" s="7" t="s">
        <v>1563</v>
      </c>
      <c r="H1900" s="7" t="s">
        <v>1362</v>
      </c>
      <c r="I1900" s="7" t="s">
        <v>1253</v>
      </c>
      <c r="K1900" s="39" t="s">
        <v>971</v>
      </c>
      <c r="L1900" s="40">
        <v>256.7</v>
      </c>
      <c r="M1900" s="40">
        <v>225578.21</v>
      </c>
      <c r="N1900" s="40">
        <f t="shared" si="61"/>
        <v>256.7</v>
      </c>
    </row>
    <row r="1901" spans="1:14" ht="12.75" hidden="1" customHeight="1" x14ac:dyDescent="0.2">
      <c r="A1901">
        <v>65061</v>
      </c>
      <c r="B1901" s="3" t="s">
        <v>1844</v>
      </c>
      <c r="C1901" s="7" t="s">
        <v>1765</v>
      </c>
      <c r="D1901" s="7" t="s">
        <v>221</v>
      </c>
      <c r="F1901" s="7" t="s">
        <v>241</v>
      </c>
      <c r="G1901" s="7" t="s">
        <v>1563</v>
      </c>
      <c r="H1901" s="7" t="s">
        <v>1362</v>
      </c>
      <c r="I1901" s="7" t="s">
        <v>1253</v>
      </c>
      <c r="K1901" s="39" t="s">
        <v>971</v>
      </c>
      <c r="L1901" s="40">
        <v>123.94</v>
      </c>
      <c r="M1901" s="40">
        <v>225702.15</v>
      </c>
      <c r="N1901" s="40">
        <f t="shared" si="61"/>
        <v>123.94</v>
      </c>
    </row>
    <row r="1902" spans="1:14" ht="12.75" hidden="1" customHeight="1" x14ac:dyDescent="0.2">
      <c r="A1902">
        <v>65061</v>
      </c>
      <c r="B1902" s="3" t="s">
        <v>1844</v>
      </c>
      <c r="C1902" s="7" t="s">
        <v>1765</v>
      </c>
      <c r="D1902" s="7" t="s">
        <v>221</v>
      </c>
      <c r="F1902" s="7" t="s">
        <v>1881</v>
      </c>
      <c r="G1902" s="7" t="s">
        <v>1563</v>
      </c>
      <c r="H1902" s="7" t="s">
        <v>1362</v>
      </c>
      <c r="I1902" s="7" t="s">
        <v>1253</v>
      </c>
      <c r="K1902" s="39" t="s">
        <v>971</v>
      </c>
      <c r="L1902" s="40">
        <v>70.599999999999994</v>
      </c>
      <c r="M1902" s="40">
        <v>225772.75</v>
      </c>
      <c r="N1902" s="40">
        <f t="shared" si="61"/>
        <v>70.599999999999994</v>
      </c>
    </row>
    <row r="1903" spans="1:14" ht="12.75" hidden="1" customHeight="1" x14ac:dyDescent="0.2">
      <c r="A1903">
        <v>65061</v>
      </c>
      <c r="B1903" s="3" t="s">
        <v>1844</v>
      </c>
      <c r="C1903" s="7" t="s">
        <v>1576</v>
      </c>
      <c r="D1903" s="7" t="s">
        <v>200</v>
      </c>
      <c r="E1903" s="7">
        <v>500</v>
      </c>
      <c r="F1903" s="7" t="s">
        <v>839</v>
      </c>
      <c r="G1903" s="7" t="s">
        <v>1563</v>
      </c>
      <c r="H1903" s="7" t="s">
        <v>1362</v>
      </c>
      <c r="I1903" s="7" t="s">
        <v>1253</v>
      </c>
      <c r="K1903" s="39" t="s">
        <v>198</v>
      </c>
      <c r="L1903" s="40">
        <v>793.93</v>
      </c>
      <c r="M1903" s="40">
        <v>228152.62</v>
      </c>
      <c r="N1903" s="40">
        <f t="shared" si="61"/>
        <v>793.93</v>
      </c>
    </row>
    <row r="1904" spans="1:14" ht="12.75" hidden="1" customHeight="1" x14ac:dyDescent="0.2">
      <c r="A1904">
        <v>65061</v>
      </c>
      <c r="B1904" s="3" t="s">
        <v>1844</v>
      </c>
      <c r="C1904" s="7" t="s">
        <v>1578</v>
      </c>
      <c r="D1904" s="7" t="s">
        <v>242</v>
      </c>
      <c r="F1904" s="7" t="s">
        <v>241</v>
      </c>
      <c r="G1904" s="7" t="s">
        <v>1563</v>
      </c>
      <c r="H1904" s="7" t="s">
        <v>1362</v>
      </c>
      <c r="I1904" s="7" t="s">
        <v>1253</v>
      </c>
      <c r="K1904" s="39" t="s">
        <v>971</v>
      </c>
      <c r="L1904" s="40">
        <v>-39.979999999999997</v>
      </c>
      <c r="M1904" s="40">
        <v>232011.53</v>
      </c>
      <c r="N1904" s="40">
        <f t="shared" si="61"/>
        <v>-39.979999999999997</v>
      </c>
    </row>
    <row r="1905" spans="1:14" ht="12.75" hidden="1" customHeight="1" x14ac:dyDescent="0.2">
      <c r="A1905">
        <v>65061</v>
      </c>
      <c r="B1905" s="3" t="s">
        <v>1844</v>
      </c>
      <c r="C1905" s="7" t="s">
        <v>1555</v>
      </c>
      <c r="D1905" s="7" t="s">
        <v>221</v>
      </c>
      <c r="F1905" s="7" t="s">
        <v>241</v>
      </c>
      <c r="G1905" s="7" t="s">
        <v>1563</v>
      </c>
      <c r="H1905" s="7" t="s">
        <v>1362</v>
      </c>
      <c r="I1905" s="7" t="s">
        <v>1253</v>
      </c>
      <c r="K1905" s="39" t="s">
        <v>971</v>
      </c>
      <c r="L1905" s="40">
        <v>7.42</v>
      </c>
      <c r="M1905" s="40">
        <v>238295.17</v>
      </c>
      <c r="N1905" s="40">
        <f t="shared" si="61"/>
        <v>7.42</v>
      </c>
    </row>
    <row r="1906" spans="1:14" ht="12.75" hidden="1" customHeight="1" x14ac:dyDescent="0.2">
      <c r="A1906">
        <v>65061</v>
      </c>
      <c r="B1906" s="3" t="s">
        <v>1844</v>
      </c>
      <c r="C1906" s="7" t="s">
        <v>1795</v>
      </c>
      <c r="D1906" s="7" t="s">
        <v>221</v>
      </c>
      <c r="F1906" s="7" t="s">
        <v>241</v>
      </c>
      <c r="G1906" s="7" t="s">
        <v>1563</v>
      </c>
      <c r="H1906" s="7" t="s">
        <v>1362</v>
      </c>
      <c r="I1906" s="7" t="s">
        <v>1253</v>
      </c>
      <c r="K1906" s="39" t="s">
        <v>971</v>
      </c>
      <c r="L1906" s="40">
        <v>22.28</v>
      </c>
      <c r="M1906" s="40">
        <v>239486.91</v>
      </c>
      <c r="N1906" s="40">
        <f t="shared" si="61"/>
        <v>22.28</v>
      </c>
    </row>
    <row r="1907" spans="1:14" ht="12.75" hidden="1" customHeight="1" x14ac:dyDescent="0.2">
      <c r="A1907">
        <v>65062</v>
      </c>
      <c r="B1907" s="3" t="s">
        <v>1254</v>
      </c>
      <c r="C1907" s="7" t="s">
        <v>1652</v>
      </c>
      <c r="D1907" s="7" t="s">
        <v>183</v>
      </c>
      <c r="E1907" s="7">
        <v>684</v>
      </c>
      <c r="G1907" s="7" t="s">
        <v>1563</v>
      </c>
      <c r="H1907" s="7" t="s">
        <v>1362</v>
      </c>
      <c r="I1907" s="7" t="s">
        <v>1254</v>
      </c>
      <c r="K1907" s="39" t="s">
        <v>180</v>
      </c>
      <c r="L1907" s="40">
        <v>1800</v>
      </c>
      <c r="M1907" s="40">
        <v>40344.53</v>
      </c>
      <c r="N1907" s="40">
        <f t="shared" si="61"/>
        <v>1800</v>
      </c>
    </row>
    <row r="1908" spans="1:14" ht="12.75" hidden="1" customHeight="1" x14ac:dyDescent="0.2">
      <c r="A1908">
        <v>65062</v>
      </c>
      <c r="B1908" s="3" t="s">
        <v>1254</v>
      </c>
      <c r="C1908" s="7" t="s">
        <v>1652</v>
      </c>
      <c r="D1908" s="7" t="s">
        <v>183</v>
      </c>
      <c r="E1908" s="7">
        <v>684</v>
      </c>
      <c r="G1908" s="7" t="s">
        <v>1563</v>
      </c>
      <c r="H1908" s="7" t="s">
        <v>1362</v>
      </c>
      <c r="I1908" s="7" t="s">
        <v>1254</v>
      </c>
      <c r="K1908" s="39" t="s">
        <v>180</v>
      </c>
      <c r="L1908" s="40">
        <v>1018</v>
      </c>
      <c r="M1908" s="40">
        <v>41362.53</v>
      </c>
      <c r="N1908" s="40">
        <f t="shared" si="61"/>
        <v>1018</v>
      </c>
    </row>
    <row r="1909" spans="1:14" ht="12.75" hidden="1" customHeight="1" x14ac:dyDescent="0.2">
      <c r="A1909">
        <v>65062</v>
      </c>
      <c r="B1909" s="3" t="s">
        <v>1254</v>
      </c>
      <c r="C1909" s="7" t="s">
        <v>1652</v>
      </c>
      <c r="D1909" s="7" t="s">
        <v>183</v>
      </c>
      <c r="E1909" s="7">
        <v>684</v>
      </c>
      <c r="G1909" s="7" t="s">
        <v>1563</v>
      </c>
      <c r="H1909" s="7" t="s">
        <v>1362</v>
      </c>
      <c r="I1909" s="7" t="s">
        <v>1254</v>
      </c>
      <c r="K1909" s="39" t="s">
        <v>180</v>
      </c>
      <c r="L1909" s="40">
        <v>375</v>
      </c>
      <c r="M1909" s="40">
        <v>41737.53</v>
      </c>
      <c r="N1909" s="40">
        <f t="shared" si="61"/>
        <v>375</v>
      </c>
    </row>
    <row r="1910" spans="1:14" ht="12.75" hidden="1" customHeight="1" x14ac:dyDescent="0.2">
      <c r="A1910">
        <v>65062</v>
      </c>
      <c r="B1910" s="3" t="s">
        <v>1254</v>
      </c>
      <c r="C1910" s="7" t="s">
        <v>1652</v>
      </c>
      <c r="D1910" s="7" t="s">
        <v>183</v>
      </c>
      <c r="E1910" s="7">
        <v>684</v>
      </c>
      <c r="G1910" s="7" t="s">
        <v>1563</v>
      </c>
      <c r="H1910" s="7" t="s">
        <v>1362</v>
      </c>
      <c r="I1910" s="7" t="s">
        <v>1254</v>
      </c>
      <c r="K1910" s="39" t="s">
        <v>180</v>
      </c>
      <c r="L1910" s="40">
        <v>3200</v>
      </c>
      <c r="M1910" s="40">
        <v>44937.53</v>
      </c>
      <c r="N1910" s="40">
        <f t="shared" si="61"/>
        <v>3200</v>
      </c>
    </row>
    <row r="1911" spans="1:14" ht="12.75" hidden="1" customHeight="1" x14ac:dyDescent="0.2">
      <c r="A1911">
        <v>65062</v>
      </c>
      <c r="B1911" s="3" t="s">
        <v>1254</v>
      </c>
      <c r="C1911" s="7" t="s">
        <v>1652</v>
      </c>
      <c r="D1911" s="7" t="s">
        <v>183</v>
      </c>
      <c r="E1911" s="7">
        <v>684</v>
      </c>
      <c r="G1911" s="7" t="s">
        <v>1563</v>
      </c>
      <c r="H1911" s="7" t="s">
        <v>1362</v>
      </c>
      <c r="I1911" s="7" t="s">
        <v>1254</v>
      </c>
      <c r="K1911" s="39" t="s">
        <v>180</v>
      </c>
      <c r="L1911" s="40">
        <v>157</v>
      </c>
      <c r="M1911" s="40">
        <v>45094.53</v>
      </c>
      <c r="N1911" s="40">
        <f t="shared" si="61"/>
        <v>157</v>
      </c>
    </row>
    <row r="1912" spans="1:14" ht="12.75" hidden="1" customHeight="1" x14ac:dyDescent="0.2">
      <c r="A1912">
        <v>65062</v>
      </c>
      <c r="B1912" s="3" t="s">
        <v>1254</v>
      </c>
      <c r="C1912" s="7" t="s">
        <v>1652</v>
      </c>
      <c r="D1912" s="7" t="s">
        <v>183</v>
      </c>
      <c r="E1912" s="7">
        <v>684</v>
      </c>
      <c r="G1912" s="7" t="s">
        <v>1563</v>
      </c>
      <c r="H1912" s="7" t="s">
        <v>1362</v>
      </c>
      <c r="I1912" s="7" t="s">
        <v>1254</v>
      </c>
      <c r="K1912" s="39" t="s">
        <v>180</v>
      </c>
      <c r="L1912" s="40">
        <v>391</v>
      </c>
      <c r="M1912" s="40">
        <v>45485.53</v>
      </c>
      <c r="N1912" s="40">
        <f t="shared" si="61"/>
        <v>391</v>
      </c>
    </row>
    <row r="1913" spans="1:14" ht="12.75" hidden="1" customHeight="1" x14ac:dyDescent="0.2">
      <c r="A1913">
        <v>65062</v>
      </c>
      <c r="B1913" s="3" t="s">
        <v>1254</v>
      </c>
      <c r="C1913" s="7" t="s">
        <v>1652</v>
      </c>
      <c r="D1913" s="7" t="s">
        <v>183</v>
      </c>
      <c r="E1913" s="7">
        <v>684</v>
      </c>
      <c r="G1913" s="7" t="s">
        <v>1563</v>
      </c>
      <c r="H1913" s="7" t="s">
        <v>1362</v>
      </c>
      <c r="I1913" s="7" t="s">
        <v>1254</v>
      </c>
      <c r="K1913" s="39" t="s">
        <v>180</v>
      </c>
      <c r="L1913" s="40">
        <v>650</v>
      </c>
      <c r="M1913" s="40">
        <v>46135.53</v>
      </c>
      <c r="N1913" s="40">
        <f t="shared" si="61"/>
        <v>650</v>
      </c>
    </row>
    <row r="1914" spans="1:14" ht="12.75" hidden="1" customHeight="1" x14ac:dyDescent="0.2">
      <c r="A1914">
        <v>65062</v>
      </c>
      <c r="B1914" s="3" t="s">
        <v>1254</v>
      </c>
      <c r="C1914" s="7" t="s">
        <v>1652</v>
      </c>
      <c r="D1914" s="7" t="s">
        <v>183</v>
      </c>
      <c r="E1914" s="7">
        <v>684</v>
      </c>
      <c r="G1914" s="7" t="s">
        <v>1563</v>
      </c>
      <c r="H1914" s="7" t="s">
        <v>1362</v>
      </c>
      <c r="I1914" s="7" t="s">
        <v>1254</v>
      </c>
      <c r="K1914" s="39" t="s">
        <v>180</v>
      </c>
      <c r="L1914" s="40">
        <v>200</v>
      </c>
      <c r="M1914" s="40">
        <v>46335.53</v>
      </c>
      <c r="N1914" s="40">
        <f t="shared" si="61"/>
        <v>200</v>
      </c>
    </row>
    <row r="1915" spans="1:14" ht="12.75" hidden="1" customHeight="1" x14ac:dyDescent="0.2">
      <c r="A1915">
        <v>65062</v>
      </c>
      <c r="B1915" s="3" t="s">
        <v>1254</v>
      </c>
      <c r="C1915" s="7" t="s">
        <v>1652</v>
      </c>
      <c r="D1915" s="7" t="s">
        <v>183</v>
      </c>
      <c r="E1915" s="7">
        <v>684</v>
      </c>
      <c r="G1915" s="7" t="s">
        <v>1563</v>
      </c>
      <c r="H1915" s="7" t="s">
        <v>1362</v>
      </c>
      <c r="I1915" s="7" t="s">
        <v>1254</v>
      </c>
      <c r="K1915" s="39" t="s">
        <v>180</v>
      </c>
      <c r="L1915" s="40">
        <v>146</v>
      </c>
      <c r="M1915" s="40">
        <v>46481.53</v>
      </c>
      <c r="N1915" s="40">
        <f t="shared" si="61"/>
        <v>146</v>
      </c>
    </row>
    <row r="1916" spans="1:14" ht="12.75" hidden="1" customHeight="1" x14ac:dyDescent="0.2">
      <c r="A1916">
        <v>65062</v>
      </c>
      <c r="B1916" s="3" t="s">
        <v>1254</v>
      </c>
      <c r="C1916" s="7" t="s">
        <v>1652</v>
      </c>
      <c r="D1916" s="7" t="s">
        <v>183</v>
      </c>
      <c r="E1916" s="7">
        <v>684</v>
      </c>
      <c r="G1916" s="7" t="s">
        <v>1563</v>
      </c>
      <c r="H1916" s="7" t="s">
        <v>1362</v>
      </c>
      <c r="I1916" s="7" t="s">
        <v>1254</v>
      </c>
      <c r="K1916" s="39" t="s">
        <v>180</v>
      </c>
      <c r="L1916" s="40">
        <v>1290</v>
      </c>
      <c r="M1916" s="40">
        <v>23405.5</v>
      </c>
      <c r="N1916" s="40">
        <f t="shared" si="61"/>
        <v>1290</v>
      </c>
    </row>
    <row r="1917" spans="1:14" ht="12.75" hidden="1" customHeight="1" x14ac:dyDescent="0.2">
      <c r="A1917">
        <v>65062</v>
      </c>
      <c r="B1917" s="3" t="s">
        <v>1254</v>
      </c>
      <c r="C1917" s="7" t="s">
        <v>1652</v>
      </c>
      <c r="D1917" s="7" t="s">
        <v>183</v>
      </c>
      <c r="E1917" s="7">
        <v>684</v>
      </c>
      <c r="G1917" s="7" t="s">
        <v>1563</v>
      </c>
      <c r="H1917" s="7" t="s">
        <v>1362</v>
      </c>
      <c r="I1917" s="7" t="s">
        <v>1254</v>
      </c>
      <c r="K1917" s="39" t="s">
        <v>180</v>
      </c>
      <c r="L1917" s="40">
        <v>850</v>
      </c>
      <c r="M1917" s="40">
        <v>24255.5</v>
      </c>
      <c r="N1917" s="40">
        <f t="shared" si="61"/>
        <v>850</v>
      </c>
    </row>
    <row r="1918" spans="1:14" ht="12.75" hidden="1" customHeight="1" x14ac:dyDescent="0.2">
      <c r="A1918">
        <v>65062</v>
      </c>
      <c r="B1918" s="3" t="s">
        <v>1254</v>
      </c>
      <c r="C1918" s="7" t="s">
        <v>1652</v>
      </c>
      <c r="D1918" s="7" t="s">
        <v>183</v>
      </c>
      <c r="E1918" s="7">
        <v>684</v>
      </c>
      <c r="G1918" s="7" t="s">
        <v>1563</v>
      </c>
      <c r="H1918" s="7" t="s">
        <v>1362</v>
      </c>
      <c r="I1918" s="7" t="s">
        <v>1254</v>
      </c>
      <c r="K1918" s="39" t="s">
        <v>180</v>
      </c>
      <c r="L1918" s="40">
        <v>4125</v>
      </c>
      <c r="M1918" s="40">
        <v>28380.5</v>
      </c>
      <c r="N1918" s="40">
        <f t="shared" si="61"/>
        <v>4125</v>
      </c>
    </row>
    <row r="1919" spans="1:14" ht="12.75" hidden="1" customHeight="1" x14ac:dyDescent="0.2">
      <c r="A1919">
        <v>65062</v>
      </c>
      <c r="B1919" s="3" t="s">
        <v>1254</v>
      </c>
      <c r="C1919" s="7" t="s">
        <v>1652</v>
      </c>
      <c r="D1919" s="7" t="s">
        <v>183</v>
      </c>
      <c r="E1919" s="7">
        <v>684</v>
      </c>
      <c r="G1919" s="7" t="s">
        <v>1563</v>
      </c>
      <c r="H1919" s="7" t="s">
        <v>1362</v>
      </c>
      <c r="I1919" s="7" t="s">
        <v>1254</v>
      </c>
      <c r="K1919" s="39" t="s">
        <v>180</v>
      </c>
      <c r="L1919" s="40">
        <v>1750</v>
      </c>
      <c r="M1919" s="40">
        <v>30130.5</v>
      </c>
      <c r="N1919" s="40">
        <f t="shared" si="61"/>
        <v>1750</v>
      </c>
    </row>
    <row r="1920" spans="1:14" ht="12.75" hidden="1" customHeight="1" x14ac:dyDescent="0.2">
      <c r="A1920">
        <v>65062</v>
      </c>
      <c r="B1920" s="3" t="s">
        <v>1254</v>
      </c>
      <c r="C1920" s="7" t="s">
        <v>1652</v>
      </c>
      <c r="D1920" s="7" t="s">
        <v>183</v>
      </c>
      <c r="E1920" s="7">
        <v>684</v>
      </c>
      <c r="G1920" s="7" t="s">
        <v>1563</v>
      </c>
      <c r="H1920" s="7" t="s">
        <v>1362</v>
      </c>
      <c r="I1920" s="7" t="s">
        <v>1254</v>
      </c>
      <c r="K1920" s="39" t="s">
        <v>180</v>
      </c>
      <c r="L1920" s="40">
        <v>6000</v>
      </c>
      <c r="M1920" s="40">
        <v>36130.5</v>
      </c>
      <c r="N1920" s="40">
        <f t="shared" si="61"/>
        <v>6000</v>
      </c>
    </row>
    <row r="1921" spans="1:14" ht="12.75" hidden="1" customHeight="1" x14ac:dyDescent="0.2">
      <c r="A1921">
        <v>65025</v>
      </c>
      <c r="B1921" s="3" t="s">
        <v>1246</v>
      </c>
      <c r="C1921" s="7" t="s">
        <v>449</v>
      </c>
      <c r="D1921" s="7" t="s">
        <v>200</v>
      </c>
      <c r="E1921" s="7">
        <v>2</v>
      </c>
      <c r="F1921" s="7" t="s">
        <v>446</v>
      </c>
      <c r="G1921" s="7" t="s">
        <v>2130</v>
      </c>
      <c r="H1921" s="7" t="s">
        <v>1362</v>
      </c>
      <c r="I1921" s="7" t="s">
        <v>1246</v>
      </c>
      <c r="K1921" s="7" t="s">
        <v>1041</v>
      </c>
      <c r="L1921" s="11">
        <v>17</v>
      </c>
      <c r="M1921" s="11">
        <v>77</v>
      </c>
      <c r="N1921" s="9">
        <f>IF(A1921&lt;60000,-L1921,+L1921)</f>
        <v>17</v>
      </c>
    </row>
    <row r="1922" spans="1:14" ht="12.75" hidden="1" customHeight="1" x14ac:dyDescent="0.2">
      <c r="A1922">
        <v>65025</v>
      </c>
      <c r="B1922" s="3" t="s">
        <v>1246</v>
      </c>
      <c r="C1922" s="7" t="s">
        <v>334</v>
      </c>
      <c r="D1922" s="7" t="s">
        <v>200</v>
      </c>
      <c r="E1922" s="7" t="s">
        <v>447</v>
      </c>
      <c r="F1922" s="7" t="s">
        <v>446</v>
      </c>
      <c r="G1922" s="7" t="s">
        <v>2130</v>
      </c>
      <c r="H1922" s="7" t="s">
        <v>1362</v>
      </c>
      <c r="I1922" s="7" t="s">
        <v>1246</v>
      </c>
      <c r="K1922" s="7" t="s">
        <v>1041</v>
      </c>
      <c r="L1922" s="11">
        <v>17</v>
      </c>
      <c r="M1922" s="11">
        <v>489.72</v>
      </c>
      <c r="N1922" s="9">
        <f>IF(A1922&lt;60000,-L1922,+L1922)</f>
        <v>17</v>
      </c>
    </row>
    <row r="1923" spans="1:14" ht="12.75" hidden="1" customHeight="1" x14ac:dyDescent="0.2">
      <c r="A1923">
        <v>65025</v>
      </c>
      <c r="B1923" s="3" t="s">
        <v>1246</v>
      </c>
      <c r="C1923" s="7" t="s">
        <v>431</v>
      </c>
      <c r="D1923" s="7" t="s">
        <v>242</v>
      </c>
      <c r="F1923" s="7" t="s">
        <v>446</v>
      </c>
      <c r="G1923" s="7" t="s">
        <v>2130</v>
      </c>
      <c r="H1923" s="7" t="s">
        <v>1362</v>
      </c>
      <c r="I1923" s="7" t="s">
        <v>1246</v>
      </c>
      <c r="K1923" s="7" t="s">
        <v>1041</v>
      </c>
      <c r="L1923" s="11">
        <v>-17</v>
      </c>
      <c r="M1923" s="11">
        <v>1321.23</v>
      </c>
      <c r="N1923" s="9">
        <f>IF(A1923&lt;60000,-L1923,+L1923)</f>
        <v>-17</v>
      </c>
    </row>
    <row r="1924" spans="1:14" ht="12.75" customHeight="1" x14ac:dyDescent="0.2">
      <c r="A1924">
        <v>43400</v>
      </c>
      <c r="B1924" s="3" t="s">
        <v>1224</v>
      </c>
      <c r="C1924" s="7" t="s">
        <v>1644</v>
      </c>
      <c r="D1924" s="7" t="s">
        <v>1168</v>
      </c>
      <c r="E1924" s="7">
        <v>1006</v>
      </c>
      <c r="F1924" s="7" t="s">
        <v>1167</v>
      </c>
      <c r="G1924" s="7" t="s">
        <v>182</v>
      </c>
      <c r="H1924" s="7" t="s">
        <v>1359</v>
      </c>
      <c r="I1924" s="7" t="s">
        <v>1224</v>
      </c>
      <c r="J1924" s="39" t="s">
        <v>1645</v>
      </c>
      <c r="K1924" s="39" t="s">
        <v>1165</v>
      </c>
      <c r="L1924" s="40">
        <v>5500</v>
      </c>
      <c r="M1924" s="40">
        <v>304335.82</v>
      </c>
      <c r="N1924" s="41">
        <f>-L1924</f>
        <v>-5500</v>
      </c>
    </row>
    <row r="1925" spans="1:14" ht="12.75" customHeight="1" x14ac:dyDescent="0.2">
      <c r="A1925">
        <v>43400</v>
      </c>
      <c r="B1925" s="3" t="s">
        <v>1224</v>
      </c>
      <c r="C1925" s="7" t="s">
        <v>926</v>
      </c>
      <c r="D1925" s="7" t="s">
        <v>242</v>
      </c>
      <c r="F1925" s="7" t="s">
        <v>665</v>
      </c>
      <c r="G1925" s="7" t="s">
        <v>1560</v>
      </c>
      <c r="H1925" s="7" t="s">
        <v>1359</v>
      </c>
      <c r="I1925" s="7" t="s">
        <v>1224</v>
      </c>
      <c r="K1925" s="7" t="s">
        <v>1197</v>
      </c>
      <c r="L1925" s="11">
        <v>2000</v>
      </c>
      <c r="M1925" s="11">
        <v>37847.25</v>
      </c>
      <c r="N1925" s="9">
        <f>IF(A1925&lt;60000,-L1925,+L1925)</f>
        <v>-2000</v>
      </c>
    </row>
    <row r="1926" spans="1:14" ht="12.75" customHeight="1" x14ac:dyDescent="0.2">
      <c r="A1926">
        <v>43400</v>
      </c>
      <c r="B1926" s="3" t="s">
        <v>1224</v>
      </c>
      <c r="C1926" s="7" t="s">
        <v>315</v>
      </c>
      <c r="D1926" s="7" t="s">
        <v>242</v>
      </c>
      <c r="F1926" s="7" t="s">
        <v>665</v>
      </c>
      <c r="G1926" s="7" t="s">
        <v>1560</v>
      </c>
      <c r="H1926" s="7" t="s">
        <v>1359</v>
      </c>
      <c r="I1926" s="7" t="s">
        <v>1224</v>
      </c>
      <c r="K1926" s="7" t="s">
        <v>596</v>
      </c>
      <c r="L1926" s="11">
        <v>1</v>
      </c>
      <c r="M1926" s="11">
        <v>88914.21</v>
      </c>
      <c r="N1926" s="9">
        <f>IF(A1926&lt;60000,-L1926,+L1926)</f>
        <v>-1</v>
      </c>
    </row>
    <row r="1927" spans="1:14" ht="12.75" customHeight="1" x14ac:dyDescent="0.2">
      <c r="A1927">
        <v>43400</v>
      </c>
      <c r="B1927" s="3" t="s">
        <v>1224</v>
      </c>
      <c r="C1927" s="7" t="s">
        <v>315</v>
      </c>
      <c r="D1927" s="7" t="s">
        <v>242</v>
      </c>
      <c r="F1927" s="7" t="s">
        <v>665</v>
      </c>
      <c r="G1927" s="7" t="s">
        <v>1560</v>
      </c>
      <c r="H1927" s="7" t="s">
        <v>1359</v>
      </c>
      <c r="I1927" s="7" t="s">
        <v>1224</v>
      </c>
      <c r="K1927" s="7" t="s">
        <v>596</v>
      </c>
      <c r="L1927" s="11">
        <v>1</v>
      </c>
      <c r="M1927" s="11">
        <v>89229.21</v>
      </c>
      <c r="N1927" s="9">
        <f>IF(A1927&lt;60000,-L1927,+L1927)</f>
        <v>-1</v>
      </c>
    </row>
    <row r="1928" spans="1:14" ht="12.75" hidden="1" customHeight="1" x14ac:dyDescent="0.2">
      <c r="A1928">
        <v>65061</v>
      </c>
      <c r="B1928" s="3" t="s">
        <v>1844</v>
      </c>
      <c r="C1928" s="7" t="s">
        <v>1587</v>
      </c>
      <c r="D1928" s="7" t="s">
        <v>221</v>
      </c>
      <c r="F1928" s="7" t="s">
        <v>896</v>
      </c>
      <c r="G1928" s="7" t="s">
        <v>1584</v>
      </c>
      <c r="H1928" s="7" t="s">
        <v>1362</v>
      </c>
      <c r="I1928" s="7" t="s">
        <v>1253</v>
      </c>
      <c r="K1928" s="39" t="s">
        <v>693</v>
      </c>
      <c r="L1928" s="40">
        <v>31.79</v>
      </c>
      <c r="M1928" s="40">
        <v>237005.27</v>
      </c>
      <c r="N1928" s="40">
        <f>+L1928</f>
        <v>31.79</v>
      </c>
    </row>
    <row r="1929" spans="1:14" ht="12.75" hidden="1" customHeight="1" x14ac:dyDescent="0.2">
      <c r="A1929">
        <v>65061</v>
      </c>
      <c r="B1929" s="3" t="s">
        <v>1844</v>
      </c>
      <c r="C1929" s="7" t="s">
        <v>1804</v>
      </c>
      <c r="D1929" s="7" t="s">
        <v>221</v>
      </c>
      <c r="F1929" s="7" t="s">
        <v>1925</v>
      </c>
      <c r="G1929" s="7" t="s">
        <v>1584</v>
      </c>
      <c r="H1929" s="7" t="s">
        <v>1362</v>
      </c>
      <c r="I1929" s="7" t="s">
        <v>1253</v>
      </c>
      <c r="K1929" s="39" t="s">
        <v>693</v>
      </c>
      <c r="L1929" s="40">
        <v>50</v>
      </c>
      <c r="M1929" s="40">
        <v>248820.5</v>
      </c>
      <c r="N1929" s="40">
        <f>+L1929</f>
        <v>50</v>
      </c>
    </row>
    <row r="1930" spans="1:14" ht="12.75" customHeight="1" x14ac:dyDescent="0.2">
      <c r="A1930">
        <v>43400</v>
      </c>
      <c r="B1930" s="3" t="s">
        <v>1224</v>
      </c>
      <c r="C1930" s="7" t="s">
        <v>1603</v>
      </c>
      <c r="D1930" s="7" t="s">
        <v>242</v>
      </c>
      <c r="F1930" s="7" t="s">
        <v>665</v>
      </c>
      <c r="G1930" s="7" t="s">
        <v>1606</v>
      </c>
      <c r="H1930" s="7" t="s">
        <v>1359</v>
      </c>
      <c r="I1930" s="7" t="s">
        <v>1224</v>
      </c>
      <c r="K1930" s="39" t="s">
        <v>1173</v>
      </c>
      <c r="L1930" s="40">
        <v>84</v>
      </c>
      <c r="M1930" s="40">
        <v>249162.42</v>
      </c>
      <c r="N1930" s="41">
        <f>-L1930</f>
        <v>-84</v>
      </c>
    </row>
    <row r="1931" spans="1:14" ht="12.75" customHeight="1" x14ac:dyDescent="0.2">
      <c r="A1931">
        <v>43400</v>
      </c>
      <c r="B1931" s="3" t="s">
        <v>1224</v>
      </c>
      <c r="C1931" s="7" t="s">
        <v>1550</v>
      </c>
      <c r="D1931" s="7" t="s">
        <v>242</v>
      </c>
      <c r="F1931" s="7" t="s">
        <v>665</v>
      </c>
      <c r="G1931" s="7" t="s">
        <v>1606</v>
      </c>
      <c r="H1931" s="7" t="s">
        <v>1359</v>
      </c>
      <c r="I1931" s="7" t="s">
        <v>1224</v>
      </c>
      <c r="K1931" s="39" t="s">
        <v>1173</v>
      </c>
      <c r="L1931" s="40">
        <v>200</v>
      </c>
      <c r="M1931" s="40">
        <v>293835.82</v>
      </c>
      <c r="N1931" s="41">
        <f>-L1931</f>
        <v>-200</v>
      </c>
    </row>
    <row r="1932" spans="1:14" ht="12.75" customHeight="1" x14ac:dyDescent="0.2">
      <c r="A1932">
        <v>43400</v>
      </c>
      <c r="B1932" s="3" t="s">
        <v>1224</v>
      </c>
      <c r="C1932" s="7" t="s">
        <v>417</v>
      </c>
      <c r="D1932" s="7" t="s">
        <v>242</v>
      </c>
      <c r="F1932" s="7" t="s">
        <v>665</v>
      </c>
      <c r="G1932" s="7" t="s">
        <v>1572</v>
      </c>
      <c r="H1932" s="7" t="s">
        <v>1359</v>
      </c>
      <c r="I1932" s="7" t="s">
        <v>1224</v>
      </c>
      <c r="K1932" s="7" t="s">
        <v>931</v>
      </c>
      <c r="L1932" s="11">
        <v>100</v>
      </c>
      <c r="M1932" s="11">
        <v>124989.11</v>
      </c>
      <c r="N1932" s="9">
        <f>IF(A1932&lt;60000,-L1932,+L1932)</f>
        <v>-100</v>
      </c>
    </row>
    <row r="1933" spans="1:14" ht="12.75" customHeight="1" x14ac:dyDescent="0.2">
      <c r="A1933">
        <v>43400</v>
      </c>
      <c r="B1933" s="3" t="s">
        <v>1224</v>
      </c>
      <c r="C1933" s="7" t="s">
        <v>1571</v>
      </c>
      <c r="D1933" s="7" t="s">
        <v>183</v>
      </c>
      <c r="E1933" s="7">
        <v>625</v>
      </c>
      <c r="G1933" s="7" t="s">
        <v>1572</v>
      </c>
      <c r="H1933" s="7" t="s">
        <v>1359</v>
      </c>
      <c r="I1933" s="7" t="s">
        <v>1224</v>
      </c>
      <c r="J1933" s="39" t="s">
        <v>425</v>
      </c>
      <c r="K1933" s="39" t="s">
        <v>180</v>
      </c>
      <c r="L1933" s="40">
        <v>20</v>
      </c>
      <c r="M1933" s="40">
        <v>227467.16</v>
      </c>
      <c r="N1933" s="41">
        <f>-L1933</f>
        <v>-20</v>
      </c>
    </row>
    <row r="1934" spans="1:14" ht="12.75" customHeight="1" x14ac:dyDescent="0.2">
      <c r="A1934">
        <v>43400</v>
      </c>
      <c r="B1934" s="3" t="s">
        <v>1224</v>
      </c>
      <c r="C1934" s="7" t="s">
        <v>1593</v>
      </c>
      <c r="D1934" s="7" t="s">
        <v>183</v>
      </c>
      <c r="E1934" s="7">
        <v>659</v>
      </c>
      <c r="G1934" s="7" t="s">
        <v>1572</v>
      </c>
      <c r="H1934" s="7" t="s">
        <v>1359</v>
      </c>
      <c r="I1934" s="7" t="s">
        <v>1224</v>
      </c>
      <c r="J1934" s="39" t="s">
        <v>425</v>
      </c>
      <c r="K1934" s="39" t="s">
        <v>180</v>
      </c>
      <c r="L1934" s="40">
        <v>435</v>
      </c>
      <c r="M1934" s="40">
        <v>239809.86</v>
      </c>
      <c r="N1934" s="41">
        <f>-L1934</f>
        <v>-435</v>
      </c>
    </row>
    <row r="1935" spans="1:14" ht="12.75" customHeight="1" x14ac:dyDescent="0.2">
      <c r="A1935">
        <v>43400</v>
      </c>
      <c r="B1935" s="3" t="s">
        <v>1224</v>
      </c>
      <c r="C1935" s="7" t="s">
        <v>1640</v>
      </c>
      <c r="D1935" s="7" t="s">
        <v>242</v>
      </c>
      <c r="F1935" s="7" t="s">
        <v>665</v>
      </c>
      <c r="G1935" s="7" t="s">
        <v>1572</v>
      </c>
      <c r="H1935" s="7" t="s">
        <v>1359</v>
      </c>
      <c r="I1935" s="7" t="s">
        <v>1224</v>
      </c>
      <c r="K1935" s="39" t="s">
        <v>1129</v>
      </c>
      <c r="L1935" s="40">
        <v>54.38</v>
      </c>
      <c r="M1935" s="40">
        <v>292635.82</v>
      </c>
      <c r="N1935" s="41">
        <f>-L1935</f>
        <v>-54.38</v>
      </c>
    </row>
    <row r="1936" spans="1:14" ht="12.75" customHeight="1" x14ac:dyDescent="0.2">
      <c r="A1936">
        <v>43400</v>
      </c>
      <c r="B1936" s="3" t="s">
        <v>1224</v>
      </c>
      <c r="C1936" s="7" t="s">
        <v>417</v>
      </c>
      <c r="D1936" s="7" t="s">
        <v>242</v>
      </c>
      <c r="F1936" s="7" t="s">
        <v>665</v>
      </c>
      <c r="G1936" s="7" t="s">
        <v>1557</v>
      </c>
      <c r="H1936" s="7" t="s">
        <v>1359</v>
      </c>
      <c r="I1936" s="7" t="s">
        <v>1224</v>
      </c>
      <c r="K1936" s="7" t="s">
        <v>931</v>
      </c>
      <c r="L1936" s="11">
        <v>1395</v>
      </c>
      <c r="M1936" s="11">
        <v>124889.11</v>
      </c>
      <c r="N1936" s="9">
        <f>IF(A1936&lt;60000,-L1936,+L1936)</f>
        <v>-1395</v>
      </c>
    </row>
    <row r="1937" spans="1:14" ht="12.75" customHeight="1" x14ac:dyDescent="0.2">
      <c r="A1937">
        <v>43400</v>
      </c>
      <c r="B1937" s="3" t="s">
        <v>1224</v>
      </c>
      <c r="C1937" s="7" t="s">
        <v>1556</v>
      </c>
      <c r="D1937" s="7" t="s">
        <v>242</v>
      </c>
      <c r="F1937" s="7" t="s">
        <v>665</v>
      </c>
      <c r="G1937" s="7" t="s">
        <v>1557</v>
      </c>
      <c r="H1937" s="7" t="s">
        <v>1359</v>
      </c>
      <c r="I1937" s="7" t="s">
        <v>1224</v>
      </c>
      <c r="K1937" s="39" t="s">
        <v>1558</v>
      </c>
      <c r="L1937" s="40">
        <v>3580</v>
      </c>
      <c r="M1937" s="40">
        <v>214822.57</v>
      </c>
      <c r="N1937" s="41">
        <f>-L1937</f>
        <v>-3580</v>
      </c>
    </row>
    <row r="1938" spans="1:14" ht="12.75" hidden="1" customHeight="1" x14ac:dyDescent="0.2">
      <c r="A1938">
        <v>43440</v>
      </c>
      <c r="B1938" s="3" t="s">
        <v>1228</v>
      </c>
      <c r="C1938" s="7" t="s">
        <v>535</v>
      </c>
      <c r="D1938" s="7" t="s">
        <v>183</v>
      </c>
      <c r="E1938" s="7">
        <v>463</v>
      </c>
      <c r="G1938" s="7" t="s">
        <v>1610</v>
      </c>
      <c r="H1938" s="7" t="s">
        <v>1360</v>
      </c>
      <c r="I1938" s="7" t="s">
        <v>1228</v>
      </c>
      <c r="J1938" s="7" t="s">
        <v>534</v>
      </c>
      <c r="K1938" s="7" t="s">
        <v>180</v>
      </c>
      <c r="L1938" s="11">
        <v>61.08</v>
      </c>
      <c r="M1938" s="11">
        <v>4161.96</v>
      </c>
      <c r="N1938" s="9">
        <f>IF(A1938&lt;60000,-L1938,+L1938)</f>
        <v>-61.08</v>
      </c>
    </row>
    <row r="1939" spans="1:14" ht="12.75" hidden="1" customHeight="1" x14ac:dyDescent="0.2">
      <c r="A1939">
        <v>43440</v>
      </c>
      <c r="B1939" s="3" t="s">
        <v>1228</v>
      </c>
      <c r="C1939" s="7" t="s">
        <v>535</v>
      </c>
      <c r="D1939" s="7" t="s">
        <v>183</v>
      </c>
      <c r="E1939" s="7">
        <v>463</v>
      </c>
      <c r="G1939" s="7" t="s">
        <v>1610</v>
      </c>
      <c r="H1939" s="7" t="s">
        <v>1360</v>
      </c>
      <c r="I1939" s="7" t="s">
        <v>1228</v>
      </c>
      <c r="J1939" s="7" t="s">
        <v>534</v>
      </c>
      <c r="K1939" s="7" t="s">
        <v>180</v>
      </c>
      <c r="L1939" s="11">
        <v>8.32</v>
      </c>
      <c r="M1939" s="11">
        <v>4170.28</v>
      </c>
      <c r="N1939" s="9">
        <f>IF(A1939&lt;60000,-L1939,+L1939)</f>
        <v>-8.32</v>
      </c>
    </row>
    <row r="1940" spans="1:14" ht="12.75" hidden="1" customHeight="1" x14ac:dyDescent="0.2">
      <c r="A1940">
        <v>43440</v>
      </c>
      <c r="B1940" s="3" t="s">
        <v>1228</v>
      </c>
      <c r="C1940" s="7" t="s">
        <v>535</v>
      </c>
      <c r="D1940" s="7" t="s">
        <v>183</v>
      </c>
      <c r="E1940" s="7">
        <v>463</v>
      </c>
      <c r="G1940" s="7" t="s">
        <v>1610</v>
      </c>
      <c r="H1940" s="7" t="s">
        <v>1360</v>
      </c>
      <c r="I1940" s="7" t="s">
        <v>1228</v>
      </c>
      <c r="J1940" s="7" t="s">
        <v>534</v>
      </c>
      <c r="K1940" s="7" t="s">
        <v>180</v>
      </c>
      <c r="L1940" s="11">
        <v>64.64</v>
      </c>
      <c r="M1940" s="11">
        <v>4234.92</v>
      </c>
      <c r="N1940" s="9">
        <f>IF(A1940&lt;60000,-L1940,+L1940)</f>
        <v>-64.64</v>
      </c>
    </row>
    <row r="1941" spans="1:14" ht="12.75" customHeight="1" x14ac:dyDescent="0.2">
      <c r="A1941">
        <v>43400</v>
      </c>
      <c r="B1941" s="3" t="s">
        <v>1224</v>
      </c>
      <c r="C1941" s="7" t="s">
        <v>1576</v>
      </c>
      <c r="D1941" s="7" t="s">
        <v>242</v>
      </c>
      <c r="F1941" s="7" t="s">
        <v>665</v>
      </c>
      <c r="G1941" s="7" t="s">
        <v>1577</v>
      </c>
      <c r="H1941" s="7" t="s">
        <v>1359</v>
      </c>
      <c r="I1941" s="7" t="s">
        <v>1224</v>
      </c>
      <c r="K1941" s="39" t="s">
        <v>1141</v>
      </c>
      <c r="L1941" s="40">
        <v>1130.68</v>
      </c>
      <c r="M1941" s="40">
        <v>230477.84</v>
      </c>
      <c r="N1941" s="41">
        <f t="shared" ref="N1941:N1957" si="62">-L1941</f>
        <v>-1130.68</v>
      </c>
    </row>
    <row r="1942" spans="1:14" ht="12.75" customHeight="1" x14ac:dyDescent="0.2">
      <c r="A1942">
        <v>43400</v>
      </c>
      <c r="B1942" s="3" t="s">
        <v>1224</v>
      </c>
      <c r="C1942" s="7" t="s">
        <v>1585</v>
      </c>
      <c r="D1942" s="7" t="s">
        <v>242</v>
      </c>
      <c r="F1942" s="7" t="s">
        <v>665</v>
      </c>
      <c r="G1942" s="7" t="s">
        <v>1577</v>
      </c>
      <c r="H1942" s="7" t="s">
        <v>1359</v>
      </c>
      <c r="I1942" s="7" t="s">
        <v>1224</v>
      </c>
      <c r="K1942" s="39" t="s">
        <v>1141</v>
      </c>
      <c r="L1942" s="40">
        <v>50</v>
      </c>
      <c r="M1942" s="40">
        <v>222607.31</v>
      </c>
      <c r="N1942" s="41">
        <f t="shared" si="62"/>
        <v>-50</v>
      </c>
    </row>
    <row r="1943" spans="1:14" ht="12.75" customHeight="1" x14ac:dyDescent="0.2">
      <c r="A1943">
        <v>43400</v>
      </c>
      <c r="B1943" s="3" t="s">
        <v>1224</v>
      </c>
      <c r="C1943" s="7" t="s">
        <v>1612</v>
      </c>
      <c r="D1943" s="7" t="s">
        <v>242</v>
      </c>
      <c r="F1943" s="7" t="s">
        <v>665</v>
      </c>
      <c r="G1943" s="7" t="s">
        <v>1577</v>
      </c>
      <c r="H1943" s="7" t="s">
        <v>1359</v>
      </c>
      <c r="I1943" s="7" t="s">
        <v>1224</v>
      </c>
      <c r="K1943" s="39" t="s">
        <v>1141</v>
      </c>
      <c r="L1943" s="40">
        <v>1700</v>
      </c>
      <c r="M1943" s="40">
        <v>258391.97</v>
      </c>
      <c r="N1943" s="41">
        <f t="shared" si="62"/>
        <v>-1700</v>
      </c>
    </row>
    <row r="1944" spans="1:14" ht="12.75" customHeight="1" x14ac:dyDescent="0.2">
      <c r="A1944">
        <v>43400</v>
      </c>
      <c r="B1944" s="3" t="s">
        <v>1224</v>
      </c>
      <c r="C1944" s="7" t="s">
        <v>1617</v>
      </c>
      <c r="D1944" s="7" t="s">
        <v>183</v>
      </c>
      <c r="E1944" s="7">
        <v>689</v>
      </c>
      <c r="G1944" s="7" t="s">
        <v>1577</v>
      </c>
      <c r="H1944" s="7" t="s">
        <v>1359</v>
      </c>
      <c r="I1944" s="7" t="s">
        <v>1224</v>
      </c>
      <c r="K1944" s="39" t="s">
        <v>180</v>
      </c>
      <c r="L1944" s="40">
        <v>272</v>
      </c>
      <c r="M1944" s="40">
        <v>260161.97</v>
      </c>
      <c r="N1944" s="41">
        <f t="shared" si="62"/>
        <v>-272</v>
      </c>
    </row>
    <row r="1945" spans="1:14" ht="12.75" customHeight="1" x14ac:dyDescent="0.2">
      <c r="A1945">
        <v>43400</v>
      </c>
      <c r="B1945" s="3" t="s">
        <v>1224</v>
      </c>
      <c r="C1945" s="7" t="s">
        <v>1638</v>
      </c>
      <c r="D1945" s="7" t="s">
        <v>242</v>
      </c>
      <c r="F1945" s="7" t="s">
        <v>665</v>
      </c>
      <c r="G1945" s="7" t="s">
        <v>1577</v>
      </c>
      <c r="H1945" s="7" t="s">
        <v>1359</v>
      </c>
      <c r="I1945" s="7" t="s">
        <v>1224</v>
      </c>
      <c r="K1945" s="39" t="s">
        <v>1141</v>
      </c>
      <c r="L1945" s="40">
        <v>230</v>
      </c>
      <c r="M1945" s="40">
        <v>286122.89</v>
      </c>
      <c r="N1945" s="41">
        <f t="shared" si="62"/>
        <v>-230</v>
      </c>
    </row>
    <row r="1946" spans="1:14" ht="12.75" customHeight="1" x14ac:dyDescent="0.2">
      <c r="A1946">
        <v>43400</v>
      </c>
      <c r="B1946" s="3" t="s">
        <v>1224</v>
      </c>
      <c r="C1946" s="7" t="s">
        <v>1647</v>
      </c>
      <c r="D1946" s="7" t="s">
        <v>242</v>
      </c>
      <c r="F1946" s="7" t="s">
        <v>665</v>
      </c>
      <c r="G1946" s="7" t="s">
        <v>1577</v>
      </c>
      <c r="H1946" s="7" t="s">
        <v>1359</v>
      </c>
      <c r="I1946" s="7" t="s">
        <v>1224</v>
      </c>
      <c r="K1946" s="39" t="s">
        <v>1141</v>
      </c>
      <c r="L1946" s="40">
        <v>1500</v>
      </c>
      <c r="M1946" s="40">
        <v>310853.82</v>
      </c>
      <c r="N1946" s="41">
        <f t="shared" si="62"/>
        <v>-1500</v>
      </c>
    </row>
    <row r="1947" spans="1:14" ht="12.75" customHeight="1" x14ac:dyDescent="0.2">
      <c r="A1947">
        <v>43400</v>
      </c>
      <c r="B1947" s="3" t="s">
        <v>1224</v>
      </c>
      <c r="C1947" s="7" t="s">
        <v>1559</v>
      </c>
      <c r="D1947" s="7" t="s">
        <v>242</v>
      </c>
      <c r="F1947" s="7" t="s">
        <v>665</v>
      </c>
      <c r="G1947" s="7" t="s">
        <v>1561</v>
      </c>
      <c r="H1947" s="7" t="s">
        <v>1359</v>
      </c>
      <c r="I1947" s="7" t="s">
        <v>1224</v>
      </c>
      <c r="K1947" s="39" t="s">
        <v>1171</v>
      </c>
      <c r="L1947" s="40">
        <v>25</v>
      </c>
      <c r="M1947" s="40">
        <v>218897.57</v>
      </c>
      <c r="N1947" s="41">
        <f t="shared" si="62"/>
        <v>-25</v>
      </c>
    </row>
    <row r="1948" spans="1:14" ht="12.75" customHeight="1" x14ac:dyDescent="0.2">
      <c r="A1948">
        <v>43400</v>
      </c>
      <c r="B1948" s="3" t="s">
        <v>1224</v>
      </c>
      <c r="C1948" s="7" t="s">
        <v>1569</v>
      </c>
      <c r="D1948" s="7" t="s">
        <v>242</v>
      </c>
      <c r="F1948" s="7" t="s">
        <v>665</v>
      </c>
      <c r="G1948" s="7" t="s">
        <v>1561</v>
      </c>
      <c r="H1948" s="7" t="s">
        <v>1359</v>
      </c>
      <c r="I1948" s="7" t="s">
        <v>1224</v>
      </c>
      <c r="K1948" s="39" t="s">
        <v>1171</v>
      </c>
      <c r="L1948" s="40">
        <v>3395.04</v>
      </c>
      <c r="M1948" s="40">
        <v>226922.61</v>
      </c>
      <c r="N1948" s="41">
        <f t="shared" si="62"/>
        <v>-3395.04</v>
      </c>
    </row>
    <row r="1949" spans="1:14" ht="12.75" customHeight="1" x14ac:dyDescent="0.2">
      <c r="A1949">
        <v>43400</v>
      </c>
      <c r="B1949" s="3" t="s">
        <v>1224</v>
      </c>
      <c r="C1949" s="7" t="s">
        <v>1574</v>
      </c>
      <c r="D1949" s="7" t="s">
        <v>183</v>
      </c>
      <c r="E1949" s="7">
        <v>636</v>
      </c>
      <c r="G1949" s="7" t="s">
        <v>1561</v>
      </c>
      <c r="H1949" s="7" t="s">
        <v>1359</v>
      </c>
      <c r="I1949" s="7" t="s">
        <v>1224</v>
      </c>
      <c r="J1949" s="39" t="s">
        <v>425</v>
      </c>
      <c r="K1949" s="39" t="s">
        <v>180</v>
      </c>
      <c r="L1949" s="40">
        <v>1025</v>
      </c>
      <c r="M1949" s="40">
        <v>229082.16</v>
      </c>
      <c r="N1949" s="41">
        <f t="shared" si="62"/>
        <v>-1025</v>
      </c>
    </row>
    <row r="1950" spans="1:14" ht="12.75" customHeight="1" x14ac:dyDescent="0.2">
      <c r="A1950">
        <v>43400</v>
      </c>
      <c r="B1950" s="3" t="s">
        <v>1224</v>
      </c>
      <c r="C1950" s="7" t="s">
        <v>1575</v>
      </c>
      <c r="D1950" s="7" t="s">
        <v>183</v>
      </c>
      <c r="E1950" s="7">
        <v>638</v>
      </c>
      <c r="G1950" s="7" t="s">
        <v>1561</v>
      </c>
      <c r="H1950" s="7" t="s">
        <v>1359</v>
      </c>
      <c r="I1950" s="7" t="s">
        <v>1224</v>
      </c>
      <c r="J1950" s="39" t="s">
        <v>425</v>
      </c>
      <c r="K1950" s="39" t="s">
        <v>180</v>
      </c>
      <c r="L1950" s="40">
        <v>265</v>
      </c>
      <c r="M1950" s="40">
        <v>229347.16</v>
      </c>
      <c r="N1950" s="41">
        <f t="shared" si="62"/>
        <v>-265</v>
      </c>
    </row>
    <row r="1951" spans="1:14" ht="12.75" customHeight="1" x14ac:dyDescent="0.2">
      <c r="A1951">
        <v>43400</v>
      </c>
      <c r="B1951" s="3" t="s">
        <v>1224</v>
      </c>
      <c r="C1951" s="7" t="s">
        <v>1553</v>
      </c>
      <c r="D1951" s="7" t="s">
        <v>242</v>
      </c>
      <c r="F1951" s="7" t="s">
        <v>665</v>
      </c>
      <c r="G1951" s="7" t="s">
        <v>1561</v>
      </c>
      <c r="H1951" s="7" t="s">
        <v>1359</v>
      </c>
      <c r="I1951" s="7" t="s">
        <v>1224</v>
      </c>
      <c r="K1951" s="39" t="s">
        <v>1171</v>
      </c>
      <c r="L1951" s="40">
        <v>25</v>
      </c>
      <c r="M1951" s="40">
        <v>222557.31</v>
      </c>
      <c r="N1951" s="41">
        <f t="shared" si="62"/>
        <v>-25</v>
      </c>
    </row>
    <row r="1952" spans="1:14" ht="12.75" customHeight="1" x14ac:dyDescent="0.2">
      <c r="A1952">
        <v>43400</v>
      </c>
      <c r="B1952" s="3" t="s">
        <v>1224</v>
      </c>
      <c r="C1952" s="7" t="s">
        <v>1555</v>
      </c>
      <c r="D1952" s="7" t="s">
        <v>183</v>
      </c>
      <c r="E1952" s="7">
        <v>652</v>
      </c>
      <c r="G1952" s="7" t="s">
        <v>1561</v>
      </c>
      <c r="H1952" s="7" t="s">
        <v>1359</v>
      </c>
      <c r="I1952" s="7" t="s">
        <v>1224</v>
      </c>
      <c r="J1952" s="39" t="s">
        <v>1588</v>
      </c>
      <c r="K1952" s="39" t="s">
        <v>180</v>
      </c>
      <c r="L1952" s="40">
        <v>2285</v>
      </c>
      <c r="M1952" s="40">
        <v>234910.31</v>
      </c>
      <c r="N1952" s="41">
        <f t="shared" si="62"/>
        <v>-2285</v>
      </c>
    </row>
    <row r="1953" spans="1:14" ht="12.75" customHeight="1" x14ac:dyDescent="0.2">
      <c r="A1953">
        <v>43400</v>
      </c>
      <c r="B1953" s="3" t="s">
        <v>1224</v>
      </c>
      <c r="C1953" s="7" t="s">
        <v>1593</v>
      </c>
      <c r="D1953" s="7" t="s">
        <v>242</v>
      </c>
      <c r="F1953" s="7" t="s">
        <v>665</v>
      </c>
      <c r="G1953" s="7" t="s">
        <v>1561</v>
      </c>
      <c r="H1953" s="7" t="s">
        <v>1359</v>
      </c>
      <c r="I1953" s="7" t="s">
        <v>1224</v>
      </c>
      <c r="K1953" s="39" t="s">
        <v>1171</v>
      </c>
      <c r="L1953" s="40">
        <v>95</v>
      </c>
      <c r="M1953" s="40">
        <v>239344.86</v>
      </c>
      <c r="N1953" s="41">
        <f t="shared" si="62"/>
        <v>-95</v>
      </c>
    </row>
    <row r="1954" spans="1:14" ht="12.75" customHeight="1" x14ac:dyDescent="0.2">
      <c r="A1954">
        <v>43400</v>
      </c>
      <c r="B1954" s="3" t="s">
        <v>1224</v>
      </c>
      <c r="C1954" s="7" t="s">
        <v>1593</v>
      </c>
      <c r="D1954" s="7" t="s">
        <v>183</v>
      </c>
      <c r="E1954" s="7">
        <v>659</v>
      </c>
      <c r="G1954" s="7" t="s">
        <v>1561</v>
      </c>
      <c r="H1954" s="7" t="s">
        <v>1359</v>
      </c>
      <c r="I1954" s="7" t="s">
        <v>1224</v>
      </c>
      <c r="J1954" s="39" t="s">
        <v>425</v>
      </c>
      <c r="K1954" s="39" t="s">
        <v>180</v>
      </c>
      <c r="L1954" s="40">
        <v>30</v>
      </c>
      <c r="M1954" s="40">
        <v>239374.86</v>
      </c>
      <c r="N1954" s="41">
        <f t="shared" si="62"/>
        <v>-30</v>
      </c>
    </row>
    <row r="1955" spans="1:14" ht="12.75" customHeight="1" x14ac:dyDescent="0.2">
      <c r="A1955">
        <v>43400</v>
      </c>
      <c r="B1955" s="3" t="s">
        <v>1224</v>
      </c>
      <c r="C1955" s="7" t="s">
        <v>1603</v>
      </c>
      <c r="D1955" s="7" t="s">
        <v>242</v>
      </c>
      <c r="F1955" s="7" t="s">
        <v>665</v>
      </c>
      <c r="G1955" s="7" t="s">
        <v>1561</v>
      </c>
      <c r="H1955" s="7" t="s">
        <v>1359</v>
      </c>
      <c r="I1955" s="7" t="s">
        <v>1224</v>
      </c>
      <c r="K1955" s="39" t="s">
        <v>1171</v>
      </c>
      <c r="L1955" s="40">
        <v>25</v>
      </c>
      <c r="M1955" s="40">
        <v>249187.42</v>
      </c>
      <c r="N1955" s="41">
        <f t="shared" si="62"/>
        <v>-25</v>
      </c>
    </row>
    <row r="1956" spans="1:14" ht="12.75" customHeight="1" x14ac:dyDescent="0.2">
      <c r="A1956">
        <v>43400</v>
      </c>
      <c r="B1956" s="3" t="s">
        <v>1224</v>
      </c>
      <c r="C1956" s="7" t="s">
        <v>1546</v>
      </c>
      <c r="D1956" s="7" t="s">
        <v>242</v>
      </c>
      <c r="F1956" s="7" t="s">
        <v>665</v>
      </c>
      <c r="G1956" s="7" t="s">
        <v>1561</v>
      </c>
      <c r="H1956" s="7" t="s">
        <v>1359</v>
      </c>
      <c r="I1956" s="7" t="s">
        <v>1224</v>
      </c>
      <c r="K1956" s="39" t="s">
        <v>1171</v>
      </c>
      <c r="L1956" s="40">
        <v>25</v>
      </c>
      <c r="M1956" s="40">
        <v>277792.42</v>
      </c>
      <c r="N1956" s="41">
        <f t="shared" si="62"/>
        <v>-25</v>
      </c>
    </row>
    <row r="1957" spans="1:14" ht="12.75" customHeight="1" x14ac:dyDescent="0.2">
      <c r="A1957">
        <v>43400</v>
      </c>
      <c r="B1957" s="3" t="s">
        <v>1224</v>
      </c>
      <c r="C1957" s="7" t="s">
        <v>1629</v>
      </c>
      <c r="D1957" s="7" t="s">
        <v>183</v>
      </c>
      <c r="E1957" s="7">
        <v>716</v>
      </c>
      <c r="G1957" s="7" t="s">
        <v>1561</v>
      </c>
      <c r="H1957" s="7" t="s">
        <v>1359</v>
      </c>
      <c r="I1957" s="7" t="s">
        <v>1224</v>
      </c>
      <c r="K1957" s="39" t="s">
        <v>180</v>
      </c>
      <c r="L1957" s="40">
        <v>75</v>
      </c>
      <c r="M1957" s="40">
        <v>278522.52</v>
      </c>
      <c r="N1957" s="41">
        <f t="shared" si="62"/>
        <v>-75</v>
      </c>
    </row>
    <row r="1958" spans="1:14" ht="12.75" customHeight="1" x14ac:dyDescent="0.2">
      <c r="A1958">
        <v>43400</v>
      </c>
      <c r="B1958" s="3" t="s">
        <v>1224</v>
      </c>
      <c r="C1958" s="7" t="s">
        <v>1196</v>
      </c>
      <c r="D1958" s="7" t="s">
        <v>242</v>
      </c>
      <c r="F1958" s="7" t="s">
        <v>665</v>
      </c>
      <c r="G1958" s="7" t="s">
        <v>1734</v>
      </c>
      <c r="H1958" s="7" t="s">
        <v>1359</v>
      </c>
      <c r="I1958" s="7" t="s">
        <v>1224</v>
      </c>
      <c r="K1958" s="7" t="s">
        <v>1184</v>
      </c>
      <c r="L1958" s="11">
        <v>270</v>
      </c>
      <c r="M1958" s="11">
        <v>38217.25</v>
      </c>
      <c r="N1958" s="9">
        <f t="shared" ref="N1958:N1989" si="63">IF(A1958&lt;60000,-L1958,+L1958)</f>
        <v>-270</v>
      </c>
    </row>
    <row r="1959" spans="1:14" ht="12.75" customHeight="1" x14ac:dyDescent="0.2">
      <c r="A1959">
        <v>43400</v>
      </c>
      <c r="B1959" s="3" t="s">
        <v>1224</v>
      </c>
      <c r="C1959" s="7" t="s">
        <v>868</v>
      </c>
      <c r="D1959" s="7" t="s">
        <v>242</v>
      </c>
      <c r="F1959" s="7" t="s">
        <v>665</v>
      </c>
      <c r="G1959" s="7" t="s">
        <v>1734</v>
      </c>
      <c r="H1959" s="7" t="s">
        <v>1359</v>
      </c>
      <c r="I1959" s="7" t="s">
        <v>1224</v>
      </c>
      <c r="K1959" s="7" t="s">
        <v>1038</v>
      </c>
      <c r="L1959" s="11">
        <v>500</v>
      </c>
      <c r="M1959" s="11">
        <v>85213.21</v>
      </c>
      <c r="N1959" s="9">
        <f t="shared" si="63"/>
        <v>-500</v>
      </c>
    </row>
    <row r="1960" spans="1:14" ht="12.75" customHeight="1" x14ac:dyDescent="0.2">
      <c r="A1960">
        <v>43400</v>
      </c>
      <c r="B1960" s="3" t="s">
        <v>1224</v>
      </c>
      <c r="C1960" s="7" t="s">
        <v>306</v>
      </c>
      <c r="D1960" s="7" t="s">
        <v>242</v>
      </c>
      <c r="F1960" s="7" t="s">
        <v>665</v>
      </c>
      <c r="G1960" s="7" t="s">
        <v>1734</v>
      </c>
      <c r="H1960" s="7" t="s">
        <v>1359</v>
      </c>
      <c r="I1960" s="7" t="s">
        <v>1224</v>
      </c>
      <c r="K1960" s="7" t="s">
        <v>1184</v>
      </c>
      <c r="L1960" s="11">
        <v>304</v>
      </c>
      <c r="M1960" s="11">
        <v>102758.59</v>
      </c>
      <c r="N1960" s="9">
        <f t="shared" si="63"/>
        <v>-304</v>
      </c>
    </row>
    <row r="1961" spans="1:14" ht="12.75" customHeight="1" x14ac:dyDescent="0.2">
      <c r="A1961">
        <v>43400</v>
      </c>
      <c r="B1961" s="3" t="s">
        <v>1224</v>
      </c>
      <c r="C1961" s="7" t="s">
        <v>298</v>
      </c>
      <c r="D1961" s="7" t="s">
        <v>242</v>
      </c>
      <c r="F1961" s="7" t="s">
        <v>665</v>
      </c>
      <c r="G1961" s="7" t="s">
        <v>1734</v>
      </c>
      <c r="H1961" s="7" t="s">
        <v>1359</v>
      </c>
      <c r="I1961" s="7" t="s">
        <v>1224</v>
      </c>
      <c r="K1961" s="7" t="s">
        <v>1184</v>
      </c>
      <c r="L1961" s="11">
        <v>756.86</v>
      </c>
      <c r="M1961" s="11">
        <v>105855.45</v>
      </c>
      <c r="N1961" s="9">
        <f t="shared" si="63"/>
        <v>-756.86</v>
      </c>
    </row>
    <row r="1962" spans="1:14" ht="12.75" hidden="1" customHeight="1" x14ac:dyDescent="0.2">
      <c r="A1962">
        <v>62145</v>
      </c>
      <c r="B1962" s="3" t="s">
        <v>1237</v>
      </c>
      <c r="C1962" s="7" t="s">
        <v>379</v>
      </c>
      <c r="D1962" s="7" t="s">
        <v>200</v>
      </c>
      <c r="E1962" s="7">
        <v>1052</v>
      </c>
      <c r="F1962" s="7" t="s">
        <v>248</v>
      </c>
      <c r="G1962" s="7" t="s">
        <v>1610</v>
      </c>
      <c r="H1962" s="7" t="s">
        <v>1362</v>
      </c>
      <c r="I1962" s="7" t="s">
        <v>1237</v>
      </c>
      <c r="K1962" s="7" t="s">
        <v>245</v>
      </c>
      <c r="L1962" s="11">
        <v>362.5</v>
      </c>
      <c r="M1962" s="11">
        <v>362.5</v>
      </c>
      <c r="N1962" s="9">
        <f t="shared" si="63"/>
        <v>362.5</v>
      </c>
    </row>
    <row r="1963" spans="1:14" ht="12.75" hidden="1" customHeight="1" x14ac:dyDescent="0.2">
      <c r="A1963">
        <v>62145</v>
      </c>
      <c r="B1963" s="3" t="s">
        <v>1237</v>
      </c>
      <c r="C1963" s="7" t="s">
        <v>379</v>
      </c>
      <c r="D1963" s="7" t="s">
        <v>200</v>
      </c>
      <c r="E1963" s="7">
        <v>1053</v>
      </c>
      <c r="F1963" s="7" t="s">
        <v>248</v>
      </c>
      <c r="G1963" s="7" t="s">
        <v>1610</v>
      </c>
      <c r="H1963" s="7" t="s">
        <v>1362</v>
      </c>
      <c r="I1963" s="7" t="s">
        <v>1237</v>
      </c>
      <c r="K1963" s="7" t="s">
        <v>245</v>
      </c>
      <c r="L1963" s="11">
        <v>400</v>
      </c>
      <c r="M1963" s="11">
        <v>762.5</v>
      </c>
      <c r="N1963" s="9">
        <f t="shared" si="63"/>
        <v>400</v>
      </c>
    </row>
    <row r="1964" spans="1:14" ht="12.75" hidden="1" customHeight="1" x14ac:dyDescent="0.2">
      <c r="A1964">
        <v>65020</v>
      </c>
      <c r="B1964" s="3" t="s">
        <v>1245</v>
      </c>
      <c r="C1964" s="7" t="s">
        <v>384</v>
      </c>
      <c r="D1964" s="7" t="s">
        <v>200</v>
      </c>
      <c r="F1964" s="7" t="s">
        <v>297</v>
      </c>
      <c r="G1964" s="7" t="s">
        <v>1610</v>
      </c>
      <c r="H1964" s="7" t="s">
        <v>1362</v>
      </c>
      <c r="I1964" s="7" t="s">
        <v>1245</v>
      </c>
      <c r="K1964" s="7" t="s">
        <v>245</v>
      </c>
      <c r="L1964" s="11">
        <v>21.45</v>
      </c>
      <c r="M1964" s="11">
        <v>412.5</v>
      </c>
      <c r="N1964" s="9">
        <f t="shared" si="63"/>
        <v>21.45</v>
      </c>
    </row>
    <row r="1965" spans="1:14" ht="12.75" hidden="1" customHeight="1" x14ac:dyDescent="0.2">
      <c r="A1965">
        <v>65020</v>
      </c>
      <c r="B1965" s="3" t="s">
        <v>1245</v>
      </c>
      <c r="C1965" s="7" t="s">
        <v>302</v>
      </c>
      <c r="D1965" s="7" t="s">
        <v>200</v>
      </c>
      <c r="F1965" s="7" t="s">
        <v>297</v>
      </c>
      <c r="G1965" s="7" t="s">
        <v>1610</v>
      </c>
      <c r="H1965" s="7" t="s">
        <v>1362</v>
      </c>
      <c r="I1965" s="7" t="s">
        <v>1245</v>
      </c>
      <c r="K1965" s="7" t="s">
        <v>245</v>
      </c>
      <c r="L1965" s="11">
        <v>13.06</v>
      </c>
      <c r="M1965" s="11">
        <v>927.2</v>
      </c>
      <c r="N1965" s="9">
        <f t="shared" si="63"/>
        <v>13.06</v>
      </c>
    </row>
    <row r="1966" spans="1:14" ht="12.75" hidden="1" customHeight="1" x14ac:dyDescent="0.2">
      <c r="A1966">
        <v>65020</v>
      </c>
      <c r="B1966" s="3" t="s">
        <v>1245</v>
      </c>
      <c r="C1966" s="7" t="s">
        <v>284</v>
      </c>
      <c r="D1966" s="7" t="s">
        <v>200</v>
      </c>
      <c r="F1966" s="7" t="s">
        <v>338</v>
      </c>
      <c r="G1966" s="7" t="s">
        <v>1610</v>
      </c>
      <c r="H1966" s="7" t="s">
        <v>1362</v>
      </c>
      <c r="I1966" s="7" t="s">
        <v>1245</v>
      </c>
      <c r="K1966" s="7" t="s">
        <v>245</v>
      </c>
      <c r="L1966" s="11">
        <v>19.940000000000001</v>
      </c>
      <c r="M1966" s="11">
        <v>992.92</v>
      </c>
      <c r="N1966" s="9">
        <f t="shared" si="63"/>
        <v>19.940000000000001</v>
      </c>
    </row>
    <row r="1967" spans="1:14" ht="12.75" hidden="1" customHeight="1" x14ac:dyDescent="0.2">
      <c r="A1967">
        <v>65020</v>
      </c>
      <c r="B1967" s="3" t="s">
        <v>1245</v>
      </c>
      <c r="C1967" s="7" t="s">
        <v>257</v>
      </c>
      <c r="D1967" s="7" t="s">
        <v>200</v>
      </c>
      <c r="F1967" s="7" t="s">
        <v>297</v>
      </c>
      <c r="G1967" s="7" t="s">
        <v>1610</v>
      </c>
      <c r="H1967" s="7" t="s">
        <v>1362</v>
      </c>
      <c r="I1967" s="7" t="s">
        <v>1245</v>
      </c>
      <c r="K1967" s="7" t="s">
        <v>245</v>
      </c>
      <c r="L1967" s="11">
        <v>56.98</v>
      </c>
      <c r="M1967" s="11">
        <v>1161.03</v>
      </c>
      <c r="N1967" s="9">
        <f t="shared" si="63"/>
        <v>56.98</v>
      </c>
    </row>
    <row r="1968" spans="1:14" ht="12.75" hidden="1" customHeight="1" x14ac:dyDescent="0.2">
      <c r="A1968">
        <v>65020</v>
      </c>
      <c r="B1968" s="3" t="s">
        <v>1245</v>
      </c>
      <c r="C1968" s="7" t="s">
        <v>496</v>
      </c>
      <c r="D1968" s="7" t="s">
        <v>221</v>
      </c>
      <c r="F1968" s="7" t="s">
        <v>297</v>
      </c>
      <c r="G1968" s="7" t="s">
        <v>1610</v>
      </c>
      <c r="H1968" s="7" t="s">
        <v>1362</v>
      </c>
      <c r="I1968" s="7" t="s">
        <v>1245</v>
      </c>
      <c r="K1968" s="7" t="s">
        <v>245</v>
      </c>
      <c r="L1968" s="11">
        <v>5.37</v>
      </c>
      <c r="M1968" s="11">
        <v>1324.56</v>
      </c>
      <c r="N1968" s="9">
        <f t="shared" si="63"/>
        <v>5.37</v>
      </c>
    </row>
    <row r="1969" spans="1:14" ht="12.75" hidden="1" customHeight="1" x14ac:dyDescent="0.2">
      <c r="A1969">
        <v>65020</v>
      </c>
      <c r="B1969" s="3" t="s">
        <v>1245</v>
      </c>
      <c r="C1969" s="7" t="s">
        <v>224</v>
      </c>
      <c r="D1969" s="7" t="s">
        <v>221</v>
      </c>
      <c r="F1969" s="7" t="s">
        <v>297</v>
      </c>
      <c r="G1969" s="7" t="s">
        <v>1610</v>
      </c>
      <c r="H1969" s="7" t="s">
        <v>1362</v>
      </c>
      <c r="I1969" s="7" t="s">
        <v>1245</v>
      </c>
      <c r="K1969" s="7" t="s">
        <v>245</v>
      </c>
      <c r="L1969" s="11">
        <v>192</v>
      </c>
      <c r="M1969" s="11">
        <v>1523.55</v>
      </c>
      <c r="N1969" s="9">
        <f t="shared" si="63"/>
        <v>192</v>
      </c>
    </row>
    <row r="1970" spans="1:14" ht="12.75" hidden="1" customHeight="1" x14ac:dyDescent="0.2">
      <c r="A1970">
        <v>65020</v>
      </c>
      <c r="B1970" s="3" t="s">
        <v>1245</v>
      </c>
      <c r="C1970" s="7" t="s">
        <v>222</v>
      </c>
      <c r="D1970" s="7" t="s">
        <v>221</v>
      </c>
      <c r="F1970" s="7" t="s">
        <v>297</v>
      </c>
      <c r="G1970" s="7" t="s">
        <v>1610</v>
      </c>
      <c r="H1970" s="7" t="s">
        <v>1362</v>
      </c>
      <c r="I1970" s="7" t="s">
        <v>1245</v>
      </c>
      <c r="K1970" s="7" t="s">
        <v>245</v>
      </c>
      <c r="L1970" s="11">
        <v>12.83</v>
      </c>
      <c r="M1970" s="11">
        <v>1542.08</v>
      </c>
      <c r="N1970" s="9">
        <f t="shared" si="63"/>
        <v>12.83</v>
      </c>
    </row>
    <row r="1971" spans="1:14" ht="12.75" hidden="1" customHeight="1" x14ac:dyDescent="0.2">
      <c r="A1971">
        <v>65025</v>
      </c>
      <c r="B1971" s="3" t="s">
        <v>1246</v>
      </c>
      <c r="C1971" s="7" t="s">
        <v>367</v>
      </c>
      <c r="D1971" s="7" t="s">
        <v>200</v>
      </c>
      <c r="F1971" s="7" t="s">
        <v>336</v>
      </c>
      <c r="G1971" s="7" t="s">
        <v>1610</v>
      </c>
      <c r="H1971" s="7" t="s">
        <v>1362</v>
      </c>
      <c r="I1971" s="7" t="s">
        <v>1246</v>
      </c>
      <c r="K1971" s="7" t="s">
        <v>245</v>
      </c>
      <c r="L1971" s="11">
        <v>10</v>
      </c>
      <c r="M1971" s="11">
        <v>415.2</v>
      </c>
      <c r="N1971" s="9">
        <f t="shared" si="63"/>
        <v>10</v>
      </c>
    </row>
    <row r="1972" spans="1:14" ht="12.75" hidden="1" customHeight="1" x14ac:dyDescent="0.2">
      <c r="A1972">
        <v>65030</v>
      </c>
      <c r="B1972" s="3" t="s">
        <v>1247</v>
      </c>
      <c r="C1972" s="7" t="s">
        <v>305</v>
      </c>
      <c r="D1972" s="7" t="s">
        <v>200</v>
      </c>
      <c r="F1972" s="7" t="s">
        <v>973</v>
      </c>
      <c r="G1972" s="7" t="s">
        <v>1610</v>
      </c>
      <c r="H1972" s="7" t="s">
        <v>1362</v>
      </c>
      <c r="I1972" s="7" t="s">
        <v>1247</v>
      </c>
      <c r="K1972" s="7" t="s">
        <v>245</v>
      </c>
      <c r="L1972" s="11">
        <v>3.88</v>
      </c>
      <c r="M1972" s="11">
        <v>449.91</v>
      </c>
      <c r="N1972" s="9">
        <f t="shared" si="63"/>
        <v>3.88</v>
      </c>
    </row>
    <row r="1973" spans="1:14" ht="12.75" hidden="1" customHeight="1" x14ac:dyDescent="0.2">
      <c r="A1973">
        <v>65030</v>
      </c>
      <c r="B1973" s="3" t="s">
        <v>1247</v>
      </c>
      <c r="C1973" s="7" t="s">
        <v>814</v>
      </c>
      <c r="D1973" s="7" t="s">
        <v>200</v>
      </c>
      <c r="F1973" s="7" t="s">
        <v>973</v>
      </c>
      <c r="G1973" s="7" t="s">
        <v>1610</v>
      </c>
      <c r="H1973" s="7" t="s">
        <v>1362</v>
      </c>
      <c r="I1973" s="7" t="s">
        <v>1247</v>
      </c>
      <c r="K1973" s="7" t="s">
        <v>245</v>
      </c>
      <c r="L1973" s="11">
        <v>29.05</v>
      </c>
      <c r="M1973" s="11">
        <v>713.72</v>
      </c>
      <c r="N1973" s="9">
        <f t="shared" si="63"/>
        <v>29.05</v>
      </c>
    </row>
    <row r="1974" spans="1:14" ht="12.75" hidden="1" customHeight="1" x14ac:dyDescent="0.2">
      <c r="A1974">
        <v>65030</v>
      </c>
      <c r="B1974" s="3" t="s">
        <v>1247</v>
      </c>
      <c r="C1974" s="7" t="s">
        <v>812</v>
      </c>
      <c r="D1974" s="7" t="s">
        <v>200</v>
      </c>
      <c r="F1974" s="7" t="s">
        <v>336</v>
      </c>
      <c r="G1974" s="7" t="s">
        <v>1610</v>
      </c>
      <c r="H1974" s="7" t="s">
        <v>1362</v>
      </c>
      <c r="I1974" s="7" t="s">
        <v>1247</v>
      </c>
      <c r="K1974" s="7" t="s">
        <v>245</v>
      </c>
      <c r="L1974" s="11">
        <v>98.02</v>
      </c>
      <c r="M1974" s="11">
        <v>811.74</v>
      </c>
      <c r="N1974" s="9">
        <f t="shared" si="63"/>
        <v>98.02</v>
      </c>
    </row>
    <row r="1975" spans="1:14" ht="12.75" hidden="1" customHeight="1" x14ac:dyDescent="0.2">
      <c r="A1975">
        <v>65030</v>
      </c>
      <c r="B1975" s="3" t="s">
        <v>1247</v>
      </c>
      <c r="C1975" s="7" t="s">
        <v>287</v>
      </c>
      <c r="D1975" s="7" t="s">
        <v>200</v>
      </c>
      <c r="F1975" s="7" t="s">
        <v>973</v>
      </c>
      <c r="G1975" s="7" t="s">
        <v>1610</v>
      </c>
      <c r="H1975" s="7" t="s">
        <v>1362</v>
      </c>
      <c r="I1975" s="7" t="s">
        <v>1247</v>
      </c>
      <c r="K1975" s="7" t="s">
        <v>245</v>
      </c>
      <c r="L1975" s="11">
        <v>8.0399999999999991</v>
      </c>
      <c r="M1975" s="11">
        <v>819.78</v>
      </c>
      <c r="N1975" s="9">
        <f t="shared" si="63"/>
        <v>8.0399999999999991</v>
      </c>
    </row>
    <row r="1976" spans="1:14" ht="12.75" hidden="1" customHeight="1" x14ac:dyDescent="0.2">
      <c r="A1976">
        <v>65030</v>
      </c>
      <c r="B1976" s="3" t="s">
        <v>1247</v>
      </c>
      <c r="C1976" s="7" t="s">
        <v>282</v>
      </c>
      <c r="D1976" s="7" t="s">
        <v>200</v>
      </c>
      <c r="F1976" s="7" t="s">
        <v>336</v>
      </c>
      <c r="G1976" s="7" t="s">
        <v>1610</v>
      </c>
      <c r="H1976" s="7" t="s">
        <v>1362</v>
      </c>
      <c r="I1976" s="7" t="s">
        <v>1247</v>
      </c>
      <c r="K1976" s="7" t="s">
        <v>245</v>
      </c>
      <c r="L1976" s="11">
        <v>8</v>
      </c>
      <c r="M1976" s="11">
        <v>1579.78</v>
      </c>
      <c r="N1976" s="9">
        <f t="shared" si="63"/>
        <v>8</v>
      </c>
    </row>
    <row r="1977" spans="1:14" ht="12.75" hidden="1" customHeight="1" x14ac:dyDescent="0.2">
      <c r="A1977">
        <v>65030</v>
      </c>
      <c r="B1977" s="3" t="s">
        <v>1247</v>
      </c>
      <c r="C1977" s="7" t="s">
        <v>257</v>
      </c>
      <c r="D1977" s="7" t="s">
        <v>200</v>
      </c>
      <c r="F1977" s="7" t="s">
        <v>973</v>
      </c>
      <c r="G1977" s="7" t="s">
        <v>1610</v>
      </c>
      <c r="H1977" s="7" t="s">
        <v>1362</v>
      </c>
      <c r="I1977" s="7" t="s">
        <v>1247</v>
      </c>
      <c r="K1977" s="7" t="s">
        <v>245</v>
      </c>
      <c r="L1977" s="11">
        <v>9.14</v>
      </c>
      <c r="M1977" s="11">
        <v>1638.92</v>
      </c>
      <c r="N1977" s="9">
        <f t="shared" si="63"/>
        <v>9.14</v>
      </c>
    </row>
    <row r="1978" spans="1:14" ht="12.75" hidden="1" customHeight="1" x14ac:dyDescent="0.2">
      <c r="A1978">
        <v>65030</v>
      </c>
      <c r="B1978" s="3" t="s">
        <v>1247</v>
      </c>
      <c r="C1978" s="7" t="s">
        <v>239</v>
      </c>
      <c r="D1978" s="7" t="s">
        <v>221</v>
      </c>
      <c r="F1978" s="7" t="s">
        <v>310</v>
      </c>
      <c r="G1978" s="7" t="s">
        <v>1610</v>
      </c>
      <c r="H1978" s="7" t="s">
        <v>1362</v>
      </c>
      <c r="I1978" s="7" t="s">
        <v>1247</v>
      </c>
      <c r="K1978" s="7" t="s">
        <v>245</v>
      </c>
      <c r="L1978" s="11">
        <v>152.46</v>
      </c>
      <c r="M1978" s="11">
        <v>1791.38</v>
      </c>
      <c r="N1978" s="9">
        <f t="shared" si="63"/>
        <v>152.46</v>
      </c>
    </row>
    <row r="1979" spans="1:14" ht="12.75" hidden="1" customHeight="1" x14ac:dyDescent="0.2">
      <c r="A1979">
        <v>65030</v>
      </c>
      <c r="B1979" s="3" t="s">
        <v>1247</v>
      </c>
      <c r="C1979" s="7" t="s">
        <v>235</v>
      </c>
      <c r="D1979" s="7" t="s">
        <v>221</v>
      </c>
      <c r="F1979" s="7" t="s">
        <v>336</v>
      </c>
      <c r="G1979" s="7" t="s">
        <v>1610</v>
      </c>
      <c r="H1979" s="7" t="s">
        <v>1362</v>
      </c>
      <c r="I1979" s="7" t="s">
        <v>1247</v>
      </c>
      <c r="K1979" s="7" t="s">
        <v>245</v>
      </c>
      <c r="L1979" s="11">
        <v>25</v>
      </c>
      <c r="M1979" s="11">
        <v>1816.38</v>
      </c>
      <c r="N1979" s="9">
        <f t="shared" si="63"/>
        <v>25</v>
      </c>
    </row>
    <row r="1980" spans="1:14" ht="12.75" hidden="1" customHeight="1" x14ac:dyDescent="0.2">
      <c r="A1980">
        <v>65030</v>
      </c>
      <c r="B1980" s="3" t="s">
        <v>1247</v>
      </c>
      <c r="C1980" s="7" t="s">
        <v>214</v>
      </c>
      <c r="D1980" s="7" t="s">
        <v>221</v>
      </c>
      <c r="F1980" s="7" t="s">
        <v>310</v>
      </c>
      <c r="G1980" s="7" t="s">
        <v>1610</v>
      </c>
      <c r="H1980" s="7" t="s">
        <v>1362</v>
      </c>
      <c r="I1980" s="7" t="s">
        <v>1247</v>
      </c>
      <c r="K1980" s="7" t="s">
        <v>245</v>
      </c>
      <c r="L1980" s="11">
        <v>59.32</v>
      </c>
      <c r="M1980" s="11">
        <v>2127.1999999999998</v>
      </c>
      <c r="N1980" s="9">
        <f t="shared" si="63"/>
        <v>59.32</v>
      </c>
    </row>
    <row r="1981" spans="1:14" ht="12.75" hidden="1" customHeight="1" x14ac:dyDescent="0.2">
      <c r="A1981">
        <v>65030</v>
      </c>
      <c r="B1981" s="3" t="s">
        <v>1247</v>
      </c>
      <c r="C1981" s="7" t="s">
        <v>214</v>
      </c>
      <c r="D1981" s="7" t="s">
        <v>221</v>
      </c>
      <c r="F1981" s="7" t="s">
        <v>310</v>
      </c>
      <c r="G1981" s="7" t="s">
        <v>1610</v>
      </c>
      <c r="H1981" s="7" t="s">
        <v>1362</v>
      </c>
      <c r="I1981" s="7" t="s">
        <v>1247</v>
      </c>
      <c r="K1981" s="7" t="s">
        <v>245</v>
      </c>
      <c r="L1981" s="11">
        <v>119.37</v>
      </c>
      <c r="M1981" s="11">
        <v>2246.5700000000002</v>
      </c>
      <c r="N1981" s="9">
        <f t="shared" si="63"/>
        <v>119.37</v>
      </c>
    </row>
    <row r="1982" spans="1:14" ht="12.75" hidden="1" customHeight="1" x14ac:dyDescent="0.2">
      <c r="A1982">
        <v>65036</v>
      </c>
      <c r="B1982" s="3" t="s">
        <v>1249</v>
      </c>
      <c r="C1982" s="7" t="s">
        <v>952</v>
      </c>
      <c r="D1982" s="7" t="s">
        <v>200</v>
      </c>
      <c r="F1982" s="7" t="s">
        <v>1028</v>
      </c>
      <c r="G1982" s="7" t="s">
        <v>1610</v>
      </c>
      <c r="H1982" s="7" t="s">
        <v>1362</v>
      </c>
      <c r="I1982" s="7" t="s">
        <v>1249</v>
      </c>
      <c r="K1982" s="7" t="s">
        <v>245</v>
      </c>
      <c r="L1982" s="11">
        <v>99.73</v>
      </c>
      <c r="M1982" s="11">
        <v>123.93</v>
      </c>
      <c r="N1982" s="9">
        <f t="shared" si="63"/>
        <v>99.73</v>
      </c>
    </row>
    <row r="1983" spans="1:14" ht="12.75" hidden="1" customHeight="1" x14ac:dyDescent="0.2">
      <c r="A1983">
        <v>65036</v>
      </c>
      <c r="B1983" s="3" t="s">
        <v>1249</v>
      </c>
      <c r="C1983" s="7" t="s">
        <v>330</v>
      </c>
      <c r="D1983" s="7" t="s">
        <v>200</v>
      </c>
      <c r="E1983" s="7">
        <v>1061</v>
      </c>
      <c r="F1983" s="7" t="s">
        <v>1023</v>
      </c>
      <c r="G1983" s="7" t="s">
        <v>1610</v>
      </c>
      <c r="H1983" s="7" t="s">
        <v>1369</v>
      </c>
      <c r="I1983" s="7" t="s">
        <v>1249</v>
      </c>
      <c r="K1983" s="7" t="s">
        <v>245</v>
      </c>
      <c r="L1983" s="11">
        <v>2527.36</v>
      </c>
      <c r="M1983" s="11">
        <v>3485.14</v>
      </c>
      <c r="N1983" s="9">
        <f t="shared" si="63"/>
        <v>2527.36</v>
      </c>
    </row>
    <row r="1984" spans="1:14" ht="12.75" hidden="1" customHeight="1" x14ac:dyDescent="0.2">
      <c r="A1984">
        <v>65040</v>
      </c>
      <c r="B1984" s="3" t="s">
        <v>1250</v>
      </c>
      <c r="C1984" s="7" t="s">
        <v>334</v>
      </c>
      <c r="D1984" s="7" t="s">
        <v>200</v>
      </c>
      <c r="F1984" s="7" t="s">
        <v>220</v>
      </c>
      <c r="G1984" s="7" t="s">
        <v>1610</v>
      </c>
      <c r="H1984" s="7" t="s">
        <v>1362</v>
      </c>
      <c r="I1984" s="7" t="s">
        <v>1250</v>
      </c>
      <c r="K1984" s="7" t="s">
        <v>245</v>
      </c>
      <c r="L1984" s="11">
        <v>48.98</v>
      </c>
      <c r="M1984" s="11">
        <v>775.79</v>
      </c>
      <c r="N1984" s="9">
        <f t="shared" si="63"/>
        <v>48.98</v>
      </c>
    </row>
    <row r="1985" spans="1:14" ht="12.75" hidden="1" customHeight="1" x14ac:dyDescent="0.2">
      <c r="A1985">
        <v>65040</v>
      </c>
      <c r="B1985" s="3" t="s">
        <v>1250</v>
      </c>
      <c r="C1985" s="7" t="s">
        <v>306</v>
      </c>
      <c r="D1985" s="7" t="s">
        <v>200</v>
      </c>
      <c r="F1985" s="7" t="s">
        <v>220</v>
      </c>
      <c r="G1985" s="7" t="s">
        <v>1610</v>
      </c>
      <c r="H1985" s="7" t="s">
        <v>1362</v>
      </c>
      <c r="I1985" s="7" t="s">
        <v>1250</v>
      </c>
      <c r="K1985" s="7" t="s">
        <v>245</v>
      </c>
      <c r="L1985" s="11">
        <v>82.15</v>
      </c>
      <c r="M1985" s="11">
        <v>1074.1400000000001</v>
      </c>
      <c r="N1985" s="9">
        <f t="shared" si="63"/>
        <v>82.15</v>
      </c>
    </row>
    <row r="1986" spans="1:14" ht="12.75" hidden="1" customHeight="1" x14ac:dyDescent="0.2">
      <c r="A1986">
        <v>65060</v>
      </c>
      <c r="B1986" s="3" t="s">
        <v>1253</v>
      </c>
      <c r="C1986" s="7" t="s">
        <v>710</v>
      </c>
      <c r="D1986" s="7" t="s">
        <v>221</v>
      </c>
      <c r="F1986" s="7" t="s">
        <v>998</v>
      </c>
      <c r="G1986" s="7" t="s">
        <v>1610</v>
      </c>
      <c r="H1986" s="7" t="s">
        <v>1362</v>
      </c>
      <c r="I1986" s="7" t="s">
        <v>1253</v>
      </c>
      <c r="K1986" s="7" t="s">
        <v>245</v>
      </c>
      <c r="L1986" s="11">
        <v>26.75</v>
      </c>
      <c r="M1986" s="11">
        <v>26.75</v>
      </c>
      <c r="N1986" s="9">
        <f t="shared" si="63"/>
        <v>26.75</v>
      </c>
    </row>
    <row r="1987" spans="1:14" ht="12.75" hidden="1" customHeight="1" x14ac:dyDescent="0.2">
      <c r="A1987">
        <v>65061</v>
      </c>
      <c r="B1987" s="3" t="s">
        <v>1253</v>
      </c>
      <c r="C1987" s="7" t="s">
        <v>449</v>
      </c>
      <c r="D1987" s="7" t="s">
        <v>200</v>
      </c>
      <c r="F1987" s="7" t="s">
        <v>336</v>
      </c>
      <c r="G1987" s="7" t="s">
        <v>1610</v>
      </c>
      <c r="H1987" s="7" t="s">
        <v>1362</v>
      </c>
      <c r="I1987" s="7" t="s">
        <v>1253</v>
      </c>
      <c r="K1987" s="7" t="s">
        <v>245</v>
      </c>
      <c r="L1987" s="11">
        <v>546.48</v>
      </c>
      <c r="M1987" s="11">
        <v>-9251.5</v>
      </c>
      <c r="N1987" s="9">
        <f t="shared" si="63"/>
        <v>546.48</v>
      </c>
    </row>
    <row r="1988" spans="1:14" ht="12.75" hidden="1" customHeight="1" x14ac:dyDescent="0.2">
      <c r="A1988">
        <v>65061</v>
      </c>
      <c r="B1988" s="3" t="s">
        <v>1253</v>
      </c>
      <c r="C1988" s="7" t="s">
        <v>981</v>
      </c>
      <c r="D1988" s="7" t="s">
        <v>200</v>
      </c>
      <c r="F1988" s="7" t="s">
        <v>578</v>
      </c>
      <c r="G1988" s="7" t="s">
        <v>1610</v>
      </c>
      <c r="H1988" s="7" t="s">
        <v>1362</v>
      </c>
      <c r="I1988" s="7" t="s">
        <v>1253</v>
      </c>
      <c r="K1988" s="7" t="s">
        <v>245</v>
      </c>
      <c r="L1988" s="11">
        <v>47.49</v>
      </c>
      <c r="M1988" s="11">
        <v>-7651.6</v>
      </c>
      <c r="N1988" s="9">
        <f t="shared" si="63"/>
        <v>47.49</v>
      </c>
    </row>
    <row r="1989" spans="1:14" ht="12.75" hidden="1" customHeight="1" x14ac:dyDescent="0.2">
      <c r="A1989">
        <v>65061</v>
      </c>
      <c r="B1989" s="3" t="s">
        <v>1253</v>
      </c>
      <c r="C1989" s="7" t="s">
        <v>978</v>
      </c>
      <c r="D1989" s="7" t="s">
        <v>200</v>
      </c>
      <c r="F1989" s="7" t="s">
        <v>265</v>
      </c>
      <c r="G1989" s="7" t="s">
        <v>1610</v>
      </c>
      <c r="H1989" s="7" t="s">
        <v>1362</v>
      </c>
      <c r="I1989" s="7" t="s">
        <v>1253</v>
      </c>
      <c r="K1989" s="7" t="s">
        <v>245</v>
      </c>
      <c r="L1989" s="11">
        <v>26.39</v>
      </c>
      <c r="M1989" s="11">
        <v>-6097.72</v>
      </c>
      <c r="N1989" s="9">
        <f t="shared" si="63"/>
        <v>26.39</v>
      </c>
    </row>
    <row r="1990" spans="1:14" ht="12.75" hidden="1" customHeight="1" x14ac:dyDescent="0.2">
      <c r="A1990">
        <v>65061</v>
      </c>
      <c r="B1990" s="3" t="s">
        <v>1253</v>
      </c>
      <c r="C1990" s="7" t="s">
        <v>978</v>
      </c>
      <c r="D1990" s="7" t="s">
        <v>200</v>
      </c>
      <c r="F1990" s="7" t="s">
        <v>265</v>
      </c>
      <c r="G1990" s="7" t="s">
        <v>1610</v>
      </c>
      <c r="H1990" s="7" t="s">
        <v>1362</v>
      </c>
      <c r="I1990" s="7" t="s">
        <v>1253</v>
      </c>
      <c r="K1990" s="7" t="s">
        <v>245</v>
      </c>
      <c r="L1990" s="11">
        <v>71</v>
      </c>
      <c r="M1990" s="11">
        <v>-6026.72</v>
      </c>
      <c r="N1990" s="9">
        <f t="shared" ref="N1990:N2021" si="64">IF(A1990&lt;60000,-L1990,+L1990)</f>
        <v>71</v>
      </c>
    </row>
    <row r="1991" spans="1:14" ht="12.75" hidden="1" customHeight="1" x14ac:dyDescent="0.2">
      <c r="A1991">
        <v>65061</v>
      </c>
      <c r="B1991" s="3" t="s">
        <v>1253</v>
      </c>
      <c r="C1991" s="7" t="s">
        <v>978</v>
      </c>
      <c r="D1991" s="7" t="s">
        <v>200</v>
      </c>
      <c r="F1991" s="7" t="s">
        <v>265</v>
      </c>
      <c r="G1991" s="7" t="s">
        <v>1610</v>
      </c>
      <c r="H1991" s="7" t="s">
        <v>1362</v>
      </c>
      <c r="I1991" s="7" t="s">
        <v>1253</v>
      </c>
      <c r="K1991" s="7" t="s">
        <v>245</v>
      </c>
      <c r="L1991" s="11">
        <v>44.33</v>
      </c>
      <c r="M1991" s="11">
        <v>-5982.39</v>
      </c>
      <c r="N1991" s="9">
        <f t="shared" si="64"/>
        <v>44.33</v>
      </c>
    </row>
    <row r="1992" spans="1:14" ht="12.75" hidden="1" customHeight="1" x14ac:dyDescent="0.2">
      <c r="A1992">
        <v>65061</v>
      </c>
      <c r="B1992" s="3" t="s">
        <v>1253</v>
      </c>
      <c r="C1992" s="7" t="s">
        <v>978</v>
      </c>
      <c r="D1992" s="7" t="s">
        <v>200</v>
      </c>
      <c r="F1992" s="7" t="s">
        <v>265</v>
      </c>
      <c r="G1992" s="7" t="s">
        <v>1610</v>
      </c>
      <c r="H1992" s="7" t="s">
        <v>1362</v>
      </c>
      <c r="I1992" s="7" t="s">
        <v>1253</v>
      </c>
      <c r="K1992" s="7" t="s">
        <v>245</v>
      </c>
      <c r="L1992" s="11">
        <v>66.790000000000006</v>
      </c>
      <c r="M1992" s="11">
        <v>-5915.6</v>
      </c>
      <c r="N1992" s="9">
        <f t="shared" si="64"/>
        <v>66.790000000000006</v>
      </c>
    </row>
    <row r="1993" spans="1:14" ht="12.75" hidden="1" customHeight="1" x14ac:dyDescent="0.2">
      <c r="A1993">
        <v>65061</v>
      </c>
      <c r="B1993" s="3" t="s">
        <v>1253</v>
      </c>
      <c r="C1993" s="7" t="s">
        <v>978</v>
      </c>
      <c r="D1993" s="7" t="s">
        <v>200</v>
      </c>
      <c r="F1993" s="7" t="s">
        <v>265</v>
      </c>
      <c r="G1993" s="7" t="s">
        <v>1610</v>
      </c>
      <c r="H1993" s="7" t="s">
        <v>1362</v>
      </c>
      <c r="I1993" s="7" t="s">
        <v>1253</v>
      </c>
      <c r="K1993" s="7" t="s">
        <v>245</v>
      </c>
      <c r="L1993" s="11">
        <v>101.53</v>
      </c>
      <c r="M1993" s="11">
        <v>-5814.07</v>
      </c>
      <c r="N1993" s="9">
        <f t="shared" si="64"/>
        <v>101.53</v>
      </c>
    </row>
    <row r="1994" spans="1:14" ht="12.75" hidden="1" customHeight="1" x14ac:dyDescent="0.2">
      <c r="A1994">
        <v>65061</v>
      </c>
      <c r="B1994" s="3" t="s">
        <v>1253</v>
      </c>
      <c r="C1994" s="7" t="s">
        <v>432</v>
      </c>
      <c r="D1994" s="7" t="s">
        <v>200</v>
      </c>
      <c r="F1994" s="7" t="s">
        <v>265</v>
      </c>
      <c r="G1994" s="7" t="s">
        <v>1610</v>
      </c>
      <c r="H1994" s="7" t="s">
        <v>1362</v>
      </c>
      <c r="I1994" s="7" t="s">
        <v>1253</v>
      </c>
      <c r="K1994" s="7" t="s">
        <v>245</v>
      </c>
      <c r="L1994" s="11">
        <v>72.489999999999995</v>
      </c>
      <c r="M1994" s="11">
        <v>-4656.45</v>
      </c>
      <c r="N1994" s="9">
        <f t="shared" si="64"/>
        <v>72.489999999999995</v>
      </c>
    </row>
    <row r="1995" spans="1:14" ht="12.75" hidden="1" customHeight="1" x14ac:dyDescent="0.2">
      <c r="A1995">
        <v>65061</v>
      </c>
      <c r="B1995" s="3" t="s">
        <v>1253</v>
      </c>
      <c r="C1995" s="7" t="s">
        <v>432</v>
      </c>
      <c r="D1995" s="7" t="s">
        <v>200</v>
      </c>
      <c r="F1995" s="7" t="s">
        <v>548</v>
      </c>
      <c r="G1995" s="7" t="s">
        <v>1610</v>
      </c>
      <c r="H1995" s="7" t="s">
        <v>1362</v>
      </c>
      <c r="I1995" s="7" t="s">
        <v>1253</v>
      </c>
      <c r="K1995" s="7" t="s">
        <v>245</v>
      </c>
      <c r="L1995" s="11">
        <v>63.3</v>
      </c>
      <c r="M1995" s="11">
        <v>-4593.1499999999996</v>
      </c>
      <c r="N1995" s="9">
        <f t="shared" si="64"/>
        <v>63.3</v>
      </c>
    </row>
    <row r="1996" spans="1:14" ht="12.75" hidden="1" customHeight="1" x14ac:dyDescent="0.2">
      <c r="A1996">
        <v>65061</v>
      </c>
      <c r="B1996" s="3" t="s">
        <v>1253</v>
      </c>
      <c r="C1996" s="7" t="s">
        <v>432</v>
      </c>
      <c r="D1996" s="7" t="s">
        <v>200</v>
      </c>
      <c r="F1996" s="7" t="s">
        <v>336</v>
      </c>
      <c r="G1996" s="7" t="s">
        <v>1610</v>
      </c>
      <c r="H1996" s="7" t="s">
        <v>1362</v>
      </c>
      <c r="I1996" s="7" t="s">
        <v>1253</v>
      </c>
      <c r="K1996" s="7" t="s">
        <v>245</v>
      </c>
      <c r="L1996" s="11">
        <v>202.64</v>
      </c>
      <c r="M1996" s="11">
        <v>-4390.51</v>
      </c>
      <c r="N1996" s="9">
        <f t="shared" si="64"/>
        <v>202.64</v>
      </c>
    </row>
    <row r="1997" spans="1:14" ht="12.75" hidden="1" customHeight="1" x14ac:dyDescent="0.2">
      <c r="A1997">
        <v>65061</v>
      </c>
      <c r="B1997" s="3" t="s">
        <v>1253</v>
      </c>
      <c r="C1997" s="7" t="s">
        <v>388</v>
      </c>
      <c r="D1997" s="7" t="s">
        <v>200</v>
      </c>
      <c r="F1997" s="7" t="s">
        <v>577</v>
      </c>
      <c r="G1997" s="7" t="s">
        <v>1610</v>
      </c>
      <c r="H1997" s="7" t="s">
        <v>1362</v>
      </c>
      <c r="I1997" s="7" t="s">
        <v>1253</v>
      </c>
      <c r="K1997" s="7" t="s">
        <v>245</v>
      </c>
      <c r="L1997" s="11">
        <v>35.1</v>
      </c>
      <c r="M1997" s="11">
        <v>1234.54</v>
      </c>
      <c r="N1997" s="9">
        <f t="shared" si="64"/>
        <v>35.1</v>
      </c>
    </row>
    <row r="1998" spans="1:14" ht="12.75" hidden="1" customHeight="1" x14ac:dyDescent="0.2">
      <c r="A1998">
        <v>65061</v>
      </c>
      <c r="B1998" s="3" t="s">
        <v>1253</v>
      </c>
      <c r="C1998" s="7" t="s">
        <v>388</v>
      </c>
      <c r="D1998" s="7" t="s">
        <v>200</v>
      </c>
      <c r="F1998" s="7" t="s">
        <v>973</v>
      </c>
      <c r="G1998" s="7" t="s">
        <v>1610</v>
      </c>
      <c r="H1998" s="7" t="s">
        <v>1362</v>
      </c>
      <c r="I1998" s="7" t="s">
        <v>1253</v>
      </c>
      <c r="K1998" s="7" t="s">
        <v>245</v>
      </c>
      <c r="L1998" s="11">
        <v>6</v>
      </c>
      <c r="M1998" s="11">
        <v>1240.54</v>
      </c>
      <c r="N1998" s="9">
        <f t="shared" si="64"/>
        <v>6</v>
      </c>
    </row>
    <row r="1999" spans="1:14" ht="12.75" hidden="1" customHeight="1" x14ac:dyDescent="0.2">
      <c r="A1999">
        <v>65061</v>
      </c>
      <c r="B1999" s="3" t="s">
        <v>1253</v>
      </c>
      <c r="C1999" s="7" t="s">
        <v>388</v>
      </c>
      <c r="D1999" s="7" t="s">
        <v>200</v>
      </c>
      <c r="G1999" s="7" t="s">
        <v>1610</v>
      </c>
      <c r="H1999" s="7" t="s">
        <v>1362</v>
      </c>
      <c r="I1999" s="7" t="s">
        <v>1253</v>
      </c>
      <c r="K1999" s="7" t="s">
        <v>245</v>
      </c>
      <c r="L1999" s="11">
        <v>229</v>
      </c>
      <c r="M1999" s="11">
        <v>1469.54</v>
      </c>
      <c r="N1999" s="9">
        <f t="shared" si="64"/>
        <v>229</v>
      </c>
    </row>
    <row r="2000" spans="1:14" ht="12.75" hidden="1" customHeight="1" x14ac:dyDescent="0.2">
      <c r="A2000">
        <v>65061</v>
      </c>
      <c r="B2000" s="3" t="s">
        <v>1253</v>
      </c>
      <c r="C2000" s="7" t="s">
        <v>965</v>
      </c>
      <c r="D2000" s="7" t="s">
        <v>200</v>
      </c>
      <c r="F2000" s="7" t="s">
        <v>895</v>
      </c>
      <c r="G2000" s="7" t="s">
        <v>1610</v>
      </c>
      <c r="H2000" s="7" t="s">
        <v>1362</v>
      </c>
      <c r="I2000" s="7" t="s">
        <v>1253</v>
      </c>
      <c r="K2000" s="7" t="s">
        <v>245</v>
      </c>
      <c r="L2000" s="11">
        <v>66.5</v>
      </c>
      <c r="M2000" s="11">
        <v>3732.04</v>
      </c>
      <c r="N2000" s="9">
        <f t="shared" si="64"/>
        <v>66.5</v>
      </c>
    </row>
    <row r="2001" spans="1:14" ht="12.75" hidden="1" customHeight="1" x14ac:dyDescent="0.2">
      <c r="A2001">
        <v>65061</v>
      </c>
      <c r="B2001" s="3" t="s">
        <v>1253</v>
      </c>
      <c r="C2001" s="7" t="s">
        <v>962</v>
      </c>
      <c r="D2001" s="7" t="s">
        <v>200</v>
      </c>
      <c r="G2001" s="7" t="s">
        <v>1610</v>
      </c>
      <c r="H2001" s="7" t="s">
        <v>1362</v>
      </c>
      <c r="I2001" s="7" t="s">
        <v>1253</v>
      </c>
      <c r="K2001" s="7" t="s">
        <v>245</v>
      </c>
      <c r="L2001" s="11">
        <v>29.54</v>
      </c>
      <c r="M2001" s="11">
        <v>5570.48</v>
      </c>
      <c r="N2001" s="9">
        <f t="shared" si="64"/>
        <v>29.54</v>
      </c>
    </row>
    <row r="2002" spans="1:14" ht="12.75" hidden="1" customHeight="1" x14ac:dyDescent="0.2">
      <c r="A2002">
        <v>65061</v>
      </c>
      <c r="B2002" s="3" t="s">
        <v>1253</v>
      </c>
      <c r="C2002" s="7" t="s">
        <v>393</v>
      </c>
      <c r="D2002" s="7" t="s">
        <v>200</v>
      </c>
      <c r="F2002" s="7" t="s">
        <v>241</v>
      </c>
      <c r="G2002" s="7" t="s">
        <v>1610</v>
      </c>
      <c r="H2002" s="7" t="s">
        <v>1362</v>
      </c>
      <c r="I2002" s="7" t="s">
        <v>1253</v>
      </c>
      <c r="K2002" s="7" t="s">
        <v>245</v>
      </c>
      <c r="L2002" s="11">
        <v>44.72</v>
      </c>
      <c r="M2002" s="11">
        <v>5812.67</v>
      </c>
      <c r="N2002" s="9">
        <f t="shared" si="64"/>
        <v>44.72</v>
      </c>
    </row>
    <row r="2003" spans="1:14" ht="12.75" hidden="1" customHeight="1" x14ac:dyDescent="0.2">
      <c r="A2003">
        <v>65061</v>
      </c>
      <c r="B2003" s="3" t="s">
        <v>1253</v>
      </c>
      <c r="C2003" s="7" t="s">
        <v>392</v>
      </c>
      <c r="D2003" s="7" t="s">
        <v>200</v>
      </c>
      <c r="F2003" s="7" t="s">
        <v>220</v>
      </c>
      <c r="G2003" s="7" t="s">
        <v>1610</v>
      </c>
      <c r="H2003" s="7" t="s">
        <v>1362</v>
      </c>
      <c r="I2003" s="7" t="s">
        <v>1253</v>
      </c>
      <c r="K2003" s="7" t="s">
        <v>245</v>
      </c>
      <c r="L2003" s="11">
        <v>14.54</v>
      </c>
      <c r="M2003" s="11">
        <v>9772.9500000000007</v>
      </c>
      <c r="N2003" s="9">
        <f t="shared" si="64"/>
        <v>14.54</v>
      </c>
    </row>
    <row r="2004" spans="1:14" ht="12.75" hidden="1" customHeight="1" x14ac:dyDescent="0.2">
      <c r="A2004">
        <v>65061</v>
      </c>
      <c r="B2004" s="3" t="s">
        <v>1253</v>
      </c>
      <c r="C2004" s="7" t="s">
        <v>392</v>
      </c>
      <c r="D2004" s="7" t="s">
        <v>200</v>
      </c>
      <c r="F2004" s="7" t="s">
        <v>355</v>
      </c>
      <c r="G2004" s="7" t="s">
        <v>1610</v>
      </c>
      <c r="H2004" s="7" t="s">
        <v>1362</v>
      </c>
      <c r="I2004" s="7" t="s">
        <v>1253</v>
      </c>
      <c r="K2004" s="7" t="s">
        <v>245</v>
      </c>
      <c r="L2004" s="11">
        <v>92.65</v>
      </c>
      <c r="M2004" s="11">
        <v>9865.6</v>
      </c>
      <c r="N2004" s="9">
        <f t="shared" si="64"/>
        <v>92.65</v>
      </c>
    </row>
    <row r="2005" spans="1:14" ht="12.75" hidden="1" customHeight="1" x14ac:dyDescent="0.2">
      <c r="A2005">
        <v>65061</v>
      </c>
      <c r="B2005" s="3" t="s">
        <v>1253</v>
      </c>
      <c r="C2005" s="7" t="s">
        <v>384</v>
      </c>
      <c r="D2005" s="7" t="s">
        <v>200</v>
      </c>
      <c r="F2005" s="7" t="s">
        <v>364</v>
      </c>
      <c r="G2005" s="7" t="s">
        <v>1610</v>
      </c>
      <c r="H2005" s="7" t="s">
        <v>1362</v>
      </c>
      <c r="I2005" s="7" t="s">
        <v>1253</v>
      </c>
      <c r="K2005" s="7" t="s">
        <v>245</v>
      </c>
      <c r="L2005" s="11">
        <v>24.21</v>
      </c>
      <c r="M2005" s="11">
        <v>9975.66</v>
      </c>
      <c r="N2005" s="9">
        <f t="shared" si="64"/>
        <v>24.21</v>
      </c>
    </row>
    <row r="2006" spans="1:14" ht="12.75" hidden="1" customHeight="1" x14ac:dyDescent="0.2">
      <c r="A2006">
        <v>65061</v>
      </c>
      <c r="B2006" s="3" t="s">
        <v>1253</v>
      </c>
      <c r="C2006" s="7" t="s">
        <v>384</v>
      </c>
      <c r="D2006" s="7" t="s">
        <v>200</v>
      </c>
      <c r="F2006" s="7" t="s">
        <v>322</v>
      </c>
      <c r="G2006" s="7" t="s">
        <v>1610</v>
      </c>
      <c r="H2006" s="7" t="s">
        <v>1362</v>
      </c>
      <c r="I2006" s="7" t="s">
        <v>1253</v>
      </c>
      <c r="K2006" s="7" t="s">
        <v>245</v>
      </c>
      <c r="L2006" s="11">
        <v>37.01</v>
      </c>
      <c r="M2006" s="11">
        <v>10107.44</v>
      </c>
      <c r="N2006" s="9">
        <f t="shared" si="64"/>
        <v>37.01</v>
      </c>
    </row>
    <row r="2007" spans="1:14" ht="12.75" hidden="1" customHeight="1" x14ac:dyDescent="0.2">
      <c r="A2007">
        <v>65061</v>
      </c>
      <c r="B2007" s="3" t="s">
        <v>1253</v>
      </c>
      <c r="C2007" s="7" t="s">
        <v>384</v>
      </c>
      <c r="D2007" s="7" t="s">
        <v>200</v>
      </c>
      <c r="F2007" s="7" t="s">
        <v>895</v>
      </c>
      <c r="G2007" s="7" t="s">
        <v>1610</v>
      </c>
      <c r="H2007" s="7" t="s">
        <v>1362</v>
      </c>
      <c r="I2007" s="7" t="s">
        <v>1253</v>
      </c>
      <c r="K2007" s="7" t="s">
        <v>245</v>
      </c>
      <c r="L2007" s="11">
        <v>151.38</v>
      </c>
      <c r="M2007" s="11">
        <v>10258.82</v>
      </c>
      <c r="N2007" s="9">
        <f t="shared" si="64"/>
        <v>151.38</v>
      </c>
    </row>
    <row r="2008" spans="1:14" ht="12.75" hidden="1" customHeight="1" x14ac:dyDescent="0.2">
      <c r="A2008">
        <v>65061</v>
      </c>
      <c r="B2008" s="3" t="s">
        <v>1253</v>
      </c>
      <c r="C2008" s="7" t="s">
        <v>384</v>
      </c>
      <c r="D2008" s="7" t="s">
        <v>242</v>
      </c>
      <c r="F2008" s="7" t="s">
        <v>364</v>
      </c>
      <c r="G2008" s="7" t="s">
        <v>1610</v>
      </c>
      <c r="H2008" s="7" t="s">
        <v>1362</v>
      </c>
      <c r="I2008" s="7" t="s">
        <v>1253</v>
      </c>
      <c r="K2008" s="7" t="s">
        <v>245</v>
      </c>
      <c r="L2008" s="11">
        <v>-12.43</v>
      </c>
      <c r="M2008" s="11">
        <v>10367.93</v>
      </c>
      <c r="N2008" s="9">
        <f t="shared" si="64"/>
        <v>-12.43</v>
      </c>
    </row>
    <row r="2009" spans="1:14" ht="12.75" hidden="1" customHeight="1" x14ac:dyDescent="0.2">
      <c r="A2009">
        <v>65061</v>
      </c>
      <c r="B2009" s="3" t="s">
        <v>1253</v>
      </c>
      <c r="C2009" s="7" t="s">
        <v>384</v>
      </c>
      <c r="D2009" s="7" t="s">
        <v>200</v>
      </c>
      <c r="F2009" s="7" t="s">
        <v>345</v>
      </c>
      <c r="G2009" s="7" t="s">
        <v>1610</v>
      </c>
      <c r="H2009" s="7" t="s">
        <v>1362</v>
      </c>
      <c r="I2009" s="7" t="s">
        <v>1253</v>
      </c>
      <c r="K2009" s="7" t="s">
        <v>245</v>
      </c>
      <c r="L2009" s="11">
        <v>374.87</v>
      </c>
      <c r="M2009" s="11">
        <v>12749.56</v>
      </c>
      <c r="N2009" s="9">
        <f t="shared" si="64"/>
        <v>374.87</v>
      </c>
    </row>
    <row r="2010" spans="1:14" ht="12.75" hidden="1" customHeight="1" x14ac:dyDescent="0.2">
      <c r="A2010">
        <v>65061</v>
      </c>
      <c r="B2010" s="3" t="s">
        <v>1253</v>
      </c>
      <c r="C2010" s="7" t="s">
        <v>384</v>
      </c>
      <c r="D2010" s="7" t="s">
        <v>200</v>
      </c>
      <c r="F2010" s="7" t="s">
        <v>345</v>
      </c>
      <c r="G2010" s="7" t="s">
        <v>1610</v>
      </c>
      <c r="H2010" s="7" t="s">
        <v>1362</v>
      </c>
      <c r="I2010" s="7" t="s">
        <v>1253</v>
      </c>
      <c r="K2010" s="7" t="s">
        <v>245</v>
      </c>
      <c r="L2010" s="11">
        <v>8.6300000000000008</v>
      </c>
      <c r="M2010" s="11">
        <v>12758.19</v>
      </c>
      <c r="N2010" s="9">
        <f t="shared" si="64"/>
        <v>8.6300000000000008</v>
      </c>
    </row>
    <row r="2011" spans="1:14" ht="12.75" hidden="1" customHeight="1" x14ac:dyDescent="0.2">
      <c r="A2011">
        <v>65061</v>
      </c>
      <c r="B2011" s="3" t="s">
        <v>1253</v>
      </c>
      <c r="C2011" s="7" t="s">
        <v>952</v>
      </c>
      <c r="D2011" s="7" t="s">
        <v>200</v>
      </c>
      <c r="F2011" s="7" t="s">
        <v>606</v>
      </c>
      <c r="G2011" s="7" t="s">
        <v>1610</v>
      </c>
      <c r="H2011" s="7" t="s">
        <v>1362</v>
      </c>
      <c r="I2011" s="7" t="s">
        <v>1253</v>
      </c>
      <c r="K2011" s="7" t="s">
        <v>245</v>
      </c>
      <c r="L2011" s="11">
        <v>114.08</v>
      </c>
      <c r="M2011" s="11">
        <v>14905.4</v>
      </c>
      <c r="N2011" s="9">
        <f t="shared" si="64"/>
        <v>114.08</v>
      </c>
    </row>
    <row r="2012" spans="1:14" ht="12.75" hidden="1" customHeight="1" x14ac:dyDescent="0.2">
      <c r="A2012">
        <v>65061</v>
      </c>
      <c r="B2012" s="3" t="s">
        <v>1253</v>
      </c>
      <c r="C2012" s="7" t="s">
        <v>379</v>
      </c>
      <c r="D2012" s="7" t="s">
        <v>200</v>
      </c>
      <c r="E2012" s="7">
        <v>1050</v>
      </c>
      <c r="F2012" s="7" t="s">
        <v>929</v>
      </c>
      <c r="G2012" s="7" t="s">
        <v>1610</v>
      </c>
      <c r="H2012" s="7" t="s">
        <v>1362</v>
      </c>
      <c r="I2012" s="7" t="s">
        <v>1253</v>
      </c>
      <c r="K2012" s="7" t="s">
        <v>245</v>
      </c>
      <c r="L2012" s="11">
        <v>500</v>
      </c>
      <c r="M2012" s="11">
        <v>27863.38</v>
      </c>
      <c r="N2012" s="9">
        <f t="shared" si="64"/>
        <v>500</v>
      </c>
    </row>
    <row r="2013" spans="1:14" ht="12.75" hidden="1" customHeight="1" x14ac:dyDescent="0.2">
      <c r="A2013">
        <v>65061</v>
      </c>
      <c r="B2013" s="3" t="s">
        <v>1253</v>
      </c>
      <c r="C2013" s="7" t="s">
        <v>334</v>
      </c>
      <c r="D2013" s="7" t="s">
        <v>200</v>
      </c>
      <c r="E2013" s="7">
        <v>1000</v>
      </c>
      <c r="F2013" s="7" t="s">
        <v>876</v>
      </c>
      <c r="G2013" s="7" t="s">
        <v>1610</v>
      </c>
      <c r="H2013" s="7" t="s">
        <v>1362</v>
      </c>
      <c r="I2013" s="7" t="s">
        <v>1253</v>
      </c>
      <c r="J2013" s="7" t="s">
        <v>875</v>
      </c>
      <c r="K2013" s="7" t="s">
        <v>874</v>
      </c>
      <c r="L2013" s="11">
        <v>3315.2</v>
      </c>
      <c r="M2013" s="11">
        <v>61095.360000000001</v>
      </c>
      <c r="N2013" s="9">
        <f t="shared" si="64"/>
        <v>3315.2</v>
      </c>
    </row>
    <row r="2014" spans="1:14" ht="12.75" hidden="1" customHeight="1" x14ac:dyDescent="0.2">
      <c r="A2014">
        <v>65061</v>
      </c>
      <c r="B2014" s="3" t="s">
        <v>1253</v>
      </c>
      <c r="C2014" s="7" t="s">
        <v>406</v>
      </c>
      <c r="D2014" s="7" t="s">
        <v>200</v>
      </c>
      <c r="E2014" s="7">
        <v>1066</v>
      </c>
      <c r="F2014" s="7" t="s">
        <v>818</v>
      </c>
      <c r="G2014" s="7" t="s">
        <v>1610</v>
      </c>
      <c r="H2014" s="7" t="s">
        <v>1362</v>
      </c>
      <c r="I2014" s="7" t="s">
        <v>1253</v>
      </c>
      <c r="K2014" s="7" t="s">
        <v>245</v>
      </c>
      <c r="L2014" s="11">
        <v>200</v>
      </c>
      <c r="M2014" s="11">
        <v>82653.539999999994</v>
      </c>
      <c r="N2014" s="9">
        <f t="shared" si="64"/>
        <v>200</v>
      </c>
    </row>
    <row r="2015" spans="1:14" ht="12.75" hidden="1" customHeight="1" x14ac:dyDescent="0.2">
      <c r="A2015">
        <v>65061</v>
      </c>
      <c r="B2015" s="3" t="s">
        <v>1253</v>
      </c>
      <c r="C2015" s="7" t="s">
        <v>249</v>
      </c>
      <c r="D2015" s="7" t="s">
        <v>200</v>
      </c>
      <c r="F2015" s="7" t="s">
        <v>220</v>
      </c>
      <c r="G2015" s="7" t="s">
        <v>1610</v>
      </c>
      <c r="H2015" s="7" t="s">
        <v>1362</v>
      </c>
      <c r="I2015" s="7" t="s">
        <v>1253</v>
      </c>
      <c r="K2015" s="7" t="s">
        <v>245</v>
      </c>
      <c r="L2015" s="11">
        <v>32.96</v>
      </c>
      <c r="M2015" s="11">
        <v>114555.42</v>
      </c>
      <c r="N2015" s="9">
        <f t="shared" si="64"/>
        <v>32.96</v>
      </c>
    </row>
    <row r="2016" spans="1:14" ht="12.75" hidden="1" customHeight="1" x14ac:dyDescent="0.2">
      <c r="A2016">
        <v>65061</v>
      </c>
      <c r="B2016" s="3" t="s">
        <v>1253</v>
      </c>
      <c r="C2016" s="7" t="s">
        <v>749</v>
      </c>
      <c r="D2016" s="7" t="s">
        <v>200</v>
      </c>
      <c r="E2016" s="7">
        <v>1056</v>
      </c>
      <c r="F2016" s="7" t="s">
        <v>751</v>
      </c>
      <c r="G2016" s="7" t="s">
        <v>1610</v>
      </c>
      <c r="H2016" s="7" t="s">
        <v>1362</v>
      </c>
      <c r="I2016" s="7" t="s">
        <v>1253</v>
      </c>
      <c r="K2016" s="7" t="s">
        <v>245</v>
      </c>
      <c r="L2016" s="11">
        <v>64.22</v>
      </c>
      <c r="M2016" s="11">
        <v>124249.56</v>
      </c>
      <c r="N2016" s="9">
        <f t="shared" si="64"/>
        <v>64.22</v>
      </c>
    </row>
    <row r="2017" spans="1:14" ht="12.75" hidden="1" customHeight="1" x14ac:dyDescent="0.2">
      <c r="A2017">
        <v>65061</v>
      </c>
      <c r="B2017" s="3" t="s">
        <v>1253</v>
      </c>
      <c r="C2017" s="7" t="s">
        <v>493</v>
      </c>
      <c r="D2017" s="7" t="s">
        <v>221</v>
      </c>
      <c r="F2017" s="7" t="s">
        <v>606</v>
      </c>
      <c r="G2017" s="7" t="s">
        <v>1610</v>
      </c>
      <c r="H2017" s="7" t="s">
        <v>1362</v>
      </c>
      <c r="I2017" s="7" t="s">
        <v>1253</v>
      </c>
      <c r="K2017" s="7" t="s">
        <v>245</v>
      </c>
      <c r="L2017" s="11">
        <v>132.72</v>
      </c>
      <c r="M2017" s="11">
        <v>144295.35</v>
      </c>
      <c r="N2017" s="9">
        <f t="shared" si="64"/>
        <v>132.72</v>
      </c>
    </row>
    <row r="2018" spans="1:14" ht="12.75" hidden="1" customHeight="1" x14ac:dyDescent="0.2">
      <c r="A2018">
        <v>65062</v>
      </c>
      <c r="B2018" s="3" t="s">
        <v>1254</v>
      </c>
      <c r="C2018" s="7" t="s">
        <v>535</v>
      </c>
      <c r="D2018" s="7" t="s">
        <v>183</v>
      </c>
      <c r="E2018" s="7">
        <v>463</v>
      </c>
      <c r="G2018" s="7" t="s">
        <v>1610</v>
      </c>
      <c r="H2018" s="7" t="s">
        <v>1362</v>
      </c>
      <c r="I2018" s="7" t="s">
        <v>1254</v>
      </c>
      <c r="J2018" s="7" t="s">
        <v>534</v>
      </c>
      <c r="K2018" s="7" t="s">
        <v>180</v>
      </c>
      <c r="L2018" s="11">
        <v>8.32</v>
      </c>
      <c r="M2018" s="11">
        <v>4109.2</v>
      </c>
      <c r="N2018" s="9">
        <f t="shared" si="64"/>
        <v>8.32</v>
      </c>
    </row>
    <row r="2019" spans="1:14" ht="12.75" hidden="1" customHeight="1" x14ac:dyDescent="0.2">
      <c r="A2019">
        <v>65062</v>
      </c>
      <c r="B2019" s="3" t="s">
        <v>1254</v>
      </c>
      <c r="C2019" s="7" t="s">
        <v>535</v>
      </c>
      <c r="D2019" s="7" t="s">
        <v>183</v>
      </c>
      <c r="E2019" s="7">
        <v>463</v>
      </c>
      <c r="G2019" s="7" t="s">
        <v>1610</v>
      </c>
      <c r="H2019" s="7" t="s">
        <v>1362</v>
      </c>
      <c r="I2019" s="7" t="s">
        <v>1254</v>
      </c>
      <c r="J2019" s="7" t="s">
        <v>534</v>
      </c>
      <c r="K2019" s="7" t="s">
        <v>180</v>
      </c>
      <c r="L2019" s="11">
        <v>64.64</v>
      </c>
      <c r="M2019" s="11">
        <v>4173.84</v>
      </c>
      <c r="N2019" s="9">
        <f t="shared" si="64"/>
        <v>64.64</v>
      </c>
    </row>
    <row r="2020" spans="1:14" ht="12.75" hidden="1" customHeight="1" x14ac:dyDescent="0.2">
      <c r="A2020">
        <v>65062</v>
      </c>
      <c r="B2020" s="3" t="s">
        <v>1254</v>
      </c>
      <c r="C2020" s="7" t="s">
        <v>535</v>
      </c>
      <c r="D2020" s="7" t="s">
        <v>183</v>
      </c>
      <c r="E2020" s="7">
        <v>463</v>
      </c>
      <c r="G2020" s="7" t="s">
        <v>1610</v>
      </c>
      <c r="H2020" s="7" t="s">
        <v>1362</v>
      </c>
      <c r="I2020" s="7" t="s">
        <v>1254</v>
      </c>
      <c r="J2020" s="7" t="s">
        <v>534</v>
      </c>
      <c r="K2020" s="7" t="s">
        <v>180</v>
      </c>
      <c r="L2020" s="11">
        <v>61.08</v>
      </c>
      <c r="M2020" s="11">
        <v>4234.92</v>
      </c>
      <c r="N2020" s="9">
        <f t="shared" si="64"/>
        <v>61.08</v>
      </c>
    </row>
    <row r="2021" spans="1:14" ht="12.75" hidden="1" customHeight="1" x14ac:dyDescent="0.2">
      <c r="A2021">
        <v>65090</v>
      </c>
      <c r="B2021" s="3" t="s">
        <v>1258</v>
      </c>
      <c r="C2021" s="7" t="s">
        <v>437</v>
      </c>
      <c r="D2021" s="7" t="s">
        <v>200</v>
      </c>
      <c r="F2021" s="7" t="s">
        <v>436</v>
      </c>
      <c r="G2021" s="7" t="s">
        <v>1610</v>
      </c>
      <c r="H2021" s="7" t="s">
        <v>1362</v>
      </c>
      <c r="I2021" s="7" t="s">
        <v>1258</v>
      </c>
      <c r="K2021" s="7" t="s">
        <v>245</v>
      </c>
      <c r="L2021" s="11">
        <v>32.99</v>
      </c>
      <c r="M2021" s="11">
        <v>32.99</v>
      </c>
      <c r="N2021" s="9">
        <f t="shared" si="64"/>
        <v>32.99</v>
      </c>
    </row>
    <row r="2022" spans="1:14" ht="12.75" hidden="1" customHeight="1" x14ac:dyDescent="0.2">
      <c r="A2022">
        <v>65090</v>
      </c>
      <c r="B2022" s="3" t="s">
        <v>1258</v>
      </c>
      <c r="C2022" s="7" t="s">
        <v>383</v>
      </c>
      <c r="D2022" s="7" t="s">
        <v>200</v>
      </c>
      <c r="F2022" s="7" t="s">
        <v>436</v>
      </c>
      <c r="G2022" s="7" t="s">
        <v>1610</v>
      </c>
      <c r="H2022" s="7" t="s">
        <v>1362</v>
      </c>
      <c r="I2022" s="7" t="s">
        <v>1258</v>
      </c>
      <c r="K2022" s="7" t="s">
        <v>245</v>
      </c>
      <c r="L2022" s="11">
        <v>71.5</v>
      </c>
      <c r="M2022" s="11">
        <v>104.49</v>
      </c>
      <c r="N2022" s="9">
        <f t="shared" ref="N2022:N2053" si="65">IF(A2022&lt;60000,-L2022,+L2022)</f>
        <v>71.5</v>
      </c>
    </row>
    <row r="2023" spans="1:14" ht="12.75" hidden="1" customHeight="1" x14ac:dyDescent="0.2">
      <c r="A2023">
        <v>65090</v>
      </c>
      <c r="B2023" s="3" t="s">
        <v>1258</v>
      </c>
      <c r="C2023" s="7" t="s">
        <v>249</v>
      </c>
      <c r="D2023" s="7" t="s">
        <v>200</v>
      </c>
      <c r="E2023" s="7">
        <v>1071</v>
      </c>
      <c r="F2023" s="7" t="s">
        <v>248</v>
      </c>
      <c r="G2023" s="7" t="s">
        <v>1610</v>
      </c>
      <c r="H2023" s="7" t="s">
        <v>1362</v>
      </c>
      <c r="I2023" s="7" t="s">
        <v>1258</v>
      </c>
      <c r="K2023" s="7" t="s">
        <v>245</v>
      </c>
      <c r="L2023" s="11">
        <v>275</v>
      </c>
      <c r="M2023" s="11">
        <v>508.33</v>
      </c>
      <c r="N2023" s="9">
        <f t="shared" si="65"/>
        <v>275</v>
      </c>
    </row>
    <row r="2024" spans="1:14" ht="12.75" hidden="1" customHeight="1" x14ac:dyDescent="0.2">
      <c r="A2024">
        <v>67001</v>
      </c>
      <c r="B2024" s="3" t="s">
        <v>1268</v>
      </c>
      <c r="C2024" s="7" t="s">
        <v>388</v>
      </c>
      <c r="D2024" s="7" t="s">
        <v>200</v>
      </c>
      <c r="F2024" s="7" t="s">
        <v>387</v>
      </c>
      <c r="G2024" s="7" t="s">
        <v>1610</v>
      </c>
      <c r="H2024" s="70" t="s">
        <v>2129</v>
      </c>
      <c r="I2024" s="7" t="s">
        <v>1268</v>
      </c>
      <c r="K2024" s="7" t="s">
        <v>245</v>
      </c>
      <c r="L2024" s="11">
        <v>999.96</v>
      </c>
      <c r="M2024" s="11">
        <v>-1290.02</v>
      </c>
      <c r="N2024" s="9">
        <f t="shared" si="65"/>
        <v>999.96</v>
      </c>
    </row>
    <row r="2025" spans="1:14" ht="12.75" hidden="1" customHeight="1" x14ac:dyDescent="0.2">
      <c r="A2025">
        <v>67001</v>
      </c>
      <c r="B2025" s="3" t="s">
        <v>1268</v>
      </c>
      <c r="C2025" s="7" t="s">
        <v>384</v>
      </c>
      <c r="D2025" s="7" t="s">
        <v>200</v>
      </c>
      <c r="F2025" s="7" t="s">
        <v>220</v>
      </c>
      <c r="G2025" s="7" t="s">
        <v>1610</v>
      </c>
      <c r="H2025" s="70" t="s">
        <v>2129</v>
      </c>
      <c r="I2025" s="7" t="s">
        <v>1268</v>
      </c>
      <c r="J2025" s="7" t="s">
        <v>385</v>
      </c>
      <c r="K2025" s="7" t="s">
        <v>245</v>
      </c>
      <c r="L2025" s="11">
        <v>276</v>
      </c>
      <c r="M2025" s="11">
        <v>-185.86</v>
      </c>
      <c r="N2025" s="9">
        <f t="shared" si="65"/>
        <v>276</v>
      </c>
    </row>
    <row r="2026" spans="1:14" ht="12.75" hidden="1" customHeight="1" x14ac:dyDescent="0.2">
      <c r="A2026">
        <v>67001</v>
      </c>
      <c r="B2026" s="3" t="s">
        <v>1268</v>
      </c>
      <c r="C2026" s="7" t="s">
        <v>384</v>
      </c>
      <c r="D2026" s="7" t="s">
        <v>200</v>
      </c>
      <c r="E2026" s="7">
        <v>1049</v>
      </c>
      <c r="F2026" s="7" t="s">
        <v>371</v>
      </c>
      <c r="G2026" s="7" t="s">
        <v>1610</v>
      </c>
      <c r="H2026" s="70" t="s">
        <v>2129</v>
      </c>
      <c r="I2026" s="7" t="s">
        <v>1268</v>
      </c>
      <c r="K2026" s="7" t="s">
        <v>245</v>
      </c>
      <c r="L2026" s="11">
        <v>480.8</v>
      </c>
      <c r="M2026" s="11">
        <v>294.94</v>
      </c>
      <c r="N2026" s="9">
        <f t="shared" si="65"/>
        <v>480.8</v>
      </c>
    </row>
    <row r="2027" spans="1:14" ht="12.75" hidden="1" customHeight="1" x14ac:dyDescent="0.2">
      <c r="A2027">
        <v>67001</v>
      </c>
      <c r="B2027" s="3" t="s">
        <v>1268</v>
      </c>
      <c r="C2027" s="7" t="s">
        <v>383</v>
      </c>
      <c r="D2027" s="7" t="s">
        <v>200</v>
      </c>
      <c r="E2027" s="7">
        <v>1048</v>
      </c>
      <c r="F2027" s="7" t="s">
        <v>333</v>
      </c>
      <c r="G2027" s="7" t="s">
        <v>1610</v>
      </c>
      <c r="H2027" s="70" t="s">
        <v>2129</v>
      </c>
      <c r="I2027" s="7" t="s">
        <v>1268</v>
      </c>
      <c r="J2027" s="7" t="s">
        <v>382</v>
      </c>
      <c r="K2027" s="7" t="s">
        <v>245</v>
      </c>
      <c r="L2027" s="11">
        <v>2000</v>
      </c>
      <c r="M2027" s="11">
        <v>2294.94</v>
      </c>
      <c r="N2027" s="9">
        <f t="shared" si="65"/>
        <v>2000</v>
      </c>
    </row>
    <row r="2028" spans="1:14" ht="12.75" hidden="1" customHeight="1" x14ac:dyDescent="0.2">
      <c r="A2028">
        <v>67001</v>
      </c>
      <c r="B2028" s="3" t="s">
        <v>1268</v>
      </c>
      <c r="C2028" s="7" t="s">
        <v>379</v>
      </c>
      <c r="D2028" s="7" t="s">
        <v>200</v>
      </c>
      <c r="E2028" s="7">
        <v>1051</v>
      </c>
      <c r="F2028" s="7" t="s">
        <v>248</v>
      </c>
      <c r="G2028" s="7" t="s">
        <v>1610</v>
      </c>
      <c r="H2028" s="70" t="s">
        <v>2129</v>
      </c>
      <c r="I2028" s="7" t="s">
        <v>1268</v>
      </c>
      <c r="J2028" s="7" t="s">
        <v>378</v>
      </c>
      <c r="K2028" s="7" t="s">
        <v>245</v>
      </c>
      <c r="L2028" s="11">
        <v>750</v>
      </c>
      <c r="M2028" s="11">
        <v>3092.73</v>
      </c>
      <c r="N2028" s="9">
        <f t="shared" si="65"/>
        <v>750</v>
      </c>
    </row>
    <row r="2029" spans="1:14" ht="12.75" hidden="1" customHeight="1" x14ac:dyDescent="0.2">
      <c r="A2029">
        <v>67001</v>
      </c>
      <c r="B2029" s="3" t="s">
        <v>1268</v>
      </c>
      <c r="C2029" s="7" t="s">
        <v>377</v>
      </c>
      <c r="D2029" s="7" t="s">
        <v>200</v>
      </c>
      <c r="F2029" s="7" t="s">
        <v>220</v>
      </c>
      <c r="G2029" s="7" t="s">
        <v>1610</v>
      </c>
      <c r="H2029" s="70" t="s">
        <v>2129</v>
      </c>
      <c r="I2029" s="7" t="s">
        <v>1268</v>
      </c>
      <c r="K2029" s="7" t="s">
        <v>245</v>
      </c>
      <c r="L2029" s="11">
        <v>147.47999999999999</v>
      </c>
      <c r="M2029" s="11">
        <v>3240.21</v>
      </c>
      <c r="N2029" s="9">
        <f t="shared" si="65"/>
        <v>147.47999999999999</v>
      </c>
    </row>
    <row r="2030" spans="1:14" ht="12.75" hidden="1" customHeight="1" x14ac:dyDescent="0.2">
      <c r="A2030">
        <v>67001</v>
      </c>
      <c r="B2030" s="3" t="s">
        <v>1268</v>
      </c>
      <c r="C2030" s="7" t="s">
        <v>372</v>
      </c>
      <c r="D2030" s="7" t="s">
        <v>200</v>
      </c>
      <c r="F2030" s="7" t="s">
        <v>371</v>
      </c>
      <c r="G2030" s="7" t="s">
        <v>1610</v>
      </c>
      <c r="H2030" s="70" t="s">
        <v>2129</v>
      </c>
      <c r="I2030" s="7" t="s">
        <v>1268</v>
      </c>
      <c r="J2030" s="7" t="s">
        <v>370</v>
      </c>
      <c r="K2030" s="7" t="s">
        <v>245</v>
      </c>
      <c r="L2030" s="11">
        <v>364.8</v>
      </c>
      <c r="M2030" s="11">
        <v>5907.26</v>
      </c>
      <c r="N2030" s="9">
        <f t="shared" si="65"/>
        <v>364.8</v>
      </c>
    </row>
    <row r="2031" spans="1:14" ht="12.75" hidden="1" customHeight="1" x14ac:dyDescent="0.2">
      <c r="A2031">
        <v>67001</v>
      </c>
      <c r="B2031" s="3" t="s">
        <v>1268</v>
      </c>
      <c r="C2031" s="7" t="s">
        <v>367</v>
      </c>
      <c r="D2031" s="7" t="s">
        <v>200</v>
      </c>
      <c r="F2031" s="7" t="s">
        <v>220</v>
      </c>
      <c r="G2031" s="7" t="s">
        <v>1610</v>
      </c>
      <c r="H2031" s="70" t="s">
        <v>2129</v>
      </c>
      <c r="I2031" s="7" t="s">
        <v>1268</v>
      </c>
      <c r="K2031" s="7" t="s">
        <v>245</v>
      </c>
      <c r="L2031" s="11">
        <v>59.18</v>
      </c>
      <c r="M2031" s="11">
        <v>6430.94</v>
      </c>
      <c r="N2031" s="9">
        <f t="shared" si="65"/>
        <v>59.18</v>
      </c>
    </row>
    <row r="2032" spans="1:14" ht="12.75" hidden="1" customHeight="1" x14ac:dyDescent="0.2">
      <c r="A2032">
        <v>67001</v>
      </c>
      <c r="B2032" s="3" t="s">
        <v>1268</v>
      </c>
      <c r="C2032" s="7" t="s">
        <v>361</v>
      </c>
      <c r="D2032" s="7" t="s">
        <v>200</v>
      </c>
      <c r="F2032" s="7" t="s">
        <v>366</v>
      </c>
      <c r="G2032" s="7" t="s">
        <v>1610</v>
      </c>
      <c r="H2032" s="70" t="s">
        <v>2129</v>
      </c>
      <c r="I2032" s="7" t="s">
        <v>1268</v>
      </c>
      <c r="J2032" s="7" t="s">
        <v>365</v>
      </c>
      <c r="K2032" s="7" t="s">
        <v>245</v>
      </c>
      <c r="L2032" s="11">
        <v>275.8</v>
      </c>
      <c r="M2032" s="11">
        <v>6706.74</v>
      </c>
      <c r="N2032" s="9">
        <f t="shared" si="65"/>
        <v>275.8</v>
      </c>
    </row>
    <row r="2033" spans="1:14" ht="12.75" hidden="1" customHeight="1" x14ac:dyDescent="0.2">
      <c r="A2033">
        <v>67001</v>
      </c>
      <c r="B2033" s="3" t="s">
        <v>1268</v>
      </c>
      <c r="C2033" s="7" t="s">
        <v>361</v>
      </c>
      <c r="D2033" s="7" t="s">
        <v>200</v>
      </c>
      <c r="F2033" s="7" t="s">
        <v>220</v>
      </c>
      <c r="G2033" s="7" t="s">
        <v>1610</v>
      </c>
      <c r="H2033" s="70" t="s">
        <v>2129</v>
      </c>
      <c r="I2033" s="7" t="s">
        <v>1268</v>
      </c>
      <c r="K2033" s="7" t="s">
        <v>245</v>
      </c>
      <c r="L2033" s="11">
        <v>8.44</v>
      </c>
      <c r="M2033" s="11">
        <v>6715.18</v>
      </c>
      <c r="N2033" s="9">
        <f t="shared" si="65"/>
        <v>8.44</v>
      </c>
    </row>
    <row r="2034" spans="1:14" ht="12.75" hidden="1" customHeight="1" x14ac:dyDescent="0.2">
      <c r="A2034">
        <v>67001</v>
      </c>
      <c r="B2034" s="3" t="s">
        <v>1268</v>
      </c>
      <c r="C2034" s="7" t="s">
        <v>361</v>
      </c>
      <c r="D2034" s="7" t="s">
        <v>200</v>
      </c>
      <c r="F2034" s="7" t="s">
        <v>364</v>
      </c>
      <c r="G2034" s="7" t="s">
        <v>1610</v>
      </c>
      <c r="H2034" s="70" t="s">
        <v>2129</v>
      </c>
      <c r="I2034" s="7" t="s">
        <v>1268</v>
      </c>
      <c r="K2034" s="7" t="s">
        <v>245</v>
      </c>
      <c r="L2034" s="11">
        <v>11.69</v>
      </c>
      <c r="M2034" s="11">
        <v>6726.87</v>
      </c>
      <c r="N2034" s="9">
        <f t="shared" si="65"/>
        <v>11.69</v>
      </c>
    </row>
    <row r="2035" spans="1:14" ht="12.75" hidden="1" customHeight="1" x14ac:dyDescent="0.2">
      <c r="A2035">
        <v>67001</v>
      </c>
      <c r="B2035" s="3" t="s">
        <v>1268</v>
      </c>
      <c r="C2035" s="7" t="s">
        <v>361</v>
      </c>
      <c r="D2035" s="7" t="s">
        <v>200</v>
      </c>
      <c r="F2035" s="7" t="s">
        <v>364</v>
      </c>
      <c r="G2035" s="7" t="s">
        <v>1610</v>
      </c>
      <c r="H2035" s="70" t="s">
        <v>2129</v>
      </c>
      <c r="I2035" s="7" t="s">
        <v>1268</v>
      </c>
      <c r="K2035" s="7" t="s">
        <v>245</v>
      </c>
      <c r="L2035" s="11">
        <v>10.8</v>
      </c>
      <c r="M2035" s="11">
        <v>6737.67</v>
      </c>
      <c r="N2035" s="9">
        <f t="shared" si="65"/>
        <v>10.8</v>
      </c>
    </row>
    <row r="2036" spans="1:14" ht="12.75" hidden="1" customHeight="1" x14ac:dyDescent="0.2">
      <c r="A2036">
        <v>67001</v>
      </c>
      <c r="B2036" s="3" t="s">
        <v>1268</v>
      </c>
      <c r="C2036" s="7" t="s">
        <v>361</v>
      </c>
      <c r="D2036" s="7" t="s">
        <v>200</v>
      </c>
      <c r="F2036" s="7" t="s">
        <v>310</v>
      </c>
      <c r="G2036" s="7" t="s">
        <v>1610</v>
      </c>
      <c r="H2036" s="70" t="s">
        <v>2129</v>
      </c>
      <c r="I2036" s="7" t="s">
        <v>1268</v>
      </c>
      <c r="J2036" s="7" t="s">
        <v>363</v>
      </c>
      <c r="K2036" s="7" t="s">
        <v>245</v>
      </c>
      <c r="L2036" s="11">
        <v>1228.0999999999999</v>
      </c>
      <c r="M2036" s="11">
        <v>7965.77</v>
      </c>
      <c r="N2036" s="9">
        <f t="shared" si="65"/>
        <v>1228.0999999999999</v>
      </c>
    </row>
    <row r="2037" spans="1:14" ht="12.75" hidden="1" customHeight="1" x14ac:dyDescent="0.2">
      <c r="A2037">
        <v>67001</v>
      </c>
      <c r="B2037" s="3" t="s">
        <v>1268</v>
      </c>
      <c r="C2037" s="7" t="s">
        <v>361</v>
      </c>
      <c r="D2037" s="7" t="s">
        <v>200</v>
      </c>
      <c r="F2037" s="7" t="s">
        <v>362</v>
      </c>
      <c r="G2037" s="7" t="s">
        <v>1610</v>
      </c>
      <c r="H2037" s="70" t="s">
        <v>2129</v>
      </c>
      <c r="I2037" s="7" t="s">
        <v>1268</v>
      </c>
      <c r="K2037" s="7" t="s">
        <v>245</v>
      </c>
      <c r="L2037" s="11">
        <v>75</v>
      </c>
      <c r="M2037" s="11">
        <v>8040.77</v>
      </c>
      <c r="N2037" s="9">
        <f t="shared" si="65"/>
        <v>75</v>
      </c>
    </row>
    <row r="2038" spans="1:14" ht="12.75" hidden="1" customHeight="1" x14ac:dyDescent="0.2">
      <c r="A2038">
        <v>67001</v>
      </c>
      <c r="B2038" s="3" t="s">
        <v>1268</v>
      </c>
      <c r="C2038" s="7" t="s">
        <v>361</v>
      </c>
      <c r="D2038" s="7" t="s">
        <v>200</v>
      </c>
      <c r="F2038" s="7" t="s">
        <v>360</v>
      </c>
      <c r="G2038" s="7" t="s">
        <v>1610</v>
      </c>
      <c r="H2038" s="70" t="s">
        <v>2129</v>
      </c>
      <c r="I2038" s="7" t="s">
        <v>1268</v>
      </c>
      <c r="K2038" s="7" t="s">
        <v>245</v>
      </c>
      <c r="L2038" s="11">
        <v>113.7</v>
      </c>
      <c r="M2038" s="11">
        <v>8154.47</v>
      </c>
      <c r="N2038" s="9">
        <f t="shared" si="65"/>
        <v>113.7</v>
      </c>
    </row>
    <row r="2039" spans="1:14" ht="12.75" hidden="1" customHeight="1" x14ac:dyDescent="0.2">
      <c r="A2039">
        <v>67001</v>
      </c>
      <c r="B2039" s="3" t="s">
        <v>1268</v>
      </c>
      <c r="C2039" s="7" t="s">
        <v>359</v>
      </c>
      <c r="D2039" s="7" t="s">
        <v>200</v>
      </c>
      <c r="E2039" s="7">
        <v>1055</v>
      </c>
      <c r="F2039" s="7" t="s">
        <v>314</v>
      </c>
      <c r="G2039" s="7" t="s">
        <v>1610</v>
      </c>
      <c r="H2039" s="70" t="s">
        <v>2129</v>
      </c>
      <c r="I2039" s="7" t="s">
        <v>1268</v>
      </c>
      <c r="K2039" s="7" t="s">
        <v>245</v>
      </c>
      <c r="L2039" s="11">
        <v>414.93</v>
      </c>
      <c r="M2039" s="11">
        <v>8569.4</v>
      </c>
      <c r="N2039" s="9">
        <f t="shared" si="65"/>
        <v>414.93</v>
      </c>
    </row>
    <row r="2040" spans="1:14" ht="12.75" hidden="1" customHeight="1" x14ac:dyDescent="0.2">
      <c r="A2040">
        <v>67001</v>
      </c>
      <c r="B2040" s="3" t="s">
        <v>1268</v>
      </c>
      <c r="C2040" s="7" t="s">
        <v>356</v>
      </c>
      <c r="D2040" s="7" t="s">
        <v>200</v>
      </c>
      <c r="F2040" s="7" t="s">
        <v>345</v>
      </c>
      <c r="G2040" s="7" t="s">
        <v>1610</v>
      </c>
      <c r="H2040" s="70" t="s">
        <v>2129</v>
      </c>
      <c r="I2040" s="7" t="s">
        <v>1268</v>
      </c>
      <c r="K2040" s="7" t="s">
        <v>245</v>
      </c>
      <c r="L2040" s="11">
        <v>21.08</v>
      </c>
      <c r="M2040" s="11">
        <v>8757.48</v>
      </c>
      <c r="N2040" s="9">
        <f t="shared" si="65"/>
        <v>21.08</v>
      </c>
    </row>
    <row r="2041" spans="1:14" ht="12.75" hidden="1" customHeight="1" x14ac:dyDescent="0.2">
      <c r="A2041">
        <v>67001</v>
      </c>
      <c r="B2041" s="3" t="s">
        <v>1268</v>
      </c>
      <c r="C2041" s="7" t="s">
        <v>353</v>
      </c>
      <c r="D2041" s="7" t="s">
        <v>200</v>
      </c>
      <c r="F2041" s="7" t="s">
        <v>352</v>
      </c>
      <c r="G2041" s="7" t="s">
        <v>1610</v>
      </c>
      <c r="H2041" s="70" t="s">
        <v>2129</v>
      </c>
      <c r="I2041" s="7" t="s">
        <v>1268</v>
      </c>
      <c r="K2041" s="7" t="s">
        <v>245</v>
      </c>
      <c r="L2041" s="11">
        <v>68.239999999999995</v>
      </c>
      <c r="M2041" s="11">
        <v>8832.23</v>
      </c>
      <c r="N2041" s="9">
        <f t="shared" si="65"/>
        <v>68.239999999999995</v>
      </c>
    </row>
    <row r="2042" spans="1:14" ht="12.75" hidden="1" customHeight="1" x14ac:dyDescent="0.2">
      <c r="A2042">
        <v>67001</v>
      </c>
      <c r="B2042" s="3" t="s">
        <v>1268</v>
      </c>
      <c r="C2042" s="7" t="s">
        <v>348</v>
      </c>
      <c r="D2042" s="7" t="s">
        <v>200</v>
      </c>
      <c r="E2042" s="7">
        <v>1058</v>
      </c>
      <c r="F2042" s="7" t="s">
        <v>314</v>
      </c>
      <c r="G2042" s="7" t="s">
        <v>1610</v>
      </c>
      <c r="H2042" s="70" t="s">
        <v>2129</v>
      </c>
      <c r="I2042" s="7" t="s">
        <v>1268</v>
      </c>
      <c r="K2042" s="7" t="s">
        <v>245</v>
      </c>
      <c r="L2042" s="11">
        <v>50</v>
      </c>
      <c r="M2042" s="11">
        <v>9132.23</v>
      </c>
      <c r="N2042" s="9">
        <f t="shared" si="65"/>
        <v>50</v>
      </c>
    </row>
    <row r="2043" spans="1:14" ht="12.75" hidden="1" customHeight="1" x14ac:dyDescent="0.2">
      <c r="A2043">
        <v>67001</v>
      </c>
      <c r="B2043" s="3" t="s">
        <v>1268</v>
      </c>
      <c r="C2043" s="7" t="s">
        <v>348</v>
      </c>
      <c r="D2043" s="7" t="s">
        <v>200</v>
      </c>
      <c r="F2043" s="7" t="s">
        <v>350</v>
      </c>
      <c r="G2043" s="7" t="s">
        <v>1610</v>
      </c>
      <c r="H2043" s="70" t="s">
        <v>2129</v>
      </c>
      <c r="I2043" s="7" t="s">
        <v>1268</v>
      </c>
      <c r="J2043" s="7" t="s">
        <v>349</v>
      </c>
      <c r="K2043" s="7" t="s">
        <v>245</v>
      </c>
      <c r="L2043" s="11">
        <v>386.77</v>
      </c>
      <c r="M2043" s="11">
        <v>9519</v>
      </c>
      <c r="N2043" s="9">
        <f t="shared" si="65"/>
        <v>386.77</v>
      </c>
    </row>
    <row r="2044" spans="1:14" ht="12.75" hidden="1" customHeight="1" x14ac:dyDescent="0.2">
      <c r="A2044">
        <v>67001</v>
      </c>
      <c r="B2044" s="3" t="s">
        <v>1268</v>
      </c>
      <c r="C2044" s="7" t="s">
        <v>344</v>
      </c>
      <c r="D2044" s="7" t="s">
        <v>200</v>
      </c>
      <c r="F2044" s="7" t="s">
        <v>345</v>
      </c>
      <c r="G2044" s="7" t="s">
        <v>1610</v>
      </c>
      <c r="H2044" s="70" t="s">
        <v>2129</v>
      </c>
      <c r="I2044" s="7" t="s">
        <v>1268</v>
      </c>
      <c r="K2044" s="7" t="s">
        <v>245</v>
      </c>
      <c r="L2044" s="11">
        <v>104.85</v>
      </c>
      <c r="M2044" s="11">
        <v>9748.34</v>
      </c>
      <c r="N2044" s="9">
        <f t="shared" si="65"/>
        <v>104.85</v>
      </c>
    </row>
    <row r="2045" spans="1:14" ht="12.75" hidden="1" customHeight="1" x14ac:dyDescent="0.2">
      <c r="A2045">
        <v>67001</v>
      </c>
      <c r="B2045" s="3" t="s">
        <v>1268</v>
      </c>
      <c r="C2045" s="7" t="s">
        <v>344</v>
      </c>
      <c r="D2045" s="7" t="s">
        <v>200</v>
      </c>
      <c r="F2045" s="7" t="s">
        <v>343</v>
      </c>
      <c r="G2045" s="7" t="s">
        <v>1610</v>
      </c>
      <c r="H2045" s="70" t="s">
        <v>2129</v>
      </c>
      <c r="I2045" s="7" t="s">
        <v>1268</v>
      </c>
      <c r="K2045" s="7" t="s">
        <v>245</v>
      </c>
      <c r="L2045" s="11">
        <v>315.64</v>
      </c>
      <c r="M2045" s="11">
        <v>10213.98</v>
      </c>
      <c r="N2045" s="9">
        <f t="shared" si="65"/>
        <v>315.64</v>
      </c>
    </row>
    <row r="2046" spans="1:14" ht="12.75" hidden="1" customHeight="1" x14ac:dyDescent="0.2">
      <c r="A2046">
        <v>67001</v>
      </c>
      <c r="B2046" s="3" t="s">
        <v>1268</v>
      </c>
      <c r="C2046" s="7" t="s">
        <v>340</v>
      </c>
      <c r="D2046" s="7" t="s">
        <v>200</v>
      </c>
      <c r="E2046" s="7">
        <v>1068</v>
      </c>
      <c r="F2046" s="7" t="s">
        <v>342</v>
      </c>
      <c r="G2046" s="7" t="s">
        <v>1610</v>
      </c>
      <c r="H2046" s="70" t="s">
        <v>2129</v>
      </c>
      <c r="I2046" s="7" t="s">
        <v>1268</v>
      </c>
      <c r="J2046" s="7" t="s">
        <v>341</v>
      </c>
      <c r="K2046" s="7" t="s">
        <v>245</v>
      </c>
      <c r="L2046" s="11">
        <v>225</v>
      </c>
      <c r="M2046" s="11">
        <v>10438.98</v>
      </c>
      <c r="N2046" s="9">
        <f t="shared" si="65"/>
        <v>225</v>
      </c>
    </row>
    <row r="2047" spans="1:14" ht="12.75" hidden="1" customHeight="1" x14ac:dyDescent="0.2">
      <c r="A2047">
        <v>67001</v>
      </c>
      <c r="B2047" s="3" t="s">
        <v>1268</v>
      </c>
      <c r="C2047" s="7" t="s">
        <v>340</v>
      </c>
      <c r="D2047" s="7" t="s">
        <v>200</v>
      </c>
      <c r="E2047" s="7">
        <v>1057</v>
      </c>
      <c r="F2047" s="7" t="s">
        <v>339</v>
      </c>
      <c r="G2047" s="7" t="s">
        <v>1610</v>
      </c>
      <c r="H2047" s="70" t="s">
        <v>2129</v>
      </c>
      <c r="I2047" s="7" t="s">
        <v>1268</v>
      </c>
      <c r="K2047" s="7" t="s">
        <v>245</v>
      </c>
      <c r="L2047" s="11">
        <v>100</v>
      </c>
      <c r="M2047" s="11">
        <v>10538.98</v>
      </c>
      <c r="N2047" s="9">
        <f t="shared" si="65"/>
        <v>100</v>
      </c>
    </row>
    <row r="2048" spans="1:14" ht="12.75" hidden="1" customHeight="1" x14ac:dyDescent="0.2">
      <c r="A2048">
        <v>67001</v>
      </c>
      <c r="B2048" s="3" t="s">
        <v>1268</v>
      </c>
      <c r="C2048" s="7" t="s">
        <v>334</v>
      </c>
      <c r="D2048" s="7" t="s">
        <v>200</v>
      </c>
      <c r="F2048" s="7" t="s">
        <v>336</v>
      </c>
      <c r="G2048" s="7" t="s">
        <v>1610</v>
      </c>
      <c r="H2048" s="70" t="s">
        <v>2129</v>
      </c>
      <c r="I2048" s="7" t="s">
        <v>1268</v>
      </c>
      <c r="K2048" s="7" t="s">
        <v>245</v>
      </c>
      <c r="L2048" s="11">
        <v>204.74</v>
      </c>
      <c r="M2048" s="11">
        <v>10763.32</v>
      </c>
      <c r="N2048" s="9">
        <f t="shared" si="65"/>
        <v>204.74</v>
      </c>
    </row>
    <row r="2049" spans="1:14" ht="12.75" hidden="1" customHeight="1" x14ac:dyDescent="0.2">
      <c r="A2049">
        <v>67001</v>
      </c>
      <c r="B2049" s="3" t="s">
        <v>1268</v>
      </c>
      <c r="C2049" s="7" t="s">
        <v>334</v>
      </c>
      <c r="D2049" s="7" t="s">
        <v>200</v>
      </c>
      <c r="F2049" s="7" t="s">
        <v>335</v>
      </c>
      <c r="G2049" s="7" t="s">
        <v>1610</v>
      </c>
      <c r="H2049" s="70" t="s">
        <v>2129</v>
      </c>
      <c r="I2049" s="7" t="s">
        <v>1268</v>
      </c>
      <c r="K2049" s="7" t="s">
        <v>245</v>
      </c>
      <c r="L2049" s="11">
        <v>227.9</v>
      </c>
      <c r="M2049" s="11">
        <v>10991.22</v>
      </c>
      <c r="N2049" s="9">
        <f t="shared" si="65"/>
        <v>227.9</v>
      </c>
    </row>
    <row r="2050" spans="1:14" ht="12.75" hidden="1" customHeight="1" x14ac:dyDescent="0.2">
      <c r="A2050">
        <v>67001</v>
      </c>
      <c r="B2050" s="3" t="s">
        <v>1268</v>
      </c>
      <c r="C2050" s="7" t="s">
        <v>334</v>
      </c>
      <c r="D2050" s="7" t="s">
        <v>200</v>
      </c>
      <c r="F2050" s="7" t="s">
        <v>336</v>
      </c>
      <c r="G2050" s="7" t="s">
        <v>1610</v>
      </c>
      <c r="H2050" s="70" t="s">
        <v>2129</v>
      </c>
      <c r="I2050" s="7" t="s">
        <v>1268</v>
      </c>
      <c r="K2050" s="7" t="s">
        <v>245</v>
      </c>
      <c r="L2050" s="11">
        <v>113.95</v>
      </c>
      <c r="M2050" s="11">
        <v>11105.17</v>
      </c>
      <c r="N2050" s="9">
        <f t="shared" si="65"/>
        <v>113.95</v>
      </c>
    </row>
    <row r="2051" spans="1:14" ht="12.75" hidden="1" customHeight="1" x14ac:dyDescent="0.2">
      <c r="A2051">
        <v>67001</v>
      </c>
      <c r="B2051" s="3" t="s">
        <v>1268</v>
      </c>
      <c r="C2051" s="7" t="s">
        <v>334</v>
      </c>
      <c r="D2051" s="7" t="s">
        <v>200</v>
      </c>
      <c r="F2051" s="7" t="s">
        <v>335</v>
      </c>
      <c r="G2051" s="7" t="s">
        <v>1610</v>
      </c>
      <c r="H2051" s="70" t="s">
        <v>2129</v>
      </c>
      <c r="I2051" s="7" t="s">
        <v>1268</v>
      </c>
      <c r="K2051" s="7" t="s">
        <v>245</v>
      </c>
      <c r="L2051" s="11">
        <v>113.95</v>
      </c>
      <c r="M2051" s="11">
        <v>11219.12</v>
      </c>
      <c r="N2051" s="9">
        <f t="shared" si="65"/>
        <v>113.95</v>
      </c>
    </row>
    <row r="2052" spans="1:14" ht="12.75" hidden="1" customHeight="1" x14ac:dyDescent="0.2">
      <c r="A2052">
        <v>67001</v>
      </c>
      <c r="B2052" s="3" t="s">
        <v>1268</v>
      </c>
      <c r="C2052" s="7" t="s">
        <v>334</v>
      </c>
      <c r="D2052" s="7" t="s">
        <v>200</v>
      </c>
      <c r="F2052" s="7" t="s">
        <v>335</v>
      </c>
      <c r="G2052" s="7" t="s">
        <v>1610</v>
      </c>
      <c r="H2052" s="70" t="s">
        <v>2129</v>
      </c>
      <c r="I2052" s="7" t="s">
        <v>1268</v>
      </c>
      <c r="K2052" s="7" t="s">
        <v>245</v>
      </c>
      <c r="L2052" s="11">
        <v>113.95</v>
      </c>
      <c r="M2052" s="11">
        <v>11333.07</v>
      </c>
      <c r="N2052" s="9">
        <f t="shared" si="65"/>
        <v>113.95</v>
      </c>
    </row>
    <row r="2053" spans="1:14" ht="12.75" hidden="1" customHeight="1" x14ac:dyDescent="0.2">
      <c r="A2053">
        <v>67001</v>
      </c>
      <c r="B2053" s="3" t="s">
        <v>1268</v>
      </c>
      <c r="C2053" s="7" t="s">
        <v>334</v>
      </c>
      <c r="D2053" s="7" t="s">
        <v>200</v>
      </c>
      <c r="F2053" s="7" t="s">
        <v>335</v>
      </c>
      <c r="G2053" s="7" t="s">
        <v>1610</v>
      </c>
      <c r="H2053" s="70" t="s">
        <v>2129</v>
      </c>
      <c r="I2053" s="7" t="s">
        <v>1268</v>
      </c>
      <c r="K2053" s="7" t="s">
        <v>245</v>
      </c>
      <c r="L2053" s="11">
        <v>113.95</v>
      </c>
      <c r="M2053" s="11">
        <v>11447.02</v>
      </c>
      <c r="N2053" s="9">
        <f t="shared" si="65"/>
        <v>113.95</v>
      </c>
    </row>
    <row r="2054" spans="1:14" ht="12.75" hidden="1" customHeight="1" x14ac:dyDescent="0.2">
      <c r="A2054">
        <v>67001</v>
      </c>
      <c r="B2054" s="3" t="s">
        <v>1268</v>
      </c>
      <c r="C2054" s="7" t="s">
        <v>334</v>
      </c>
      <c r="D2054" s="7" t="s">
        <v>200</v>
      </c>
      <c r="F2054" s="7" t="s">
        <v>333</v>
      </c>
      <c r="G2054" s="7" t="s">
        <v>1610</v>
      </c>
      <c r="H2054" s="70" t="s">
        <v>2129</v>
      </c>
      <c r="I2054" s="7" t="s">
        <v>1268</v>
      </c>
      <c r="K2054" s="7" t="s">
        <v>245</v>
      </c>
      <c r="L2054" s="11">
        <v>1000</v>
      </c>
      <c r="M2054" s="11">
        <v>12447.02</v>
      </c>
      <c r="N2054" s="9">
        <f t="shared" ref="N2054:N2078" si="66">IF(A2054&lt;60000,-L2054,+L2054)</f>
        <v>1000</v>
      </c>
    </row>
    <row r="2055" spans="1:14" ht="12.75" hidden="1" customHeight="1" x14ac:dyDescent="0.2">
      <c r="A2055">
        <v>67001</v>
      </c>
      <c r="B2055" s="3" t="s">
        <v>1268</v>
      </c>
      <c r="C2055" s="7" t="s">
        <v>334</v>
      </c>
      <c r="D2055" s="7" t="s">
        <v>200</v>
      </c>
      <c r="F2055" s="7" t="s">
        <v>333</v>
      </c>
      <c r="G2055" s="7" t="s">
        <v>1610</v>
      </c>
      <c r="H2055" s="70" t="s">
        <v>2129</v>
      </c>
      <c r="I2055" s="7" t="s">
        <v>1268</v>
      </c>
      <c r="K2055" s="7" t="s">
        <v>245</v>
      </c>
      <c r="L2055" s="11">
        <v>1000</v>
      </c>
      <c r="M2055" s="11">
        <v>13447.02</v>
      </c>
      <c r="N2055" s="9">
        <f t="shared" si="66"/>
        <v>1000</v>
      </c>
    </row>
    <row r="2056" spans="1:14" ht="12.75" hidden="1" customHeight="1" x14ac:dyDescent="0.2">
      <c r="A2056">
        <v>67001</v>
      </c>
      <c r="B2056" s="3" t="s">
        <v>1268</v>
      </c>
      <c r="C2056" s="7" t="s">
        <v>330</v>
      </c>
      <c r="D2056" s="7" t="s">
        <v>200</v>
      </c>
      <c r="F2056" s="7" t="s">
        <v>297</v>
      </c>
      <c r="G2056" s="7" t="s">
        <v>1610</v>
      </c>
      <c r="H2056" s="70" t="s">
        <v>2129</v>
      </c>
      <c r="I2056" s="7" t="s">
        <v>1268</v>
      </c>
      <c r="J2056" s="7" t="s">
        <v>332</v>
      </c>
      <c r="K2056" s="7" t="s">
        <v>245</v>
      </c>
      <c r="L2056" s="11">
        <v>22</v>
      </c>
      <c r="M2056" s="11">
        <v>13469.02</v>
      </c>
      <c r="N2056" s="9">
        <f t="shared" si="66"/>
        <v>22</v>
      </c>
    </row>
    <row r="2057" spans="1:14" ht="12.75" hidden="1" customHeight="1" x14ac:dyDescent="0.2">
      <c r="A2057">
        <v>67001</v>
      </c>
      <c r="B2057" s="3" t="s">
        <v>1268</v>
      </c>
      <c r="C2057" s="7" t="s">
        <v>330</v>
      </c>
      <c r="D2057" s="7" t="s">
        <v>200</v>
      </c>
      <c r="E2057" s="7">
        <v>1062</v>
      </c>
      <c r="F2057" s="7" t="s">
        <v>331</v>
      </c>
      <c r="G2057" s="7" t="s">
        <v>1610</v>
      </c>
      <c r="H2057" s="70" t="s">
        <v>2129</v>
      </c>
      <c r="I2057" s="7" t="s">
        <v>1268</v>
      </c>
      <c r="K2057" s="7" t="s">
        <v>245</v>
      </c>
      <c r="L2057" s="11">
        <v>500</v>
      </c>
      <c r="M2057" s="11">
        <v>13969.02</v>
      </c>
      <c r="N2057" s="9">
        <f t="shared" si="66"/>
        <v>500</v>
      </c>
    </row>
    <row r="2058" spans="1:14" ht="12.75" hidden="1" customHeight="1" x14ac:dyDescent="0.2">
      <c r="A2058">
        <v>67001</v>
      </c>
      <c r="B2058" s="3" t="s">
        <v>1268</v>
      </c>
      <c r="C2058" s="7" t="s">
        <v>330</v>
      </c>
      <c r="D2058" s="7" t="s">
        <v>200</v>
      </c>
      <c r="E2058" s="7">
        <v>1054</v>
      </c>
      <c r="F2058" s="7" t="s">
        <v>329</v>
      </c>
      <c r="G2058" s="7" t="s">
        <v>1610</v>
      </c>
      <c r="H2058" s="70" t="s">
        <v>2129</v>
      </c>
      <c r="I2058" s="7" t="s">
        <v>1268</v>
      </c>
      <c r="J2058" s="7" t="s">
        <v>328</v>
      </c>
      <c r="K2058" s="7" t="s">
        <v>245</v>
      </c>
      <c r="L2058" s="11">
        <v>2150</v>
      </c>
      <c r="M2058" s="11">
        <v>16119.02</v>
      </c>
      <c r="N2058" s="9">
        <f t="shared" si="66"/>
        <v>2150</v>
      </c>
    </row>
    <row r="2059" spans="1:14" ht="12.75" hidden="1" customHeight="1" x14ac:dyDescent="0.2">
      <c r="A2059">
        <v>67001</v>
      </c>
      <c r="B2059" s="3" t="s">
        <v>1268</v>
      </c>
      <c r="C2059" s="7" t="s">
        <v>327</v>
      </c>
      <c r="D2059" s="7" t="s">
        <v>200</v>
      </c>
      <c r="E2059" s="7">
        <v>1060</v>
      </c>
      <c r="F2059" s="7" t="s">
        <v>326</v>
      </c>
      <c r="G2059" s="7" t="s">
        <v>1610</v>
      </c>
      <c r="H2059" s="70" t="s">
        <v>2129</v>
      </c>
      <c r="I2059" s="7" t="s">
        <v>1268</v>
      </c>
      <c r="K2059" s="7" t="s">
        <v>245</v>
      </c>
      <c r="L2059" s="11">
        <v>2412.5</v>
      </c>
      <c r="M2059" s="11">
        <v>18531.52</v>
      </c>
      <c r="N2059" s="9">
        <f t="shared" si="66"/>
        <v>2412.5</v>
      </c>
    </row>
    <row r="2060" spans="1:14" ht="12.75" hidden="1" customHeight="1" x14ac:dyDescent="0.2">
      <c r="A2060">
        <v>67001</v>
      </c>
      <c r="B2060" s="3" t="s">
        <v>1268</v>
      </c>
      <c r="C2060" s="7" t="s">
        <v>323</v>
      </c>
      <c r="D2060" s="7" t="s">
        <v>242</v>
      </c>
      <c r="F2060" s="7" t="s">
        <v>325</v>
      </c>
      <c r="G2060" s="7" t="s">
        <v>1610</v>
      </c>
      <c r="H2060" s="70" t="s">
        <v>2129</v>
      </c>
      <c r="I2060" s="7" t="s">
        <v>1268</v>
      </c>
      <c r="J2060" s="7" t="s">
        <v>324</v>
      </c>
      <c r="K2060" s="7" t="s">
        <v>245</v>
      </c>
      <c r="L2060" s="11">
        <v>3404.19</v>
      </c>
      <c r="M2060" s="11">
        <v>21935.71</v>
      </c>
      <c r="N2060" s="9">
        <f t="shared" si="66"/>
        <v>3404.19</v>
      </c>
    </row>
    <row r="2061" spans="1:14" ht="12.75" hidden="1" customHeight="1" x14ac:dyDescent="0.2">
      <c r="A2061">
        <v>67001</v>
      </c>
      <c r="B2061" s="3" t="s">
        <v>1268</v>
      </c>
      <c r="C2061" s="7" t="s">
        <v>323</v>
      </c>
      <c r="D2061" s="7" t="s">
        <v>200</v>
      </c>
      <c r="F2061" s="7" t="s">
        <v>322</v>
      </c>
      <c r="G2061" s="7" t="s">
        <v>1610</v>
      </c>
      <c r="H2061" s="70" t="s">
        <v>2129</v>
      </c>
      <c r="I2061" s="7" t="s">
        <v>1268</v>
      </c>
      <c r="J2061" s="7" t="s">
        <v>321</v>
      </c>
      <c r="K2061" s="7" t="s">
        <v>245</v>
      </c>
      <c r="L2061" s="11">
        <v>561.16999999999996</v>
      </c>
      <c r="M2061" s="11">
        <v>22496.880000000001</v>
      </c>
      <c r="N2061" s="9">
        <f t="shared" si="66"/>
        <v>561.16999999999996</v>
      </c>
    </row>
    <row r="2062" spans="1:14" ht="12.75" hidden="1" customHeight="1" x14ac:dyDescent="0.2">
      <c r="A2062">
        <v>67001</v>
      </c>
      <c r="B2062" s="3" t="s">
        <v>1268</v>
      </c>
      <c r="C2062" s="7" t="s">
        <v>319</v>
      </c>
      <c r="D2062" s="7" t="s">
        <v>200</v>
      </c>
      <c r="G2062" s="7" t="s">
        <v>1610</v>
      </c>
      <c r="H2062" s="70" t="s">
        <v>2129</v>
      </c>
      <c r="I2062" s="7" t="s">
        <v>1268</v>
      </c>
      <c r="J2062" s="7" t="s">
        <v>320</v>
      </c>
      <c r="K2062" s="7" t="s">
        <v>245</v>
      </c>
      <c r="L2062" s="11">
        <v>905.59</v>
      </c>
      <c r="M2062" s="11">
        <v>23402.47</v>
      </c>
      <c r="N2062" s="9">
        <f t="shared" si="66"/>
        <v>905.59</v>
      </c>
    </row>
    <row r="2063" spans="1:14" ht="12.75" hidden="1" customHeight="1" x14ac:dyDescent="0.2">
      <c r="A2063">
        <v>67001</v>
      </c>
      <c r="B2063" s="3" t="s">
        <v>1268</v>
      </c>
      <c r="C2063" s="7" t="s">
        <v>315</v>
      </c>
      <c r="D2063" s="7" t="s">
        <v>200</v>
      </c>
      <c r="E2063" s="7">
        <v>1059</v>
      </c>
      <c r="F2063" s="7" t="s">
        <v>314</v>
      </c>
      <c r="G2063" s="7" t="s">
        <v>1610</v>
      </c>
      <c r="H2063" s="70" t="s">
        <v>2129</v>
      </c>
      <c r="I2063" s="7" t="s">
        <v>1268</v>
      </c>
      <c r="J2063" s="7" t="s">
        <v>316</v>
      </c>
      <c r="K2063" s="7" t="s">
        <v>245</v>
      </c>
      <c r="L2063" s="11">
        <v>18.46</v>
      </c>
      <c r="M2063" s="11">
        <v>25481.599999999999</v>
      </c>
      <c r="N2063" s="9">
        <f t="shared" si="66"/>
        <v>18.46</v>
      </c>
    </row>
    <row r="2064" spans="1:14" ht="12.75" hidden="1" customHeight="1" x14ac:dyDescent="0.2">
      <c r="A2064">
        <v>67001</v>
      </c>
      <c r="B2064" s="3" t="s">
        <v>1268</v>
      </c>
      <c r="C2064" s="7" t="s">
        <v>315</v>
      </c>
      <c r="D2064" s="7" t="s">
        <v>200</v>
      </c>
      <c r="E2064" s="7">
        <v>1064</v>
      </c>
      <c r="F2064" s="7" t="s">
        <v>314</v>
      </c>
      <c r="G2064" s="7" t="s">
        <v>1610</v>
      </c>
      <c r="H2064" s="70" t="s">
        <v>2129</v>
      </c>
      <c r="I2064" s="7" t="s">
        <v>1268</v>
      </c>
      <c r="J2064" s="7" t="s">
        <v>268</v>
      </c>
      <c r="K2064" s="7" t="s">
        <v>245</v>
      </c>
      <c r="L2064" s="11">
        <v>44.28</v>
      </c>
      <c r="M2064" s="11">
        <v>25525.88</v>
      </c>
      <c r="N2064" s="9">
        <f t="shared" si="66"/>
        <v>44.28</v>
      </c>
    </row>
    <row r="2065" spans="1:14" ht="12.75" hidden="1" customHeight="1" x14ac:dyDescent="0.2">
      <c r="A2065">
        <v>67001</v>
      </c>
      <c r="B2065" s="3" t="s">
        <v>1268</v>
      </c>
      <c r="C2065" s="7" t="s">
        <v>312</v>
      </c>
      <c r="D2065" s="7" t="s">
        <v>200</v>
      </c>
      <c r="F2065" s="7" t="s">
        <v>220</v>
      </c>
      <c r="G2065" s="7" t="s">
        <v>1610</v>
      </c>
      <c r="H2065" s="70" t="s">
        <v>2129</v>
      </c>
      <c r="I2065" s="7" t="s">
        <v>1268</v>
      </c>
      <c r="J2065" s="7" t="s">
        <v>313</v>
      </c>
      <c r="K2065" s="7" t="s">
        <v>245</v>
      </c>
      <c r="L2065" s="11">
        <v>98</v>
      </c>
      <c r="M2065" s="11">
        <v>25623.88</v>
      </c>
      <c r="N2065" s="9">
        <f t="shared" si="66"/>
        <v>98</v>
      </c>
    </row>
    <row r="2066" spans="1:14" ht="12.75" hidden="1" customHeight="1" x14ac:dyDescent="0.2">
      <c r="A2066">
        <v>67001</v>
      </c>
      <c r="B2066" s="3" t="s">
        <v>1268</v>
      </c>
      <c r="C2066" s="7" t="s">
        <v>312</v>
      </c>
      <c r="D2066" s="7" t="s">
        <v>200</v>
      </c>
      <c r="E2066" s="7">
        <v>1063</v>
      </c>
      <c r="F2066" s="7" t="s">
        <v>311</v>
      </c>
      <c r="G2066" s="7" t="s">
        <v>1610</v>
      </c>
      <c r="H2066" s="70" t="s">
        <v>2129</v>
      </c>
      <c r="I2066" s="7" t="s">
        <v>1268</v>
      </c>
      <c r="K2066" s="7" t="s">
        <v>245</v>
      </c>
      <c r="L2066" s="11">
        <v>18728.490000000002</v>
      </c>
      <c r="M2066" s="11">
        <v>44352.37</v>
      </c>
      <c r="N2066" s="9">
        <f t="shared" si="66"/>
        <v>18728.490000000002</v>
      </c>
    </row>
    <row r="2067" spans="1:14" ht="12.75" hidden="1" customHeight="1" x14ac:dyDescent="0.2">
      <c r="A2067">
        <v>67001</v>
      </c>
      <c r="B2067" s="3" t="s">
        <v>1268</v>
      </c>
      <c r="C2067" s="7" t="s">
        <v>308</v>
      </c>
      <c r="D2067" s="7" t="s">
        <v>200</v>
      </c>
      <c r="F2067" s="7" t="s">
        <v>310</v>
      </c>
      <c r="G2067" s="7" t="s">
        <v>1610</v>
      </c>
      <c r="H2067" s="70" t="s">
        <v>2129</v>
      </c>
      <c r="I2067" s="7" t="s">
        <v>1268</v>
      </c>
      <c r="J2067" s="7" t="s">
        <v>309</v>
      </c>
      <c r="K2067" s="7" t="s">
        <v>245</v>
      </c>
      <c r="L2067" s="11">
        <v>229.04</v>
      </c>
      <c r="M2067" s="11">
        <v>44581.41</v>
      </c>
      <c r="N2067" s="9">
        <f t="shared" si="66"/>
        <v>229.04</v>
      </c>
    </row>
    <row r="2068" spans="1:14" ht="12.75" hidden="1" customHeight="1" x14ac:dyDescent="0.2">
      <c r="A2068">
        <v>67001</v>
      </c>
      <c r="B2068" s="3" t="s">
        <v>1268</v>
      </c>
      <c r="C2068" s="7" t="s">
        <v>308</v>
      </c>
      <c r="D2068" s="7" t="s">
        <v>200</v>
      </c>
      <c r="F2068" s="7" t="s">
        <v>310</v>
      </c>
      <c r="G2068" s="7" t="s">
        <v>1610</v>
      </c>
      <c r="H2068" s="70" t="s">
        <v>2129</v>
      </c>
      <c r="I2068" s="7" t="s">
        <v>1268</v>
      </c>
      <c r="J2068" s="7" t="s">
        <v>309</v>
      </c>
      <c r="K2068" s="7" t="s">
        <v>245</v>
      </c>
      <c r="L2068" s="11">
        <v>1550.59</v>
      </c>
      <c r="M2068" s="11">
        <v>46132</v>
      </c>
      <c r="N2068" s="9">
        <f t="shared" si="66"/>
        <v>1550.59</v>
      </c>
    </row>
    <row r="2069" spans="1:14" ht="12.75" hidden="1" customHeight="1" x14ac:dyDescent="0.2">
      <c r="A2069">
        <v>67001</v>
      </c>
      <c r="B2069" s="3" t="s">
        <v>1268</v>
      </c>
      <c r="C2069" s="7" t="s">
        <v>308</v>
      </c>
      <c r="D2069" s="7" t="s">
        <v>200</v>
      </c>
      <c r="F2069" s="7" t="s">
        <v>220</v>
      </c>
      <c r="G2069" s="7" t="s">
        <v>1610</v>
      </c>
      <c r="H2069" s="70" t="s">
        <v>2129</v>
      </c>
      <c r="I2069" s="7" t="s">
        <v>1268</v>
      </c>
      <c r="J2069" s="7" t="s">
        <v>307</v>
      </c>
      <c r="K2069" s="7" t="s">
        <v>245</v>
      </c>
      <c r="L2069" s="11">
        <v>57.44</v>
      </c>
      <c r="M2069" s="11">
        <v>46189.440000000002</v>
      </c>
      <c r="N2069" s="9">
        <f t="shared" si="66"/>
        <v>57.44</v>
      </c>
    </row>
    <row r="2070" spans="1:14" ht="12.75" hidden="1" customHeight="1" x14ac:dyDescent="0.2">
      <c r="A2070">
        <v>67001</v>
      </c>
      <c r="B2070" s="3" t="s">
        <v>1268</v>
      </c>
      <c r="C2070" s="7" t="s">
        <v>306</v>
      </c>
      <c r="D2070" s="7" t="s">
        <v>200</v>
      </c>
      <c r="F2070" s="7" t="s">
        <v>297</v>
      </c>
      <c r="G2070" s="7" t="s">
        <v>1610</v>
      </c>
      <c r="H2070" s="70" t="s">
        <v>2129</v>
      </c>
      <c r="I2070" s="7" t="s">
        <v>1268</v>
      </c>
      <c r="K2070" s="7" t="s">
        <v>245</v>
      </c>
      <c r="L2070" s="11">
        <v>1.98</v>
      </c>
      <c r="M2070" s="11">
        <v>46191.42</v>
      </c>
      <c r="N2070" s="9">
        <f t="shared" si="66"/>
        <v>1.98</v>
      </c>
    </row>
    <row r="2071" spans="1:14" ht="12.75" hidden="1" customHeight="1" x14ac:dyDescent="0.2">
      <c r="A2071">
        <v>67001</v>
      </c>
      <c r="B2071" s="3" t="s">
        <v>1268</v>
      </c>
      <c r="C2071" s="7" t="s">
        <v>302</v>
      </c>
      <c r="D2071" s="7" t="s">
        <v>200</v>
      </c>
      <c r="F2071" s="7" t="s">
        <v>301</v>
      </c>
      <c r="G2071" s="7" t="s">
        <v>1610</v>
      </c>
      <c r="H2071" s="70" t="s">
        <v>2129</v>
      </c>
      <c r="I2071" s="7" t="s">
        <v>1268</v>
      </c>
      <c r="K2071" s="7" t="s">
        <v>245</v>
      </c>
      <c r="L2071" s="11">
        <v>45</v>
      </c>
      <c r="M2071" s="11">
        <v>46486.42</v>
      </c>
      <c r="N2071" s="9">
        <f t="shared" si="66"/>
        <v>45</v>
      </c>
    </row>
    <row r="2072" spans="1:14" ht="12.75" hidden="1" customHeight="1" x14ac:dyDescent="0.2">
      <c r="A2072">
        <v>67001</v>
      </c>
      <c r="B2072" s="3" t="s">
        <v>1268</v>
      </c>
      <c r="C2072" s="7" t="s">
        <v>298</v>
      </c>
      <c r="D2072" s="7" t="s">
        <v>200</v>
      </c>
      <c r="F2072" s="7" t="s">
        <v>297</v>
      </c>
      <c r="G2072" s="7" t="s">
        <v>1610</v>
      </c>
      <c r="H2072" s="70" t="s">
        <v>2129</v>
      </c>
      <c r="I2072" s="7" t="s">
        <v>1268</v>
      </c>
      <c r="K2072" s="7" t="s">
        <v>245</v>
      </c>
      <c r="L2072" s="11">
        <v>19.170000000000002</v>
      </c>
      <c r="M2072" s="11">
        <v>46542.51</v>
      </c>
      <c r="N2072" s="9">
        <f t="shared" si="66"/>
        <v>19.170000000000002</v>
      </c>
    </row>
    <row r="2073" spans="1:14" ht="12.75" hidden="1" customHeight="1" x14ac:dyDescent="0.2">
      <c r="A2073">
        <v>67001</v>
      </c>
      <c r="B2073" s="3" t="s">
        <v>1268</v>
      </c>
      <c r="C2073" s="7" t="s">
        <v>293</v>
      </c>
      <c r="D2073" s="7" t="s">
        <v>200</v>
      </c>
      <c r="E2073" s="7">
        <v>1067</v>
      </c>
      <c r="F2073" s="7" t="s">
        <v>292</v>
      </c>
      <c r="G2073" s="7" t="s">
        <v>1610</v>
      </c>
      <c r="H2073" s="70" t="s">
        <v>2129</v>
      </c>
      <c r="I2073" s="7" t="s">
        <v>1268</v>
      </c>
      <c r="K2073" s="7" t="s">
        <v>245</v>
      </c>
      <c r="L2073" s="11">
        <v>13.3</v>
      </c>
      <c r="M2073" s="11">
        <v>46793.120000000003</v>
      </c>
      <c r="N2073" s="9">
        <f t="shared" si="66"/>
        <v>13.3</v>
      </c>
    </row>
    <row r="2074" spans="1:14" ht="12.75" hidden="1" customHeight="1" x14ac:dyDescent="0.2">
      <c r="A2074">
        <v>67001</v>
      </c>
      <c r="B2074" s="3" t="s">
        <v>1268</v>
      </c>
      <c r="C2074" s="7" t="s">
        <v>270</v>
      </c>
      <c r="D2074" s="7" t="s">
        <v>200</v>
      </c>
      <c r="E2074" s="7">
        <v>1069</v>
      </c>
      <c r="F2074" s="7" t="s">
        <v>272</v>
      </c>
      <c r="G2074" s="7" t="s">
        <v>1610</v>
      </c>
      <c r="H2074" s="70" t="s">
        <v>2129</v>
      </c>
      <c r="I2074" s="7" t="s">
        <v>1268</v>
      </c>
      <c r="K2074" s="7" t="s">
        <v>245</v>
      </c>
      <c r="L2074" s="11">
        <v>1547.14</v>
      </c>
      <c r="M2074" s="11">
        <v>53130.87</v>
      </c>
      <c r="N2074" s="9">
        <f t="shared" si="66"/>
        <v>1547.14</v>
      </c>
    </row>
    <row r="2075" spans="1:14" ht="12.75" hidden="1" customHeight="1" x14ac:dyDescent="0.2">
      <c r="A2075">
        <v>67001</v>
      </c>
      <c r="B2075" s="3" t="s">
        <v>1268</v>
      </c>
      <c r="C2075" s="7" t="s">
        <v>270</v>
      </c>
      <c r="D2075" s="7" t="s">
        <v>200</v>
      </c>
      <c r="E2075" s="7">
        <v>1070</v>
      </c>
      <c r="F2075" s="7" t="s">
        <v>269</v>
      </c>
      <c r="G2075" s="7" t="s">
        <v>1610</v>
      </c>
      <c r="H2075" s="70" t="s">
        <v>2129</v>
      </c>
      <c r="I2075" s="7" t="s">
        <v>1268</v>
      </c>
      <c r="J2075" s="7" t="s">
        <v>268</v>
      </c>
      <c r="K2075" s="7" t="s">
        <v>245</v>
      </c>
      <c r="L2075" s="11">
        <v>75</v>
      </c>
      <c r="M2075" s="11">
        <v>53244.11</v>
      </c>
      <c r="N2075" s="9">
        <f t="shared" si="66"/>
        <v>75</v>
      </c>
    </row>
    <row r="2076" spans="1:14" ht="12.75" hidden="1" customHeight="1" x14ac:dyDescent="0.2">
      <c r="A2076">
        <v>67001</v>
      </c>
      <c r="B2076" s="3" t="s">
        <v>1268</v>
      </c>
      <c r="C2076" s="7" t="s">
        <v>249</v>
      </c>
      <c r="D2076" s="7" t="s">
        <v>200</v>
      </c>
      <c r="E2076" s="7">
        <v>1071</v>
      </c>
      <c r="F2076" s="7" t="s">
        <v>248</v>
      </c>
      <c r="G2076" s="7" t="s">
        <v>1610</v>
      </c>
      <c r="H2076" s="70" t="s">
        <v>2129</v>
      </c>
      <c r="I2076" s="7" t="s">
        <v>1268</v>
      </c>
      <c r="J2076" s="7" t="s">
        <v>246</v>
      </c>
      <c r="K2076" s="7" t="s">
        <v>245</v>
      </c>
      <c r="L2076" s="11">
        <v>1000</v>
      </c>
      <c r="M2076" s="11">
        <v>55596.11</v>
      </c>
      <c r="N2076" s="9">
        <f t="shared" si="66"/>
        <v>1000</v>
      </c>
    </row>
    <row r="2077" spans="1:14" ht="12.75" customHeight="1" x14ac:dyDescent="0.2">
      <c r="A2077">
        <v>43400</v>
      </c>
      <c r="B2077" s="3" t="s">
        <v>1224</v>
      </c>
      <c r="C2077" s="7" t="s">
        <v>290</v>
      </c>
      <c r="D2077" s="7" t="s">
        <v>242</v>
      </c>
      <c r="F2077" s="7" t="s">
        <v>665</v>
      </c>
      <c r="G2077" s="7" t="s">
        <v>1734</v>
      </c>
      <c r="H2077" s="7" t="s">
        <v>1359</v>
      </c>
      <c r="I2077" s="7" t="s">
        <v>1224</v>
      </c>
      <c r="K2077" s="7" t="s">
        <v>750</v>
      </c>
      <c r="L2077" s="11">
        <v>16.87</v>
      </c>
      <c r="M2077" s="11">
        <v>108302.44</v>
      </c>
      <c r="N2077" s="9">
        <f t="shared" si="66"/>
        <v>-16.87</v>
      </c>
    </row>
    <row r="2078" spans="1:14" ht="12.75" customHeight="1" x14ac:dyDescent="0.2">
      <c r="A2078">
        <v>43400</v>
      </c>
      <c r="B2078" s="3" t="s">
        <v>1224</v>
      </c>
      <c r="C2078" s="7" t="s">
        <v>749</v>
      </c>
      <c r="D2078" s="7" t="s">
        <v>242</v>
      </c>
      <c r="F2078" s="7" t="s">
        <v>665</v>
      </c>
      <c r="G2078" s="7" t="s">
        <v>1734</v>
      </c>
      <c r="H2078" s="7" t="s">
        <v>1359</v>
      </c>
      <c r="I2078" s="7" t="s">
        <v>1224</v>
      </c>
      <c r="K2078" s="7" t="s">
        <v>1184</v>
      </c>
      <c r="L2078" s="11">
        <v>300</v>
      </c>
      <c r="M2078" s="11">
        <v>145105.26</v>
      </c>
      <c r="N2078" s="9">
        <f t="shared" si="66"/>
        <v>-300</v>
      </c>
    </row>
    <row r="2079" spans="1:14" ht="12.75" customHeight="1" x14ac:dyDescent="0.2">
      <c r="A2079">
        <v>43400</v>
      </c>
      <c r="B2079" s="3" t="s">
        <v>1224</v>
      </c>
      <c r="C2079" s="7" t="s">
        <v>1578</v>
      </c>
      <c r="D2079" s="7" t="s">
        <v>242</v>
      </c>
      <c r="F2079" s="7" t="s">
        <v>665</v>
      </c>
      <c r="G2079" s="7" t="s">
        <v>1579</v>
      </c>
      <c r="H2079" s="7" t="s">
        <v>1359</v>
      </c>
      <c r="I2079" s="7" t="s">
        <v>1224</v>
      </c>
      <c r="K2079" s="39" t="s">
        <v>1580</v>
      </c>
      <c r="L2079" s="40">
        <v>254.47</v>
      </c>
      <c r="M2079" s="40">
        <v>230732.31</v>
      </c>
      <c r="N2079" s="41">
        <f>-L2079</f>
        <v>-254.47</v>
      </c>
    </row>
    <row r="2080" spans="1:14" ht="12.75" customHeight="1" x14ac:dyDescent="0.2">
      <c r="A2080">
        <v>43400</v>
      </c>
      <c r="B2080" s="3" t="s">
        <v>1224</v>
      </c>
      <c r="C2080" s="7" t="s">
        <v>1578</v>
      </c>
      <c r="D2080" s="7" t="s">
        <v>242</v>
      </c>
      <c r="F2080" s="7" t="s">
        <v>665</v>
      </c>
      <c r="G2080" s="7" t="s">
        <v>1579</v>
      </c>
      <c r="H2080" s="7" t="s">
        <v>1359</v>
      </c>
      <c r="I2080" s="7" t="s">
        <v>1224</v>
      </c>
      <c r="K2080" s="39" t="s">
        <v>1580</v>
      </c>
      <c r="L2080" s="40">
        <v>100</v>
      </c>
      <c r="M2080" s="40">
        <v>230832.31</v>
      </c>
      <c r="N2080" s="41">
        <f>-L2080</f>
        <v>-100</v>
      </c>
    </row>
    <row r="2081" spans="1:14" ht="12.75" hidden="1" customHeight="1" x14ac:dyDescent="0.2">
      <c r="A2081">
        <v>43430</v>
      </c>
      <c r="B2081" s="3" t="s">
        <v>1226</v>
      </c>
      <c r="C2081" s="7" t="s">
        <v>452</v>
      </c>
      <c r="D2081" s="7" t="s">
        <v>183</v>
      </c>
      <c r="E2081" s="7">
        <v>619</v>
      </c>
      <c r="G2081" s="7" t="s">
        <v>1554</v>
      </c>
      <c r="H2081" s="7" t="s">
        <v>1360</v>
      </c>
      <c r="I2081" s="7" t="s">
        <v>1226</v>
      </c>
      <c r="J2081" s="7" t="s">
        <v>450</v>
      </c>
      <c r="K2081" s="7" t="s">
        <v>180</v>
      </c>
      <c r="L2081" s="11">
        <v>928</v>
      </c>
      <c r="M2081" s="11">
        <v>19450.5</v>
      </c>
      <c r="N2081" s="9">
        <f t="shared" ref="N2081:N2112" si="67">IF(A2081&lt;60000,-L2081,+L2081)</f>
        <v>-928</v>
      </c>
    </row>
    <row r="2082" spans="1:14" ht="12.75" hidden="1" customHeight="1" x14ac:dyDescent="0.2">
      <c r="A2082">
        <v>43440</v>
      </c>
      <c r="B2082" s="3" t="s">
        <v>1228</v>
      </c>
      <c r="C2082" s="7" t="s">
        <v>452</v>
      </c>
      <c r="D2082" s="7" t="s">
        <v>183</v>
      </c>
      <c r="E2082" s="7">
        <v>619</v>
      </c>
      <c r="G2082" s="7" t="s">
        <v>1554</v>
      </c>
      <c r="H2082" s="7" t="s">
        <v>1360</v>
      </c>
      <c r="I2082" s="7" t="s">
        <v>1228</v>
      </c>
      <c r="J2082" s="7" t="s">
        <v>484</v>
      </c>
      <c r="K2082" s="7" t="s">
        <v>180</v>
      </c>
      <c r="L2082" s="11">
        <v>675</v>
      </c>
      <c r="M2082" s="11">
        <v>29412.48</v>
      </c>
      <c r="N2082" s="9">
        <f t="shared" si="67"/>
        <v>-675</v>
      </c>
    </row>
    <row r="2083" spans="1:14" ht="12.75" hidden="1" customHeight="1" x14ac:dyDescent="0.2">
      <c r="A2083">
        <v>43440</v>
      </c>
      <c r="B2083" s="3" t="s">
        <v>1228</v>
      </c>
      <c r="C2083" s="7" t="s">
        <v>452</v>
      </c>
      <c r="D2083" s="7" t="s">
        <v>183</v>
      </c>
      <c r="E2083" s="7">
        <v>619</v>
      </c>
      <c r="G2083" s="7" t="s">
        <v>1554</v>
      </c>
      <c r="H2083" s="7" t="s">
        <v>1360</v>
      </c>
      <c r="I2083" s="7" t="s">
        <v>1228</v>
      </c>
      <c r="J2083" s="7" t="s">
        <v>543</v>
      </c>
      <c r="K2083" s="7" t="s">
        <v>180</v>
      </c>
      <c r="L2083" s="11">
        <v>774.57</v>
      </c>
      <c r="M2083" s="11">
        <v>30187.05</v>
      </c>
      <c r="N2083" s="9">
        <f t="shared" si="67"/>
        <v>-774.57</v>
      </c>
    </row>
    <row r="2084" spans="1:14" ht="12.75" hidden="1" customHeight="1" x14ac:dyDescent="0.2">
      <c r="A2084">
        <v>65025</v>
      </c>
      <c r="B2084" s="3" t="s">
        <v>1246</v>
      </c>
      <c r="C2084" s="7" t="s">
        <v>222</v>
      </c>
      <c r="D2084" s="7" t="s">
        <v>221</v>
      </c>
      <c r="F2084" s="7" t="s">
        <v>446</v>
      </c>
      <c r="G2084" s="7" t="s">
        <v>1554</v>
      </c>
      <c r="H2084" s="7" t="s">
        <v>1362</v>
      </c>
      <c r="I2084" s="7" t="s">
        <v>1246</v>
      </c>
      <c r="K2084" s="7" t="s">
        <v>584</v>
      </c>
      <c r="L2084" s="11">
        <v>35</v>
      </c>
      <c r="M2084" s="11">
        <v>1446.96</v>
      </c>
      <c r="N2084" s="9">
        <f t="shared" si="67"/>
        <v>35</v>
      </c>
    </row>
    <row r="2085" spans="1:14" ht="12.75" hidden="1" customHeight="1" x14ac:dyDescent="0.2">
      <c r="A2085">
        <v>65036</v>
      </c>
      <c r="B2085" s="3" t="s">
        <v>1249</v>
      </c>
      <c r="C2085" s="7" t="s">
        <v>222</v>
      </c>
      <c r="D2085" s="7" t="s">
        <v>221</v>
      </c>
      <c r="F2085" s="7" t="s">
        <v>1011</v>
      </c>
      <c r="G2085" s="7" t="s">
        <v>1554</v>
      </c>
      <c r="H2085" s="7" t="s">
        <v>1362</v>
      </c>
      <c r="I2085" s="7" t="s">
        <v>1249</v>
      </c>
      <c r="K2085" s="7" t="s">
        <v>584</v>
      </c>
      <c r="L2085" s="11">
        <v>67.459999999999994</v>
      </c>
      <c r="M2085" s="11">
        <v>5013.26</v>
      </c>
      <c r="N2085" s="9">
        <f t="shared" si="67"/>
        <v>67.459999999999994</v>
      </c>
    </row>
    <row r="2086" spans="1:14" ht="12.75" hidden="1" customHeight="1" x14ac:dyDescent="0.2">
      <c r="A2086">
        <v>65036</v>
      </c>
      <c r="B2086" s="3" t="s">
        <v>1249</v>
      </c>
      <c r="C2086" s="7" t="s">
        <v>585</v>
      </c>
      <c r="D2086" s="7" t="s">
        <v>221</v>
      </c>
      <c r="F2086" s="7" t="s">
        <v>1011</v>
      </c>
      <c r="G2086" s="7" t="s">
        <v>1554</v>
      </c>
      <c r="H2086" s="7" t="s">
        <v>1362</v>
      </c>
      <c r="I2086" s="7" t="s">
        <v>1249</v>
      </c>
      <c r="K2086" s="7" t="s">
        <v>584</v>
      </c>
      <c r="L2086" s="11">
        <v>41.76</v>
      </c>
      <c r="M2086" s="11">
        <v>5083.4799999999996</v>
      </c>
      <c r="N2086" s="9">
        <f t="shared" si="67"/>
        <v>41.76</v>
      </c>
    </row>
    <row r="2087" spans="1:14" ht="12.75" hidden="1" customHeight="1" x14ac:dyDescent="0.2">
      <c r="A2087">
        <v>65060</v>
      </c>
      <c r="B2087" s="3" t="s">
        <v>1253</v>
      </c>
      <c r="C2087" s="7" t="s">
        <v>701</v>
      </c>
      <c r="D2087" s="7" t="s">
        <v>221</v>
      </c>
      <c r="F2087" s="7" t="s">
        <v>934</v>
      </c>
      <c r="G2087" s="7" t="s">
        <v>1554</v>
      </c>
      <c r="H2087" s="7" t="s">
        <v>1362</v>
      </c>
      <c r="I2087" s="7" t="s">
        <v>1253</v>
      </c>
      <c r="K2087" s="7" t="s">
        <v>584</v>
      </c>
      <c r="L2087" s="11">
        <v>388</v>
      </c>
      <c r="M2087" s="11">
        <v>951.78</v>
      </c>
      <c r="N2087" s="9">
        <f t="shared" si="67"/>
        <v>388</v>
      </c>
    </row>
    <row r="2088" spans="1:14" ht="12.75" hidden="1" customHeight="1" x14ac:dyDescent="0.2">
      <c r="A2088">
        <v>65060</v>
      </c>
      <c r="B2088" s="3" t="s">
        <v>1253</v>
      </c>
      <c r="C2088" s="7" t="s">
        <v>698</v>
      </c>
      <c r="D2088" s="7" t="s">
        <v>221</v>
      </c>
      <c r="F2088" s="7" t="s">
        <v>610</v>
      </c>
      <c r="G2088" s="7" t="s">
        <v>1554</v>
      </c>
      <c r="H2088" s="7" t="s">
        <v>1362</v>
      </c>
      <c r="I2088" s="7" t="s">
        <v>1253</v>
      </c>
      <c r="K2088" s="7" t="s">
        <v>584</v>
      </c>
      <c r="L2088" s="11">
        <v>182</v>
      </c>
      <c r="M2088" s="11">
        <v>1504.2</v>
      </c>
      <c r="N2088" s="9">
        <f t="shared" si="67"/>
        <v>182</v>
      </c>
    </row>
    <row r="2089" spans="1:14" ht="12.75" hidden="1" customHeight="1" x14ac:dyDescent="0.2">
      <c r="A2089">
        <v>65061</v>
      </c>
      <c r="B2089" s="3" t="s">
        <v>1253</v>
      </c>
      <c r="C2089" s="7" t="s">
        <v>976</v>
      </c>
      <c r="D2089" s="7" t="s">
        <v>200</v>
      </c>
      <c r="E2089" s="7">
        <v>1010</v>
      </c>
      <c r="F2089" s="7" t="s">
        <v>633</v>
      </c>
      <c r="G2089" s="7" t="s">
        <v>1554</v>
      </c>
      <c r="H2089" s="7" t="s">
        <v>1362</v>
      </c>
      <c r="I2089" s="7" t="s">
        <v>1253</v>
      </c>
      <c r="K2089" s="7" t="s">
        <v>584</v>
      </c>
      <c r="L2089" s="11">
        <v>1958.53</v>
      </c>
      <c r="M2089" s="11">
        <v>-1646.75</v>
      </c>
      <c r="N2089" s="9">
        <f t="shared" si="67"/>
        <v>1958.53</v>
      </c>
    </row>
    <row r="2090" spans="1:14" ht="12.75" hidden="1" customHeight="1" x14ac:dyDescent="0.2">
      <c r="A2090">
        <v>65061</v>
      </c>
      <c r="B2090" s="3" t="s">
        <v>1253</v>
      </c>
      <c r="C2090" s="7" t="s">
        <v>293</v>
      </c>
      <c r="D2090" s="7" t="s">
        <v>200</v>
      </c>
      <c r="F2090" s="7" t="s">
        <v>241</v>
      </c>
      <c r="G2090" s="7" t="s">
        <v>1554</v>
      </c>
      <c r="H2090" s="7" t="s">
        <v>1362</v>
      </c>
      <c r="I2090" s="7" t="s">
        <v>1253</v>
      </c>
      <c r="K2090" s="7" t="s">
        <v>584</v>
      </c>
      <c r="L2090" s="11">
        <v>47.15</v>
      </c>
      <c r="M2090" s="11">
        <v>85870.67</v>
      </c>
      <c r="N2090" s="9">
        <f t="shared" si="67"/>
        <v>47.15</v>
      </c>
    </row>
    <row r="2091" spans="1:14" ht="12.75" hidden="1" customHeight="1" x14ac:dyDescent="0.2">
      <c r="A2091">
        <v>65061</v>
      </c>
      <c r="B2091" s="3" t="s">
        <v>1253</v>
      </c>
      <c r="C2091" s="7" t="s">
        <v>293</v>
      </c>
      <c r="D2091" s="7" t="s">
        <v>200</v>
      </c>
      <c r="F2091" s="7" t="s">
        <v>241</v>
      </c>
      <c r="G2091" s="7" t="s">
        <v>1554</v>
      </c>
      <c r="H2091" s="7" t="s">
        <v>1362</v>
      </c>
      <c r="I2091" s="7" t="s">
        <v>1253</v>
      </c>
      <c r="K2091" s="7" t="s">
        <v>584</v>
      </c>
      <c r="L2091" s="11">
        <v>3.43</v>
      </c>
      <c r="M2091" s="11">
        <v>85874.1</v>
      </c>
      <c r="N2091" s="9">
        <f t="shared" si="67"/>
        <v>3.43</v>
      </c>
    </row>
    <row r="2092" spans="1:14" ht="12.75" hidden="1" customHeight="1" x14ac:dyDescent="0.2">
      <c r="A2092">
        <v>65061</v>
      </c>
      <c r="B2092" s="3" t="s">
        <v>1253</v>
      </c>
      <c r="C2092" s="7" t="s">
        <v>290</v>
      </c>
      <c r="D2092" s="7" t="s">
        <v>200</v>
      </c>
      <c r="F2092" s="7" t="s">
        <v>810</v>
      </c>
      <c r="G2092" s="7" t="s">
        <v>1554</v>
      </c>
      <c r="H2092" s="7" t="s">
        <v>1362</v>
      </c>
      <c r="I2092" s="7" t="s">
        <v>1253</v>
      </c>
      <c r="K2092" s="7" t="s">
        <v>584</v>
      </c>
      <c r="L2092" s="11">
        <v>9</v>
      </c>
      <c r="M2092" s="11">
        <v>88486.94</v>
      </c>
      <c r="N2092" s="9">
        <f t="shared" si="67"/>
        <v>9</v>
      </c>
    </row>
    <row r="2093" spans="1:14" ht="12.75" hidden="1" customHeight="1" x14ac:dyDescent="0.2">
      <c r="A2093">
        <v>65061</v>
      </c>
      <c r="B2093" s="3" t="s">
        <v>1253</v>
      </c>
      <c r="C2093" s="7" t="s">
        <v>755</v>
      </c>
      <c r="D2093" s="7" t="s">
        <v>221</v>
      </c>
      <c r="F2093" s="7" t="s">
        <v>756</v>
      </c>
      <c r="G2093" s="7" t="s">
        <v>1554</v>
      </c>
      <c r="H2093" s="7" t="s">
        <v>1362</v>
      </c>
      <c r="I2093" s="7" t="s">
        <v>1253</v>
      </c>
      <c r="K2093" s="7" t="s">
        <v>584</v>
      </c>
      <c r="L2093" s="11">
        <v>1378.8</v>
      </c>
      <c r="M2093" s="11">
        <v>123375.92</v>
      </c>
      <c r="N2093" s="9">
        <f t="shared" si="67"/>
        <v>1378.8</v>
      </c>
    </row>
    <row r="2094" spans="1:14" ht="12.75" hidden="1" customHeight="1" x14ac:dyDescent="0.2">
      <c r="A2094">
        <v>65061</v>
      </c>
      <c r="B2094" s="3" t="s">
        <v>1253</v>
      </c>
      <c r="C2094" s="7" t="s">
        <v>749</v>
      </c>
      <c r="D2094" s="7" t="s">
        <v>221</v>
      </c>
      <c r="G2094" s="7" t="s">
        <v>1554</v>
      </c>
      <c r="H2094" s="7" t="s">
        <v>1362</v>
      </c>
      <c r="I2094" s="7" t="s">
        <v>1253</v>
      </c>
      <c r="K2094" s="7" t="s">
        <v>584</v>
      </c>
      <c r="L2094" s="11">
        <v>173.95</v>
      </c>
      <c r="M2094" s="11">
        <v>125156.04</v>
      </c>
      <c r="N2094" s="9">
        <f t="shared" si="67"/>
        <v>173.95</v>
      </c>
    </row>
    <row r="2095" spans="1:14" ht="12.75" hidden="1" customHeight="1" x14ac:dyDescent="0.2">
      <c r="A2095">
        <v>65061</v>
      </c>
      <c r="B2095" s="3" t="s">
        <v>1253</v>
      </c>
      <c r="C2095" s="7" t="s">
        <v>238</v>
      </c>
      <c r="D2095" s="7" t="s">
        <v>221</v>
      </c>
      <c r="F2095" s="7" t="s">
        <v>562</v>
      </c>
      <c r="G2095" s="7" t="s">
        <v>1554</v>
      </c>
      <c r="H2095" s="7" t="s">
        <v>1362</v>
      </c>
      <c r="I2095" s="7" t="s">
        <v>1253</v>
      </c>
      <c r="K2095" s="7" t="s">
        <v>584</v>
      </c>
      <c r="L2095" s="11">
        <v>199.99</v>
      </c>
      <c r="M2095" s="11">
        <v>129303.2</v>
      </c>
      <c r="N2095" s="9">
        <f t="shared" si="67"/>
        <v>199.99</v>
      </c>
    </row>
    <row r="2096" spans="1:14" ht="12.75" hidden="1" customHeight="1" x14ac:dyDescent="0.2">
      <c r="A2096">
        <v>65061</v>
      </c>
      <c r="B2096" s="3" t="s">
        <v>1253</v>
      </c>
      <c r="C2096" s="7" t="s">
        <v>193</v>
      </c>
      <c r="D2096" s="7" t="s">
        <v>221</v>
      </c>
      <c r="F2096" s="7" t="s">
        <v>724</v>
      </c>
      <c r="G2096" s="7" t="s">
        <v>1554</v>
      </c>
      <c r="H2096" s="7" t="s">
        <v>1362</v>
      </c>
      <c r="I2096" s="7" t="s">
        <v>1253</v>
      </c>
      <c r="K2096" s="7" t="s">
        <v>584</v>
      </c>
      <c r="L2096" s="11">
        <v>119.64</v>
      </c>
      <c r="M2096" s="11">
        <v>135948.10999999999</v>
      </c>
      <c r="N2096" s="9">
        <f t="shared" si="67"/>
        <v>119.64</v>
      </c>
    </row>
    <row r="2097" spans="1:14" ht="12.75" hidden="1" customHeight="1" x14ac:dyDescent="0.2">
      <c r="A2097">
        <v>65061</v>
      </c>
      <c r="B2097" s="3" t="s">
        <v>1253</v>
      </c>
      <c r="C2097" s="7" t="s">
        <v>493</v>
      </c>
      <c r="D2097" s="7" t="s">
        <v>221</v>
      </c>
      <c r="F2097" s="7" t="s">
        <v>570</v>
      </c>
      <c r="G2097" s="7" t="s">
        <v>1554</v>
      </c>
      <c r="H2097" s="7" t="s">
        <v>1362</v>
      </c>
      <c r="I2097" s="7" t="s">
        <v>1253</v>
      </c>
      <c r="K2097" s="7" t="s">
        <v>584</v>
      </c>
      <c r="L2097" s="11">
        <v>547.78</v>
      </c>
      <c r="M2097" s="11">
        <v>143888.29</v>
      </c>
      <c r="N2097" s="9">
        <f t="shared" si="67"/>
        <v>547.78</v>
      </c>
    </row>
    <row r="2098" spans="1:14" ht="12.75" hidden="1" customHeight="1" x14ac:dyDescent="0.2">
      <c r="A2098">
        <v>65061</v>
      </c>
      <c r="B2098" s="3" t="s">
        <v>1253</v>
      </c>
      <c r="C2098" s="7" t="s">
        <v>430</v>
      </c>
      <c r="D2098" s="7" t="s">
        <v>221</v>
      </c>
      <c r="F2098" s="7" t="s">
        <v>564</v>
      </c>
      <c r="G2098" s="7" t="s">
        <v>1554</v>
      </c>
      <c r="H2098" s="7" t="s">
        <v>1362</v>
      </c>
      <c r="I2098" s="7" t="s">
        <v>1253</v>
      </c>
      <c r="K2098" s="7" t="s">
        <v>584</v>
      </c>
      <c r="L2098" s="11">
        <v>61.17</v>
      </c>
      <c r="M2098" s="11">
        <v>146526.35999999999</v>
      </c>
      <c r="N2098" s="9">
        <f t="shared" si="67"/>
        <v>61.17</v>
      </c>
    </row>
    <row r="2099" spans="1:14" ht="12.75" hidden="1" customHeight="1" x14ac:dyDescent="0.2">
      <c r="A2099">
        <v>65061</v>
      </c>
      <c r="B2099" s="3" t="s">
        <v>1253</v>
      </c>
      <c r="C2099" s="7" t="s">
        <v>222</v>
      </c>
      <c r="D2099" s="7" t="s">
        <v>221</v>
      </c>
      <c r="F2099" s="7" t="s">
        <v>597</v>
      </c>
      <c r="G2099" s="7" t="s">
        <v>1554</v>
      </c>
      <c r="H2099" s="7" t="s">
        <v>1362</v>
      </c>
      <c r="I2099" s="7" t="s">
        <v>1253</v>
      </c>
      <c r="K2099" s="7" t="s">
        <v>584</v>
      </c>
      <c r="L2099" s="11">
        <v>17.670000000000002</v>
      </c>
      <c r="M2099" s="11">
        <v>150548.34</v>
      </c>
      <c r="N2099" s="9">
        <f t="shared" si="67"/>
        <v>17.670000000000002</v>
      </c>
    </row>
    <row r="2100" spans="1:14" ht="12.75" hidden="1" customHeight="1" x14ac:dyDescent="0.2">
      <c r="A2100">
        <v>65061</v>
      </c>
      <c r="B2100" s="3" t="s">
        <v>1253</v>
      </c>
      <c r="C2100" s="7" t="s">
        <v>218</v>
      </c>
      <c r="D2100" s="7" t="s">
        <v>221</v>
      </c>
      <c r="F2100" s="7" t="s">
        <v>355</v>
      </c>
      <c r="G2100" s="7" t="s">
        <v>1554</v>
      </c>
      <c r="H2100" s="7" t="s">
        <v>1362</v>
      </c>
      <c r="I2100" s="7" t="s">
        <v>1253</v>
      </c>
      <c r="K2100" s="7" t="s">
        <v>584</v>
      </c>
      <c r="L2100" s="11">
        <v>4.99</v>
      </c>
      <c r="M2100" s="11">
        <v>154036.41</v>
      </c>
      <c r="N2100" s="9">
        <f t="shared" si="67"/>
        <v>4.99</v>
      </c>
    </row>
    <row r="2101" spans="1:14" ht="12.75" hidden="1" customHeight="1" x14ac:dyDescent="0.2">
      <c r="A2101">
        <v>65061</v>
      </c>
      <c r="B2101" s="3" t="s">
        <v>1253</v>
      </c>
      <c r="C2101" s="7" t="s">
        <v>429</v>
      </c>
      <c r="D2101" s="7" t="s">
        <v>221</v>
      </c>
      <c r="F2101" s="7" t="s">
        <v>352</v>
      </c>
      <c r="G2101" s="7" t="s">
        <v>1554</v>
      </c>
      <c r="H2101" s="7" t="s">
        <v>1362</v>
      </c>
      <c r="I2101" s="7" t="s">
        <v>1253</v>
      </c>
      <c r="K2101" s="7" t="s">
        <v>584</v>
      </c>
      <c r="L2101" s="11">
        <v>22.91</v>
      </c>
      <c r="M2101" s="11">
        <v>154660.1</v>
      </c>
      <c r="N2101" s="9">
        <f t="shared" si="67"/>
        <v>22.91</v>
      </c>
    </row>
    <row r="2102" spans="1:14" ht="12.75" hidden="1" customHeight="1" x14ac:dyDescent="0.2">
      <c r="A2102">
        <v>65061</v>
      </c>
      <c r="B2102" s="3" t="s">
        <v>1253</v>
      </c>
      <c r="C2102" s="7" t="s">
        <v>650</v>
      </c>
      <c r="D2102" s="7" t="s">
        <v>221</v>
      </c>
      <c r="F2102" s="7" t="s">
        <v>564</v>
      </c>
      <c r="G2102" s="7" t="s">
        <v>1554</v>
      </c>
      <c r="H2102" s="7" t="s">
        <v>1362</v>
      </c>
      <c r="I2102" s="7" t="s">
        <v>1253</v>
      </c>
      <c r="K2102" s="7" t="s">
        <v>584</v>
      </c>
      <c r="L2102" s="11">
        <v>138.81</v>
      </c>
      <c r="M2102" s="11">
        <v>164849.01</v>
      </c>
      <c r="N2102" s="9">
        <f t="shared" si="67"/>
        <v>138.81</v>
      </c>
    </row>
    <row r="2103" spans="1:14" ht="12.75" hidden="1" customHeight="1" x14ac:dyDescent="0.2">
      <c r="A2103">
        <v>65061</v>
      </c>
      <c r="B2103" s="3" t="s">
        <v>1253</v>
      </c>
      <c r="C2103" s="7" t="s">
        <v>214</v>
      </c>
      <c r="D2103" s="7" t="s">
        <v>200</v>
      </c>
      <c r="E2103" s="7">
        <v>476</v>
      </c>
      <c r="F2103" s="7" t="s">
        <v>635</v>
      </c>
      <c r="G2103" s="7" t="s">
        <v>1554</v>
      </c>
      <c r="H2103" s="7" t="s">
        <v>1362</v>
      </c>
      <c r="I2103" s="7" t="s">
        <v>1253</v>
      </c>
      <c r="K2103" s="7" t="s">
        <v>198</v>
      </c>
      <c r="L2103" s="11">
        <v>539.36</v>
      </c>
      <c r="M2103" s="11">
        <v>170255.13</v>
      </c>
      <c r="N2103" s="9">
        <f t="shared" si="67"/>
        <v>539.36</v>
      </c>
    </row>
    <row r="2104" spans="1:14" ht="12.75" hidden="1" customHeight="1" x14ac:dyDescent="0.2">
      <c r="A2104">
        <v>65061</v>
      </c>
      <c r="B2104" s="3" t="s">
        <v>1253</v>
      </c>
      <c r="C2104" s="7" t="s">
        <v>214</v>
      </c>
      <c r="D2104" s="7" t="s">
        <v>200</v>
      </c>
      <c r="E2104" s="7">
        <v>481</v>
      </c>
      <c r="F2104" s="7" t="s">
        <v>633</v>
      </c>
      <c r="G2104" s="7" t="s">
        <v>1554</v>
      </c>
      <c r="H2104" s="7" t="s">
        <v>1362</v>
      </c>
      <c r="I2104" s="7" t="s">
        <v>1253</v>
      </c>
      <c r="K2104" s="7" t="s">
        <v>198</v>
      </c>
      <c r="L2104" s="11">
        <v>285.93</v>
      </c>
      <c r="M2104" s="11">
        <v>170694.96</v>
      </c>
      <c r="N2104" s="9">
        <f t="shared" si="67"/>
        <v>285.93</v>
      </c>
    </row>
    <row r="2105" spans="1:14" ht="12.75" hidden="1" customHeight="1" x14ac:dyDescent="0.2">
      <c r="A2105">
        <v>65061</v>
      </c>
      <c r="B2105" s="3" t="s">
        <v>1253</v>
      </c>
      <c r="C2105" s="7" t="s">
        <v>617</v>
      </c>
      <c r="D2105" s="7" t="s">
        <v>221</v>
      </c>
      <c r="F2105" s="7" t="s">
        <v>570</v>
      </c>
      <c r="G2105" s="7" t="s">
        <v>1554</v>
      </c>
      <c r="H2105" s="7" t="s">
        <v>1362</v>
      </c>
      <c r="I2105" s="7" t="s">
        <v>1253</v>
      </c>
      <c r="K2105" s="7" t="s">
        <v>584</v>
      </c>
      <c r="L2105" s="11">
        <v>867.86</v>
      </c>
      <c r="M2105" s="11">
        <v>178405.9</v>
      </c>
      <c r="N2105" s="9">
        <f t="shared" si="67"/>
        <v>867.86</v>
      </c>
    </row>
    <row r="2106" spans="1:14" ht="12.75" hidden="1" customHeight="1" x14ac:dyDescent="0.2">
      <c r="A2106">
        <v>65061</v>
      </c>
      <c r="B2106" s="3" t="s">
        <v>1253</v>
      </c>
      <c r="C2106" s="7" t="s">
        <v>434</v>
      </c>
      <c r="D2106" s="7" t="s">
        <v>221</v>
      </c>
      <c r="F2106" s="7" t="s">
        <v>605</v>
      </c>
      <c r="G2106" s="7" t="s">
        <v>1554</v>
      </c>
      <c r="H2106" s="7" t="s">
        <v>1362</v>
      </c>
      <c r="I2106" s="7" t="s">
        <v>1253</v>
      </c>
      <c r="K2106" s="7" t="s">
        <v>584</v>
      </c>
      <c r="L2106" s="11">
        <v>13</v>
      </c>
      <c r="M2106" s="11">
        <v>180789.24</v>
      </c>
      <c r="N2106" s="9">
        <f t="shared" si="67"/>
        <v>13</v>
      </c>
    </row>
    <row r="2107" spans="1:14" ht="12.75" hidden="1" customHeight="1" x14ac:dyDescent="0.2">
      <c r="A2107">
        <v>65061</v>
      </c>
      <c r="B2107" s="3" t="s">
        <v>1253</v>
      </c>
      <c r="C2107" s="7" t="s">
        <v>434</v>
      </c>
      <c r="D2107" s="7" t="s">
        <v>221</v>
      </c>
      <c r="F2107" s="7" t="s">
        <v>355</v>
      </c>
      <c r="G2107" s="7" t="s">
        <v>1554</v>
      </c>
      <c r="H2107" s="7" t="s">
        <v>1362</v>
      </c>
      <c r="I2107" s="7" t="s">
        <v>1253</v>
      </c>
      <c r="K2107" s="7" t="s">
        <v>584</v>
      </c>
      <c r="L2107" s="11">
        <v>27.29</v>
      </c>
      <c r="M2107" s="11">
        <v>180816.53</v>
      </c>
      <c r="N2107" s="9">
        <f t="shared" si="67"/>
        <v>27.29</v>
      </c>
    </row>
    <row r="2108" spans="1:14" ht="12.75" hidden="1" customHeight="1" x14ac:dyDescent="0.2">
      <c r="A2108">
        <v>65061</v>
      </c>
      <c r="B2108" s="3" t="s">
        <v>1253</v>
      </c>
      <c r="C2108" s="7" t="s">
        <v>585</v>
      </c>
      <c r="D2108" s="7" t="s">
        <v>221</v>
      </c>
      <c r="F2108" s="7" t="s">
        <v>599</v>
      </c>
      <c r="G2108" s="7" t="s">
        <v>1554</v>
      </c>
      <c r="H2108" s="7" t="s">
        <v>1362</v>
      </c>
      <c r="I2108" s="7" t="s">
        <v>1253</v>
      </c>
      <c r="K2108" s="7" t="s">
        <v>584</v>
      </c>
      <c r="L2108" s="11">
        <v>6.78</v>
      </c>
      <c r="M2108" s="11">
        <v>181309.61</v>
      </c>
      <c r="N2108" s="9">
        <f t="shared" si="67"/>
        <v>6.78</v>
      </c>
    </row>
    <row r="2109" spans="1:14" ht="12.75" hidden="1" customHeight="1" x14ac:dyDescent="0.2">
      <c r="A2109">
        <v>65061</v>
      </c>
      <c r="B2109" s="3" t="s">
        <v>1253</v>
      </c>
      <c r="C2109" s="7" t="s">
        <v>585</v>
      </c>
      <c r="D2109" s="7" t="s">
        <v>221</v>
      </c>
      <c r="F2109" s="7" t="s">
        <v>568</v>
      </c>
      <c r="G2109" s="7" t="s">
        <v>1554</v>
      </c>
      <c r="H2109" s="7" t="s">
        <v>1362</v>
      </c>
      <c r="I2109" s="7" t="s">
        <v>1253</v>
      </c>
      <c r="K2109" s="7" t="s">
        <v>584</v>
      </c>
      <c r="L2109" s="11">
        <v>79.989999999999995</v>
      </c>
      <c r="M2109" s="11">
        <v>183829.91</v>
      </c>
      <c r="N2109" s="9">
        <f t="shared" si="67"/>
        <v>79.989999999999995</v>
      </c>
    </row>
    <row r="2110" spans="1:14" ht="12.75" hidden="1" customHeight="1" x14ac:dyDescent="0.2">
      <c r="A2110">
        <v>65062</v>
      </c>
      <c r="B2110" s="3" t="s">
        <v>1254</v>
      </c>
      <c r="C2110" s="7" t="s">
        <v>452</v>
      </c>
      <c r="D2110" s="7" t="s">
        <v>183</v>
      </c>
      <c r="E2110" s="7">
        <v>619</v>
      </c>
      <c r="G2110" s="7" t="s">
        <v>1554</v>
      </c>
      <c r="H2110" s="7" t="s">
        <v>1362</v>
      </c>
      <c r="I2110" s="7" t="s">
        <v>1254</v>
      </c>
      <c r="J2110" s="7" t="s">
        <v>484</v>
      </c>
      <c r="K2110" s="7" t="s">
        <v>180</v>
      </c>
      <c r="L2110" s="11">
        <v>675</v>
      </c>
      <c r="M2110" s="11">
        <v>29412.48</v>
      </c>
      <c r="N2110" s="9">
        <f t="shared" si="67"/>
        <v>675</v>
      </c>
    </row>
    <row r="2111" spans="1:14" ht="12.75" hidden="1" customHeight="1" x14ac:dyDescent="0.2">
      <c r="A2111">
        <v>65062</v>
      </c>
      <c r="B2111" s="3" t="s">
        <v>1254</v>
      </c>
      <c r="C2111" s="7" t="s">
        <v>452</v>
      </c>
      <c r="D2111" s="7" t="s">
        <v>183</v>
      </c>
      <c r="E2111" s="7">
        <v>619</v>
      </c>
      <c r="G2111" s="7" t="s">
        <v>1554</v>
      </c>
      <c r="H2111" s="7" t="s">
        <v>1362</v>
      </c>
      <c r="I2111" s="7" t="s">
        <v>1254</v>
      </c>
      <c r="J2111" s="7" t="s">
        <v>483</v>
      </c>
      <c r="K2111" s="7" t="s">
        <v>180</v>
      </c>
      <c r="L2111" s="11">
        <v>774.57</v>
      </c>
      <c r="M2111" s="11">
        <v>30187.05</v>
      </c>
      <c r="N2111" s="9">
        <f t="shared" si="67"/>
        <v>774.57</v>
      </c>
    </row>
    <row r="2112" spans="1:14" ht="12.75" hidden="1" customHeight="1" x14ac:dyDescent="0.2">
      <c r="A2112">
        <v>65063</v>
      </c>
      <c r="B2112" s="3" t="s">
        <v>1255</v>
      </c>
      <c r="C2112" s="7" t="s">
        <v>452</v>
      </c>
      <c r="D2112" s="7" t="s">
        <v>183</v>
      </c>
      <c r="E2112" s="7">
        <v>619</v>
      </c>
      <c r="G2112" s="7" t="s">
        <v>1554</v>
      </c>
      <c r="H2112" s="7" t="s">
        <v>1362</v>
      </c>
      <c r="I2112" s="7" t="s">
        <v>1255</v>
      </c>
      <c r="J2112" s="7" t="s">
        <v>450</v>
      </c>
      <c r="K2112" s="7" t="s">
        <v>180</v>
      </c>
      <c r="L2112" s="11">
        <v>928</v>
      </c>
      <c r="M2112" s="11">
        <v>19450.5</v>
      </c>
      <c r="N2112" s="9">
        <f t="shared" si="67"/>
        <v>928</v>
      </c>
    </row>
    <row r="2113" spans="1:14" ht="12.75" customHeight="1" x14ac:dyDescent="0.2">
      <c r="A2113">
        <v>43400</v>
      </c>
      <c r="B2113" s="3" t="s">
        <v>1224</v>
      </c>
      <c r="C2113" s="7" t="s">
        <v>1648</v>
      </c>
      <c r="D2113" s="7" t="s">
        <v>242</v>
      </c>
      <c r="F2113" s="7" t="s">
        <v>665</v>
      </c>
      <c r="G2113" s="7" t="s">
        <v>1579</v>
      </c>
      <c r="H2113" s="7" t="s">
        <v>1359</v>
      </c>
      <c r="I2113" s="7" t="s">
        <v>1224</v>
      </c>
      <c r="K2113" s="39" t="s">
        <v>1580</v>
      </c>
      <c r="L2113" s="40">
        <v>269.79000000000002</v>
      </c>
      <c r="M2113" s="40">
        <v>313543.61</v>
      </c>
      <c r="N2113" s="41">
        <f>-L2113</f>
        <v>-269.79000000000002</v>
      </c>
    </row>
    <row r="2114" spans="1:14" ht="12.75" customHeight="1" x14ac:dyDescent="0.2">
      <c r="A2114">
        <v>43400</v>
      </c>
      <c r="B2114" s="3" t="s">
        <v>1224</v>
      </c>
      <c r="C2114" s="7" t="s">
        <v>511</v>
      </c>
      <c r="D2114" s="7" t="s">
        <v>242</v>
      </c>
      <c r="F2114" s="7" t="s">
        <v>665</v>
      </c>
      <c r="G2114" s="7" t="s">
        <v>1801</v>
      </c>
      <c r="H2114" s="7" t="s">
        <v>1359</v>
      </c>
      <c r="I2114" s="7" t="s">
        <v>1224</v>
      </c>
      <c r="K2114" s="7" t="s">
        <v>1192</v>
      </c>
      <c r="L2114" s="11">
        <v>1000</v>
      </c>
      <c r="M2114" s="11">
        <v>90971.25</v>
      </c>
      <c r="N2114" s="9">
        <f>IF(A2114&lt;60000,-L2114,+L2114)</f>
        <v>-1000</v>
      </c>
    </row>
    <row r="2115" spans="1:14" ht="12.75" customHeight="1" x14ac:dyDescent="0.2">
      <c r="A2115">
        <v>43400</v>
      </c>
      <c r="B2115" s="3" t="s">
        <v>1224</v>
      </c>
      <c r="C2115" s="7" t="s">
        <v>676</v>
      </c>
      <c r="D2115" s="7" t="s">
        <v>242</v>
      </c>
      <c r="F2115" s="7" t="s">
        <v>665</v>
      </c>
      <c r="G2115" s="7" t="s">
        <v>1586</v>
      </c>
      <c r="H2115" s="7" t="s">
        <v>1359</v>
      </c>
      <c r="I2115" s="7" t="s">
        <v>1224</v>
      </c>
      <c r="K2115" s="7" t="s">
        <v>1136</v>
      </c>
      <c r="L2115" s="11">
        <v>100</v>
      </c>
      <c r="M2115" s="11">
        <v>183667.31</v>
      </c>
      <c r="N2115" s="9">
        <f>IF(A2115&lt;60000,-L2115,+L2115)</f>
        <v>-100</v>
      </c>
    </row>
    <row r="2116" spans="1:14" ht="12.75" customHeight="1" x14ac:dyDescent="0.2">
      <c r="A2116">
        <v>43400</v>
      </c>
      <c r="B2116" s="3" t="s">
        <v>1224</v>
      </c>
      <c r="C2116" s="7" t="s">
        <v>1559</v>
      </c>
      <c r="D2116" s="7" t="s">
        <v>242</v>
      </c>
      <c r="F2116" s="7" t="s">
        <v>665</v>
      </c>
      <c r="G2116" s="7" t="s">
        <v>1560</v>
      </c>
      <c r="H2116" s="7" t="s">
        <v>1359</v>
      </c>
      <c r="I2116" s="7" t="s">
        <v>1224</v>
      </c>
      <c r="K2116" s="39" t="s">
        <v>1197</v>
      </c>
      <c r="L2116" s="40">
        <v>50</v>
      </c>
      <c r="M2116" s="40">
        <v>214872.57</v>
      </c>
      <c r="N2116" s="41">
        <f>-L2116</f>
        <v>-50</v>
      </c>
    </row>
    <row r="2117" spans="1:14" ht="12.75" customHeight="1" x14ac:dyDescent="0.2">
      <c r="A2117">
        <v>43400</v>
      </c>
      <c r="B2117" s="3" t="s">
        <v>1224</v>
      </c>
      <c r="C2117" s="7" t="s">
        <v>1635</v>
      </c>
      <c r="D2117" s="7" t="s">
        <v>242</v>
      </c>
      <c r="F2117" s="7" t="s">
        <v>1636</v>
      </c>
      <c r="G2117" s="7" t="s">
        <v>1637</v>
      </c>
      <c r="H2117" s="7" t="s">
        <v>1359</v>
      </c>
      <c r="I2117" s="7" t="s">
        <v>1224</v>
      </c>
      <c r="K2117" s="39" t="s">
        <v>1189</v>
      </c>
      <c r="L2117" s="40">
        <v>2500</v>
      </c>
      <c r="M2117" s="40">
        <v>286392.89</v>
      </c>
      <c r="N2117" s="41">
        <f>-L2117</f>
        <v>-2500</v>
      </c>
    </row>
    <row r="2118" spans="1:14" ht="12.75" hidden="1" customHeight="1" x14ac:dyDescent="0.2">
      <c r="A2118">
        <v>65020</v>
      </c>
      <c r="B2118" s="3" t="s">
        <v>1245</v>
      </c>
      <c r="C2118" s="7" t="s">
        <v>1686</v>
      </c>
      <c r="D2118" s="7" t="s">
        <v>221</v>
      </c>
      <c r="F2118" s="7" t="s">
        <v>300</v>
      </c>
      <c r="G2118" s="7" t="s">
        <v>1554</v>
      </c>
      <c r="H2118" s="7" t="s">
        <v>1362</v>
      </c>
      <c r="I2118" s="7" t="s">
        <v>1245</v>
      </c>
      <c r="K2118" s="39" t="s">
        <v>584</v>
      </c>
      <c r="L2118" s="40">
        <v>30.93</v>
      </c>
      <c r="M2118" s="40">
        <v>1697.74</v>
      </c>
      <c r="N2118" s="40">
        <f t="shared" ref="N2118:N2165" si="68">+L2118</f>
        <v>30.93</v>
      </c>
    </row>
    <row r="2119" spans="1:14" ht="12.75" hidden="1" customHeight="1" x14ac:dyDescent="0.2">
      <c r="A2119">
        <v>65020</v>
      </c>
      <c r="B2119" s="3" t="s">
        <v>1245</v>
      </c>
      <c r="C2119" s="7" t="s">
        <v>1760</v>
      </c>
      <c r="D2119" s="7" t="s">
        <v>221</v>
      </c>
      <c r="F2119" s="7" t="s">
        <v>300</v>
      </c>
      <c r="G2119" s="7" t="s">
        <v>1554</v>
      </c>
      <c r="H2119" s="7" t="s">
        <v>1362</v>
      </c>
      <c r="I2119" s="7" t="s">
        <v>1245</v>
      </c>
      <c r="K2119" s="39" t="s">
        <v>584</v>
      </c>
      <c r="L2119" s="40">
        <v>24.65</v>
      </c>
      <c r="M2119" s="40">
        <v>3445.13</v>
      </c>
      <c r="N2119" s="40">
        <f t="shared" si="68"/>
        <v>24.65</v>
      </c>
    </row>
    <row r="2120" spans="1:14" ht="12.75" hidden="1" customHeight="1" x14ac:dyDescent="0.2">
      <c r="A2120">
        <v>65040</v>
      </c>
      <c r="B2120" s="3" t="s">
        <v>1836</v>
      </c>
      <c r="C2120" s="7" t="s">
        <v>1703</v>
      </c>
      <c r="D2120" s="7" t="s">
        <v>221</v>
      </c>
      <c r="F2120" s="7" t="s">
        <v>243</v>
      </c>
      <c r="G2120" s="7" t="s">
        <v>1554</v>
      </c>
      <c r="H2120" s="7" t="s">
        <v>1362</v>
      </c>
      <c r="I2120" s="7" t="s">
        <v>1250</v>
      </c>
      <c r="K2120" s="39" t="s">
        <v>584</v>
      </c>
      <c r="L2120" s="40">
        <v>16.079999999999998</v>
      </c>
      <c r="M2120" s="40">
        <v>2544.6999999999998</v>
      </c>
      <c r="N2120" s="40">
        <f t="shared" si="68"/>
        <v>16.079999999999998</v>
      </c>
    </row>
    <row r="2121" spans="1:14" ht="12.75" hidden="1" customHeight="1" x14ac:dyDescent="0.2">
      <c r="A2121">
        <v>65061</v>
      </c>
      <c r="B2121" s="3" t="s">
        <v>1844</v>
      </c>
      <c r="C2121" s="7" t="s">
        <v>1570</v>
      </c>
      <c r="D2121" s="7" t="s">
        <v>221</v>
      </c>
      <c r="F2121" s="7" t="s">
        <v>1875</v>
      </c>
      <c r="G2121" s="7" t="s">
        <v>1554</v>
      </c>
      <c r="H2121" s="7" t="s">
        <v>1362</v>
      </c>
      <c r="I2121" s="7" t="s">
        <v>1253</v>
      </c>
      <c r="K2121" s="39" t="s">
        <v>584</v>
      </c>
      <c r="L2121" s="40">
        <v>157</v>
      </c>
      <c r="M2121" s="40">
        <v>221029.81</v>
      </c>
      <c r="N2121" s="40">
        <f t="shared" si="68"/>
        <v>157</v>
      </c>
    </row>
    <row r="2122" spans="1:14" ht="12.75" hidden="1" customHeight="1" x14ac:dyDescent="0.2">
      <c r="A2122">
        <v>65061</v>
      </c>
      <c r="B2122" s="3" t="s">
        <v>1844</v>
      </c>
      <c r="C2122" s="7" t="s">
        <v>1765</v>
      </c>
      <c r="D2122" s="7" t="s">
        <v>221</v>
      </c>
      <c r="F2122" s="7" t="s">
        <v>722</v>
      </c>
      <c r="G2122" s="7" t="s">
        <v>1554</v>
      </c>
      <c r="H2122" s="7" t="s">
        <v>1362</v>
      </c>
      <c r="I2122" s="7" t="s">
        <v>1253</v>
      </c>
      <c r="K2122" s="39" t="s">
        <v>584</v>
      </c>
      <c r="L2122" s="40">
        <v>125</v>
      </c>
      <c r="M2122" s="40">
        <v>225211.27</v>
      </c>
      <c r="N2122" s="40">
        <f t="shared" si="68"/>
        <v>125</v>
      </c>
    </row>
    <row r="2123" spans="1:14" ht="12.75" hidden="1" customHeight="1" x14ac:dyDescent="0.2">
      <c r="A2123">
        <v>65061</v>
      </c>
      <c r="B2123" s="3" t="s">
        <v>1844</v>
      </c>
      <c r="C2123" s="7" t="s">
        <v>1575</v>
      </c>
      <c r="D2123" s="7" t="s">
        <v>221</v>
      </c>
      <c r="F2123" s="7" t="s">
        <v>1882</v>
      </c>
      <c r="G2123" s="7" t="s">
        <v>1554</v>
      </c>
      <c r="H2123" s="7" t="s">
        <v>1362</v>
      </c>
      <c r="I2123" s="7" t="s">
        <v>1253</v>
      </c>
      <c r="K2123" s="39" t="s">
        <v>584</v>
      </c>
      <c r="L2123" s="40">
        <v>63.73</v>
      </c>
      <c r="M2123" s="40">
        <v>226195.83</v>
      </c>
      <c r="N2123" s="40">
        <f t="shared" si="68"/>
        <v>63.73</v>
      </c>
    </row>
    <row r="2124" spans="1:14" ht="12.75" hidden="1" customHeight="1" x14ac:dyDescent="0.2">
      <c r="A2124">
        <v>65061</v>
      </c>
      <c r="B2124" s="3" t="s">
        <v>1844</v>
      </c>
      <c r="C2124" s="7" t="s">
        <v>1576</v>
      </c>
      <c r="D2124" s="7" t="s">
        <v>221</v>
      </c>
      <c r="F2124" s="7" t="s">
        <v>1883</v>
      </c>
      <c r="G2124" s="7" t="s">
        <v>1554</v>
      </c>
      <c r="H2124" s="7" t="s">
        <v>1362</v>
      </c>
      <c r="I2124" s="7" t="s">
        <v>1253</v>
      </c>
      <c r="K2124" s="39" t="s">
        <v>584</v>
      </c>
      <c r="L2124" s="40">
        <v>144.71</v>
      </c>
      <c r="M2124" s="40">
        <v>227358.69</v>
      </c>
      <c r="N2124" s="40">
        <f t="shared" si="68"/>
        <v>144.71</v>
      </c>
    </row>
    <row r="2125" spans="1:14" ht="12.75" hidden="1" customHeight="1" x14ac:dyDescent="0.2">
      <c r="A2125">
        <v>65061</v>
      </c>
      <c r="B2125" s="3" t="s">
        <v>1844</v>
      </c>
      <c r="C2125" s="7" t="s">
        <v>1576</v>
      </c>
      <c r="D2125" s="7" t="s">
        <v>221</v>
      </c>
      <c r="F2125" s="7" t="s">
        <v>1884</v>
      </c>
      <c r="G2125" s="7" t="s">
        <v>1554</v>
      </c>
      <c r="H2125" s="7" t="s">
        <v>1362</v>
      </c>
      <c r="I2125" s="7" t="s">
        <v>1253</v>
      </c>
      <c r="K2125" s="39" t="s">
        <v>584</v>
      </c>
      <c r="L2125" s="40">
        <v>109</v>
      </c>
      <c r="M2125" s="40">
        <v>228261.62</v>
      </c>
      <c r="N2125" s="40">
        <f t="shared" si="68"/>
        <v>109</v>
      </c>
    </row>
    <row r="2126" spans="1:14" ht="12.75" hidden="1" customHeight="1" x14ac:dyDescent="0.2">
      <c r="A2126">
        <v>65061</v>
      </c>
      <c r="B2126" s="3" t="s">
        <v>1844</v>
      </c>
      <c r="C2126" s="7" t="s">
        <v>1578</v>
      </c>
      <c r="D2126" s="7" t="s">
        <v>221</v>
      </c>
      <c r="F2126" s="7" t="s">
        <v>573</v>
      </c>
      <c r="G2126" s="7" t="s">
        <v>1554</v>
      </c>
      <c r="H2126" s="7" t="s">
        <v>1362</v>
      </c>
      <c r="I2126" s="7" t="s">
        <v>1253</v>
      </c>
      <c r="K2126" s="39" t="s">
        <v>584</v>
      </c>
      <c r="L2126" s="40">
        <v>394</v>
      </c>
      <c r="M2126" s="40">
        <v>232405.53</v>
      </c>
      <c r="N2126" s="40">
        <f t="shared" si="68"/>
        <v>394</v>
      </c>
    </row>
    <row r="2127" spans="1:14" ht="12.75" hidden="1" customHeight="1" x14ac:dyDescent="0.2">
      <c r="A2127">
        <v>65061</v>
      </c>
      <c r="B2127" s="3" t="s">
        <v>1844</v>
      </c>
      <c r="C2127" s="7" t="s">
        <v>1578</v>
      </c>
      <c r="D2127" s="7" t="s">
        <v>221</v>
      </c>
      <c r="F2127" s="7" t="s">
        <v>569</v>
      </c>
      <c r="G2127" s="7" t="s">
        <v>1554</v>
      </c>
      <c r="H2127" s="7" t="s">
        <v>1362</v>
      </c>
      <c r="I2127" s="7" t="s">
        <v>1253</v>
      </c>
      <c r="K2127" s="39" t="s">
        <v>584</v>
      </c>
      <c r="L2127" s="40">
        <v>8</v>
      </c>
      <c r="M2127" s="40">
        <v>232413.53</v>
      </c>
      <c r="N2127" s="40">
        <f t="shared" si="68"/>
        <v>8</v>
      </c>
    </row>
    <row r="2128" spans="1:14" ht="12.75" hidden="1" customHeight="1" x14ac:dyDescent="0.2">
      <c r="A2128">
        <v>65061</v>
      </c>
      <c r="B2128" s="3" t="s">
        <v>1844</v>
      </c>
      <c r="C2128" s="7" t="s">
        <v>1578</v>
      </c>
      <c r="D2128" s="7" t="s">
        <v>221</v>
      </c>
      <c r="F2128" s="7" t="s">
        <v>624</v>
      </c>
      <c r="G2128" s="7" t="s">
        <v>1554</v>
      </c>
      <c r="H2128" s="7" t="s">
        <v>1362</v>
      </c>
      <c r="I2128" s="7" t="s">
        <v>1253</v>
      </c>
      <c r="K2128" s="39" t="s">
        <v>584</v>
      </c>
      <c r="L2128" s="40">
        <v>279.10000000000002</v>
      </c>
      <c r="M2128" s="40">
        <v>232692.63</v>
      </c>
      <c r="N2128" s="40">
        <f t="shared" si="68"/>
        <v>279.10000000000002</v>
      </c>
    </row>
    <row r="2129" spans="1:14" ht="12.75" hidden="1" customHeight="1" x14ac:dyDescent="0.2">
      <c r="A2129">
        <v>65061</v>
      </c>
      <c r="B2129" s="3" t="s">
        <v>1844</v>
      </c>
      <c r="C2129" s="7" t="s">
        <v>1578</v>
      </c>
      <c r="D2129" s="7" t="s">
        <v>200</v>
      </c>
      <c r="E2129" s="7">
        <v>501</v>
      </c>
      <c r="F2129" s="7" t="s">
        <v>633</v>
      </c>
      <c r="G2129" s="7" t="s">
        <v>1554</v>
      </c>
      <c r="H2129" s="7" t="s">
        <v>1362</v>
      </c>
      <c r="I2129" s="7" t="s">
        <v>1253</v>
      </c>
      <c r="J2129" s="39" t="s">
        <v>1886</v>
      </c>
      <c r="K2129" s="39" t="s">
        <v>198</v>
      </c>
      <c r="L2129" s="40">
        <v>184.91</v>
      </c>
      <c r="M2129" s="40">
        <v>232902.54</v>
      </c>
      <c r="N2129" s="40">
        <f t="shared" si="68"/>
        <v>184.91</v>
      </c>
    </row>
    <row r="2130" spans="1:14" ht="12.75" hidden="1" customHeight="1" x14ac:dyDescent="0.2">
      <c r="A2130">
        <v>65061</v>
      </c>
      <c r="B2130" s="3" t="s">
        <v>1844</v>
      </c>
      <c r="C2130" s="7" t="s">
        <v>1578</v>
      </c>
      <c r="D2130" s="7" t="s">
        <v>221</v>
      </c>
      <c r="F2130" s="7" t="s">
        <v>569</v>
      </c>
      <c r="G2130" s="7" t="s">
        <v>1554</v>
      </c>
      <c r="H2130" s="7" t="s">
        <v>1362</v>
      </c>
      <c r="I2130" s="7" t="s">
        <v>1253</v>
      </c>
      <c r="K2130" s="39" t="s">
        <v>584</v>
      </c>
      <c r="L2130" s="40">
        <v>70.5</v>
      </c>
      <c r="M2130" s="40">
        <v>233274.04</v>
      </c>
      <c r="N2130" s="40">
        <f t="shared" si="68"/>
        <v>70.5</v>
      </c>
    </row>
    <row r="2131" spans="1:14" ht="12.75" hidden="1" customHeight="1" x14ac:dyDescent="0.2">
      <c r="A2131">
        <v>65061</v>
      </c>
      <c r="B2131" s="3" t="s">
        <v>1844</v>
      </c>
      <c r="C2131" s="7" t="s">
        <v>1583</v>
      </c>
      <c r="D2131" s="7" t="s">
        <v>221</v>
      </c>
      <c r="F2131" s="7" t="s">
        <v>569</v>
      </c>
      <c r="G2131" s="7" t="s">
        <v>1554</v>
      </c>
      <c r="H2131" s="7" t="s">
        <v>1362</v>
      </c>
      <c r="I2131" s="7" t="s">
        <v>1253</v>
      </c>
      <c r="K2131" s="39" t="s">
        <v>584</v>
      </c>
      <c r="L2131" s="40">
        <v>75</v>
      </c>
      <c r="M2131" s="40">
        <v>234637.82</v>
      </c>
      <c r="N2131" s="40">
        <f t="shared" si="68"/>
        <v>75</v>
      </c>
    </row>
    <row r="2132" spans="1:14" ht="12.75" hidden="1" customHeight="1" x14ac:dyDescent="0.2">
      <c r="A2132">
        <v>65061</v>
      </c>
      <c r="B2132" s="3" t="s">
        <v>1844</v>
      </c>
      <c r="C2132" s="7" t="s">
        <v>1583</v>
      </c>
      <c r="D2132" s="7" t="s">
        <v>221</v>
      </c>
      <c r="F2132" s="7" t="s">
        <v>769</v>
      </c>
      <c r="G2132" s="7" t="s">
        <v>1554</v>
      </c>
      <c r="H2132" s="7" t="s">
        <v>1362</v>
      </c>
      <c r="I2132" s="7" t="s">
        <v>1253</v>
      </c>
      <c r="K2132" s="39" t="s">
        <v>584</v>
      </c>
      <c r="L2132" s="40">
        <v>89.81</v>
      </c>
      <c r="M2132" s="40">
        <v>234727.63</v>
      </c>
      <c r="N2132" s="40">
        <f t="shared" si="68"/>
        <v>89.81</v>
      </c>
    </row>
    <row r="2133" spans="1:14" ht="12.75" hidden="1" customHeight="1" x14ac:dyDescent="0.2">
      <c r="A2133">
        <v>65061</v>
      </c>
      <c r="B2133" s="3" t="s">
        <v>1844</v>
      </c>
      <c r="C2133" s="7" t="s">
        <v>1553</v>
      </c>
      <c r="D2133" s="7" t="s">
        <v>242</v>
      </c>
      <c r="F2133" s="7" t="s">
        <v>569</v>
      </c>
      <c r="G2133" s="7" t="s">
        <v>1554</v>
      </c>
      <c r="H2133" s="7" t="s">
        <v>1362</v>
      </c>
      <c r="I2133" s="7" t="s">
        <v>1253</v>
      </c>
      <c r="K2133" s="39" t="s">
        <v>584</v>
      </c>
      <c r="L2133" s="40">
        <v>-2.41</v>
      </c>
      <c r="M2133" s="40">
        <v>236112.11</v>
      </c>
      <c r="N2133" s="40">
        <f t="shared" si="68"/>
        <v>-2.41</v>
      </c>
    </row>
    <row r="2134" spans="1:14" ht="12.75" hidden="1" customHeight="1" x14ac:dyDescent="0.2">
      <c r="A2134">
        <v>65061</v>
      </c>
      <c r="B2134" s="3" t="s">
        <v>1844</v>
      </c>
      <c r="C2134" s="7" t="s">
        <v>1585</v>
      </c>
      <c r="D2134" s="7" t="s">
        <v>221</v>
      </c>
      <c r="F2134" s="7" t="s">
        <v>265</v>
      </c>
      <c r="G2134" s="7" t="s">
        <v>1554</v>
      </c>
      <c r="H2134" s="7" t="s">
        <v>1362</v>
      </c>
      <c r="I2134" s="7" t="s">
        <v>1253</v>
      </c>
      <c r="K2134" s="39" t="s">
        <v>584</v>
      </c>
      <c r="L2134" s="40">
        <v>56.67</v>
      </c>
      <c r="M2134" s="40">
        <v>236611.85</v>
      </c>
      <c r="N2134" s="40">
        <f t="shared" si="68"/>
        <v>56.67</v>
      </c>
    </row>
    <row r="2135" spans="1:14" ht="12.75" hidden="1" customHeight="1" x14ac:dyDescent="0.2">
      <c r="A2135">
        <v>65061</v>
      </c>
      <c r="B2135" s="3" t="s">
        <v>1844</v>
      </c>
      <c r="C2135" s="7" t="s">
        <v>1587</v>
      </c>
      <c r="D2135" s="7" t="s">
        <v>221</v>
      </c>
      <c r="F2135" s="7" t="s">
        <v>265</v>
      </c>
      <c r="G2135" s="7" t="s">
        <v>1554</v>
      </c>
      <c r="H2135" s="7" t="s">
        <v>1362</v>
      </c>
      <c r="I2135" s="7" t="s">
        <v>1253</v>
      </c>
      <c r="K2135" s="39" t="s">
        <v>584</v>
      </c>
      <c r="L2135" s="40">
        <v>149</v>
      </c>
      <c r="M2135" s="40">
        <v>237154.27</v>
      </c>
      <c r="N2135" s="40">
        <f t="shared" si="68"/>
        <v>149</v>
      </c>
    </row>
    <row r="2136" spans="1:14" ht="12.75" hidden="1" customHeight="1" x14ac:dyDescent="0.2">
      <c r="A2136">
        <v>65061</v>
      </c>
      <c r="B2136" s="3" t="s">
        <v>1844</v>
      </c>
      <c r="C2136" s="7" t="s">
        <v>1587</v>
      </c>
      <c r="D2136" s="7" t="s">
        <v>221</v>
      </c>
      <c r="F2136" s="7" t="s">
        <v>562</v>
      </c>
      <c r="G2136" s="7" t="s">
        <v>1554</v>
      </c>
      <c r="H2136" s="7" t="s">
        <v>1362</v>
      </c>
      <c r="I2136" s="7" t="s">
        <v>1253</v>
      </c>
      <c r="K2136" s="39" t="s">
        <v>584</v>
      </c>
      <c r="L2136" s="40">
        <v>301.94</v>
      </c>
      <c r="M2136" s="40">
        <v>237492.08</v>
      </c>
      <c r="N2136" s="40">
        <f t="shared" si="68"/>
        <v>301.94</v>
      </c>
    </row>
    <row r="2137" spans="1:14" ht="12.75" hidden="1" customHeight="1" x14ac:dyDescent="0.2">
      <c r="A2137">
        <v>65061</v>
      </c>
      <c r="B2137" s="3" t="s">
        <v>1844</v>
      </c>
      <c r="C2137" s="7" t="s">
        <v>1555</v>
      </c>
      <c r="D2137" s="7" t="s">
        <v>221</v>
      </c>
      <c r="F2137" s="7" t="s">
        <v>355</v>
      </c>
      <c r="G2137" s="7" t="s">
        <v>1554</v>
      </c>
      <c r="H2137" s="7" t="s">
        <v>1362</v>
      </c>
      <c r="I2137" s="7" t="s">
        <v>1253</v>
      </c>
      <c r="K2137" s="39" t="s">
        <v>584</v>
      </c>
      <c r="L2137" s="40">
        <v>34.82</v>
      </c>
      <c r="M2137" s="40">
        <v>239148.93</v>
      </c>
      <c r="N2137" s="40">
        <f t="shared" si="68"/>
        <v>34.82</v>
      </c>
    </row>
    <row r="2138" spans="1:14" ht="12.75" hidden="1" customHeight="1" x14ac:dyDescent="0.2">
      <c r="A2138">
        <v>65061</v>
      </c>
      <c r="B2138" s="3" t="s">
        <v>1844</v>
      </c>
      <c r="C2138" s="7" t="s">
        <v>1555</v>
      </c>
      <c r="D2138" s="7" t="s">
        <v>221</v>
      </c>
      <c r="F2138" s="7" t="s">
        <v>568</v>
      </c>
      <c r="G2138" s="7" t="s">
        <v>1554</v>
      </c>
      <c r="H2138" s="7" t="s">
        <v>1362</v>
      </c>
      <c r="I2138" s="7" t="s">
        <v>1253</v>
      </c>
      <c r="K2138" s="39" t="s">
        <v>584</v>
      </c>
      <c r="L2138" s="40">
        <v>108.32</v>
      </c>
      <c r="M2138" s="40">
        <v>239257.25</v>
      </c>
      <c r="N2138" s="40">
        <f t="shared" si="68"/>
        <v>108.32</v>
      </c>
    </row>
    <row r="2139" spans="1:14" ht="12.75" hidden="1" customHeight="1" x14ac:dyDescent="0.2">
      <c r="A2139">
        <v>65061</v>
      </c>
      <c r="B2139" s="3" t="s">
        <v>1844</v>
      </c>
      <c r="C2139" s="7" t="s">
        <v>1555</v>
      </c>
      <c r="D2139" s="7" t="s">
        <v>221</v>
      </c>
      <c r="F2139" s="7" t="s">
        <v>1897</v>
      </c>
      <c r="G2139" s="7" t="s">
        <v>1554</v>
      </c>
      <c r="H2139" s="7" t="s">
        <v>1362</v>
      </c>
      <c r="I2139" s="7" t="s">
        <v>1253</v>
      </c>
      <c r="K2139" s="39" t="s">
        <v>584</v>
      </c>
      <c r="L2139" s="40">
        <v>17.43</v>
      </c>
      <c r="M2139" s="40">
        <v>239274.68</v>
      </c>
      <c r="N2139" s="40">
        <f t="shared" si="68"/>
        <v>17.43</v>
      </c>
    </row>
    <row r="2140" spans="1:14" ht="12.75" hidden="1" customHeight="1" x14ac:dyDescent="0.2">
      <c r="A2140">
        <v>65061</v>
      </c>
      <c r="B2140" s="3" t="s">
        <v>1844</v>
      </c>
      <c r="C2140" s="7" t="s">
        <v>1555</v>
      </c>
      <c r="D2140" s="7" t="s">
        <v>221</v>
      </c>
      <c r="F2140" s="7" t="s">
        <v>564</v>
      </c>
      <c r="G2140" s="7" t="s">
        <v>1554</v>
      </c>
      <c r="H2140" s="7" t="s">
        <v>1362</v>
      </c>
      <c r="I2140" s="7" t="s">
        <v>1253</v>
      </c>
      <c r="K2140" s="39" t="s">
        <v>584</v>
      </c>
      <c r="L2140" s="40">
        <v>14.98</v>
      </c>
      <c r="M2140" s="40">
        <v>239289.66</v>
      </c>
      <c r="N2140" s="40">
        <f t="shared" si="68"/>
        <v>14.98</v>
      </c>
    </row>
    <row r="2141" spans="1:14" ht="12.75" hidden="1" customHeight="1" x14ac:dyDescent="0.2">
      <c r="A2141">
        <v>65061</v>
      </c>
      <c r="B2141" s="3" t="s">
        <v>1844</v>
      </c>
      <c r="C2141" s="7" t="s">
        <v>1555</v>
      </c>
      <c r="D2141" s="7" t="s">
        <v>221</v>
      </c>
      <c r="F2141" s="7" t="s">
        <v>1898</v>
      </c>
      <c r="G2141" s="7" t="s">
        <v>1554</v>
      </c>
      <c r="H2141" s="7" t="s">
        <v>1362</v>
      </c>
      <c r="I2141" s="7" t="s">
        <v>1253</v>
      </c>
      <c r="K2141" s="39" t="s">
        <v>584</v>
      </c>
      <c r="L2141" s="40">
        <v>94.98</v>
      </c>
      <c r="M2141" s="40">
        <v>239384.64</v>
      </c>
      <c r="N2141" s="40">
        <f t="shared" si="68"/>
        <v>94.98</v>
      </c>
    </row>
    <row r="2142" spans="1:14" ht="12.75" hidden="1" customHeight="1" x14ac:dyDescent="0.2">
      <c r="A2142">
        <v>65061</v>
      </c>
      <c r="B2142" s="3" t="s">
        <v>1844</v>
      </c>
      <c r="C2142" s="7" t="s">
        <v>1555</v>
      </c>
      <c r="D2142" s="7" t="s">
        <v>221</v>
      </c>
      <c r="F2142" s="7" t="s">
        <v>1831</v>
      </c>
      <c r="G2142" s="7" t="s">
        <v>1554</v>
      </c>
      <c r="H2142" s="7" t="s">
        <v>1362</v>
      </c>
      <c r="I2142" s="7" t="s">
        <v>1253</v>
      </c>
      <c r="K2142" s="39" t="s">
        <v>584</v>
      </c>
      <c r="L2142" s="40">
        <v>50</v>
      </c>
      <c r="M2142" s="40">
        <v>239434.64</v>
      </c>
      <c r="N2142" s="40">
        <f t="shared" si="68"/>
        <v>50</v>
      </c>
    </row>
    <row r="2143" spans="1:14" ht="12.75" hidden="1" customHeight="1" x14ac:dyDescent="0.2">
      <c r="A2143">
        <v>65061</v>
      </c>
      <c r="B2143" s="3" t="s">
        <v>1844</v>
      </c>
      <c r="C2143" s="7" t="s">
        <v>1780</v>
      </c>
      <c r="D2143" s="7" t="s">
        <v>221</v>
      </c>
      <c r="F2143" s="7" t="s">
        <v>1904</v>
      </c>
      <c r="G2143" s="7" t="s">
        <v>1554</v>
      </c>
      <c r="H2143" s="7" t="s">
        <v>1362</v>
      </c>
      <c r="I2143" s="7" t="s">
        <v>1253</v>
      </c>
      <c r="K2143" s="39" t="s">
        <v>584</v>
      </c>
      <c r="L2143" s="40">
        <v>8.19</v>
      </c>
      <c r="M2143" s="40">
        <v>241806.25</v>
      </c>
      <c r="N2143" s="40">
        <f t="shared" si="68"/>
        <v>8.19</v>
      </c>
    </row>
    <row r="2144" spans="1:14" ht="12.75" hidden="1" customHeight="1" x14ac:dyDescent="0.2">
      <c r="A2144">
        <v>65061</v>
      </c>
      <c r="B2144" s="3" t="s">
        <v>1844</v>
      </c>
      <c r="C2144" s="7" t="s">
        <v>1780</v>
      </c>
      <c r="D2144" s="7" t="s">
        <v>221</v>
      </c>
      <c r="F2144" s="7" t="s">
        <v>564</v>
      </c>
      <c r="G2144" s="7" t="s">
        <v>1554</v>
      </c>
      <c r="H2144" s="7" t="s">
        <v>1362</v>
      </c>
      <c r="I2144" s="7" t="s">
        <v>1253</v>
      </c>
      <c r="K2144" s="39" t="s">
        <v>584</v>
      </c>
      <c r="L2144" s="40">
        <v>8.5299999999999994</v>
      </c>
      <c r="M2144" s="40">
        <v>241814.78</v>
      </c>
      <c r="N2144" s="40">
        <f t="shared" si="68"/>
        <v>8.5299999999999994</v>
      </c>
    </row>
    <row r="2145" spans="1:14" ht="12.75" hidden="1" customHeight="1" x14ac:dyDescent="0.2">
      <c r="A2145">
        <v>65061</v>
      </c>
      <c r="B2145" s="3" t="s">
        <v>1844</v>
      </c>
      <c r="C2145" s="7" t="s">
        <v>1780</v>
      </c>
      <c r="D2145" s="7" t="s">
        <v>221</v>
      </c>
      <c r="F2145" s="7" t="s">
        <v>769</v>
      </c>
      <c r="G2145" s="7" t="s">
        <v>1554</v>
      </c>
      <c r="H2145" s="7" t="s">
        <v>1362</v>
      </c>
      <c r="I2145" s="7" t="s">
        <v>1253</v>
      </c>
      <c r="K2145" s="39" t="s">
        <v>584</v>
      </c>
      <c r="L2145" s="40">
        <v>50.05</v>
      </c>
      <c r="M2145" s="40">
        <v>241864.83</v>
      </c>
      <c r="N2145" s="40">
        <f t="shared" si="68"/>
        <v>50.05</v>
      </c>
    </row>
    <row r="2146" spans="1:14" ht="12.75" hidden="1" customHeight="1" x14ac:dyDescent="0.2">
      <c r="A2146">
        <v>65061</v>
      </c>
      <c r="B2146" s="3" t="s">
        <v>1844</v>
      </c>
      <c r="C2146" s="7" t="s">
        <v>1780</v>
      </c>
      <c r="D2146" s="7" t="s">
        <v>221</v>
      </c>
      <c r="F2146" s="7" t="s">
        <v>564</v>
      </c>
      <c r="G2146" s="7" t="s">
        <v>1554</v>
      </c>
      <c r="H2146" s="7" t="s">
        <v>1362</v>
      </c>
      <c r="I2146" s="7" t="s">
        <v>1253</v>
      </c>
      <c r="K2146" s="39" t="s">
        <v>584</v>
      </c>
      <c r="L2146" s="40">
        <v>12.97</v>
      </c>
      <c r="M2146" s="40">
        <v>241877.8</v>
      </c>
      <c r="N2146" s="40">
        <f t="shared" si="68"/>
        <v>12.97</v>
      </c>
    </row>
    <row r="2147" spans="1:14" ht="12.75" hidden="1" customHeight="1" x14ac:dyDescent="0.2">
      <c r="A2147">
        <v>65061</v>
      </c>
      <c r="B2147" s="3" t="s">
        <v>1844</v>
      </c>
      <c r="C2147" s="7" t="s">
        <v>1780</v>
      </c>
      <c r="D2147" s="7" t="s">
        <v>221</v>
      </c>
      <c r="F2147" s="7" t="s">
        <v>564</v>
      </c>
      <c r="G2147" s="7" t="s">
        <v>1554</v>
      </c>
      <c r="H2147" s="7" t="s">
        <v>1362</v>
      </c>
      <c r="I2147" s="7" t="s">
        <v>1253</v>
      </c>
      <c r="K2147" s="39" t="s">
        <v>584</v>
      </c>
      <c r="L2147" s="40">
        <v>12.79</v>
      </c>
      <c r="M2147" s="40">
        <v>241890.59</v>
      </c>
      <c r="N2147" s="40">
        <f t="shared" si="68"/>
        <v>12.79</v>
      </c>
    </row>
    <row r="2148" spans="1:14" ht="12.75" hidden="1" customHeight="1" x14ac:dyDescent="0.2">
      <c r="A2148">
        <v>65061</v>
      </c>
      <c r="B2148" s="3" t="s">
        <v>1844</v>
      </c>
      <c r="C2148" s="7" t="s">
        <v>1780</v>
      </c>
      <c r="D2148" s="7" t="s">
        <v>221</v>
      </c>
      <c r="F2148" s="7" t="s">
        <v>564</v>
      </c>
      <c r="G2148" s="7" t="s">
        <v>1554</v>
      </c>
      <c r="H2148" s="7" t="s">
        <v>1362</v>
      </c>
      <c r="I2148" s="7" t="s">
        <v>1253</v>
      </c>
      <c r="K2148" s="39" t="s">
        <v>584</v>
      </c>
      <c r="L2148" s="40">
        <v>16</v>
      </c>
      <c r="M2148" s="40">
        <v>241906.59</v>
      </c>
      <c r="N2148" s="40">
        <f t="shared" si="68"/>
        <v>16</v>
      </c>
    </row>
    <row r="2149" spans="1:14" ht="12.75" hidden="1" customHeight="1" x14ac:dyDescent="0.2">
      <c r="A2149">
        <v>65061</v>
      </c>
      <c r="B2149" s="3" t="s">
        <v>1844</v>
      </c>
      <c r="C2149" s="7" t="s">
        <v>1780</v>
      </c>
      <c r="D2149" s="7" t="s">
        <v>221</v>
      </c>
      <c r="F2149" s="7" t="s">
        <v>345</v>
      </c>
      <c r="G2149" s="7" t="s">
        <v>1554</v>
      </c>
      <c r="H2149" s="7" t="s">
        <v>1362</v>
      </c>
      <c r="I2149" s="7" t="s">
        <v>1253</v>
      </c>
      <c r="K2149" s="39" t="s">
        <v>584</v>
      </c>
      <c r="L2149" s="40">
        <v>6.64</v>
      </c>
      <c r="M2149" s="40">
        <v>241913.23</v>
      </c>
      <c r="N2149" s="40">
        <f t="shared" si="68"/>
        <v>6.64</v>
      </c>
    </row>
    <row r="2150" spans="1:14" ht="12.75" hidden="1" customHeight="1" x14ac:dyDescent="0.2">
      <c r="A2150">
        <v>65061</v>
      </c>
      <c r="B2150" s="3" t="s">
        <v>1844</v>
      </c>
      <c r="C2150" s="7" t="s">
        <v>1780</v>
      </c>
      <c r="D2150" s="7" t="s">
        <v>221</v>
      </c>
      <c r="F2150" s="7" t="s">
        <v>564</v>
      </c>
      <c r="G2150" s="7" t="s">
        <v>1554</v>
      </c>
      <c r="H2150" s="7" t="s">
        <v>1362</v>
      </c>
      <c r="I2150" s="7" t="s">
        <v>1253</v>
      </c>
      <c r="K2150" s="39" t="s">
        <v>584</v>
      </c>
      <c r="L2150" s="40">
        <v>7.97</v>
      </c>
      <c r="M2150" s="40">
        <v>241921.2</v>
      </c>
      <c r="N2150" s="40">
        <f t="shared" si="68"/>
        <v>7.97</v>
      </c>
    </row>
    <row r="2151" spans="1:14" ht="12.75" hidden="1" customHeight="1" x14ac:dyDescent="0.2">
      <c r="A2151">
        <v>65061</v>
      </c>
      <c r="B2151" s="3" t="s">
        <v>1844</v>
      </c>
      <c r="C2151" s="7" t="s">
        <v>1905</v>
      </c>
      <c r="D2151" s="7" t="s">
        <v>242</v>
      </c>
      <c r="F2151" s="7" t="s">
        <v>1889</v>
      </c>
      <c r="G2151" s="7" t="s">
        <v>1554</v>
      </c>
      <c r="H2151" s="7" t="s">
        <v>1362</v>
      </c>
      <c r="I2151" s="7" t="s">
        <v>1253</v>
      </c>
      <c r="K2151" s="39" t="s">
        <v>584</v>
      </c>
      <c r="L2151" s="40">
        <v>-56.61</v>
      </c>
      <c r="M2151" s="40">
        <v>242280.82</v>
      </c>
      <c r="N2151" s="40">
        <f t="shared" si="68"/>
        <v>-56.61</v>
      </c>
    </row>
    <row r="2152" spans="1:14" ht="12.75" hidden="1" customHeight="1" x14ac:dyDescent="0.2">
      <c r="A2152">
        <v>65061</v>
      </c>
      <c r="B2152" s="3" t="s">
        <v>1844</v>
      </c>
      <c r="C2152" s="7" t="s">
        <v>1804</v>
      </c>
      <c r="D2152" s="7" t="s">
        <v>242</v>
      </c>
      <c r="F2152" s="7" t="s">
        <v>1918</v>
      </c>
      <c r="G2152" s="7" t="s">
        <v>1554</v>
      </c>
      <c r="H2152" s="7" t="s">
        <v>1362</v>
      </c>
      <c r="I2152" s="7" t="s">
        <v>1253</v>
      </c>
      <c r="K2152" s="39" t="s">
        <v>584</v>
      </c>
      <c r="L2152" s="40">
        <v>-29.98</v>
      </c>
      <c r="M2152" s="40">
        <v>247397.04</v>
      </c>
      <c r="N2152" s="40">
        <f t="shared" si="68"/>
        <v>-29.98</v>
      </c>
    </row>
    <row r="2153" spans="1:14" ht="12.75" hidden="1" customHeight="1" x14ac:dyDescent="0.2">
      <c r="A2153">
        <v>65061</v>
      </c>
      <c r="B2153" s="3" t="s">
        <v>1844</v>
      </c>
      <c r="C2153" s="7" t="s">
        <v>1704</v>
      </c>
      <c r="D2153" s="7" t="s">
        <v>221</v>
      </c>
      <c r="F2153" s="7" t="s">
        <v>241</v>
      </c>
      <c r="G2153" s="7" t="s">
        <v>1554</v>
      </c>
      <c r="H2153" s="7" t="s">
        <v>1362</v>
      </c>
      <c r="I2153" s="7" t="s">
        <v>1253</v>
      </c>
      <c r="K2153" s="39" t="s">
        <v>584</v>
      </c>
      <c r="L2153" s="40">
        <v>7.52</v>
      </c>
      <c r="M2153" s="40">
        <v>264385.09000000003</v>
      </c>
      <c r="N2153" s="40">
        <f t="shared" si="68"/>
        <v>7.52</v>
      </c>
    </row>
    <row r="2154" spans="1:14" ht="12.75" hidden="1" customHeight="1" x14ac:dyDescent="0.2">
      <c r="A2154">
        <v>65061</v>
      </c>
      <c r="B2154" s="3" t="s">
        <v>1844</v>
      </c>
      <c r="C2154" s="7" t="s">
        <v>1704</v>
      </c>
      <c r="D2154" s="7" t="s">
        <v>200</v>
      </c>
      <c r="E2154" s="7">
        <v>534</v>
      </c>
      <c r="F2154" s="7" t="s">
        <v>633</v>
      </c>
      <c r="G2154" s="7" t="s">
        <v>1554</v>
      </c>
      <c r="H2154" s="7" t="s">
        <v>1362</v>
      </c>
      <c r="I2154" s="7" t="s">
        <v>1253</v>
      </c>
      <c r="J2154" s="39" t="s">
        <v>1946</v>
      </c>
      <c r="K2154" s="39" t="s">
        <v>198</v>
      </c>
      <c r="L2154" s="40">
        <v>334.38</v>
      </c>
      <c r="M2154" s="40">
        <v>265234.61</v>
      </c>
      <c r="N2154" s="40">
        <f t="shared" si="68"/>
        <v>334.38</v>
      </c>
    </row>
    <row r="2155" spans="1:14" ht="12.75" hidden="1" customHeight="1" x14ac:dyDescent="0.2">
      <c r="A2155">
        <v>65061</v>
      </c>
      <c r="B2155" s="3" t="s">
        <v>1844</v>
      </c>
      <c r="C2155" s="7" t="s">
        <v>1617</v>
      </c>
      <c r="D2155" s="7" t="s">
        <v>221</v>
      </c>
      <c r="F2155" s="7" t="s">
        <v>223</v>
      </c>
      <c r="G2155" s="7" t="s">
        <v>1554</v>
      </c>
      <c r="H2155" s="7" t="s">
        <v>1362</v>
      </c>
      <c r="I2155" s="7" t="s">
        <v>1253</v>
      </c>
      <c r="K2155" s="39" t="s">
        <v>584</v>
      </c>
      <c r="L2155" s="40">
        <v>16.09</v>
      </c>
      <c r="M2155" s="40">
        <v>271446.2</v>
      </c>
      <c r="N2155" s="40">
        <f t="shared" si="68"/>
        <v>16.09</v>
      </c>
    </row>
    <row r="2156" spans="1:14" ht="12.75" hidden="1" customHeight="1" x14ac:dyDescent="0.2">
      <c r="A2156">
        <v>65061</v>
      </c>
      <c r="B2156" s="3" t="s">
        <v>1844</v>
      </c>
      <c r="C2156" s="7" t="s">
        <v>1617</v>
      </c>
      <c r="D2156" s="7" t="s">
        <v>221</v>
      </c>
      <c r="F2156" s="7" t="s">
        <v>355</v>
      </c>
      <c r="G2156" s="7" t="s">
        <v>1554</v>
      </c>
      <c r="H2156" s="7" t="s">
        <v>1362</v>
      </c>
      <c r="I2156" s="7" t="s">
        <v>1253</v>
      </c>
      <c r="K2156" s="39" t="s">
        <v>584</v>
      </c>
      <c r="L2156" s="40">
        <v>119.79</v>
      </c>
      <c r="M2156" s="40">
        <v>271565.99</v>
      </c>
      <c r="N2156" s="40">
        <f t="shared" si="68"/>
        <v>119.79</v>
      </c>
    </row>
    <row r="2157" spans="1:14" ht="12.75" hidden="1" customHeight="1" x14ac:dyDescent="0.2">
      <c r="A2157">
        <v>65061</v>
      </c>
      <c r="B2157" s="3" t="s">
        <v>1844</v>
      </c>
      <c r="C2157" s="7" t="s">
        <v>1663</v>
      </c>
      <c r="D2157" s="7" t="s">
        <v>221</v>
      </c>
      <c r="F2157" s="7" t="s">
        <v>265</v>
      </c>
      <c r="G2157" s="7" t="s">
        <v>1554</v>
      </c>
      <c r="H2157" s="7" t="s">
        <v>1362</v>
      </c>
      <c r="I2157" s="7" t="s">
        <v>1253</v>
      </c>
      <c r="K2157" s="39" t="s">
        <v>584</v>
      </c>
      <c r="L2157" s="40">
        <v>106.15</v>
      </c>
      <c r="M2157" s="40">
        <v>273961.78000000003</v>
      </c>
      <c r="N2157" s="40">
        <f t="shared" si="68"/>
        <v>106.15</v>
      </c>
    </row>
    <row r="2158" spans="1:14" ht="12.75" hidden="1" customHeight="1" x14ac:dyDescent="0.2">
      <c r="A2158">
        <v>65061</v>
      </c>
      <c r="B2158" s="3" t="s">
        <v>1844</v>
      </c>
      <c r="C2158" s="7" t="s">
        <v>1709</v>
      </c>
      <c r="D2158" s="7" t="s">
        <v>221</v>
      </c>
      <c r="F2158" s="7" t="s">
        <v>355</v>
      </c>
      <c r="G2158" s="7" t="s">
        <v>1554</v>
      </c>
      <c r="H2158" s="7" t="s">
        <v>1362</v>
      </c>
      <c r="I2158" s="7" t="s">
        <v>1253</v>
      </c>
      <c r="K2158" s="39" t="s">
        <v>584</v>
      </c>
      <c r="L2158" s="40">
        <v>15</v>
      </c>
      <c r="M2158" s="40">
        <v>276871.52</v>
      </c>
      <c r="N2158" s="40">
        <f t="shared" si="68"/>
        <v>15</v>
      </c>
    </row>
    <row r="2159" spans="1:14" ht="12.75" hidden="1" customHeight="1" x14ac:dyDescent="0.2">
      <c r="A2159">
        <v>65061</v>
      </c>
      <c r="B2159" s="3" t="s">
        <v>1844</v>
      </c>
      <c r="C2159" s="7" t="s">
        <v>1760</v>
      </c>
      <c r="D2159" s="7" t="s">
        <v>221</v>
      </c>
      <c r="F2159" s="7" t="s">
        <v>243</v>
      </c>
      <c r="G2159" s="7" t="s">
        <v>1554</v>
      </c>
      <c r="H2159" s="7" t="s">
        <v>1362</v>
      </c>
      <c r="I2159" s="7" t="s">
        <v>1253</v>
      </c>
      <c r="K2159" s="39" t="s">
        <v>584</v>
      </c>
      <c r="L2159" s="40">
        <v>31.07</v>
      </c>
      <c r="M2159" s="40">
        <v>277482.28999999998</v>
      </c>
      <c r="N2159" s="40">
        <f t="shared" si="68"/>
        <v>31.07</v>
      </c>
    </row>
    <row r="2160" spans="1:14" ht="12.75" hidden="1" customHeight="1" x14ac:dyDescent="0.2">
      <c r="A2160">
        <v>65061</v>
      </c>
      <c r="B2160" s="3" t="s">
        <v>1844</v>
      </c>
      <c r="C2160" s="7" t="s">
        <v>1760</v>
      </c>
      <c r="D2160" s="7" t="s">
        <v>221</v>
      </c>
      <c r="F2160" s="7" t="s">
        <v>1963</v>
      </c>
      <c r="G2160" s="7" t="s">
        <v>1554</v>
      </c>
      <c r="H2160" s="7" t="s">
        <v>1362</v>
      </c>
      <c r="I2160" s="7" t="s">
        <v>1253</v>
      </c>
      <c r="K2160" s="39" t="s">
        <v>584</v>
      </c>
      <c r="L2160" s="40">
        <v>11.32</v>
      </c>
      <c r="M2160" s="40">
        <v>280482.34999999998</v>
      </c>
      <c r="N2160" s="40">
        <f t="shared" si="68"/>
        <v>11.32</v>
      </c>
    </row>
    <row r="2161" spans="1:14" ht="12.75" hidden="1" customHeight="1" x14ac:dyDescent="0.2">
      <c r="A2161">
        <v>65061</v>
      </c>
      <c r="B2161" s="3" t="s">
        <v>1844</v>
      </c>
      <c r="C2161" s="7" t="s">
        <v>1638</v>
      </c>
      <c r="D2161" s="7" t="s">
        <v>242</v>
      </c>
      <c r="F2161" s="7" t="s">
        <v>355</v>
      </c>
      <c r="G2161" s="7" t="s">
        <v>1554</v>
      </c>
      <c r="H2161" s="7" t="s">
        <v>1362</v>
      </c>
      <c r="I2161" s="7" t="s">
        <v>1253</v>
      </c>
      <c r="K2161" s="39" t="s">
        <v>584</v>
      </c>
      <c r="L2161" s="40">
        <v>-62.13</v>
      </c>
      <c r="M2161" s="40">
        <v>295485.88</v>
      </c>
      <c r="N2161" s="40">
        <f t="shared" si="68"/>
        <v>-62.13</v>
      </c>
    </row>
    <row r="2162" spans="1:14" ht="12.75" hidden="1" customHeight="1" x14ac:dyDescent="0.2">
      <c r="A2162">
        <v>65061</v>
      </c>
      <c r="B2162" s="3" t="s">
        <v>1844</v>
      </c>
      <c r="C2162" s="7" t="s">
        <v>1646</v>
      </c>
      <c r="D2162" s="7" t="s">
        <v>200</v>
      </c>
      <c r="E2162" s="7">
        <v>564</v>
      </c>
      <c r="F2162" s="7" t="s">
        <v>1985</v>
      </c>
      <c r="G2162" s="7" t="s">
        <v>1554</v>
      </c>
      <c r="H2162" s="7" t="s">
        <v>1362</v>
      </c>
      <c r="I2162" s="7" t="s">
        <v>1253</v>
      </c>
      <c r="J2162" s="39" t="s">
        <v>1886</v>
      </c>
      <c r="K2162" s="39" t="s">
        <v>198</v>
      </c>
      <c r="L2162" s="40">
        <v>70.2</v>
      </c>
      <c r="M2162" s="40">
        <v>299664.62</v>
      </c>
      <c r="N2162" s="40">
        <f t="shared" si="68"/>
        <v>70.2</v>
      </c>
    </row>
    <row r="2163" spans="1:14" ht="12.75" hidden="1" customHeight="1" x14ac:dyDescent="0.2">
      <c r="A2163">
        <v>65061</v>
      </c>
      <c r="B2163" s="3" t="s">
        <v>1844</v>
      </c>
      <c r="C2163" s="7" t="s">
        <v>1648</v>
      </c>
      <c r="D2163" s="7" t="s">
        <v>221</v>
      </c>
      <c r="F2163" s="7" t="s">
        <v>569</v>
      </c>
      <c r="G2163" s="7" t="s">
        <v>1554</v>
      </c>
      <c r="H2163" s="7" t="s">
        <v>1362</v>
      </c>
      <c r="I2163" s="7" t="s">
        <v>1253</v>
      </c>
      <c r="K2163" s="39" t="s">
        <v>584</v>
      </c>
      <c r="L2163" s="40">
        <v>40.950000000000003</v>
      </c>
      <c r="M2163" s="40">
        <v>304092.28000000003</v>
      </c>
      <c r="N2163" s="40">
        <f t="shared" si="68"/>
        <v>40.950000000000003</v>
      </c>
    </row>
    <row r="2164" spans="1:14" ht="12.75" hidden="1" customHeight="1" x14ac:dyDescent="0.2">
      <c r="A2164">
        <v>65061</v>
      </c>
      <c r="B2164" s="3" t="s">
        <v>1844</v>
      </c>
      <c r="C2164" s="7" t="s">
        <v>1648</v>
      </c>
      <c r="D2164" s="7" t="s">
        <v>221</v>
      </c>
      <c r="F2164" s="7" t="s">
        <v>1987</v>
      </c>
      <c r="G2164" s="7" t="s">
        <v>1554</v>
      </c>
      <c r="H2164" s="7" t="s">
        <v>1362</v>
      </c>
      <c r="I2164" s="7" t="s">
        <v>1253</v>
      </c>
      <c r="K2164" s="39" t="s">
        <v>584</v>
      </c>
      <c r="L2164" s="40">
        <v>42.45</v>
      </c>
      <c r="M2164" s="40">
        <v>304174.44</v>
      </c>
      <c r="N2164" s="40">
        <f t="shared" si="68"/>
        <v>42.45</v>
      </c>
    </row>
    <row r="2165" spans="1:14" ht="12.75" hidden="1" customHeight="1" x14ac:dyDescent="0.2">
      <c r="A2165">
        <v>65061</v>
      </c>
      <c r="B2165" s="3" t="s">
        <v>1844</v>
      </c>
      <c r="C2165" s="7" t="s">
        <v>1664</v>
      </c>
      <c r="D2165" s="7" t="s">
        <v>221</v>
      </c>
      <c r="F2165" s="7" t="s">
        <v>1988</v>
      </c>
      <c r="G2165" s="7" t="s">
        <v>1554</v>
      </c>
      <c r="H2165" s="7" t="s">
        <v>1362</v>
      </c>
      <c r="I2165" s="7" t="s">
        <v>1253</v>
      </c>
      <c r="K2165" s="39" t="s">
        <v>584</v>
      </c>
      <c r="L2165" s="40">
        <v>329.15</v>
      </c>
      <c r="M2165" s="40">
        <v>305126.2</v>
      </c>
      <c r="N2165" s="40">
        <f t="shared" si="68"/>
        <v>329.15</v>
      </c>
    </row>
    <row r="2166" spans="1:14" ht="12.75" customHeight="1" x14ac:dyDescent="0.2">
      <c r="A2166">
        <v>43400</v>
      </c>
      <c r="B2166" s="3" t="s">
        <v>1224</v>
      </c>
      <c r="C2166" s="7" t="s">
        <v>1646</v>
      </c>
      <c r="D2166" s="7" t="s">
        <v>183</v>
      </c>
      <c r="E2166" s="7">
        <v>746</v>
      </c>
      <c r="G2166" s="7" t="s">
        <v>1637</v>
      </c>
      <c r="H2166" s="7" t="s">
        <v>1359</v>
      </c>
      <c r="I2166" s="7" t="s">
        <v>1224</v>
      </c>
      <c r="K2166" s="39" t="s">
        <v>180</v>
      </c>
      <c r="L2166" s="40">
        <v>94</v>
      </c>
      <c r="M2166" s="40">
        <v>309353.82</v>
      </c>
      <c r="N2166" s="41">
        <f>-L2166</f>
        <v>-94</v>
      </c>
    </row>
    <row r="2167" spans="1:14" ht="12.75" customHeight="1" x14ac:dyDescent="0.2">
      <c r="A2167">
        <v>43400</v>
      </c>
      <c r="B2167" s="3" t="s">
        <v>1224</v>
      </c>
      <c r="C2167" s="7" t="s">
        <v>1619</v>
      </c>
      <c r="D2167" s="7" t="s">
        <v>242</v>
      </c>
      <c r="F2167" s="7" t="s">
        <v>665</v>
      </c>
      <c r="G2167" s="7" t="s">
        <v>1620</v>
      </c>
      <c r="H2167" s="7" t="s">
        <v>1359</v>
      </c>
      <c r="I2167" s="7" t="s">
        <v>1224</v>
      </c>
      <c r="K2167" s="39" t="s">
        <v>1170</v>
      </c>
      <c r="L2167" s="40">
        <v>1500</v>
      </c>
      <c r="M2167" s="40">
        <v>261661.97</v>
      </c>
      <c r="N2167" s="41">
        <f>-L2167</f>
        <v>-1500</v>
      </c>
    </row>
    <row r="2168" spans="1:14" ht="12.75" customHeight="1" x14ac:dyDescent="0.2">
      <c r="A2168">
        <v>43400</v>
      </c>
      <c r="B2168" s="3" t="s">
        <v>1224</v>
      </c>
      <c r="C2168" s="7" t="s">
        <v>393</v>
      </c>
      <c r="D2168" s="7" t="s">
        <v>242</v>
      </c>
      <c r="G2168" s="7" t="s">
        <v>1637</v>
      </c>
      <c r="H2168" s="7" t="s">
        <v>1359</v>
      </c>
      <c r="I2168" s="7" t="s">
        <v>1224</v>
      </c>
      <c r="K2168" s="7" t="s">
        <v>1189</v>
      </c>
      <c r="L2168" s="11">
        <v>100</v>
      </c>
      <c r="M2168" s="11">
        <v>-9987.89</v>
      </c>
      <c r="N2168" s="9">
        <f>IF(A2168&lt;60000,-L2168,+L2168)</f>
        <v>-100</v>
      </c>
    </row>
    <row r="2169" spans="1:14" ht="12.75" customHeight="1" x14ac:dyDescent="0.2">
      <c r="A2169">
        <v>43400</v>
      </c>
      <c r="B2169" s="3" t="s">
        <v>1224</v>
      </c>
      <c r="C2169" s="7" t="s">
        <v>393</v>
      </c>
      <c r="D2169" s="7" t="s">
        <v>242</v>
      </c>
      <c r="G2169" s="7" t="s">
        <v>1637</v>
      </c>
      <c r="H2169" s="7" t="s">
        <v>1359</v>
      </c>
      <c r="I2169" s="7" t="s">
        <v>1224</v>
      </c>
      <c r="K2169" s="7" t="s">
        <v>1189</v>
      </c>
      <c r="L2169" s="11">
        <v>1967</v>
      </c>
      <c r="M2169" s="11">
        <v>-8020.89</v>
      </c>
      <c r="N2169" s="9">
        <f>IF(A2169&lt;60000,-L2169,+L2169)</f>
        <v>-1967</v>
      </c>
    </row>
    <row r="2170" spans="1:14" ht="12.75" customHeight="1" x14ac:dyDescent="0.2">
      <c r="A2170">
        <v>43400</v>
      </c>
      <c r="B2170" s="3" t="s">
        <v>1224</v>
      </c>
      <c r="C2170" s="7" t="s">
        <v>293</v>
      </c>
      <c r="D2170" s="7" t="s">
        <v>242</v>
      </c>
      <c r="F2170" s="7" t="s">
        <v>665</v>
      </c>
      <c r="G2170" s="7" t="s">
        <v>1637</v>
      </c>
      <c r="H2170" s="7" t="s">
        <v>1359</v>
      </c>
      <c r="I2170" s="7" t="s">
        <v>1224</v>
      </c>
      <c r="K2170" s="7" t="s">
        <v>1189</v>
      </c>
      <c r="L2170" s="11">
        <v>692.67</v>
      </c>
      <c r="M2170" s="11">
        <v>108219.31</v>
      </c>
      <c r="N2170" s="9">
        <f>IF(A2170&lt;60000,-L2170,+L2170)</f>
        <v>-692.67</v>
      </c>
    </row>
    <row r="2171" spans="1:14" ht="12.75" hidden="1" customHeight="1" x14ac:dyDescent="0.2">
      <c r="A2171">
        <v>65020</v>
      </c>
      <c r="B2171" s="3" t="s">
        <v>1245</v>
      </c>
      <c r="C2171" s="7" t="s">
        <v>1569</v>
      </c>
      <c r="D2171" s="7" t="s">
        <v>221</v>
      </c>
      <c r="F2171" s="7" t="s">
        <v>1046</v>
      </c>
      <c r="G2171" s="7" t="s">
        <v>1566</v>
      </c>
      <c r="H2171" s="7" t="s">
        <v>1362</v>
      </c>
      <c r="I2171" s="7" t="s">
        <v>1245</v>
      </c>
      <c r="K2171" s="39" t="s">
        <v>236</v>
      </c>
      <c r="L2171" s="40">
        <v>6.99</v>
      </c>
      <c r="M2171" s="40">
        <v>1956.63</v>
      </c>
      <c r="N2171" s="40">
        <f t="shared" ref="N2171:N2202" si="69">+L2171</f>
        <v>6.99</v>
      </c>
    </row>
    <row r="2172" spans="1:14" ht="12.75" hidden="1" customHeight="1" x14ac:dyDescent="0.2">
      <c r="A2172">
        <v>65020</v>
      </c>
      <c r="B2172" s="3" t="s">
        <v>1245</v>
      </c>
      <c r="C2172" s="7" t="s">
        <v>1780</v>
      </c>
      <c r="D2172" s="7" t="s">
        <v>221</v>
      </c>
      <c r="F2172" s="7" t="s">
        <v>1046</v>
      </c>
      <c r="G2172" s="7" t="s">
        <v>1566</v>
      </c>
      <c r="H2172" s="7" t="s">
        <v>1362</v>
      </c>
      <c r="I2172" s="7" t="s">
        <v>1245</v>
      </c>
      <c r="K2172" s="39" t="s">
        <v>236</v>
      </c>
      <c r="L2172" s="40">
        <v>6.99</v>
      </c>
      <c r="M2172" s="40">
        <v>2506.3000000000002</v>
      </c>
      <c r="N2172" s="40">
        <f t="shared" si="69"/>
        <v>6.99</v>
      </c>
    </row>
    <row r="2173" spans="1:14" ht="12.75" hidden="1" customHeight="1" x14ac:dyDescent="0.2">
      <c r="A2173">
        <v>65020</v>
      </c>
      <c r="B2173" s="3" t="s">
        <v>1245</v>
      </c>
      <c r="C2173" s="7" t="s">
        <v>1746</v>
      </c>
      <c r="D2173" s="7" t="s">
        <v>221</v>
      </c>
      <c r="F2173" s="7" t="s">
        <v>1046</v>
      </c>
      <c r="G2173" s="7" t="s">
        <v>1566</v>
      </c>
      <c r="H2173" s="7" t="s">
        <v>1362</v>
      </c>
      <c r="I2173" s="7" t="s">
        <v>1245</v>
      </c>
      <c r="K2173" s="39" t="s">
        <v>236</v>
      </c>
      <c r="L2173" s="40">
        <v>6.99</v>
      </c>
      <c r="M2173" s="40">
        <v>3260.22</v>
      </c>
      <c r="N2173" s="40">
        <f t="shared" si="69"/>
        <v>6.99</v>
      </c>
    </row>
    <row r="2174" spans="1:14" ht="12.75" hidden="1" customHeight="1" x14ac:dyDescent="0.2">
      <c r="A2174">
        <v>65020</v>
      </c>
      <c r="B2174" s="3" t="s">
        <v>1245</v>
      </c>
      <c r="C2174" s="7" t="s">
        <v>1640</v>
      </c>
      <c r="D2174" s="7" t="s">
        <v>221</v>
      </c>
      <c r="F2174" s="7" t="s">
        <v>1046</v>
      </c>
      <c r="G2174" s="7" t="s">
        <v>1566</v>
      </c>
      <c r="H2174" s="7" t="s">
        <v>1362</v>
      </c>
      <c r="I2174" s="7" t="s">
        <v>1245</v>
      </c>
      <c r="K2174" s="39" t="s">
        <v>236</v>
      </c>
      <c r="L2174" s="40">
        <v>6.99</v>
      </c>
      <c r="M2174" s="40">
        <v>3484.81</v>
      </c>
      <c r="N2174" s="40">
        <f t="shared" si="69"/>
        <v>6.99</v>
      </c>
    </row>
    <row r="2175" spans="1:14" ht="12.75" hidden="1" customHeight="1" x14ac:dyDescent="0.2">
      <c r="A2175">
        <v>65025</v>
      </c>
      <c r="B2175" s="3" t="s">
        <v>1246</v>
      </c>
      <c r="C2175" s="7" t="s">
        <v>1760</v>
      </c>
      <c r="D2175" s="7" t="s">
        <v>221</v>
      </c>
      <c r="F2175" s="7" t="s">
        <v>446</v>
      </c>
      <c r="G2175" s="7" t="s">
        <v>1566</v>
      </c>
      <c r="H2175" s="7" t="s">
        <v>1362</v>
      </c>
      <c r="I2175" s="7" t="s">
        <v>1246</v>
      </c>
      <c r="K2175" s="39" t="s">
        <v>236</v>
      </c>
      <c r="L2175" s="40">
        <v>35</v>
      </c>
      <c r="M2175" s="40">
        <v>2595.0500000000002</v>
      </c>
      <c r="N2175" s="40">
        <f t="shared" si="69"/>
        <v>35</v>
      </c>
    </row>
    <row r="2176" spans="1:14" ht="12.75" hidden="1" customHeight="1" x14ac:dyDescent="0.2">
      <c r="A2176">
        <v>65025</v>
      </c>
      <c r="B2176" s="3" t="s">
        <v>1246</v>
      </c>
      <c r="C2176" s="7" t="s">
        <v>1760</v>
      </c>
      <c r="D2176" s="7" t="s">
        <v>221</v>
      </c>
      <c r="F2176" s="7" t="s">
        <v>446</v>
      </c>
      <c r="G2176" s="7" t="s">
        <v>1566</v>
      </c>
      <c r="H2176" s="7" t="s">
        <v>1362</v>
      </c>
      <c r="I2176" s="7" t="s">
        <v>1246</v>
      </c>
      <c r="K2176" s="39" t="s">
        <v>236</v>
      </c>
      <c r="L2176" s="40">
        <v>35</v>
      </c>
      <c r="M2176" s="40">
        <v>2630.05</v>
      </c>
      <c r="N2176" s="40">
        <f t="shared" si="69"/>
        <v>35</v>
      </c>
    </row>
    <row r="2177" spans="1:14" ht="12.75" hidden="1" customHeight="1" x14ac:dyDescent="0.2">
      <c r="A2177">
        <v>65025</v>
      </c>
      <c r="B2177" s="3" t="s">
        <v>1246</v>
      </c>
      <c r="C2177" s="7" t="s">
        <v>1760</v>
      </c>
      <c r="D2177" s="7" t="s">
        <v>221</v>
      </c>
      <c r="F2177" s="7" t="s">
        <v>446</v>
      </c>
      <c r="G2177" s="7" t="s">
        <v>1566</v>
      </c>
      <c r="H2177" s="7" t="s">
        <v>1362</v>
      </c>
      <c r="I2177" s="7" t="s">
        <v>1246</v>
      </c>
      <c r="K2177" s="39" t="s">
        <v>236</v>
      </c>
      <c r="L2177" s="40">
        <v>35</v>
      </c>
      <c r="M2177" s="40">
        <v>2665.05</v>
      </c>
      <c r="N2177" s="40">
        <f t="shared" si="69"/>
        <v>35</v>
      </c>
    </row>
    <row r="2178" spans="1:14" ht="12.75" hidden="1" customHeight="1" x14ac:dyDescent="0.2">
      <c r="A2178">
        <v>65025</v>
      </c>
      <c r="B2178" s="3" t="s">
        <v>1246</v>
      </c>
      <c r="C2178" s="7" t="s">
        <v>1760</v>
      </c>
      <c r="D2178" s="7" t="s">
        <v>221</v>
      </c>
      <c r="F2178" s="7" t="s">
        <v>446</v>
      </c>
      <c r="G2178" s="7" t="s">
        <v>1566</v>
      </c>
      <c r="H2178" s="7" t="s">
        <v>1362</v>
      </c>
      <c r="I2178" s="7" t="s">
        <v>1246</v>
      </c>
      <c r="K2178" s="39" t="s">
        <v>236</v>
      </c>
      <c r="L2178" s="40">
        <v>35</v>
      </c>
      <c r="M2178" s="40">
        <v>2700.05</v>
      </c>
      <c r="N2178" s="40">
        <f t="shared" si="69"/>
        <v>35</v>
      </c>
    </row>
    <row r="2179" spans="1:14" ht="12.75" hidden="1" customHeight="1" x14ac:dyDescent="0.2">
      <c r="A2179">
        <v>65025</v>
      </c>
      <c r="B2179" s="3" t="s">
        <v>1246</v>
      </c>
      <c r="C2179" s="7" t="s">
        <v>1624</v>
      </c>
      <c r="D2179" s="7" t="s">
        <v>221</v>
      </c>
      <c r="F2179" s="7" t="s">
        <v>446</v>
      </c>
      <c r="G2179" s="7" t="s">
        <v>1566</v>
      </c>
      <c r="H2179" s="7" t="s">
        <v>1362</v>
      </c>
      <c r="I2179" s="7" t="s">
        <v>1246</v>
      </c>
      <c r="K2179" s="39" t="s">
        <v>236</v>
      </c>
      <c r="L2179" s="40">
        <v>35</v>
      </c>
      <c r="M2179" s="40">
        <v>2735.05</v>
      </c>
      <c r="N2179" s="40">
        <f t="shared" si="69"/>
        <v>35</v>
      </c>
    </row>
    <row r="2180" spans="1:14" ht="12.75" hidden="1" customHeight="1" x14ac:dyDescent="0.2">
      <c r="A2180">
        <v>65036</v>
      </c>
      <c r="B2180" s="3" t="s">
        <v>1249</v>
      </c>
      <c r="C2180" s="7" t="s">
        <v>1797</v>
      </c>
      <c r="D2180" s="7" t="s">
        <v>200</v>
      </c>
      <c r="E2180" s="7">
        <v>1027</v>
      </c>
      <c r="F2180" s="7" t="s">
        <v>1826</v>
      </c>
      <c r="G2180" s="7" t="s">
        <v>1566</v>
      </c>
      <c r="H2180" s="7" t="s">
        <v>1362</v>
      </c>
      <c r="I2180" s="7" t="s">
        <v>1249</v>
      </c>
      <c r="K2180" s="39" t="s">
        <v>236</v>
      </c>
      <c r="L2180" s="40">
        <v>94.96</v>
      </c>
      <c r="M2180" s="40">
        <v>6224.77</v>
      </c>
      <c r="N2180" s="40">
        <f t="shared" si="69"/>
        <v>94.96</v>
      </c>
    </row>
    <row r="2181" spans="1:14" ht="12.75" hidden="1" customHeight="1" x14ac:dyDescent="0.2">
      <c r="A2181">
        <v>65045</v>
      </c>
      <c r="B2181" s="3" t="s">
        <v>1840</v>
      </c>
      <c r="C2181" s="7" t="s">
        <v>1737</v>
      </c>
      <c r="D2181" s="7" t="s">
        <v>221</v>
      </c>
      <c r="F2181" s="7" t="s">
        <v>987</v>
      </c>
      <c r="G2181" s="7" t="s">
        <v>1566</v>
      </c>
      <c r="H2181" s="7" t="s">
        <v>1362</v>
      </c>
      <c r="I2181" s="7" t="s">
        <v>1251</v>
      </c>
      <c r="K2181" s="39" t="s">
        <v>236</v>
      </c>
      <c r="L2181" s="40">
        <v>50</v>
      </c>
      <c r="M2181" s="40">
        <v>4214.3500000000004</v>
      </c>
      <c r="N2181" s="40">
        <f t="shared" si="69"/>
        <v>50</v>
      </c>
    </row>
    <row r="2182" spans="1:14" ht="12.75" hidden="1" customHeight="1" x14ac:dyDescent="0.2">
      <c r="A2182">
        <v>65045</v>
      </c>
      <c r="B2182" s="3" t="s">
        <v>1840</v>
      </c>
      <c r="C2182" s="7" t="s">
        <v>1583</v>
      </c>
      <c r="D2182" s="7" t="s">
        <v>221</v>
      </c>
      <c r="F2182" s="7" t="s">
        <v>987</v>
      </c>
      <c r="G2182" s="7" t="s">
        <v>1566</v>
      </c>
      <c r="H2182" s="7" t="s">
        <v>1362</v>
      </c>
      <c r="I2182" s="7" t="s">
        <v>1251</v>
      </c>
      <c r="K2182" s="39" t="s">
        <v>236</v>
      </c>
      <c r="L2182" s="40">
        <v>50</v>
      </c>
      <c r="M2182" s="40">
        <v>5318.35</v>
      </c>
      <c r="N2182" s="40">
        <f t="shared" si="69"/>
        <v>50</v>
      </c>
    </row>
    <row r="2183" spans="1:14" ht="12.75" hidden="1" customHeight="1" x14ac:dyDescent="0.2">
      <c r="A2183">
        <v>65045</v>
      </c>
      <c r="B2183" s="3" t="s">
        <v>1840</v>
      </c>
      <c r="C2183" s="7" t="s">
        <v>1775</v>
      </c>
      <c r="D2183" s="7" t="s">
        <v>221</v>
      </c>
      <c r="F2183" s="7" t="s">
        <v>987</v>
      </c>
      <c r="G2183" s="7" t="s">
        <v>1566</v>
      </c>
      <c r="H2183" s="7" t="s">
        <v>1362</v>
      </c>
      <c r="I2183" s="7" t="s">
        <v>1251</v>
      </c>
      <c r="K2183" s="39" t="s">
        <v>236</v>
      </c>
      <c r="L2183" s="40">
        <v>50</v>
      </c>
      <c r="M2183" s="40">
        <v>5538.35</v>
      </c>
      <c r="N2183" s="40">
        <f t="shared" si="69"/>
        <v>50</v>
      </c>
    </row>
    <row r="2184" spans="1:14" ht="12.75" hidden="1" customHeight="1" x14ac:dyDescent="0.2">
      <c r="A2184">
        <v>65045</v>
      </c>
      <c r="B2184" s="3" t="s">
        <v>1840</v>
      </c>
      <c r="C2184" s="7" t="s">
        <v>1709</v>
      </c>
      <c r="D2184" s="7" t="s">
        <v>221</v>
      </c>
      <c r="F2184" s="7" t="s">
        <v>987</v>
      </c>
      <c r="G2184" s="7" t="s">
        <v>1566</v>
      </c>
      <c r="H2184" s="7" t="s">
        <v>1362</v>
      </c>
      <c r="I2184" s="7" t="s">
        <v>1251</v>
      </c>
      <c r="K2184" s="39" t="s">
        <v>236</v>
      </c>
      <c r="L2184" s="40">
        <v>50</v>
      </c>
      <c r="M2184" s="40">
        <v>5678.35</v>
      </c>
      <c r="N2184" s="40">
        <f t="shared" si="69"/>
        <v>50</v>
      </c>
    </row>
    <row r="2185" spans="1:14" ht="12.75" hidden="1" customHeight="1" x14ac:dyDescent="0.2">
      <c r="A2185">
        <v>65061</v>
      </c>
      <c r="B2185" s="3" t="s">
        <v>1844</v>
      </c>
      <c r="C2185" s="7" t="s">
        <v>1649</v>
      </c>
      <c r="D2185" s="7" t="s">
        <v>221</v>
      </c>
      <c r="F2185" s="7" t="s">
        <v>648</v>
      </c>
      <c r="G2185" s="7" t="s">
        <v>1566</v>
      </c>
      <c r="H2185" s="7" t="s">
        <v>1362</v>
      </c>
      <c r="I2185" s="7" t="s">
        <v>1253</v>
      </c>
      <c r="K2185" s="39" t="s">
        <v>236</v>
      </c>
      <c r="L2185" s="40">
        <v>140.30000000000001</v>
      </c>
      <c r="M2185" s="40">
        <v>207811.14</v>
      </c>
      <c r="N2185" s="40">
        <f t="shared" si="69"/>
        <v>140.30000000000001</v>
      </c>
    </row>
    <row r="2186" spans="1:14" ht="12.75" hidden="1" customHeight="1" x14ac:dyDescent="0.2">
      <c r="A2186">
        <v>65061</v>
      </c>
      <c r="B2186" s="3" t="s">
        <v>1844</v>
      </c>
      <c r="C2186" s="7" t="s">
        <v>1649</v>
      </c>
      <c r="D2186" s="7" t="s">
        <v>221</v>
      </c>
      <c r="F2186" s="7" t="s">
        <v>648</v>
      </c>
      <c r="G2186" s="7" t="s">
        <v>1566</v>
      </c>
      <c r="H2186" s="7" t="s">
        <v>1362</v>
      </c>
      <c r="I2186" s="7" t="s">
        <v>1253</v>
      </c>
      <c r="K2186" s="39" t="s">
        <v>236</v>
      </c>
      <c r="L2186" s="40">
        <v>78.78</v>
      </c>
      <c r="M2186" s="40">
        <v>207889.92000000001</v>
      </c>
      <c r="N2186" s="40">
        <f t="shared" si="69"/>
        <v>78.78</v>
      </c>
    </row>
    <row r="2187" spans="1:14" ht="12.75" hidden="1" customHeight="1" x14ac:dyDescent="0.2">
      <c r="A2187">
        <v>65061</v>
      </c>
      <c r="B2187" s="3" t="s">
        <v>1844</v>
      </c>
      <c r="C2187" s="7" t="s">
        <v>1649</v>
      </c>
      <c r="D2187" s="7" t="s">
        <v>200</v>
      </c>
      <c r="E2187" s="7">
        <v>1025</v>
      </c>
      <c r="F2187" s="7" t="s">
        <v>886</v>
      </c>
      <c r="G2187" s="7" t="s">
        <v>1566</v>
      </c>
      <c r="H2187" s="7" t="s">
        <v>1362</v>
      </c>
      <c r="I2187" s="7" t="s">
        <v>1253</v>
      </c>
      <c r="K2187" s="39" t="s">
        <v>236</v>
      </c>
      <c r="L2187" s="40">
        <v>199</v>
      </c>
      <c r="M2187" s="40">
        <v>209211.25</v>
      </c>
      <c r="N2187" s="40">
        <f t="shared" si="69"/>
        <v>199</v>
      </c>
    </row>
    <row r="2188" spans="1:14" ht="12.75" hidden="1" customHeight="1" x14ac:dyDescent="0.2">
      <c r="A2188">
        <v>65061</v>
      </c>
      <c r="B2188" s="3" t="s">
        <v>1844</v>
      </c>
      <c r="C2188" s="7" t="s">
        <v>1562</v>
      </c>
      <c r="D2188" s="7" t="s">
        <v>221</v>
      </c>
      <c r="F2188" s="7" t="s">
        <v>775</v>
      </c>
      <c r="G2188" s="7" t="s">
        <v>1566</v>
      </c>
      <c r="H2188" s="7" t="s">
        <v>1362</v>
      </c>
      <c r="I2188" s="7" t="s">
        <v>1253</v>
      </c>
      <c r="K2188" s="39" t="s">
        <v>236</v>
      </c>
      <c r="L2188" s="40">
        <v>1538</v>
      </c>
      <c r="M2188" s="40">
        <v>211977.97</v>
      </c>
      <c r="N2188" s="40">
        <f t="shared" si="69"/>
        <v>1538</v>
      </c>
    </row>
    <row r="2189" spans="1:14" ht="12.75" hidden="1" customHeight="1" x14ac:dyDescent="0.2">
      <c r="A2189">
        <v>65061</v>
      </c>
      <c r="B2189" s="3" t="s">
        <v>1844</v>
      </c>
      <c r="C2189" s="7" t="s">
        <v>1565</v>
      </c>
      <c r="D2189" s="7" t="s">
        <v>221</v>
      </c>
      <c r="F2189" s="7" t="s">
        <v>648</v>
      </c>
      <c r="G2189" s="7" t="s">
        <v>1566</v>
      </c>
      <c r="H2189" s="7" t="s">
        <v>1362</v>
      </c>
      <c r="I2189" s="7" t="s">
        <v>1253</v>
      </c>
      <c r="K2189" s="39" t="s">
        <v>236</v>
      </c>
      <c r="L2189" s="40">
        <v>107.94</v>
      </c>
      <c r="M2189" s="40">
        <v>214776.97</v>
      </c>
      <c r="N2189" s="40">
        <f t="shared" si="69"/>
        <v>107.94</v>
      </c>
    </row>
    <row r="2190" spans="1:14" ht="12.75" hidden="1" customHeight="1" x14ac:dyDescent="0.2">
      <c r="A2190">
        <v>65061</v>
      </c>
      <c r="B2190" s="3" t="s">
        <v>1844</v>
      </c>
      <c r="C2190" s="7" t="s">
        <v>1793</v>
      </c>
      <c r="D2190" s="7" t="s">
        <v>221</v>
      </c>
      <c r="F2190" s="7" t="s">
        <v>578</v>
      </c>
      <c r="G2190" s="7" t="s">
        <v>1566</v>
      </c>
      <c r="H2190" s="7" t="s">
        <v>1362</v>
      </c>
      <c r="I2190" s="7" t="s">
        <v>1253</v>
      </c>
      <c r="K2190" s="39" t="s">
        <v>236</v>
      </c>
      <c r="L2190" s="40">
        <v>19.79</v>
      </c>
      <c r="M2190" s="40">
        <v>215028</v>
      </c>
      <c r="N2190" s="40">
        <f t="shared" si="69"/>
        <v>19.79</v>
      </c>
    </row>
    <row r="2191" spans="1:14" ht="12.75" hidden="1" customHeight="1" x14ac:dyDescent="0.2">
      <c r="A2191">
        <v>65061</v>
      </c>
      <c r="B2191" s="3" t="s">
        <v>1844</v>
      </c>
      <c r="C2191" s="7" t="s">
        <v>1793</v>
      </c>
      <c r="D2191" s="7" t="s">
        <v>221</v>
      </c>
      <c r="F2191" s="7" t="s">
        <v>241</v>
      </c>
      <c r="G2191" s="7" t="s">
        <v>1566</v>
      </c>
      <c r="H2191" s="7" t="s">
        <v>1362</v>
      </c>
      <c r="I2191" s="7" t="s">
        <v>1253</v>
      </c>
      <c r="K2191" s="39" t="s">
        <v>236</v>
      </c>
      <c r="L2191" s="40">
        <v>50.83</v>
      </c>
      <c r="M2191" s="40">
        <v>215619.20000000001</v>
      </c>
      <c r="N2191" s="40">
        <f t="shared" si="69"/>
        <v>50.83</v>
      </c>
    </row>
    <row r="2192" spans="1:14" ht="12.75" hidden="1" customHeight="1" x14ac:dyDescent="0.2">
      <c r="A2192">
        <v>65061</v>
      </c>
      <c r="B2192" s="3" t="s">
        <v>1844</v>
      </c>
      <c r="C2192" s="7" t="s">
        <v>1793</v>
      </c>
      <c r="D2192" s="7" t="s">
        <v>221</v>
      </c>
      <c r="F2192" s="7" t="s">
        <v>648</v>
      </c>
      <c r="G2192" s="7" t="s">
        <v>1566</v>
      </c>
      <c r="H2192" s="7" t="s">
        <v>1362</v>
      </c>
      <c r="I2192" s="7" t="s">
        <v>1253</v>
      </c>
      <c r="K2192" s="39" t="s">
        <v>236</v>
      </c>
      <c r="L2192" s="40">
        <v>365.81</v>
      </c>
      <c r="M2192" s="40">
        <v>215985.01</v>
      </c>
      <c r="N2192" s="40">
        <f t="shared" si="69"/>
        <v>365.81</v>
      </c>
    </row>
    <row r="2193" spans="1:14" ht="12.75" hidden="1" customHeight="1" x14ac:dyDescent="0.2">
      <c r="A2193">
        <v>65061</v>
      </c>
      <c r="B2193" s="3" t="s">
        <v>1844</v>
      </c>
      <c r="C2193" s="7" t="s">
        <v>1793</v>
      </c>
      <c r="D2193" s="7" t="s">
        <v>221</v>
      </c>
      <c r="F2193" s="7" t="s">
        <v>578</v>
      </c>
      <c r="G2193" s="7" t="s">
        <v>1566</v>
      </c>
      <c r="H2193" s="7" t="s">
        <v>1362</v>
      </c>
      <c r="I2193" s="7" t="s">
        <v>1253</v>
      </c>
      <c r="K2193" s="39" t="s">
        <v>236</v>
      </c>
      <c r="L2193" s="40">
        <v>26.85</v>
      </c>
      <c r="M2193" s="40">
        <v>216048.2</v>
      </c>
      <c r="N2193" s="40">
        <f t="shared" si="69"/>
        <v>26.85</v>
      </c>
    </row>
    <row r="2194" spans="1:14" ht="12.75" hidden="1" customHeight="1" x14ac:dyDescent="0.2">
      <c r="A2194">
        <v>65061</v>
      </c>
      <c r="B2194" s="3" t="s">
        <v>1844</v>
      </c>
      <c r="C2194" s="7" t="s">
        <v>1793</v>
      </c>
      <c r="D2194" s="7" t="s">
        <v>221</v>
      </c>
      <c r="F2194" s="7" t="s">
        <v>578</v>
      </c>
      <c r="G2194" s="7" t="s">
        <v>1566</v>
      </c>
      <c r="H2194" s="7" t="s">
        <v>1362</v>
      </c>
      <c r="I2194" s="7" t="s">
        <v>1253</v>
      </c>
      <c r="K2194" s="39" t="s">
        <v>236</v>
      </c>
      <c r="L2194" s="40">
        <v>31.16</v>
      </c>
      <c r="M2194" s="40">
        <v>216079.35999999999</v>
      </c>
      <c r="N2194" s="40">
        <f t="shared" si="69"/>
        <v>31.16</v>
      </c>
    </row>
    <row r="2195" spans="1:14" ht="12.75" hidden="1" customHeight="1" x14ac:dyDescent="0.2">
      <c r="A2195">
        <v>65061</v>
      </c>
      <c r="B2195" s="3" t="s">
        <v>1844</v>
      </c>
      <c r="C2195" s="7" t="s">
        <v>1793</v>
      </c>
      <c r="D2195" s="7" t="s">
        <v>221</v>
      </c>
      <c r="F2195" s="7" t="s">
        <v>241</v>
      </c>
      <c r="G2195" s="7" t="s">
        <v>1566</v>
      </c>
      <c r="H2195" s="7" t="s">
        <v>1362</v>
      </c>
      <c r="I2195" s="7" t="s">
        <v>1253</v>
      </c>
      <c r="K2195" s="39" t="s">
        <v>236</v>
      </c>
      <c r="L2195" s="40">
        <v>31.64</v>
      </c>
      <c r="M2195" s="40">
        <v>216111</v>
      </c>
      <c r="N2195" s="40">
        <f t="shared" si="69"/>
        <v>31.64</v>
      </c>
    </row>
    <row r="2196" spans="1:14" ht="12.75" hidden="1" customHeight="1" x14ac:dyDescent="0.2">
      <c r="A2196">
        <v>65061</v>
      </c>
      <c r="B2196" s="3" t="s">
        <v>1844</v>
      </c>
      <c r="C2196" s="7" t="s">
        <v>1793</v>
      </c>
      <c r="D2196" s="7" t="s">
        <v>221</v>
      </c>
      <c r="F2196" s="7" t="s">
        <v>648</v>
      </c>
      <c r="G2196" s="7" t="s">
        <v>1566</v>
      </c>
      <c r="H2196" s="7" t="s">
        <v>1362</v>
      </c>
      <c r="I2196" s="7" t="s">
        <v>1253</v>
      </c>
      <c r="K2196" s="39" t="s">
        <v>236</v>
      </c>
      <c r="L2196" s="40">
        <v>43.16</v>
      </c>
      <c r="M2196" s="40">
        <v>216154.16</v>
      </c>
      <c r="N2196" s="40">
        <f t="shared" si="69"/>
        <v>43.16</v>
      </c>
    </row>
    <row r="2197" spans="1:14" ht="12.75" hidden="1" customHeight="1" x14ac:dyDescent="0.2">
      <c r="A2197">
        <v>65061</v>
      </c>
      <c r="B2197" s="3" t="s">
        <v>1844</v>
      </c>
      <c r="C2197" s="7" t="s">
        <v>1793</v>
      </c>
      <c r="D2197" s="7" t="s">
        <v>221</v>
      </c>
      <c r="F2197" s="7" t="s">
        <v>241</v>
      </c>
      <c r="G2197" s="7" t="s">
        <v>1566</v>
      </c>
      <c r="H2197" s="7" t="s">
        <v>1362</v>
      </c>
      <c r="I2197" s="7" t="s">
        <v>1253</v>
      </c>
      <c r="K2197" s="39" t="s">
        <v>236</v>
      </c>
      <c r="L2197" s="40">
        <v>32.590000000000003</v>
      </c>
      <c r="M2197" s="40">
        <v>216186.75</v>
      </c>
      <c r="N2197" s="40">
        <f t="shared" si="69"/>
        <v>32.590000000000003</v>
      </c>
    </row>
    <row r="2198" spans="1:14" ht="12.75" hidden="1" customHeight="1" x14ac:dyDescent="0.2">
      <c r="A2198">
        <v>65061</v>
      </c>
      <c r="B2198" s="3" t="s">
        <v>1844</v>
      </c>
      <c r="C2198" s="7" t="s">
        <v>1567</v>
      </c>
      <c r="D2198" s="7" t="s">
        <v>221</v>
      </c>
      <c r="F2198" s="7" t="s">
        <v>355</v>
      </c>
      <c r="G2198" s="7" t="s">
        <v>1566</v>
      </c>
      <c r="H2198" s="7" t="s">
        <v>1362</v>
      </c>
      <c r="I2198" s="7" t="s">
        <v>1253</v>
      </c>
      <c r="K2198" s="39" t="s">
        <v>236</v>
      </c>
      <c r="L2198" s="40">
        <v>13.02</v>
      </c>
      <c r="M2198" s="40">
        <v>218013.56</v>
      </c>
      <c r="N2198" s="40">
        <f t="shared" si="69"/>
        <v>13.02</v>
      </c>
    </row>
    <row r="2199" spans="1:14" ht="12.75" hidden="1" customHeight="1" x14ac:dyDescent="0.2">
      <c r="A2199">
        <v>65061</v>
      </c>
      <c r="B2199" s="3" t="s">
        <v>1844</v>
      </c>
      <c r="C2199" s="7" t="s">
        <v>1567</v>
      </c>
      <c r="D2199" s="7" t="s">
        <v>221</v>
      </c>
      <c r="F2199" s="7" t="s">
        <v>1866</v>
      </c>
      <c r="G2199" s="7" t="s">
        <v>1566</v>
      </c>
      <c r="H2199" s="7" t="s">
        <v>1362</v>
      </c>
      <c r="I2199" s="7" t="s">
        <v>1253</v>
      </c>
      <c r="K2199" s="39" t="s">
        <v>236</v>
      </c>
      <c r="L2199" s="40">
        <v>8.1</v>
      </c>
      <c r="M2199" s="40">
        <v>218021.66</v>
      </c>
      <c r="N2199" s="40">
        <f t="shared" si="69"/>
        <v>8.1</v>
      </c>
    </row>
    <row r="2200" spans="1:14" ht="12.75" hidden="1" customHeight="1" x14ac:dyDescent="0.2">
      <c r="A2200">
        <v>65061</v>
      </c>
      <c r="B2200" s="3" t="s">
        <v>1844</v>
      </c>
      <c r="C2200" s="7" t="s">
        <v>1567</v>
      </c>
      <c r="D2200" s="7" t="s">
        <v>221</v>
      </c>
      <c r="F2200" s="7" t="s">
        <v>564</v>
      </c>
      <c r="G2200" s="7" t="s">
        <v>1566</v>
      </c>
      <c r="H2200" s="7" t="s">
        <v>1362</v>
      </c>
      <c r="I2200" s="7" t="s">
        <v>1253</v>
      </c>
      <c r="K2200" s="39" t="s">
        <v>236</v>
      </c>
      <c r="L2200" s="40">
        <v>190.54</v>
      </c>
      <c r="M2200" s="40">
        <v>218073.85</v>
      </c>
      <c r="N2200" s="40">
        <f t="shared" si="69"/>
        <v>190.54</v>
      </c>
    </row>
    <row r="2201" spans="1:14" ht="12.75" hidden="1" customHeight="1" x14ac:dyDescent="0.2">
      <c r="A2201">
        <v>65061</v>
      </c>
      <c r="B2201" s="3" t="s">
        <v>1844</v>
      </c>
      <c r="C2201" s="7" t="s">
        <v>1567</v>
      </c>
      <c r="D2201" s="7" t="s">
        <v>242</v>
      </c>
      <c r="F2201" s="7" t="s">
        <v>1867</v>
      </c>
      <c r="G2201" s="7" t="s">
        <v>1566</v>
      </c>
      <c r="H2201" s="7" t="s">
        <v>1362</v>
      </c>
      <c r="I2201" s="7" t="s">
        <v>1253</v>
      </c>
      <c r="K2201" s="39" t="s">
        <v>236</v>
      </c>
      <c r="L2201" s="40">
        <v>-52</v>
      </c>
      <c r="M2201" s="40">
        <v>218021.85</v>
      </c>
      <c r="N2201" s="40">
        <f t="shared" si="69"/>
        <v>-52</v>
      </c>
    </row>
    <row r="2202" spans="1:14" ht="12.75" hidden="1" customHeight="1" x14ac:dyDescent="0.2">
      <c r="A2202">
        <v>65061</v>
      </c>
      <c r="B2202" s="3" t="s">
        <v>1844</v>
      </c>
      <c r="C2202" s="7" t="s">
        <v>1569</v>
      </c>
      <c r="D2202" s="7" t="s">
        <v>242</v>
      </c>
      <c r="F2202" s="7" t="s">
        <v>648</v>
      </c>
      <c r="G2202" s="7" t="s">
        <v>1566</v>
      </c>
      <c r="H2202" s="7" t="s">
        <v>1362</v>
      </c>
      <c r="I2202" s="7" t="s">
        <v>1253</v>
      </c>
      <c r="K2202" s="39" t="s">
        <v>236</v>
      </c>
      <c r="L2202" s="40">
        <v>-140.30000000000001</v>
      </c>
      <c r="M2202" s="40">
        <v>219617.17</v>
      </c>
      <c r="N2202" s="40">
        <f t="shared" si="69"/>
        <v>-140.30000000000001</v>
      </c>
    </row>
    <row r="2203" spans="1:14" ht="12.75" hidden="1" customHeight="1" x14ac:dyDescent="0.2">
      <c r="A2203">
        <v>65061</v>
      </c>
      <c r="B2203" s="3" t="s">
        <v>1844</v>
      </c>
      <c r="C2203" s="7" t="s">
        <v>1569</v>
      </c>
      <c r="D2203" s="7" t="s">
        <v>221</v>
      </c>
      <c r="F2203" s="7" t="s">
        <v>564</v>
      </c>
      <c r="G2203" s="7" t="s">
        <v>1566</v>
      </c>
      <c r="H2203" s="7" t="s">
        <v>1362</v>
      </c>
      <c r="I2203" s="7" t="s">
        <v>1253</v>
      </c>
      <c r="K2203" s="39" t="s">
        <v>236</v>
      </c>
      <c r="L2203" s="40">
        <v>11.67</v>
      </c>
      <c r="M2203" s="40">
        <v>219628.84</v>
      </c>
      <c r="N2203" s="40">
        <f t="shared" ref="N2203:N2234" si="70">+L2203</f>
        <v>11.67</v>
      </c>
    </row>
    <row r="2204" spans="1:14" ht="12.75" hidden="1" customHeight="1" x14ac:dyDescent="0.2">
      <c r="A2204">
        <v>65061</v>
      </c>
      <c r="B2204" s="3" t="s">
        <v>1844</v>
      </c>
      <c r="C2204" s="7" t="s">
        <v>1569</v>
      </c>
      <c r="D2204" s="7" t="s">
        <v>242</v>
      </c>
      <c r="F2204" s="7" t="s">
        <v>648</v>
      </c>
      <c r="G2204" s="7" t="s">
        <v>1566</v>
      </c>
      <c r="H2204" s="7" t="s">
        <v>1362</v>
      </c>
      <c r="I2204" s="7" t="s">
        <v>1253</v>
      </c>
      <c r="K2204" s="39" t="s">
        <v>236</v>
      </c>
      <c r="L2204" s="40">
        <v>-78.78</v>
      </c>
      <c r="M2204" s="40">
        <v>219550.06</v>
      </c>
      <c r="N2204" s="40">
        <f t="shared" si="70"/>
        <v>-78.78</v>
      </c>
    </row>
    <row r="2205" spans="1:14" ht="12.75" hidden="1" customHeight="1" x14ac:dyDescent="0.2">
      <c r="A2205">
        <v>65061</v>
      </c>
      <c r="B2205" s="3" t="s">
        <v>1844</v>
      </c>
      <c r="C2205" s="7" t="s">
        <v>1569</v>
      </c>
      <c r="D2205" s="7" t="s">
        <v>221</v>
      </c>
      <c r="F2205" s="7" t="s">
        <v>564</v>
      </c>
      <c r="G2205" s="7" t="s">
        <v>1566</v>
      </c>
      <c r="H2205" s="7" t="s">
        <v>1362</v>
      </c>
      <c r="I2205" s="7" t="s">
        <v>1253</v>
      </c>
      <c r="K2205" s="39" t="s">
        <v>236</v>
      </c>
      <c r="L2205" s="40">
        <v>11.78</v>
      </c>
      <c r="M2205" s="40">
        <v>219561.84</v>
      </c>
      <c r="N2205" s="40">
        <f t="shared" si="70"/>
        <v>11.78</v>
      </c>
    </row>
    <row r="2206" spans="1:14" ht="12.75" hidden="1" customHeight="1" x14ac:dyDescent="0.2">
      <c r="A2206">
        <v>65061</v>
      </c>
      <c r="B2206" s="3" t="s">
        <v>1844</v>
      </c>
      <c r="C2206" s="7" t="s">
        <v>1569</v>
      </c>
      <c r="D2206" s="7" t="s">
        <v>221</v>
      </c>
      <c r="F2206" s="7" t="s">
        <v>1869</v>
      </c>
      <c r="G2206" s="7" t="s">
        <v>1566</v>
      </c>
      <c r="H2206" s="7" t="s">
        <v>1362</v>
      </c>
      <c r="I2206" s="7" t="s">
        <v>1253</v>
      </c>
      <c r="K2206" s="39" t="s">
        <v>236</v>
      </c>
      <c r="L2206" s="40">
        <v>154</v>
      </c>
      <c r="M2206" s="40">
        <v>219715.84</v>
      </c>
      <c r="N2206" s="40">
        <f t="shared" si="70"/>
        <v>154</v>
      </c>
    </row>
    <row r="2207" spans="1:14" ht="12.75" hidden="1" customHeight="1" x14ac:dyDescent="0.2">
      <c r="A2207">
        <v>65061</v>
      </c>
      <c r="B2207" s="3" t="s">
        <v>1844</v>
      </c>
      <c r="C2207" s="7" t="s">
        <v>1569</v>
      </c>
      <c r="D2207" s="7" t="s">
        <v>221</v>
      </c>
      <c r="F2207" s="7" t="s">
        <v>241</v>
      </c>
      <c r="G2207" s="7" t="s">
        <v>1566</v>
      </c>
      <c r="H2207" s="7" t="s">
        <v>1362</v>
      </c>
      <c r="I2207" s="7" t="s">
        <v>1253</v>
      </c>
      <c r="K2207" s="39" t="s">
        <v>236</v>
      </c>
      <c r="L2207" s="40">
        <v>20.82</v>
      </c>
      <c r="M2207" s="40">
        <v>219736.66</v>
      </c>
      <c r="N2207" s="40">
        <f t="shared" si="70"/>
        <v>20.82</v>
      </c>
    </row>
    <row r="2208" spans="1:14" ht="12.75" hidden="1" customHeight="1" x14ac:dyDescent="0.2">
      <c r="A2208">
        <v>65061</v>
      </c>
      <c r="B2208" s="3" t="s">
        <v>1844</v>
      </c>
      <c r="C2208" s="7" t="s">
        <v>1570</v>
      </c>
      <c r="D2208" s="7" t="s">
        <v>221</v>
      </c>
      <c r="F2208" s="7" t="s">
        <v>241</v>
      </c>
      <c r="G2208" s="7" t="s">
        <v>1566</v>
      </c>
      <c r="H2208" s="7" t="s">
        <v>1362</v>
      </c>
      <c r="I2208" s="7" t="s">
        <v>1253</v>
      </c>
      <c r="K2208" s="39" t="s">
        <v>236</v>
      </c>
      <c r="L2208" s="40">
        <v>77.680000000000007</v>
      </c>
      <c r="M2208" s="40">
        <v>221397.39</v>
      </c>
      <c r="N2208" s="40">
        <f t="shared" si="70"/>
        <v>77.680000000000007</v>
      </c>
    </row>
    <row r="2209" spans="1:14" ht="12.75" hidden="1" customHeight="1" x14ac:dyDescent="0.2">
      <c r="A2209">
        <v>65061</v>
      </c>
      <c r="B2209" s="3" t="s">
        <v>1844</v>
      </c>
      <c r="C2209" s="7" t="s">
        <v>1575</v>
      </c>
      <c r="D2209" s="7" t="s">
        <v>221</v>
      </c>
      <c r="F2209" s="7" t="s">
        <v>595</v>
      </c>
      <c r="G2209" s="7" t="s">
        <v>1566</v>
      </c>
      <c r="H2209" s="7" t="s">
        <v>1362</v>
      </c>
      <c r="I2209" s="7" t="s">
        <v>1253</v>
      </c>
      <c r="K2209" s="39" t="s">
        <v>236</v>
      </c>
      <c r="L2209" s="40">
        <v>388.94</v>
      </c>
      <c r="M2209" s="40">
        <v>226492.74</v>
      </c>
      <c r="N2209" s="40">
        <f t="shared" si="70"/>
        <v>388.94</v>
      </c>
    </row>
    <row r="2210" spans="1:14" ht="12.75" hidden="1" customHeight="1" x14ac:dyDescent="0.2">
      <c r="A2210">
        <v>65061</v>
      </c>
      <c r="B2210" s="3" t="s">
        <v>1844</v>
      </c>
      <c r="C2210" s="7" t="s">
        <v>1576</v>
      </c>
      <c r="D2210" s="7" t="s">
        <v>221</v>
      </c>
      <c r="F2210" s="7" t="s">
        <v>548</v>
      </c>
      <c r="G2210" s="7" t="s">
        <v>1566</v>
      </c>
      <c r="H2210" s="7" t="s">
        <v>1362</v>
      </c>
      <c r="I2210" s="7" t="s">
        <v>1253</v>
      </c>
      <c r="K2210" s="39" t="s">
        <v>236</v>
      </c>
      <c r="L2210" s="40">
        <v>129.24</v>
      </c>
      <c r="M2210" s="40">
        <v>227213.98</v>
      </c>
      <c r="N2210" s="40">
        <f t="shared" si="70"/>
        <v>129.24</v>
      </c>
    </row>
    <row r="2211" spans="1:14" ht="12.75" hidden="1" customHeight="1" x14ac:dyDescent="0.2">
      <c r="A2211">
        <v>65061</v>
      </c>
      <c r="B2211" s="3" t="s">
        <v>1844</v>
      </c>
      <c r="C2211" s="7" t="s">
        <v>1578</v>
      </c>
      <c r="D2211" s="7" t="s">
        <v>221</v>
      </c>
      <c r="F2211" s="7" t="s">
        <v>648</v>
      </c>
      <c r="G2211" s="7" t="s">
        <v>1566</v>
      </c>
      <c r="H2211" s="7" t="s">
        <v>1362</v>
      </c>
      <c r="I2211" s="7" t="s">
        <v>1253</v>
      </c>
      <c r="K2211" s="39" t="s">
        <v>236</v>
      </c>
      <c r="L2211" s="40">
        <v>205.07</v>
      </c>
      <c r="M2211" s="40">
        <v>233122.82</v>
      </c>
      <c r="N2211" s="40">
        <f t="shared" si="70"/>
        <v>205.07</v>
      </c>
    </row>
    <row r="2212" spans="1:14" ht="12.75" hidden="1" customHeight="1" x14ac:dyDescent="0.2">
      <c r="A2212">
        <v>65061</v>
      </c>
      <c r="B2212" s="3" t="s">
        <v>1844</v>
      </c>
      <c r="C2212" s="7" t="s">
        <v>1578</v>
      </c>
      <c r="D2212" s="7" t="s">
        <v>221</v>
      </c>
      <c r="F2212" s="7" t="s">
        <v>648</v>
      </c>
      <c r="G2212" s="7" t="s">
        <v>1566</v>
      </c>
      <c r="H2212" s="7" t="s">
        <v>1362</v>
      </c>
      <c r="I2212" s="7" t="s">
        <v>1253</v>
      </c>
      <c r="K2212" s="39" t="s">
        <v>236</v>
      </c>
      <c r="L2212" s="40">
        <v>26.77</v>
      </c>
      <c r="M2212" s="40">
        <v>233149.59</v>
      </c>
      <c r="N2212" s="40">
        <f t="shared" si="70"/>
        <v>26.77</v>
      </c>
    </row>
    <row r="2213" spans="1:14" ht="12.75" hidden="1" customHeight="1" x14ac:dyDescent="0.2">
      <c r="A2213">
        <v>65061</v>
      </c>
      <c r="B2213" s="3" t="s">
        <v>1844</v>
      </c>
      <c r="C2213" s="7" t="s">
        <v>1578</v>
      </c>
      <c r="D2213" s="7" t="s">
        <v>221</v>
      </c>
      <c r="F2213" s="7" t="s">
        <v>648</v>
      </c>
      <c r="G2213" s="7" t="s">
        <v>1566</v>
      </c>
      <c r="H2213" s="7" t="s">
        <v>1362</v>
      </c>
      <c r="I2213" s="7" t="s">
        <v>1253</v>
      </c>
      <c r="K2213" s="39" t="s">
        <v>236</v>
      </c>
      <c r="L2213" s="40">
        <v>53.95</v>
      </c>
      <c r="M2213" s="40">
        <v>233203.54</v>
      </c>
      <c r="N2213" s="40">
        <f t="shared" si="70"/>
        <v>53.95</v>
      </c>
    </row>
    <row r="2214" spans="1:14" ht="12.75" hidden="1" customHeight="1" x14ac:dyDescent="0.2">
      <c r="A2214">
        <v>65061</v>
      </c>
      <c r="B2214" s="3" t="s">
        <v>1844</v>
      </c>
      <c r="C2214" s="7" t="s">
        <v>1803</v>
      </c>
      <c r="D2214" s="7" t="s">
        <v>221</v>
      </c>
      <c r="F2214" s="7" t="s">
        <v>241</v>
      </c>
      <c r="G2214" s="7" t="s">
        <v>1566</v>
      </c>
      <c r="H2214" s="7" t="s">
        <v>1362</v>
      </c>
      <c r="I2214" s="7" t="s">
        <v>1253</v>
      </c>
      <c r="K2214" s="39" t="s">
        <v>236</v>
      </c>
      <c r="L2214" s="40">
        <v>123.3</v>
      </c>
      <c r="M2214" s="40">
        <v>234299.49</v>
      </c>
      <c r="N2214" s="40">
        <f t="shared" si="70"/>
        <v>123.3</v>
      </c>
    </row>
    <row r="2215" spans="1:14" ht="12.75" hidden="1" customHeight="1" x14ac:dyDescent="0.2">
      <c r="A2215">
        <v>65061</v>
      </c>
      <c r="B2215" s="3" t="s">
        <v>1844</v>
      </c>
      <c r="C2215" s="7" t="s">
        <v>1583</v>
      </c>
      <c r="D2215" s="7" t="s">
        <v>221</v>
      </c>
      <c r="F2215" s="7" t="s">
        <v>265</v>
      </c>
      <c r="G2215" s="7" t="s">
        <v>1566</v>
      </c>
      <c r="H2215" s="7" t="s">
        <v>1362</v>
      </c>
      <c r="I2215" s="7" t="s">
        <v>1253</v>
      </c>
      <c r="K2215" s="39" t="s">
        <v>236</v>
      </c>
      <c r="L2215" s="40">
        <v>70.39</v>
      </c>
      <c r="M2215" s="40">
        <v>235366.99</v>
      </c>
      <c r="N2215" s="40">
        <f t="shared" si="70"/>
        <v>70.39</v>
      </c>
    </row>
    <row r="2216" spans="1:14" ht="12.75" hidden="1" customHeight="1" x14ac:dyDescent="0.2">
      <c r="A2216">
        <v>65061</v>
      </c>
      <c r="B2216" s="3" t="s">
        <v>1844</v>
      </c>
      <c r="C2216" s="7" t="s">
        <v>1583</v>
      </c>
      <c r="D2216" s="7" t="s">
        <v>221</v>
      </c>
      <c r="F2216" s="7" t="s">
        <v>648</v>
      </c>
      <c r="G2216" s="7" t="s">
        <v>1566</v>
      </c>
      <c r="H2216" s="7" t="s">
        <v>1362</v>
      </c>
      <c r="I2216" s="7" t="s">
        <v>1253</v>
      </c>
      <c r="K2216" s="39" t="s">
        <v>236</v>
      </c>
      <c r="L2216" s="40">
        <v>227.69</v>
      </c>
      <c r="M2216" s="40">
        <v>235594.68</v>
      </c>
      <c r="N2216" s="40">
        <f t="shared" si="70"/>
        <v>227.69</v>
      </c>
    </row>
    <row r="2217" spans="1:14" ht="12.75" hidden="1" customHeight="1" x14ac:dyDescent="0.2">
      <c r="A2217">
        <v>65061</v>
      </c>
      <c r="B2217" s="3" t="s">
        <v>1844</v>
      </c>
      <c r="C2217" s="7" t="s">
        <v>1583</v>
      </c>
      <c r="D2217" s="7" t="s">
        <v>221</v>
      </c>
      <c r="F2217" s="7" t="s">
        <v>241</v>
      </c>
      <c r="G2217" s="7" t="s">
        <v>1566</v>
      </c>
      <c r="H2217" s="7" t="s">
        <v>1362</v>
      </c>
      <c r="I2217" s="7" t="s">
        <v>1253</v>
      </c>
      <c r="K2217" s="39" t="s">
        <v>236</v>
      </c>
      <c r="L2217" s="40">
        <v>66.98</v>
      </c>
      <c r="M2217" s="40">
        <v>235661.66</v>
      </c>
      <c r="N2217" s="40">
        <f t="shared" si="70"/>
        <v>66.98</v>
      </c>
    </row>
    <row r="2218" spans="1:14" ht="12.75" hidden="1" customHeight="1" x14ac:dyDescent="0.2">
      <c r="A2218">
        <v>65061</v>
      </c>
      <c r="B2218" s="3" t="s">
        <v>1844</v>
      </c>
      <c r="C2218" s="7" t="s">
        <v>1583</v>
      </c>
      <c r="D2218" s="7" t="s">
        <v>221</v>
      </c>
      <c r="F2218" s="7" t="s">
        <v>241</v>
      </c>
      <c r="G2218" s="7" t="s">
        <v>1566</v>
      </c>
      <c r="H2218" s="7" t="s">
        <v>1362</v>
      </c>
      <c r="I2218" s="7" t="s">
        <v>1253</v>
      </c>
      <c r="K2218" s="39" t="s">
        <v>236</v>
      </c>
      <c r="L2218" s="40">
        <v>68.67</v>
      </c>
      <c r="M2218" s="40">
        <v>235730.33</v>
      </c>
      <c r="N2218" s="40">
        <f t="shared" si="70"/>
        <v>68.67</v>
      </c>
    </row>
    <row r="2219" spans="1:14" ht="12.75" hidden="1" customHeight="1" x14ac:dyDescent="0.2">
      <c r="A2219">
        <v>65061</v>
      </c>
      <c r="B2219" s="3" t="s">
        <v>1844</v>
      </c>
      <c r="C2219" s="7" t="s">
        <v>1583</v>
      </c>
      <c r="D2219" s="7" t="s">
        <v>221</v>
      </c>
      <c r="F2219" s="7" t="s">
        <v>796</v>
      </c>
      <c r="G2219" s="7" t="s">
        <v>1566</v>
      </c>
      <c r="H2219" s="7" t="s">
        <v>1362</v>
      </c>
      <c r="I2219" s="7" t="s">
        <v>1253</v>
      </c>
      <c r="K2219" s="39" t="s">
        <v>236</v>
      </c>
      <c r="L2219" s="40">
        <v>31.98</v>
      </c>
      <c r="M2219" s="40">
        <v>235762.31</v>
      </c>
      <c r="N2219" s="40">
        <f t="shared" si="70"/>
        <v>31.98</v>
      </c>
    </row>
    <row r="2220" spans="1:14" ht="12.75" hidden="1" customHeight="1" x14ac:dyDescent="0.2">
      <c r="A2220">
        <v>65061</v>
      </c>
      <c r="B2220" s="3" t="s">
        <v>1844</v>
      </c>
      <c r="C2220" s="7" t="s">
        <v>1583</v>
      </c>
      <c r="D2220" s="7" t="s">
        <v>221</v>
      </c>
      <c r="F2220" s="7" t="s">
        <v>265</v>
      </c>
      <c r="G2220" s="7" t="s">
        <v>1566</v>
      </c>
      <c r="H2220" s="7" t="s">
        <v>1362</v>
      </c>
      <c r="I2220" s="7" t="s">
        <v>1253</v>
      </c>
      <c r="K2220" s="39" t="s">
        <v>236</v>
      </c>
      <c r="L2220" s="40">
        <v>100</v>
      </c>
      <c r="M2220" s="40">
        <v>235862.31</v>
      </c>
      <c r="N2220" s="40">
        <f t="shared" si="70"/>
        <v>100</v>
      </c>
    </row>
    <row r="2221" spans="1:14" ht="12.75" hidden="1" customHeight="1" x14ac:dyDescent="0.2">
      <c r="A2221">
        <v>65061</v>
      </c>
      <c r="B2221" s="3" t="s">
        <v>1844</v>
      </c>
      <c r="C2221" s="7" t="s">
        <v>1583</v>
      </c>
      <c r="D2221" s="7" t="s">
        <v>221</v>
      </c>
      <c r="F2221" s="7" t="s">
        <v>600</v>
      </c>
      <c r="G2221" s="7" t="s">
        <v>1566</v>
      </c>
      <c r="H2221" s="7" t="s">
        <v>1362</v>
      </c>
      <c r="I2221" s="7" t="s">
        <v>1253</v>
      </c>
      <c r="K2221" s="39" t="s">
        <v>236</v>
      </c>
      <c r="L2221" s="40">
        <v>22.38</v>
      </c>
      <c r="M2221" s="40">
        <v>235884.69</v>
      </c>
      <c r="N2221" s="40">
        <f t="shared" si="70"/>
        <v>22.38</v>
      </c>
    </row>
    <row r="2222" spans="1:14" ht="12.75" hidden="1" customHeight="1" x14ac:dyDescent="0.2">
      <c r="A2222">
        <v>65061</v>
      </c>
      <c r="B2222" s="3" t="s">
        <v>1844</v>
      </c>
      <c r="C2222" s="7" t="s">
        <v>1583</v>
      </c>
      <c r="D2222" s="7" t="s">
        <v>221</v>
      </c>
      <c r="F2222" s="7" t="s">
        <v>600</v>
      </c>
      <c r="G2222" s="7" t="s">
        <v>1566</v>
      </c>
      <c r="H2222" s="7" t="s">
        <v>1362</v>
      </c>
      <c r="I2222" s="7" t="s">
        <v>1253</v>
      </c>
      <c r="K2222" s="39" t="s">
        <v>236</v>
      </c>
      <c r="L2222" s="40">
        <v>91.5</v>
      </c>
      <c r="M2222" s="40">
        <v>235976.19</v>
      </c>
      <c r="N2222" s="40">
        <f t="shared" si="70"/>
        <v>91.5</v>
      </c>
    </row>
    <row r="2223" spans="1:14" ht="12.75" hidden="1" customHeight="1" x14ac:dyDescent="0.2">
      <c r="A2223">
        <v>65061</v>
      </c>
      <c r="B2223" s="3" t="s">
        <v>1844</v>
      </c>
      <c r="C2223" s="7" t="s">
        <v>1553</v>
      </c>
      <c r="D2223" s="7" t="s">
        <v>221</v>
      </c>
      <c r="F2223" s="7" t="s">
        <v>648</v>
      </c>
      <c r="G2223" s="7" t="s">
        <v>1566</v>
      </c>
      <c r="H2223" s="7" t="s">
        <v>1362</v>
      </c>
      <c r="I2223" s="7" t="s">
        <v>1253</v>
      </c>
      <c r="K2223" s="39" t="s">
        <v>236</v>
      </c>
      <c r="L2223" s="40">
        <v>63.64</v>
      </c>
      <c r="M2223" s="40">
        <v>236249.84</v>
      </c>
      <c r="N2223" s="40">
        <f t="shared" si="70"/>
        <v>63.64</v>
      </c>
    </row>
    <row r="2224" spans="1:14" ht="12.75" hidden="1" customHeight="1" x14ac:dyDescent="0.2">
      <c r="A2224">
        <v>65061</v>
      </c>
      <c r="B2224" s="3" t="s">
        <v>1844</v>
      </c>
      <c r="C2224" s="7" t="s">
        <v>1821</v>
      </c>
      <c r="D2224" s="7" t="s">
        <v>221</v>
      </c>
      <c r="F2224" s="7" t="s">
        <v>774</v>
      </c>
      <c r="G2224" s="7" t="s">
        <v>1566</v>
      </c>
      <c r="H2224" s="7" t="s">
        <v>1362</v>
      </c>
      <c r="I2224" s="7" t="s">
        <v>1253</v>
      </c>
      <c r="K2224" s="39" t="s">
        <v>236</v>
      </c>
      <c r="L2224" s="40">
        <v>17.350000000000001</v>
      </c>
      <c r="M2224" s="40">
        <v>238068.81</v>
      </c>
      <c r="N2224" s="40">
        <f t="shared" si="70"/>
        <v>17.350000000000001</v>
      </c>
    </row>
    <row r="2225" spans="1:14" ht="12.75" hidden="1" customHeight="1" x14ac:dyDescent="0.2">
      <c r="A2225">
        <v>65061</v>
      </c>
      <c r="B2225" s="3" t="s">
        <v>1844</v>
      </c>
      <c r="C2225" s="7" t="s">
        <v>1821</v>
      </c>
      <c r="D2225" s="7" t="s">
        <v>221</v>
      </c>
      <c r="F2225" s="7" t="s">
        <v>594</v>
      </c>
      <c r="G2225" s="7" t="s">
        <v>1566</v>
      </c>
      <c r="H2225" s="7" t="s">
        <v>1362</v>
      </c>
      <c r="I2225" s="7" t="s">
        <v>1253</v>
      </c>
      <c r="K2225" s="39" t="s">
        <v>236</v>
      </c>
      <c r="L2225" s="40">
        <v>21.68</v>
      </c>
      <c r="M2225" s="40">
        <v>238090.49</v>
      </c>
      <c r="N2225" s="40">
        <f t="shared" si="70"/>
        <v>21.68</v>
      </c>
    </row>
    <row r="2226" spans="1:14" ht="12.75" hidden="1" customHeight="1" x14ac:dyDescent="0.2">
      <c r="A2226">
        <v>65061</v>
      </c>
      <c r="B2226" s="3" t="s">
        <v>1844</v>
      </c>
      <c r="C2226" s="7" t="s">
        <v>1821</v>
      </c>
      <c r="D2226" s="7" t="s">
        <v>221</v>
      </c>
      <c r="F2226" s="7" t="s">
        <v>595</v>
      </c>
      <c r="G2226" s="7" t="s">
        <v>1566</v>
      </c>
      <c r="H2226" s="7" t="s">
        <v>1362</v>
      </c>
      <c r="I2226" s="7" t="s">
        <v>1253</v>
      </c>
      <c r="K2226" s="39" t="s">
        <v>236</v>
      </c>
      <c r="L2226" s="40">
        <v>13</v>
      </c>
      <c r="M2226" s="40">
        <v>238103.49</v>
      </c>
      <c r="N2226" s="40">
        <f t="shared" si="70"/>
        <v>13</v>
      </c>
    </row>
    <row r="2227" spans="1:14" ht="12.75" hidden="1" customHeight="1" x14ac:dyDescent="0.2">
      <c r="A2227">
        <v>65061</v>
      </c>
      <c r="B2227" s="3" t="s">
        <v>1844</v>
      </c>
      <c r="C2227" s="7" t="s">
        <v>1821</v>
      </c>
      <c r="D2227" s="7" t="s">
        <v>221</v>
      </c>
      <c r="F2227" s="7" t="s">
        <v>595</v>
      </c>
      <c r="G2227" s="7" t="s">
        <v>1566</v>
      </c>
      <c r="H2227" s="7" t="s">
        <v>1362</v>
      </c>
      <c r="I2227" s="7" t="s">
        <v>1253</v>
      </c>
      <c r="K2227" s="39" t="s">
        <v>236</v>
      </c>
      <c r="L2227" s="40">
        <v>211.19</v>
      </c>
      <c r="M2227" s="40">
        <v>238314.68</v>
      </c>
      <c r="N2227" s="40">
        <f t="shared" si="70"/>
        <v>211.19</v>
      </c>
    </row>
    <row r="2228" spans="1:14" ht="12.75" hidden="1" customHeight="1" x14ac:dyDescent="0.2">
      <c r="A2228">
        <v>65061</v>
      </c>
      <c r="B2228" s="3" t="s">
        <v>1844</v>
      </c>
      <c r="C2228" s="7" t="s">
        <v>1555</v>
      </c>
      <c r="D2228" s="7" t="s">
        <v>221</v>
      </c>
      <c r="F2228" s="7" t="s">
        <v>241</v>
      </c>
      <c r="G2228" s="7" t="s">
        <v>1566</v>
      </c>
      <c r="H2228" s="7" t="s">
        <v>1362</v>
      </c>
      <c r="I2228" s="7" t="s">
        <v>1253</v>
      </c>
      <c r="K2228" s="39" t="s">
        <v>236</v>
      </c>
      <c r="L2228" s="40">
        <v>21.91</v>
      </c>
      <c r="M2228" s="40">
        <v>238829.06</v>
      </c>
      <c r="N2228" s="40">
        <f t="shared" si="70"/>
        <v>21.91</v>
      </c>
    </row>
    <row r="2229" spans="1:14" ht="12.75" hidden="1" customHeight="1" x14ac:dyDescent="0.2">
      <c r="A2229">
        <v>65061</v>
      </c>
      <c r="B2229" s="3" t="s">
        <v>1844</v>
      </c>
      <c r="C2229" s="7" t="s">
        <v>1555</v>
      </c>
      <c r="D2229" s="7" t="s">
        <v>242</v>
      </c>
      <c r="F2229" s="7" t="s">
        <v>648</v>
      </c>
      <c r="G2229" s="7" t="s">
        <v>1566</v>
      </c>
      <c r="H2229" s="7" t="s">
        <v>1362</v>
      </c>
      <c r="I2229" s="7" t="s">
        <v>1253</v>
      </c>
      <c r="K2229" s="39" t="s">
        <v>236</v>
      </c>
      <c r="L2229" s="40">
        <v>-252.57</v>
      </c>
      <c r="M2229" s="40">
        <v>238576.49</v>
      </c>
      <c r="N2229" s="40">
        <f t="shared" si="70"/>
        <v>-252.57</v>
      </c>
    </row>
    <row r="2230" spans="1:14" ht="12.75" hidden="1" customHeight="1" x14ac:dyDescent="0.2">
      <c r="A2230">
        <v>65061</v>
      </c>
      <c r="B2230" s="3" t="s">
        <v>1844</v>
      </c>
      <c r="C2230" s="7" t="s">
        <v>1555</v>
      </c>
      <c r="D2230" s="7" t="s">
        <v>221</v>
      </c>
      <c r="F2230" s="7" t="s">
        <v>241</v>
      </c>
      <c r="G2230" s="7" t="s">
        <v>1566</v>
      </c>
      <c r="H2230" s="7" t="s">
        <v>1362</v>
      </c>
      <c r="I2230" s="7" t="s">
        <v>1253</v>
      </c>
      <c r="K2230" s="39" t="s">
        <v>236</v>
      </c>
      <c r="L2230" s="40">
        <v>22.54</v>
      </c>
      <c r="M2230" s="40">
        <v>238599.03</v>
      </c>
      <c r="N2230" s="40">
        <f t="shared" si="70"/>
        <v>22.54</v>
      </c>
    </row>
    <row r="2231" spans="1:14" ht="12.75" hidden="1" customHeight="1" x14ac:dyDescent="0.2">
      <c r="A2231">
        <v>65061</v>
      </c>
      <c r="B2231" s="3" t="s">
        <v>1844</v>
      </c>
      <c r="C2231" s="7" t="s">
        <v>1555</v>
      </c>
      <c r="D2231" s="7" t="s">
        <v>221</v>
      </c>
      <c r="F2231" s="7" t="s">
        <v>648</v>
      </c>
      <c r="G2231" s="7" t="s">
        <v>1566</v>
      </c>
      <c r="H2231" s="7" t="s">
        <v>1362</v>
      </c>
      <c r="I2231" s="7" t="s">
        <v>1253</v>
      </c>
      <c r="K2231" s="39" t="s">
        <v>236</v>
      </c>
      <c r="L2231" s="40">
        <v>59.28</v>
      </c>
      <c r="M2231" s="40">
        <v>238658.31</v>
      </c>
      <c r="N2231" s="40">
        <f t="shared" si="70"/>
        <v>59.28</v>
      </c>
    </row>
    <row r="2232" spans="1:14" ht="12.75" hidden="1" customHeight="1" x14ac:dyDescent="0.2">
      <c r="A2232">
        <v>65061</v>
      </c>
      <c r="B2232" s="3" t="s">
        <v>1844</v>
      </c>
      <c r="C2232" s="7" t="s">
        <v>1555</v>
      </c>
      <c r="D2232" s="7" t="s">
        <v>221</v>
      </c>
      <c r="F2232" s="7" t="s">
        <v>546</v>
      </c>
      <c r="G2232" s="7" t="s">
        <v>1566</v>
      </c>
      <c r="H2232" s="7" t="s">
        <v>1362</v>
      </c>
      <c r="I2232" s="7" t="s">
        <v>1253</v>
      </c>
      <c r="K2232" s="39" t="s">
        <v>236</v>
      </c>
      <c r="L2232" s="40">
        <v>86.85</v>
      </c>
      <c r="M2232" s="40">
        <v>238745.16</v>
      </c>
      <c r="N2232" s="40">
        <f t="shared" si="70"/>
        <v>86.85</v>
      </c>
    </row>
    <row r="2233" spans="1:14" ht="12.75" hidden="1" customHeight="1" x14ac:dyDescent="0.2">
      <c r="A2233">
        <v>65061</v>
      </c>
      <c r="B2233" s="3" t="s">
        <v>1844</v>
      </c>
      <c r="C2233" s="7" t="s">
        <v>1555</v>
      </c>
      <c r="D2233" s="7" t="s">
        <v>242</v>
      </c>
      <c r="F2233" s="7" t="s">
        <v>648</v>
      </c>
      <c r="G2233" s="7" t="s">
        <v>1566</v>
      </c>
      <c r="H2233" s="7" t="s">
        <v>1362</v>
      </c>
      <c r="I2233" s="7" t="s">
        <v>1253</v>
      </c>
      <c r="K2233" s="39" t="s">
        <v>236</v>
      </c>
      <c r="L2233" s="40">
        <v>-32.49</v>
      </c>
      <c r="M2233" s="40">
        <v>238712.67</v>
      </c>
      <c r="N2233" s="40">
        <f t="shared" si="70"/>
        <v>-32.49</v>
      </c>
    </row>
    <row r="2234" spans="1:14" ht="12.75" hidden="1" customHeight="1" x14ac:dyDescent="0.2">
      <c r="A2234">
        <v>65061</v>
      </c>
      <c r="B2234" s="3" t="s">
        <v>1844</v>
      </c>
      <c r="C2234" s="7" t="s">
        <v>1555</v>
      </c>
      <c r="D2234" s="7" t="s">
        <v>221</v>
      </c>
      <c r="F2234" s="7" t="s">
        <v>648</v>
      </c>
      <c r="G2234" s="7" t="s">
        <v>1566</v>
      </c>
      <c r="H2234" s="7" t="s">
        <v>1362</v>
      </c>
      <c r="I2234" s="7" t="s">
        <v>1253</v>
      </c>
      <c r="K2234" s="39" t="s">
        <v>236</v>
      </c>
      <c r="L2234" s="40">
        <v>244.68</v>
      </c>
      <c r="M2234" s="40">
        <v>238957.35</v>
      </c>
      <c r="N2234" s="40">
        <f t="shared" si="70"/>
        <v>244.68</v>
      </c>
    </row>
    <row r="2235" spans="1:14" ht="12.75" hidden="1" customHeight="1" x14ac:dyDescent="0.2">
      <c r="A2235">
        <v>65061</v>
      </c>
      <c r="B2235" s="3" t="s">
        <v>1844</v>
      </c>
      <c r="C2235" s="7" t="s">
        <v>1555</v>
      </c>
      <c r="D2235" s="7" t="s">
        <v>221</v>
      </c>
      <c r="F2235" s="7" t="s">
        <v>1896</v>
      </c>
      <c r="G2235" s="7" t="s">
        <v>1566</v>
      </c>
      <c r="H2235" s="7" t="s">
        <v>1362</v>
      </c>
      <c r="I2235" s="7" t="s">
        <v>1253</v>
      </c>
      <c r="K2235" s="39" t="s">
        <v>236</v>
      </c>
      <c r="L2235" s="40">
        <v>32.86</v>
      </c>
      <c r="M2235" s="40">
        <v>238990.21</v>
      </c>
      <c r="N2235" s="40">
        <f t="shared" ref="N2235:N2266" si="71">+L2235</f>
        <v>32.86</v>
      </c>
    </row>
    <row r="2236" spans="1:14" ht="12.75" hidden="1" customHeight="1" x14ac:dyDescent="0.2">
      <c r="A2236">
        <v>65061</v>
      </c>
      <c r="B2236" s="3" t="s">
        <v>1844</v>
      </c>
      <c r="C2236" s="7" t="s">
        <v>1555</v>
      </c>
      <c r="D2236" s="7" t="s">
        <v>221</v>
      </c>
      <c r="F2236" s="7" t="s">
        <v>796</v>
      </c>
      <c r="G2236" s="7" t="s">
        <v>1566</v>
      </c>
      <c r="H2236" s="7" t="s">
        <v>1362</v>
      </c>
      <c r="I2236" s="7" t="s">
        <v>1253</v>
      </c>
      <c r="K2236" s="39" t="s">
        <v>236</v>
      </c>
      <c r="L2236" s="40">
        <v>52.99</v>
      </c>
      <c r="M2236" s="40">
        <v>239043.20000000001</v>
      </c>
      <c r="N2236" s="40">
        <f t="shared" si="71"/>
        <v>52.99</v>
      </c>
    </row>
    <row r="2237" spans="1:14" ht="12.75" hidden="1" customHeight="1" x14ac:dyDescent="0.2">
      <c r="A2237">
        <v>65061</v>
      </c>
      <c r="B2237" s="3" t="s">
        <v>1844</v>
      </c>
      <c r="C2237" s="7" t="s">
        <v>1555</v>
      </c>
      <c r="D2237" s="7" t="s">
        <v>242</v>
      </c>
      <c r="F2237" s="7" t="s">
        <v>578</v>
      </c>
      <c r="G2237" s="7" t="s">
        <v>1566</v>
      </c>
      <c r="H2237" s="7" t="s">
        <v>1362</v>
      </c>
      <c r="I2237" s="7" t="s">
        <v>1253</v>
      </c>
      <c r="K2237" s="39" t="s">
        <v>236</v>
      </c>
      <c r="L2237" s="40">
        <v>-19.79</v>
      </c>
      <c r="M2237" s="40">
        <v>239023.41</v>
      </c>
      <c r="N2237" s="40">
        <f t="shared" si="71"/>
        <v>-19.79</v>
      </c>
    </row>
    <row r="2238" spans="1:14" ht="12.75" hidden="1" customHeight="1" x14ac:dyDescent="0.2">
      <c r="A2238">
        <v>65061</v>
      </c>
      <c r="B2238" s="3" t="s">
        <v>1844</v>
      </c>
      <c r="C2238" s="7" t="s">
        <v>1555</v>
      </c>
      <c r="D2238" s="7" t="s">
        <v>221</v>
      </c>
      <c r="F2238" s="7" t="s">
        <v>648</v>
      </c>
      <c r="G2238" s="7" t="s">
        <v>1566</v>
      </c>
      <c r="H2238" s="7" t="s">
        <v>1362</v>
      </c>
      <c r="I2238" s="7" t="s">
        <v>1253</v>
      </c>
      <c r="K2238" s="39" t="s">
        <v>236</v>
      </c>
      <c r="L2238" s="40">
        <v>79.94</v>
      </c>
      <c r="M2238" s="40">
        <v>239103.35</v>
      </c>
      <c r="N2238" s="40">
        <f t="shared" si="71"/>
        <v>79.94</v>
      </c>
    </row>
    <row r="2239" spans="1:14" ht="12.75" hidden="1" customHeight="1" x14ac:dyDescent="0.2">
      <c r="A2239">
        <v>65061</v>
      </c>
      <c r="B2239" s="3" t="s">
        <v>1844</v>
      </c>
      <c r="C2239" s="7" t="s">
        <v>1555</v>
      </c>
      <c r="D2239" s="7" t="s">
        <v>242</v>
      </c>
      <c r="F2239" s="7" t="s">
        <v>648</v>
      </c>
      <c r="G2239" s="7" t="s">
        <v>1566</v>
      </c>
      <c r="H2239" s="7" t="s">
        <v>1362</v>
      </c>
      <c r="I2239" s="7" t="s">
        <v>1253</v>
      </c>
      <c r="K2239" s="39" t="s">
        <v>236</v>
      </c>
      <c r="L2239" s="40">
        <v>-36.82</v>
      </c>
      <c r="M2239" s="40">
        <v>239066.53</v>
      </c>
      <c r="N2239" s="40">
        <f t="shared" si="71"/>
        <v>-36.82</v>
      </c>
    </row>
    <row r="2240" spans="1:14" ht="12.75" hidden="1" customHeight="1" x14ac:dyDescent="0.2">
      <c r="A2240">
        <v>65061</v>
      </c>
      <c r="B2240" s="3" t="s">
        <v>1844</v>
      </c>
      <c r="C2240" s="7" t="s">
        <v>1780</v>
      </c>
      <c r="D2240" s="7" t="s">
        <v>242</v>
      </c>
      <c r="F2240" s="7" t="s">
        <v>648</v>
      </c>
      <c r="G2240" s="7" t="s">
        <v>1566</v>
      </c>
      <c r="H2240" s="7" t="s">
        <v>1362</v>
      </c>
      <c r="I2240" s="7" t="s">
        <v>1253</v>
      </c>
      <c r="K2240" s="39" t="s">
        <v>236</v>
      </c>
      <c r="L2240" s="40">
        <v>-54.16</v>
      </c>
      <c r="M2240" s="40">
        <v>241609.43</v>
      </c>
      <c r="N2240" s="40">
        <f t="shared" si="71"/>
        <v>-54.16</v>
      </c>
    </row>
    <row r="2241" spans="1:14" ht="12.75" hidden="1" customHeight="1" x14ac:dyDescent="0.2">
      <c r="A2241">
        <v>65061</v>
      </c>
      <c r="B2241" s="3" t="s">
        <v>1844</v>
      </c>
      <c r="C2241" s="7" t="s">
        <v>1780</v>
      </c>
      <c r="D2241" s="7" t="s">
        <v>242</v>
      </c>
      <c r="F2241" s="7" t="s">
        <v>648</v>
      </c>
      <c r="G2241" s="7" t="s">
        <v>1566</v>
      </c>
      <c r="H2241" s="7" t="s">
        <v>1362</v>
      </c>
      <c r="I2241" s="7" t="s">
        <v>1253</v>
      </c>
      <c r="K2241" s="39" t="s">
        <v>236</v>
      </c>
      <c r="L2241" s="40">
        <v>-43.16</v>
      </c>
      <c r="M2241" s="40">
        <v>241566.27</v>
      </c>
      <c r="N2241" s="40">
        <f t="shared" si="71"/>
        <v>-43.16</v>
      </c>
    </row>
    <row r="2242" spans="1:14" ht="12.75" hidden="1" customHeight="1" x14ac:dyDescent="0.2">
      <c r="A2242">
        <v>65061</v>
      </c>
      <c r="B2242" s="3" t="s">
        <v>1844</v>
      </c>
      <c r="C2242" s="7" t="s">
        <v>1780</v>
      </c>
      <c r="D2242" s="7" t="s">
        <v>242</v>
      </c>
      <c r="F2242" s="7" t="s">
        <v>594</v>
      </c>
      <c r="G2242" s="7" t="s">
        <v>1566</v>
      </c>
      <c r="H2242" s="7" t="s">
        <v>1362</v>
      </c>
      <c r="I2242" s="7" t="s">
        <v>1253</v>
      </c>
      <c r="K2242" s="39" t="s">
        <v>236</v>
      </c>
      <c r="L2242" s="40">
        <v>-21.68</v>
      </c>
      <c r="M2242" s="40">
        <v>241544.59</v>
      </c>
      <c r="N2242" s="40">
        <f t="shared" si="71"/>
        <v>-21.68</v>
      </c>
    </row>
    <row r="2243" spans="1:14" ht="12.75" hidden="1" customHeight="1" x14ac:dyDescent="0.2">
      <c r="A2243">
        <v>65061</v>
      </c>
      <c r="B2243" s="3" t="s">
        <v>1844</v>
      </c>
      <c r="C2243" s="7" t="s">
        <v>1804</v>
      </c>
      <c r="D2243" s="7" t="s">
        <v>221</v>
      </c>
      <c r="F2243" s="7" t="s">
        <v>595</v>
      </c>
      <c r="G2243" s="7" t="s">
        <v>1566</v>
      </c>
      <c r="H2243" s="7" t="s">
        <v>1362</v>
      </c>
      <c r="I2243" s="7" t="s">
        <v>1253</v>
      </c>
      <c r="K2243" s="39" t="s">
        <v>236</v>
      </c>
      <c r="L2243" s="40">
        <v>137.56</v>
      </c>
      <c r="M2243" s="40">
        <v>247427.02</v>
      </c>
      <c r="N2243" s="40">
        <f t="shared" si="71"/>
        <v>137.56</v>
      </c>
    </row>
    <row r="2244" spans="1:14" ht="12.75" hidden="1" customHeight="1" x14ac:dyDescent="0.2">
      <c r="A2244">
        <v>65061</v>
      </c>
      <c r="B2244" s="3" t="s">
        <v>1844</v>
      </c>
      <c r="C2244" s="7" t="s">
        <v>1804</v>
      </c>
      <c r="D2244" s="7" t="s">
        <v>221</v>
      </c>
      <c r="F2244" s="7" t="s">
        <v>595</v>
      </c>
      <c r="G2244" s="7" t="s">
        <v>1566</v>
      </c>
      <c r="H2244" s="7" t="s">
        <v>1362</v>
      </c>
      <c r="I2244" s="7" t="s">
        <v>1253</v>
      </c>
      <c r="K2244" s="39" t="s">
        <v>236</v>
      </c>
      <c r="L2244" s="40">
        <v>216.72</v>
      </c>
      <c r="M2244" s="40">
        <v>248449.81</v>
      </c>
      <c r="N2244" s="40">
        <f t="shared" si="71"/>
        <v>216.72</v>
      </c>
    </row>
    <row r="2245" spans="1:14" ht="12.75" hidden="1" customHeight="1" x14ac:dyDescent="0.2">
      <c r="A2245">
        <v>65061</v>
      </c>
      <c r="B2245" s="3" t="s">
        <v>1844</v>
      </c>
      <c r="C2245" s="7" t="s">
        <v>1804</v>
      </c>
      <c r="D2245" s="7" t="s">
        <v>221</v>
      </c>
      <c r="F2245" s="7" t="s">
        <v>648</v>
      </c>
      <c r="G2245" s="7" t="s">
        <v>1566</v>
      </c>
      <c r="H2245" s="7" t="s">
        <v>1362</v>
      </c>
      <c r="I2245" s="7" t="s">
        <v>1253</v>
      </c>
      <c r="K2245" s="39" t="s">
        <v>236</v>
      </c>
      <c r="L2245" s="40">
        <v>6.47</v>
      </c>
      <c r="M2245" s="40">
        <v>248456.28</v>
      </c>
      <c r="N2245" s="40">
        <f t="shared" si="71"/>
        <v>6.47</v>
      </c>
    </row>
    <row r="2246" spans="1:14" ht="12.75" hidden="1" customHeight="1" x14ac:dyDescent="0.2">
      <c r="A2246">
        <v>65061</v>
      </c>
      <c r="B2246" s="3" t="s">
        <v>1844</v>
      </c>
      <c r="C2246" s="7" t="s">
        <v>1775</v>
      </c>
      <c r="D2246" s="7" t="s">
        <v>221</v>
      </c>
      <c r="F2246" s="7" t="s">
        <v>648</v>
      </c>
      <c r="G2246" s="7" t="s">
        <v>1566</v>
      </c>
      <c r="H2246" s="7" t="s">
        <v>1362</v>
      </c>
      <c r="I2246" s="7" t="s">
        <v>1253</v>
      </c>
      <c r="K2246" s="39" t="s">
        <v>236</v>
      </c>
      <c r="L2246" s="40">
        <v>85.24</v>
      </c>
      <c r="M2246" s="40">
        <v>249868.88</v>
      </c>
      <c r="N2246" s="40">
        <f t="shared" si="71"/>
        <v>85.24</v>
      </c>
    </row>
    <row r="2247" spans="1:14" ht="12.75" hidden="1" customHeight="1" x14ac:dyDescent="0.2">
      <c r="A2247">
        <v>65061</v>
      </c>
      <c r="B2247" s="3" t="s">
        <v>1844</v>
      </c>
      <c r="C2247" s="7" t="s">
        <v>1612</v>
      </c>
      <c r="D2247" s="7" t="s">
        <v>221</v>
      </c>
      <c r="F2247" s="7" t="s">
        <v>996</v>
      </c>
      <c r="G2247" s="7" t="s">
        <v>1566</v>
      </c>
      <c r="H2247" s="7" t="s">
        <v>1362</v>
      </c>
      <c r="I2247" s="7" t="s">
        <v>1253</v>
      </c>
      <c r="K2247" s="39" t="s">
        <v>236</v>
      </c>
      <c r="L2247" s="40">
        <v>355.04</v>
      </c>
      <c r="M2247" s="40">
        <v>257449.06</v>
      </c>
      <c r="N2247" s="40">
        <f t="shared" si="71"/>
        <v>355.04</v>
      </c>
    </row>
    <row r="2248" spans="1:14" ht="12.75" hidden="1" customHeight="1" x14ac:dyDescent="0.2">
      <c r="A2248">
        <v>65061</v>
      </c>
      <c r="B2248" s="3" t="s">
        <v>1844</v>
      </c>
      <c r="C2248" s="7" t="s">
        <v>1703</v>
      </c>
      <c r="D2248" s="7" t="s">
        <v>221</v>
      </c>
      <c r="F2248" s="7" t="s">
        <v>1867</v>
      </c>
      <c r="G2248" s="7" t="s">
        <v>1566</v>
      </c>
      <c r="H2248" s="7" t="s">
        <v>1362</v>
      </c>
      <c r="I2248" s="7" t="s">
        <v>1253</v>
      </c>
      <c r="K2248" s="39" t="s">
        <v>236</v>
      </c>
      <c r="L2248" s="40">
        <v>2027.99</v>
      </c>
      <c r="M2248" s="40">
        <v>261585.25</v>
      </c>
      <c r="N2248" s="40">
        <f t="shared" si="71"/>
        <v>2027.99</v>
      </c>
    </row>
    <row r="2249" spans="1:14" ht="12.75" hidden="1" customHeight="1" x14ac:dyDescent="0.2">
      <c r="A2249">
        <v>65061</v>
      </c>
      <c r="B2249" s="3" t="s">
        <v>1844</v>
      </c>
      <c r="C2249" s="7" t="s">
        <v>1703</v>
      </c>
      <c r="D2249" s="7" t="s">
        <v>221</v>
      </c>
      <c r="F2249" s="7" t="s">
        <v>446</v>
      </c>
      <c r="G2249" s="7" t="s">
        <v>1566</v>
      </c>
      <c r="H2249" s="7" t="s">
        <v>1362</v>
      </c>
      <c r="I2249" s="7" t="s">
        <v>1253</v>
      </c>
      <c r="K2249" s="39" t="s">
        <v>236</v>
      </c>
      <c r="L2249" s="40">
        <v>140</v>
      </c>
      <c r="M2249" s="40">
        <v>264377.57</v>
      </c>
      <c r="N2249" s="40">
        <f t="shared" si="71"/>
        <v>140</v>
      </c>
    </row>
    <row r="2250" spans="1:14" ht="12.75" hidden="1" customHeight="1" x14ac:dyDescent="0.2">
      <c r="A2250">
        <v>65061</v>
      </c>
      <c r="B2250" s="3" t="s">
        <v>1844</v>
      </c>
      <c r="C2250" s="7" t="s">
        <v>1704</v>
      </c>
      <c r="D2250" s="7" t="s">
        <v>221</v>
      </c>
      <c r="F2250" s="7" t="s">
        <v>648</v>
      </c>
      <c r="G2250" s="7" t="s">
        <v>1566</v>
      </c>
      <c r="H2250" s="7" t="s">
        <v>1362</v>
      </c>
      <c r="I2250" s="7" t="s">
        <v>1253</v>
      </c>
      <c r="K2250" s="39" t="s">
        <v>236</v>
      </c>
      <c r="L2250" s="40">
        <v>35.6</v>
      </c>
      <c r="M2250" s="40">
        <v>265270.21000000002</v>
      </c>
      <c r="N2250" s="40">
        <f t="shared" si="71"/>
        <v>35.6</v>
      </c>
    </row>
    <row r="2251" spans="1:14" ht="12.75" hidden="1" customHeight="1" x14ac:dyDescent="0.2">
      <c r="A2251">
        <v>65061</v>
      </c>
      <c r="B2251" s="3" t="s">
        <v>1844</v>
      </c>
      <c r="C2251" s="7" t="s">
        <v>1704</v>
      </c>
      <c r="D2251" s="7" t="s">
        <v>221</v>
      </c>
      <c r="F2251" s="7" t="s">
        <v>648</v>
      </c>
      <c r="G2251" s="7" t="s">
        <v>1566</v>
      </c>
      <c r="H2251" s="7" t="s">
        <v>1362</v>
      </c>
      <c r="I2251" s="7" t="s">
        <v>1253</v>
      </c>
      <c r="K2251" s="39" t="s">
        <v>236</v>
      </c>
      <c r="L2251" s="40">
        <v>192</v>
      </c>
      <c r="M2251" s="40">
        <v>265588.78000000003</v>
      </c>
      <c r="N2251" s="40">
        <f t="shared" si="71"/>
        <v>192</v>
      </c>
    </row>
    <row r="2252" spans="1:14" ht="12.75" hidden="1" customHeight="1" x14ac:dyDescent="0.2">
      <c r="A2252">
        <v>65061</v>
      </c>
      <c r="B2252" s="3" t="s">
        <v>1844</v>
      </c>
      <c r="C2252" s="7" t="s">
        <v>1616</v>
      </c>
      <c r="D2252" s="7" t="s">
        <v>221</v>
      </c>
      <c r="F2252" s="7" t="s">
        <v>578</v>
      </c>
      <c r="G2252" s="7" t="s">
        <v>1566</v>
      </c>
      <c r="H2252" s="7" t="s">
        <v>1362</v>
      </c>
      <c r="I2252" s="7" t="s">
        <v>1253</v>
      </c>
      <c r="K2252" s="39" t="s">
        <v>236</v>
      </c>
      <c r="L2252" s="40">
        <v>28.97</v>
      </c>
      <c r="M2252" s="40">
        <v>267927.3</v>
      </c>
      <c r="N2252" s="40">
        <f t="shared" si="71"/>
        <v>28.97</v>
      </c>
    </row>
    <row r="2253" spans="1:14" ht="12.75" hidden="1" customHeight="1" x14ac:dyDescent="0.2">
      <c r="A2253">
        <v>65061</v>
      </c>
      <c r="B2253" s="3" t="s">
        <v>1844</v>
      </c>
      <c r="C2253" s="7" t="s">
        <v>1617</v>
      </c>
      <c r="D2253" s="7" t="s">
        <v>200</v>
      </c>
      <c r="E2253" s="7">
        <v>1009</v>
      </c>
      <c r="F2253" s="7" t="s">
        <v>1949</v>
      </c>
      <c r="G2253" s="7" t="s">
        <v>1566</v>
      </c>
      <c r="H2253" s="7" t="s">
        <v>1362</v>
      </c>
      <c r="I2253" s="7" t="s">
        <v>1253</v>
      </c>
      <c r="K2253" s="39" t="s">
        <v>236</v>
      </c>
      <c r="L2253" s="40">
        <v>40</v>
      </c>
      <c r="M2253" s="40">
        <v>270110.82</v>
      </c>
      <c r="N2253" s="40">
        <f t="shared" si="71"/>
        <v>40</v>
      </c>
    </row>
    <row r="2254" spans="1:14" ht="12.75" hidden="1" customHeight="1" x14ac:dyDescent="0.2">
      <c r="A2254">
        <v>65061</v>
      </c>
      <c r="B2254" s="3" t="s">
        <v>1844</v>
      </c>
      <c r="C2254" s="7" t="s">
        <v>1617</v>
      </c>
      <c r="D2254" s="7" t="s">
        <v>200</v>
      </c>
      <c r="E2254" s="7">
        <v>1008</v>
      </c>
      <c r="F2254" s="7" t="s">
        <v>1949</v>
      </c>
      <c r="G2254" s="7" t="s">
        <v>1566</v>
      </c>
      <c r="H2254" s="7" t="s">
        <v>1362</v>
      </c>
      <c r="I2254" s="7" t="s">
        <v>1253</v>
      </c>
      <c r="K2254" s="39" t="s">
        <v>236</v>
      </c>
      <c r="L2254" s="40">
        <v>238</v>
      </c>
      <c r="M2254" s="40">
        <v>270348.82</v>
      </c>
      <c r="N2254" s="40">
        <f t="shared" si="71"/>
        <v>238</v>
      </c>
    </row>
    <row r="2255" spans="1:14" ht="12.75" hidden="1" customHeight="1" x14ac:dyDescent="0.2">
      <c r="A2255">
        <v>65061</v>
      </c>
      <c r="B2255" s="3" t="s">
        <v>1844</v>
      </c>
      <c r="C2255" s="7" t="s">
        <v>1617</v>
      </c>
      <c r="D2255" s="7" t="s">
        <v>221</v>
      </c>
      <c r="F2255" s="7" t="s">
        <v>265</v>
      </c>
      <c r="G2255" s="7" t="s">
        <v>1566</v>
      </c>
      <c r="H2255" s="7" t="s">
        <v>1362</v>
      </c>
      <c r="I2255" s="7" t="s">
        <v>1253</v>
      </c>
      <c r="K2255" s="39" t="s">
        <v>236</v>
      </c>
      <c r="L2255" s="40">
        <v>14.6</v>
      </c>
      <c r="M2255" s="40">
        <v>272877.90000000002</v>
      </c>
      <c r="N2255" s="40">
        <f t="shared" si="71"/>
        <v>14.6</v>
      </c>
    </row>
    <row r="2256" spans="1:14" ht="12.75" hidden="1" customHeight="1" x14ac:dyDescent="0.2">
      <c r="A2256">
        <v>65061</v>
      </c>
      <c r="B2256" s="3" t="s">
        <v>1844</v>
      </c>
      <c r="C2256" s="7" t="s">
        <v>1617</v>
      </c>
      <c r="D2256" s="7" t="s">
        <v>221</v>
      </c>
      <c r="F2256" s="7" t="s">
        <v>595</v>
      </c>
      <c r="G2256" s="7" t="s">
        <v>1566</v>
      </c>
      <c r="H2256" s="7" t="s">
        <v>1362</v>
      </c>
      <c r="I2256" s="7" t="s">
        <v>1253</v>
      </c>
      <c r="K2256" s="39" t="s">
        <v>236</v>
      </c>
      <c r="L2256" s="40">
        <v>137.57</v>
      </c>
      <c r="M2256" s="40">
        <v>273015.46999999997</v>
      </c>
      <c r="N2256" s="40">
        <f t="shared" si="71"/>
        <v>137.57</v>
      </c>
    </row>
    <row r="2257" spans="1:14" ht="12.75" hidden="1" customHeight="1" x14ac:dyDescent="0.2">
      <c r="A2257">
        <v>65061</v>
      </c>
      <c r="B2257" s="3" t="s">
        <v>1844</v>
      </c>
      <c r="C2257" s="7" t="s">
        <v>1617</v>
      </c>
      <c r="D2257" s="7" t="s">
        <v>221</v>
      </c>
      <c r="F2257" s="7" t="s">
        <v>595</v>
      </c>
      <c r="G2257" s="7" t="s">
        <v>1566</v>
      </c>
      <c r="H2257" s="7" t="s">
        <v>1362</v>
      </c>
      <c r="I2257" s="7" t="s">
        <v>1253</v>
      </c>
      <c r="K2257" s="39" t="s">
        <v>236</v>
      </c>
      <c r="L2257" s="40">
        <v>123.41</v>
      </c>
      <c r="M2257" s="40">
        <v>273138.88</v>
      </c>
      <c r="N2257" s="40">
        <f t="shared" si="71"/>
        <v>123.41</v>
      </c>
    </row>
    <row r="2258" spans="1:14" ht="12.75" hidden="1" customHeight="1" x14ac:dyDescent="0.2">
      <c r="A2258">
        <v>65061</v>
      </c>
      <c r="B2258" s="3" t="s">
        <v>1844</v>
      </c>
      <c r="C2258" s="7" t="s">
        <v>1617</v>
      </c>
      <c r="D2258" s="7" t="s">
        <v>221</v>
      </c>
      <c r="F2258" s="7" t="s">
        <v>595</v>
      </c>
      <c r="G2258" s="7" t="s">
        <v>1566</v>
      </c>
      <c r="H2258" s="7" t="s">
        <v>1362</v>
      </c>
      <c r="I2258" s="7" t="s">
        <v>1253</v>
      </c>
      <c r="K2258" s="39" t="s">
        <v>236</v>
      </c>
      <c r="L2258" s="40">
        <v>183.03</v>
      </c>
      <c r="M2258" s="40">
        <v>273321.90999999997</v>
      </c>
      <c r="N2258" s="40">
        <f t="shared" si="71"/>
        <v>183.03</v>
      </c>
    </row>
    <row r="2259" spans="1:14" ht="12.75" hidden="1" customHeight="1" x14ac:dyDescent="0.2">
      <c r="A2259">
        <v>65061</v>
      </c>
      <c r="B2259" s="3" t="s">
        <v>1844</v>
      </c>
      <c r="C2259" s="7" t="s">
        <v>1617</v>
      </c>
      <c r="D2259" s="7" t="s">
        <v>221</v>
      </c>
      <c r="F2259" s="7" t="s">
        <v>648</v>
      </c>
      <c r="G2259" s="7" t="s">
        <v>1566</v>
      </c>
      <c r="H2259" s="7" t="s">
        <v>1362</v>
      </c>
      <c r="I2259" s="7" t="s">
        <v>1253</v>
      </c>
      <c r="K2259" s="39" t="s">
        <v>236</v>
      </c>
      <c r="L2259" s="40">
        <v>53.93</v>
      </c>
      <c r="M2259" s="40">
        <v>273375.84000000003</v>
      </c>
      <c r="N2259" s="40">
        <f t="shared" si="71"/>
        <v>53.93</v>
      </c>
    </row>
    <row r="2260" spans="1:14" ht="12.75" hidden="1" customHeight="1" x14ac:dyDescent="0.2">
      <c r="A2260">
        <v>65061</v>
      </c>
      <c r="B2260" s="3" t="s">
        <v>1844</v>
      </c>
      <c r="C2260" s="7" t="s">
        <v>1617</v>
      </c>
      <c r="D2260" s="7" t="s">
        <v>221</v>
      </c>
      <c r="F2260" s="7" t="s">
        <v>241</v>
      </c>
      <c r="G2260" s="7" t="s">
        <v>1566</v>
      </c>
      <c r="H2260" s="7" t="s">
        <v>1362</v>
      </c>
      <c r="I2260" s="7" t="s">
        <v>1253</v>
      </c>
      <c r="K2260" s="39" t="s">
        <v>236</v>
      </c>
      <c r="L2260" s="40">
        <v>166.26</v>
      </c>
      <c r="M2260" s="40">
        <v>273542.09999999998</v>
      </c>
      <c r="N2260" s="40">
        <f t="shared" si="71"/>
        <v>166.26</v>
      </c>
    </row>
    <row r="2261" spans="1:14" ht="12.75" hidden="1" customHeight="1" x14ac:dyDescent="0.2">
      <c r="A2261">
        <v>65061</v>
      </c>
      <c r="B2261" s="3" t="s">
        <v>1844</v>
      </c>
      <c r="C2261" s="7" t="s">
        <v>1617</v>
      </c>
      <c r="D2261" s="7" t="s">
        <v>221</v>
      </c>
      <c r="F2261" s="7" t="s">
        <v>241</v>
      </c>
      <c r="G2261" s="7" t="s">
        <v>1566</v>
      </c>
      <c r="H2261" s="7" t="s">
        <v>1362</v>
      </c>
      <c r="I2261" s="7" t="s">
        <v>1253</v>
      </c>
      <c r="K2261" s="39" t="s">
        <v>236</v>
      </c>
      <c r="L2261" s="40">
        <v>61.91</v>
      </c>
      <c r="M2261" s="40">
        <v>273604.01</v>
      </c>
      <c r="N2261" s="40">
        <f t="shared" si="71"/>
        <v>61.91</v>
      </c>
    </row>
    <row r="2262" spans="1:14" ht="12.75" hidden="1" customHeight="1" x14ac:dyDescent="0.2">
      <c r="A2262">
        <v>65061</v>
      </c>
      <c r="B2262" s="3" t="s">
        <v>1844</v>
      </c>
      <c r="C2262" s="7" t="s">
        <v>1617</v>
      </c>
      <c r="D2262" s="7" t="s">
        <v>221</v>
      </c>
      <c r="F2262" s="7" t="s">
        <v>241</v>
      </c>
      <c r="G2262" s="7" t="s">
        <v>1566</v>
      </c>
      <c r="H2262" s="7" t="s">
        <v>1362</v>
      </c>
      <c r="I2262" s="7" t="s">
        <v>1253</v>
      </c>
      <c r="K2262" s="39" t="s">
        <v>236</v>
      </c>
      <c r="L2262" s="40">
        <v>75.52</v>
      </c>
      <c r="M2262" s="40">
        <v>273679.53000000003</v>
      </c>
      <c r="N2262" s="40">
        <f t="shared" si="71"/>
        <v>75.52</v>
      </c>
    </row>
    <row r="2263" spans="1:14" ht="12.75" hidden="1" customHeight="1" x14ac:dyDescent="0.2">
      <c r="A2263">
        <v>65061</v>
      </c>
      <c r="B2263" s="3" t="s">
        <v>1844</v>
      </c>
      <c r="C2263" s="7" t="s">
        <v>1617</v>
      </c>
      <c r="D2263" s="7" t="s">
        <v>221</v>
      </c>
      <c r="F2263" s="7" t="s">
        <v>241</v>
      </c>
      <c r="G2263" s="7" t="s">
        <v>1566</v>
      </c>
      <c r="H2263" s="7" t="s">
        <v>1362</v>
      </c>
      <c r="I2263" s="7" t="s">
        <v>1253</v>
      </c>
      <c r="K2263" s="39" t="s">
        <v>236</v>
      </c>
      <c r="L2263" s="40">
        <v>75.52</v>
      </c>
      <c r="M2263" s="40">
        <v>273755.05</v>
      </c>
      <c r="N2263" s="40">
        <f t="shared" si="71"/>
        <v>75.52</v>
      </c>
    </row>
    <row r="2264" spans="1:14" ht="12.75" hidden="1" customHeight="1" x14ac:dyDescent="0.2">
      <c r="A2264">
        <v>65061</v>
      </c>
      <c r="B2264" s="3" t="s">
        <v>1844</v>
      </c>
      <c r="C2264" s="7" t="s">
        <v>1663</v>
      </c>
      <c r="D2264" s="7" t="s">
        <v>221</v>
      </c>
      <c r="F2264" s="7" t="s">
        <v>265</v>
      </c>
      <c r="G2264" s="7" t="s">
        <v>1566</v>
      </c>
      <c r="H2264" s="7" t="s">
        <v>1362</v>
      </c>
      <c r="I2264" s="7" t="s">
        <v>1253</v>
      </c>
      <c r="K2264" s="39" t="s">
        <v>236</v>
      </c>
      <c r="L2264" s="40">
        <v>26.99</v>
      </c>
      <c r="M2264" s="40">
        <v>273988.77</v>
      </c>
      <c r="N2264" s="40">
        <f t="shared" si="71"/>
        <v>26.99</v>
      </c>
    </row>
    <row r="2265" spans="1:14" ht="12.75" hidden="1" customHeight="1" x14ac:dyDescent="0.2">
      <c r="A2265">
        <v>65061</v>
      </c>
      <c r="B2265" s="3" t="s">
        <v>1844</v>
      </c>
      <c r="C2265" s="7" t="s">
        <v>1663</v>
      </c>
      <c r="D2265" s="7" t="s">
        <v>221</v>
      </c>
      <c r="F2265" s="7" t="s">
        <v>265</v>
      </c>
      <c r="G2265" s="7" t="s">
        <v>1566</v>
      </c>
      <c r="H2265" s="7" t="s">
        <v>1362</v>
      </c>
      <c r="I2265" s="7" t="s">
        <v>1253</v>
      </c>
      <c r="K2265" s="39" t="s">
        <v>236</v>
      </c>
      <c r="L2265" s="40">
        <v>45.45</v>
      </c>
      <c r="M2265" s="40">
        <v>274561.13</v>
      </c>
      <c r="N2265" s="40">
        <f t="shared" si="71"/>
        <v>45.45</v>
      </c>
    </row>
    <row r="2266" spans="1:14" ht="12.75" hidden="1" customHeight="1" x14ac:dyDescent="0.2">
      <c r="A2266">
        <v>65061</v>
      </c>
      <c r="B2266" s="3" t="s">
        <v>1844</v>
      </c>
      <c r="C2266" s="7" t="s">
        <v>1619</v>
      </c>
      <c r="D2266" s="7" t="s">
        <v>221</v>
      </c>
      <c r="F2266" s="7" t="s">
        <v>265</v>
      </c>
      <c r="G2266" s="7" t="s">
        <v>1566</v>
      </c>
      <c r="H2266" s="7" t="s">
        <v>1362</v>
      </c>
      <c r="I2266" s="7" t="s">
        <v>1253</v>
      </c>
      <c r="K2266" s="39" t="s">
        <v>236</v>
      </c>
      <c r="L2266" s="40">
        <v>33.96</v>
      </c>
      <c r="M2266" s="40">
        <v>274574.09000000003</v>
      </c>
      <c r="N2266" s="40">
        <f t="shared" si="71"/>
        <v>33.96</v>
      </c>
    </row>
    <row r="2267" spans="1:14" ht="12.75" hidden="1" customHeight="1" x14ac:dyDescent="0.2">
      <c r="A2267">
        <v>65061</v>
      </c>
      <c r="B2267" s="3" t="s">
        <v>1844</v>
      </c>
      <c r="C2267" s="7" t="s">
        <v>1619</v>
      </c>
      <c r="D2267" s="7" t="s">
        <v>221</v>
      </c>
      <c r="F2267" s="7" t="s">
        <v>796</v>
      </c>
      <c r="G2267" s="7" t="s">
        <v>1566</v>
      </c>
      <c r="H2267" s="7" t="s">
        <v>1362</v>
      </c>
      <c r="I2267" s="7" t="s">
        <v>1253</v>
      </c>
      <c r="K2267" s="39" t="s">
        <v>236</v>
      </c>
      <c r="L2267" s="40">
        <v>90.4</v>
      </c>
      <c r="M2267" s="40">
        <v>274664.49</v>
      </c>
      <c r="N2267" s="40">
        <f t="shared" ref="N2267:N2292" si="72">+L2267</f>
        <v>90.4</v>
      </c>
    </row>
    <row r="2268" spans="1:14" ht="12.75" hidden="1" customHeight="1" x14ac:dyDescent="0.2">
      <c r="A2268">
        <v>65061</v>
      </c>
      <c r="B2268" s="3" t="s">
        <v>1844</v>
      </c>
      <c r="C2268" s="7" t="s">
        <v>1709</v>
      </c>
      <c r="D2268" s="7" t="s">
        <v>242</v>
      </c>
      <c r="F2268" s="7" t="s">
        <v>1953</v>
      </c>
      <c r="G2268" s="7" t="s">
        <v>1566</v>
      </c>
      <c r="H2268" s="7" t="s">
        <v>1362</v>
      </c>
      <c r="I2268" s="7" t="s">
        <v>1253</v>
      </c>
      <c r="K2268" s="39" t="s">
        <v>236</v>
      </c>
      <c r="L2268" s="40">
        <v>-3.99</v>
      </c>
      <c r="M2268" s="40">
        <v>275216.89</v>
      </c>
      <c r="N2268" s="40">
        <f t="shared" si="72"/>
        <v>-3.99</v>
      </c>
    </row>
    <row r="2269" spans="1:14" ht="12.75" hidden="1" customHeight="1" x14ac:dyDescent="0.2">
      <c r="A2269">
        <v>65061</v>
      </c>
      <c r="B2269" s="3" t="s">
        <v>1844</v>
      </c>
      <c r="C2269" s="7" t="s">
        <v>1709</v>
      </c>
      <c r="D2269" s="7" t="s">
        <v>200</v>
      </c>
      <c r="E2269" s="7">
        <v>1007</v>
      </c>
      <c r="F2269" s="7" t="s">
        <v>1954</v>
      </c>
      <c r="G2269" s="7" t="s">
        <v>1566</v>
      </c>
      <c r="H2269" s="7" t="s">
        <v>1362</v>
      </c>
      <c r="I2269" s="7" t="s">
        <v>1253</v>
      </c>
      <c r="K2269" s="39" t="s">
        <v>236</v>
      </c>
      <c r="L2269" s="40">
        <v>580</v>
      </c>
      <c r="M2269" s="40">
        <v>276692.58</v>
      </c>
      <c r="N2269" s="40">
        <f t="shared" si="72"/>
        <v>580</v>
      </c>
    </row>
    <row r="2270" spans="1:14" ht="12.75" hidden="1" customHeight="1" x14ac:dyDescent="0.2">
      <c r="A2270">
        <v>65061</v>
      </c>
      <c r="B2270" s="3" t="s">
        <v>1844</v>
      </c>
      <c r="C2270" s="7" t="s">
        <v>1760</v>
      </c>
      <c r="D2270" s="7" t="s">
        <v>221</v>
      </c>
      <c r="F2270" s="7" t="s">
        <v>648</v>
      </c>
      <c r="G2270" s="7" t="s">
        <v>1566</v>
      </c>
      <c r="H2270" s="7" t="s">
        <v>1362</v>
      </c>
      <c r="I2270" s="7" t="s">
        <v>1253</v>
      </c>
      <c r="K2270" s="39" t="s">
        <v>236</v>
      </c>
      <c r="L2270" s="40">
        <v>333.44</v>
      </c>
      <c r="M2270" s="40">
        <v>278628.36</v>
      </c>
      <c r="N2270" s="40">
        <f t="shared" si="72"/>
        <v>333.44</v>
      </c>
    </row>
    <row r="2271" spans="1:14" ht="12.75" hidden="1" customHeight="1" x14ac:dyDescent="0.2">
      <c r="A2271">
        <v>65061</v>
      </c>
      <c r="B2271" s="3" t="s">
        <v>1844</v>
      </c>
      <c r="C2271" s="7" t="s">
        <v>1760</v>
      </c>
      <c r="D2271" s="7" t="s">
        <v>221</v>
      </c>
      <c r="F2271" s="7" t="s">
        <v>648</v>
      </c>
      <c r="G2271" s="7" t="s">
        <v>1566</v>
      </c>
      <c r="H2271" s="7" t="s">
        <v>1362</v>
      </c>
      <c r="I2271" s="7" t="s">
        <v>1253</v>
      </c>
      <c r="K2271" s="39" t="s">
        <v>236</v>
      </c>
      <c r="L2271" s="40">
        <v>16.18</v>
      </c>
      <c r="M2271" s="40">
        <v>278644.53999999998</v>
      </c>
      <c r="N2271" s="40">
        <f t="shared" si="72"/>
        <v>16.18</v>
      </c>
    </row>
    <row r="2272" spans="1:14" ht="12.75" hidden="1" customHeight="1" x14ac:dyDescent="0.2">
      <c r="A2272">
        <v>65061</v>
      </c>
      <c r="B2272" s="3" t="s">
        <v>1844</v>
      </c>
      <c r="C2272" s="7" t="s">
        <v>1760</v>
      </c>
      <c r="D2272" s="7" t="s">
        <v>221</v>
      </c>
      <c r="F2272" s="7" t="s">
        <v>648</v>
      </c>
      <c r="G2272" s="7" t="s">
        <v>1566</v>
      </c>
      <c r="H2272" s="7" t="s">
        <v>1362</v>
      </c>
      <c r="I2272" s="7" t="s">
        <v>1253</v>
      </c>
      <c r="K2272" s="39" t="s">
        <v>236</v>
      </c>
      <c r="L2272" s="40">
        <v>189.87</v>
      </c>
      <c r="M2272" s="40">
        <v>278834.40999999997</v>
      </c>
      <c r="N2272" s="40">
        <f t="shared" si="72"/>
        <v>189.87</v>
      </c>
    </row>
    <row r="2273" spans="1:14" ht="12.75" hidden="1" customHeight="1" x14ac:dyDescent="0.2">
      <c r="A2273">
        <v>65061</v>
      </c>
      <c r="B2273" s="3" t="s">
        <v>1844</v>
      </c>
      <c r="C2273" s="7" t="s">
        <v>1760</v>
      </c>
      <c r="D2273" s="7" t="s">
        <v>221</v>
      </c>
      <c r="F2273" s="7" t="s">
        <v>648</v>
      </c>
      <c r="G2273" s="7" t="s">
        <v>1566</v>
      </c>
      <c r="H2273" s="7" t="s">
        <v>1362</v>
      </c>
      <c r="I2273" s="7" t="s">
        <v>1253</v>
      </c>
      <c r="K2273" s="39" t="s">
        <v>236</v>
      </c>
      <c r="L2273" s="40">
        <v>105.76</v>
      </c>
      <c r="M2273" s="40">
        <v>278940.17</v>
      </c>
      <c r="N2273" s="40">
        <f t="shared" si="72"/>
        <v>105.76</v>
      </c>
    </row>
    <row r="2274" spans="1:14" ht="12.75" hidden="1" customHeight="1" x14ac:dyDescent="0.2">
      <c r="A2274">
        <v>65061</v>
      </c>
      <c r="B2274" s="3" t="s">
        <v>1844</v>
      </c>
      <c r="C2274" s="7" t="s">
        <v>1761</v>
      </c>
      <c r="D2274" s="7" t="s">
        <v>221</v>
      </c>
      <c r="F2274" s="7" t="s">
        <v>265</v>
      </c>
      <c r="G2274" s="7" t="s">
        <v>1566</v>
      </c>
      <c r="H2274" s="7" t="s">
        <v>1362</v>
      </c>
      <c r="I2274" s="7" t="s">
        <v>1253</v>
      </c>
      <c r="K2274" s="39" t="s">
        <v>236</v>
      </c>
      <c r="L2274" s="40">
        <v>115</v>
      </c>
      <c r="M2274" s="40">
        <v>280597.34999999998</v>
      </c>
      <c r="N2274" s="40">
        <f t="shared" si="72"/>
        <v>115</v>
      </c>
    </row>
    <row r="2275" spans="1:14" ht="12.75" hidden="1" customHeight="1" x14ac:dyDescent="0.2">
      <c r="A2275">
        <v>65061</v>
      </c>
      <c r="B2275" s="3" t="s">
        <v>1844</v>
      </c>
      <c r="C2275" s="7" t="s">
        <v>1624</v>
      </c>
      <c r="D2275" s="7" t="s">
        <v>221</v>
      </c>
      <c r="F2275" s="7" t="s">
        <v>265</v>
      </c>
      <c r="G2275" s="7" t="s">
        <v>1566</v>
      </c>
      <c r="H2275" s="7" t="s">
        <v>1362</v>
      </c>
      <c r="I2275" s="7" t="s">
        <v>1253</v>
      </c>
      <c r="K2275" s="39" t="s">
        <v>236</v>
      </c>
      <c r="L2275" s="40">
        <v>104.25</v>
      </c>
      <c r="M2275" s="40">
        <v>283668.25</v>
      </c>
      <c r="N2275" s="40">
        <f t="shared" si="72"/>
        <v>104.25</v>
      </c>
    </row>
    <row r="2276" spans="1:14" ht="12.75" hidden="1" customHeight="1" x14ac:dyDescent="0.2">
      <c r="A2276">
        <v>65061</v>
      </c>
      <c r="B2276" s="3" t="s">
        <v>1844</v>
      </c>
      <c r="C2276" s="7" t="s">
        <v>1624</v>
      </c>
      <c r="D2276" s="7" t="s">
        <v>221</v>
      </c>
      <c r="F2276" s="7" t="s">
        <v>265</v>
      </c>
      <c r="G2276" s="7" t="s">
        <v>1566</v>
      </c>
      <c r="H2276" s="7" t="s">
        <v>1362</v>
      </c>
      <c r="I2276" s="7" t="s">
        <v>1253</v>
      </c>
      <c r="K2276" s="39" t="s">
        <v>236</v>
      </c>
      <c r="L2276" s="40">
        <v>74.989999999999995</v>
      </c>
      <c r="M2276" s="40">
        <v>283743.24</v>
      </c>
      <c r="N2276" s="40">
        <f t="shared" si="72"/>
        <v>74.989999999999995</v>
      </c>
    </row>
    <row r="2277" spans="1:14" ht="12.75" hidden="1" customHeight="1" x14ac:dyDescent="0.2">
      <c r="A2277">
        <v>65061</v>
      </c>
      <c r="B2277" s="3" t="s">
        <v>1844</v>
      </c>
      <c r="C2277" s="7" t="s">
        <v>1624</v>
      </c>
      <c r="D2277" s="7" t="s">
        <v>221</v>
      </c>
      <c r="F2277" s="7" t="s">
        <v>796</v>
      </c>
      <c r="G2277" s="7" t="s">
        <v>1566</v>
      </c>
      <c r="H2277" s="7" t="s">
        <v>1362</v>
      </c>
      <c r="I2277" s="7" t="s">
        <v>1253</v>
      </c>
      <c r="K2277" s="39" t="s">
        <v>236</v>
      </c>
      <c r="L2277" s="40">
        <v>261.91000000000003</v>
      </c>
      <c r="M2277" s="40">
        <v>284005.15000000002</v>
      </c>
      <c r="N2277" s="40">
        <f t="shared" si="72"/>
        <v>261.91000000000003</v>
      </c>
    </row>
    <row r="2278" spans="1:14" ht="12.75" hidden="1" customHeight="1" x14ac:dyDescent="0.2">
      <c r="A2278">
        <v>65061</v>
      </c>
      <c r="B2278" s="3" t="s">
        <v>1844</v>
      </c>
      <c r="C2278" s="7" t="s">
        <v>1624</v>
      </c>
      <c r="D2278" s="7" t="s">
        <v>221</v>
      </c>
      <c r="F2278" s="7" t="s">
        <v>265</v>
      </c>
      <c r="G2278" s="7" t="s">
        <v>1566</v>
      </c>
      <c r="H2278" s="7" t="s">
        <v>1362</v>
      </c>
      <c r="I2278" s="7" t="s">
        <v>1253</v>
      </c>
      <c r="K2278" s="39" t="s">
        <v>236</v>
      </c>
      <c r="L2278" s="40">
        <v>74.989999999999995</v>
      </c>
      <c r="M2278" s="40">
        <v>284080.14</v>
      </c>
      <c r="N2278" s="40">
        <f t="shared" si="72"/>
        <v>74.989999999999995</v>
      </c>
    </row>
    <row r="2279" spans="1:14" ht="12.75" hidden="1" customHeight="1" x14ac:dyDescent="0.2">
      <c r="A2279">
        <v>65061</v>
      </c>
      <c r="B2279" s="3" t="s">
        <v>1844</v>
      </c>
      <c r="C2279" s="7" t="s">
        <v>1624</v>
      </c>
      <c r="D2279" s="7" t="s">
        <v>221</v>
      </c>
      <c r="F2279" s="7" t="s">
        <v>241</v>
      </c>
      <c r="G2279" s="7" t="s">
        <v>1566</v>
      </c>
      <c r="H2279" s="7" t="s">
        <v>1362</v>
      </c>
      <c r="I2279" s="7" t="s">
        <v>1253</v>
      </c>
      <c r="K2279" s="39" t="s">
        <v>236</v>
      </c>
      <c r="L2279" s="40">
        <v>102.93</v>
      </c>
      <c r="M2279" s="40">
        <v>284183.07</v>
      </c>
      <c r="N2279" s="40">
        <f t="shared" si="72"/>
        <v>102.93</v>
      </c>
    </row>
    <row r="2280" spans="1:14" ht="12.75" hidden="1" customHeight="1" x14ac:dyDescent="0.2">
      <c r="A2280">
        <v>65061</v>
      </c>
      <c r="B2280" s="3" t="s">
        <v>1844</v>
      </c>
      <c r="C2280" s="7" t="s">
        <v>1624</v>
      </c>
      <c r="D2280" s="7" t="s">
        <v>221</v>
      </c>
      <c r="F2280" s="7" t="s">
        <v>241</v>
      </c>
      <c r="G2280" s="7" t="s">
        <v>1566</v>
      </c>
      <c r="H2280" s="7" t="s">
        <v>1362</v>
      </c>
      <c r="I2280" s="7" t="s">
        <v>1253</v>
      </c>
      <c r="K2280" s="39" t="s">
        <v>236</v>
      </c>
      <c r="L2280" s="40">
        <v>131.24</v>
      </c>
      <c r="M2280" s="40">
        <v>284314.31</v>
      </c>
      <c r="N2280" s="40">
        <f t="shared" si="72"/>
        <v>131.24</v>
      </c>
    </row>
    <row r="2281" spans="1:14" ht="12.75" hidden="1" customHeight="1" x14ac:dyDescent="0.2">
      <c r="A2281">
        <v>65061</v>
      </c>
      <c r="B2281" s="3" t="s">
        <v>1844</v>
      </c>
      <c r="C2281" s="7" t="s">
        <v>1624</v>
      </c>
      <c r="D2281" s="7" t="s">
        <v>221</v>
      </c>
      <c r="F2281" s="7" t="s">
        <v>241</v>
      </c>
      <c r="G2281" s="7" t="s">
        <v>1566</v>
      </c>
      <c r="H2281" s="7" t="s">
        <v>1362</v>
      </c>
      <c r="I2281" s="7" t="s">
        <v>1253</v>
      </c>
      <c r="K2281" s="39" t="s">
        <v>236</v>
      </c>
      <c r="L2281" s="40">
        <v>69.989999999999995</v>
      </c>
      <c r="M2281" s="40">
        <v>284384.3</v>
      </c>
      <c r="N2281" s="40">
        <f t="shared" si="72"/>
        <v>69.989999999999995</v>
      </c>
    </row>
    <row r="2282" spans="1:14" ht="12.75" hidden="1" customHeight="1" x14ac:dyDescent="0.2">
      <c r="A2282">
        <v>65061</v>
      </c>
      <c r="B2282" s="3" t="s">
        <v>1844</v>
      </c>
      <c r="C2282" s="7" t="s">
        <v>1624</v>
      </c>
      <c r="D2282" s="7" t="s">
        <v>221</v>
      </c>
      <c r="F2282" s="7" t="s">
        <v>241</v>
      </c>
      <c r="G2282" s="7" t="s">
        <v>1566</v>
      </c>
      <c r="H2282" s="7" t="s">
        <v>1362</v>
      </c>
      <c r="I2282" s="7" t="s">
        <v>1253</v>
      </c>
      <c r="K2282" s="39" t="s">
        <v>236</v>
      </c>
      <c r="L2282" s="40">
        <v>79.72</v>
      </c>
      <c r="M2282" s="40">
        <v>284464.02</v>
      </c>
      <c r="N2282" s="40">
        <f t="shared" si="72"/>
        <v>79.72</v>
      </c>
    </row>
    <row r="2283" spans="1:14" ht="12.75" hidden="1" customHeight="1" x14ac:dyDescent="0.2">
      <c r="A2283">
        <v>65061</v>
      </c>
      <c r="B2283" s="3" t="s">
        <v>1844</v>
      </c>
      <c r="C2283" s="7" t="s">
        <v>1624</v>
      </c>
      <c r="D2283" s="7" t="s">
        <v>221</v>
      </c>
      <c r="F2283" s="7" t="s">
        <v>241</v>
      </c>
      <c r="G2283" s="7" t="s">
        <v>1566</v>
      </c>
      <c r="H2283" s="7" t="s">
        <v>1362</v>
      </c>
      <c r="I2283" s="7" t="s">
        <v>1253</v>
      </c>
      <c r="K2283" s="39" t="s">
        <v>236</v>
      </c>
      <c r="L2283" s="40">
        <v>113.75</v>
      </c>
      <c r="M2283" s="40">
        <v>284577.77</v>
      </c>
      <c r="N2283" s="40">
        <f t="shared" si="72"/>
        <v>113.75</v>
      </c>
    </row>
    <row r="2284" spans="1:14" ht="12.75" hidden="1" customHeight="1" x14ac:dyDescent="0.2">
      <c r="A2284">
        <v>65061</v>
      </c>
      <c r="B2284" s="3" t="s">
        <v>1844</v>
      </c>
      <c r="C2284" s="7" t="s">
        <v>1546</v>
      </c>
      <c r="D2284" s="7" t="s">
        <v>242</v>
      </c>
      <c r="F2284" s="7" t="s">
        <v>1966</v>
      </c>
      <c r="G2284" s="7" t="s">
        <v>1566</v>
      </c>
      <c r="H2284" s="7" t="s">
        <v>1362</v>
      </c>
      <c r="I2284" s="7" t="s">
        <v>1253</v>
      </c>
      <c r="K2284" s="39" t="s">
        <v>236</v>
      </c>
      <c r="L2284" s="40">
        <v>-100</v>
      </c>
      <c r="M2284" s="40">
        <v>288046.46999999997</v>
      </c>
      <c r="N2284" s="40">
        <f t="shared" si="72"/>
        <v>-100</v>
      </c>
    </row>
    <row r="2285" spans="1:14" ht="12.75" hidden="1" customHeight="1" x14ac:dyDescent="0.2">
      <c r="A2285">
        <v>65061</v>
      </c>
      <c r="B2285" s="3" t="s">
        <v>1844</v>
      </c>
      <c r="C2285" s="7" t="s">
        <v>1546</v>
      </c>
      <c r="D2285" s="7" t="s">
        <v>221</v>
      </c>
      <c r="F2285" s="7" t="s">
        <v>563</v>
      </c>
      <c r="G2285" s="7" t="s">
        <v>1566</v>
      </c>
      <c r="H2285" s="7" t="s">
        <v>1362</v>
      </c>
      <c r="I2285" s="7" t="s">
        <v>1253</v>
      </c>
      <c r="K2285" s="39" t="s">
        <v>236</v>
      </c>
      <c r="L2285" s="40">
        <v>628.69000000000005</v>
      </c>
      <c r="M2285" s="40">
        <v>288675.15999999997</v>
      </c>
      <c r="N2285" s="40">
        <f t="shared" si="72"/>
        <v>628.69000000000005</v>
      </c>
    </row>
    <row r="2286" spans="1:14" ht="12.75" hidden="1" customHeight="1" x14ac:dyDescent="0.2">
      <c r="A2286">
        <v>65061</v>
      </c>
      <c r="B2286" s="3" t="s">
        <v>1844</v>
      </c>
      <c r="C2286" s="7" t="s">
        <v>1546</v>
      </c>
      <c r="D2286" s="7" t="s">
        <v>221</v>
      </c>
      <c r="F2286" s="7" t="s">
        <v>1967</v>
      </c>
      <c r="G2286" s="7" t="s">
        <v>1566</v>
      </c>
      <c r="H2286" s="7" t="s">
        <v>1362</v>
      </c>
      <c r="I2286" s="7" t="s">
        <v>1253</v>
      </c>
      <c r="K2286" s="39" t="s">
        <v>236</v>
      </c>
      <c r="L2286" s="40">
        <v>255</v>
      </c>
      <c r="M2286" s="40">
        <v>289329.36</v>
      </c>
      <c r="N2286" s="40">
        <f t="shared" si="72"/>
        <v>255</v>
      </c>
    </row>
    <row r="2287" spans="1:14" ht="12.75" hidden="1" customHeight="1" x14ac:dyDescent="0.2">
      <c r="A2287">
        <v>65061</v>
      </c>
      <c r="B2287" s="3" t="s">
        <v>1844</v>
      </c>
      <c r="C2287" s="7" t="s">
        <v>1631</v>
      </c>
      <c r="D2287" s="7" t="s">
        <v>221</v>
      </c>
      <c r="F2287" s="7" t="s">
        <v>648</v>
      </c>
      <c r="G2287" s="7" t="s">
        <v>1566</v>
      </c>
      <c r="H2287" s="7" t="s">
        <v>1362</v>
      </c>
      <c r="I2287" s="7" t="s">
        <v>1253</v>
      </c>
      <c r="K2287" s="39" t="s">
        <v>236</v>
      </c>
      <c r="L2287" s="40">
        <v>8.75</v>
      </c>
      <c r="M2287" s="40">
        <v>289433.11</v>
      </c>
      <c r="N2287" s="40">
        <f t="shared" si="72"/>
        <v>8.75</v>
      </c>
    </row>
    <row r="2288" spans="1:14" ht="12.75" hidden="1" customHeight="1" x14ac:dyDescent="0.2">
      <c r="A2288">
        <v>65061</v>
      </c>
      <c r="B2288" s="3" t="s">
        <v>1844</v>
      </c>
      <c r="C2288" s="7" t="s">
        <v>1631</v>
      </c>
      <c r="D2288" s="7" t="s">
        <v>221</v>
      </c>
      <c r="F2288" s="7" t="s">
        <v>564</v>
      </c>
      <c r="G2288" s="7" t="s">
        <v>1566</v>
      </c>
      <c r="H2288" s="7" t="s">
        <v>1362</v>
      </c>
      <c r="I2288" s="7" t="s">
        <v>1253</v>
      </c>
      <c r="K2288" s="39" t="s">
        <v>236</v>
      </c>
      <c r="L2288" s="40">
        <v>71.45</v>
      </c>
      <c r="M2288" s="40">
        <v>290905.21999999997</v>
      </c>
      <c r="N2288" s="40">
        <f t="shared" si="72"/>
        <v>71.45</v>
      </c>
    </row>
    <row r="2289" spans="1:14" ht="12.75" hidden="1" customHeight="1" x14ac:dyDescent="0.2">
      <c r="A2289">
        <v>65061</v>
      </c>
      <c r="B2289" s="3" t="s">
        <v>1844</v>
      </c>
      <c r="C2289" s="7" t="s">
        <v>1680</v>
      </c>
      <c r="D2289" s="7" t="s">
        <v>221</v>
      </c>
      <c r="F2289" s="7" t="s">
        <v>548</v>
      </c>
      <c r="G2289" s="7" t="s">
        <v>1566</v>
      </c>
      <c r="H2289" s="7" t="s">
        <v>1362</v>
      </c>
      <c r="I2289" s="7" t="s">
        <v>1253</v>
      </c>
      <c r="K2289" s="39" t="s">
        <v>236</v>
      </c>
      <c r="L2289" s="40">
        <v>21.41</v>
      </c>
      <c r="M2289" s="40">
        <v>291455.18</v>
      </c>
      <c r="N2289" s="40">
        <f t="shared" si="72"/>
        <v>21.41</v>
      </c>
    </row>
    <row r="2290" spans="1:14" ht="12.75" hidden="1" customHeight="1" x14ac:dyDescent="0.2">
      <c r="A2290">
        <v>65061</v>
      </c>
      <c r="B2290" s="3" t="s">
        <v>1844</v>
      </c>
      <c r="C2290" s="7" t="s">
        <v>1550</v>
      </c>
      <c r="D2290" s="7" t="s">
        <v>221</v>
      </c>
      <c r="F2290" s="7" t="s">
        <v>564</v>
      </c>
      <c r="G2290" s="7" t="s">
        <v>1566</v>
      </c>
      <c r="H2290" s="7" t="s">
        <v>1362</v>
      </c>
      <c r="I2290" s="7" t="s">
        <v>1253</v>
      </c>
      <c r="K2290" s="39" t="s">
        <v>236</v>
      </c>
      <c r="L2290" s="40">
        <v>50.75</v>
      </c>
      <c r="M2290" s="40">
        <v>298772.43</v>
      </c>
      <c r="N2290" s="40">
        <f t="shared" si="72"/>
        <v>50.75</v>
      </c>
    </row>
    <row r="2291" spans="1:14" ht="12.75" hidden="1" customHeight="1" x14ac:dyDescent="0.2">
      <c r="A2291">
        <v>65061</v>
      </c>
      <c r="B2291" s="3" t="s">
        <v>1844</v>
      </c>
      <c r="C2291" s="7" t="s">
        <v>1728</v>
      </c>
      <c r="D2291" s="7" t="s">
        <v>221</v>
      </c>
      <c r="F2291" s="7" t="s">
        <v>564</v>
      </c>
      <c r="G2291" s="7" t="s">
        <v>1566</v>
      </c>
      <c r="H2291" s="7" t="s">
        <v>1362</v>
      </c>
      <c r="I2291" s="7" t="s">
        <v>1253</v>
      </c>
      <c r="K2291" s="39" t="s">
        <v>236</v>
      </c>
      <c r="L2291" s="40">
        <v>28.24</v>
      </c>
      <c r="M2291" s="40">
        <v>299413.38</v>
      </c>
      <c r="N2291" s="40">
        <f t="shared" si="72"/>
        <v>28.24</v>
      </c>
    </row>
    <row r="2292" spans="1:14" ht="12.75" hidden="1" customHeight="1" x14ac:dyDescent="0.2">
      <c r="A2292">
        <v>65061</v>
      </c>
      <c r="B2292" s="3" t="s">
        <v>1844</v>
      </c>
      <c r="C2292" s="7" t="s">
        <v>1728</v>
      </c>
      <c r="D2292" s="7" t="s">
        <v>221</v>
      </c>
      <c r="F2292" s="7" t="s">
        <v>564</v>
      </c>
      <c r="G2292" s="7" t="s">
        <v>1566</v>
      </c>
      <c r="H2292" s="7" t="s">
        <v>1362</v>
      </c>
      <c r="I2292" s="7" t="s">
        <v>1253</v>
      </c>
      <c r="K2292" s="39" t="s">
        <v>236</v>
      </c>
      <c r="L2292" s="40">
        <v>158.82</v>
      </c>
      <c r="M2292" s="40">
        <v>299572.2</v>
      </c>
      <c r="N2292" s="40">
        <f t="shared" si="72"/>
        <v>158.82</v>
      </c>
    </row>
    <row r="2293" spans="1:14" ht="12.75" hidden="1" customHeight="1" x14ac:dyDescent="0.2">
      <c r="A2293">
        <v>65025</v>
      </c>
      <c r="B2293" s="3" t="s">
        <v>1246</v>
      </c>
      <c r="C2293" s="7" t="s">
        <v>406</v>
      </c>
      <c r="D2293" s="7" t="s">
        <v>200</v>
      </c>
      <c r="F2293" s="7" t="s">
        <v>446</v>
      </c>
      <c r="G2293" s="7" t="s">
        <v>1627</v>
      </c>
      <c r="H2293" s="7" t="s">
        <v>1362</v>
      </c>
      <c r="I2293" s="7" t="s">
        <v>1246</v>
      </c>
      <c r="K2293" s="7" t="s">
        <v>789</v>
      </c>
      <c r="L2293" s="11">
        <v>15</v>
      </c>
      <c r="M2293" s="11">
        <v>691.62</v>
      </c>
      <c r="N2293" s="9">
        <f t="shared" ref="N2293:N2324" si="73">IF(A2293&lt;60000,-L2293,+L2293)</f>
        <v>15</v>
      </c>
    </row>
    <row r="2294" spans="1:14" ht="12.75" hidden="1" customHeight="1" x14ac:dyDescent="0.2">
      <c r="A2294">
        <v>65025</v>
      </c>
      <c r="B2294" s="3" t="s">
        <v>1246</v>
      </c>
      <c r="C2294" s="7" t="s">
        <v>194</v>
      </c>
      <c r="D2294" s="7" t="s">
        <v>221</v>
      </c>
      <c r="F2294" s="7" t="s">
        <v>446</v>
      </c>
      <c r="G2294" s="7" t="s">
        <v>1627</v>
      </c>
      <c r="H2294" s="7" t="s">
        <v>1362</v>
      </c>
      <c r="I2294" s="7" t="s">
        <v>1246</v>
      </c>
      <c r="K2294" s="7" t="s">
        <v>789</v>
      </c>
      <c r="L2294" s="11">
        <v>15</v>
      </c>
      <c r="M2294" s="11">
        <v>1037.28</v>
      </c>
      <c r="N2294" s="9">
        <f t="shared" si="73"/>
        <v>15</v>
      </c>
    </row>
    <row r="2295" spans="1:14" ht="12.75" hidden="1" customHeight="1" x14ac:dyDescent="0.2">
      <c r="A2295">
        <v>65025</v>
      </c>
      <c r="B2295" s="3" t="s">
        <v>1246</v>
      </c>
      <c r="C2295" s="7" t="s">
        <v>222</v>
      </c>
      <c r="D2295" s="7" t="s">
        <v>221</v>
      </c>
      <c r="F2295" s="7" t="s">
        <v>446</v>
      </c>
      <c r="G2295" s="7" t="s">
        <v>1627</v>
      </c>
      <c r="H2295" s="7" t="s">
        <v>1362</v>
      </c>
      <c r="I2295" s="7" t="s">
        <v>1246</v>
      </c>
      <c r="K2295" s="7" t="s">
        <v>789</v>
      </c>
      <c r="L2295" s="11">
        <v>15</v>
      </c>
      <c r="M2295" s="11">
        <v>1369.96</v>
      </c>
      <c r="N2295" s="9">
        <f t="shared" si="73"/>
        <v>15</v>
      </c>
    </row>
    <row r="2296" spans="1:14" ht="12.75" hidden="1" customHeight="1" x14ac:dyDescent="0.2">
      <c r="A2296">
        <v>65030</v>
      </c>
      <c r="B2296" s="3" t="s">
        <v>1247</v>
      </c>
      <c r="C2296" s="7" t="s">
        <v>449</v>
      </c>
      <c r="D2296" s="7" t="s">
        <v>200</v>
      </c>
      <c r="F2296" s="7" t="s">
        <v>446</v>
      </c>
      <c r="G2296" s="7" t="s">
        <v>1627</v>
      </c>
      <c r="H2296" s="7" t="s">
        <v>1362</v>
      </c>
      <c r="I2296" s="7" t="s">
        <v>1247</v>
      </c>
      <c r="K2296" s="7" t="s">
        <v>789</v>
      </c>
      <c r="L2296" s="11">
        <v>15</v>
      </c>
      <c r="M2296" s="11">
        <v>15</v>
      </c>
      <c r="N2296" s="9">
        <f t="shared" si="73"/>
        <v>15</v>
      </c>
    </row>
    <row r="2297" spans="1:14" ht="12.75" hidden="1" customHeight="1" x14ac:dyDescent="0.2">
      <c r="A2297">
        <v>65036</v>
      </c>
      <c r="B2297" s="3" t="s">
        <v>1249</v>
      </c>
      <c r="C2297" s="7" t="s">
        <v>361</v>
      </c>
      <c r="D2297" s="7" t="s">
        <v>200</v>
      </c>
      <c r="F2297" s="7" t="s">
        <v>871</v>
      </c>
      <c r="G2297" s="7" t="s">
        <v>1627</v>
      </c>
      <c r="H2297" s="7" t="s">
        <v>1362</v>
      </c>
      <c r="I2297" s="7" t="s">
        <v>1249</v>
      </c>
      <c r="K2297" s="7" t="s">
        <v>789</v>
      </c>
      <c r="L2297" s="11">
        <v>28.56</v>
      </c>
      <c r="M2297" s="11">
        <v>701.54</v>
      </c>
      <c r="N2297" s="9">
        <f t="shared" si="73"/>
        <v>28.56</v>
      </c>
    </row>
    <row r="2298" spans="1:14" ht="12.75" hidden="1" customHeight="1" x14ac:dyDescent="0.2">
      <c r="A2298">
        <v>65061</v>
      </c>
      <c r="B2298" s="3" t="s">
        <v>1253</v>
      </c>
      <c r="C2298" s="7" t="s">
        <v>383</v>
      </c>
      <c r="D2298" s="7" t="s">
        <v>200</v>
      </c>
      <c r="F2298" s="7" t="s">
        <v>791</v>
      </c>
      <c r="G2298" s="7" t="s">
        <v>1627</v>
      </c>
      <c r="H2298" s="7" t="s">
        <v>1362</v>
      </c>
      <c r="I2298" s="7" t="s">
        <v>1253</v>
      </c>
      <c r="K2298" s="7" t="s">
        <v>789</v>
      </c>
      <c r="L2298" s="11">
        <v>424.86</v>
      </c>
      <c r="M2298" s="11">
        <v>17283.47</v>
      </c>
      <c r="N2298" s="9">
        <f t="shared" si="73"/>
        <v>424.86</v>
      </c>
    </row>
    <row r="2299" spans="1:14" ht="12.75" hidden="1" customHeight="1" x14ac:dyDescent="0.2">
      <c r="A2299">
        <v>65061</v>
      </c>
      <c r="B2299" s="3" t="s">
        <v>1253</v>
      </c>
      <c r="C2299" s="7" t="s">
        <v>448</v>
      </c>
      <c r="D2299" s="7" t="s">
        <v>200</v>
      </c>
      <c r="F2299" s="7" t="s">
        <v>589</v>
      </c>
      <c r="G2299" s="7" t="s">
        <v>1627</v>
      </c>
      <c r="H2299" s="7" t="s">
        <v>1362</v>
      </c>
      <c r="I2299" s="7" t="s">
        <v>1253</v>
      </c>
      <c r="K2299" s="7" t="s">
        <v>789</v>
      </c>
      <c r="L2299" s="11">
        <v>25.94</v>
      </c>
      <c r="M2299" s="11">
        <v>25599.18</v>
      </c>
      <c r="N2299" s="9">
        <f t="shared" si="73"/>
        <v>25.94</v>
      </c>
    </row>
    <row r="2300" spans="1:14" ht="12.75" hidden="1" customHeight="1" x14ac:dyDescent="0.2">
      <c r="A2300">
        <v>65061</v>
      </c>
      <c r="B2300" s="3" t="s">
        <v>1253</v>
      </c>
      <c r="C2300" s="7" t="s">
        <v>379</v>
      </c>
      <c r="D2300" s="7" t="s">
        <v>200</v>
      </c>
      <c r="F2300" s="7" t="s">
        <v>928</v>
      </c>
      <c r="G2300" s="7" t="s">
        <v>1627</v>
      </c>
      <c r="H2300" s="7" t="s">
        <v>1362</v>
      </c>
      <c r="I2300" s="7" t="s">
        <v>1253</v>
      </c>
      <c r="K2300" s="7" t="s">
        <v>789</v>
      </c>
      <c r="L2300" s="11">
        <v>40</v>
      </c>
      <c r="M2300" s="11">
        <v>28592.28</v>
      </c>
      <c r="N2300" s="9">
        <f t="shared" si="73"/>
        <v>40</v>
      </c>
    </row>
    <row r="2301" spans="1:14" ht="12.75" hidden="1" customHeight="1" x14ac:dyDescent="0.2">
      <c r="A2301">
        <v>65061</v>
      </c>
      <c r="B2301" s="3" t="s">
        <v>1253</v>
      </c>
      <c r="C2301" s="7" t="s">
        <v>379</v>
      </c>
      <c r="D2301" s="7" t="s">
        <v>200</v>
      </c>
      <c r="F2301" s="7" t="s">
        <v>571</v>
      </c>
      <c r="G2301" s="7" t="s">
        <v>1627</v>
      </c>
      <c r="H2301" s="7" t="s">
        <v>1362</v>
      </c>
      <c r="I2301" s="7" t="s">
        <v>1253</v>
      </c>
      <c r="K2301" s="7" t="s">
        <v>789</v>
      </c>
      <c r="L2301" s="11">
        <v>99.99</v>
      </c>
      <c r="M2301" s="11">
        <v>28692.27</v>
      </c>
      <c r="N2301" s="9">
        <f t="shared" si="73"/>
        <v>99.99</v>
      </c>
    </row>
    <row r="2302" spans="1:14" ht="12.75" hidden="1" customHeight="1" x14ac:dyDescent="0.2">
      <c r="A2302">
        <v>65061</v>
      </c>
      <c r="B2302" s="3" t="s">
        <v>1253</v>
      </c>
      <c r="C2302" s="7" t="s">
        <v>377</v>
      </c>
      <c r="D2302" s="7" t="s">
        <v>200</v>
      </c>
      <c r="F2302" s="7" t="s">
        <v>853</v>
      </c>
      <c r="G2302" s="7" t="s">
        <v>1627</v>
      </c>
      <c r="H2302" s="7" t="s">
        <v>1362</v>
      </c>
      <c r="I2302" s="7" t="s">
        <v>1253</v>
      </c>
      <c r="K2302" s="7" t="s">
        <v>789</v>
      </c>
      <c r="L2302" s="11">
        <v>32.909999999999997</v>
      </c>
      <c r="M2302" s="11">
        <v>29357.41</v>
      </c>
      <c r="N2302" s="9">
        <f t="shared" si="73"/>
        <v>32.909999999999997</v>
      </c>
    </row>
    <row r="2303" spans="1:14" ht="12.75" hidden="1" customHeight="1" x14ac:dyDescent="0.2">
      <c r="A2303">
        <v>65061</v>
      </c>
      <c r="B2303" s="3" t="s">
        <v>1253</v>
      </c>
      <c r="C2303" s="7" t="s">
        <v>418</v>
      </c>
      <c r="D2303" s="7" t="s">
        <v>200</v>
      </c>
      <c r="F2303" s="7" t="s">
        <v>548</v>
      </c>
      <c r="G2303" s="7" t="s">
        <v>1627</v>
      </c>
      <c r="H2303" s="7" t="s">
        <v>1362</v>
      </c>
      <c r="I2303" s="7" t="s">
        <v>1253</v>
      </c>
      <c r="K2303" s="7" t="s">
        <v>789</v>
      </c>
      <c r="L2303" s="11">
        <v>53.47</v>
      </c>
      <c r="M2303" s="11">
        <v>38610.660000000003</v>
      </c>
      <c r="N2303" s="9">
        <f t="shared" si="73"/>
        <v>53.47</v>
      </c>
    </row>
    <row r="2304" spans="1:14" ht="12.75" hidden="1" customHeight="1" x14ac:dyDescent="0.2">
      <c r="A2304">
        <v>65061</v>
      </c>
      <c r="B2304" s="3" t="s">
        <v>1253</v>
      </c>
      <c r="C2304" s="7" t="s">
        <v>369</v>
      </c>
      <c r="D2304" s="7" t="s">
        <v>200</v>
      </c>
      <c r="F2304" s="7" t="s">
        <v>913</v>
      </c>
      <c r="G2304" s="7" t="s">
        <v>1627</v>
      </c>
      <c r="H2304" s="7" t="s">
        <v>1362</v>
      </c>
      <c r="I2304" s="7" t="s">
        <v>1253</v>
      </c>
      <c r="K2304" s="7" t="s">
        <v>789</v>
      </c>
      <c r="L2304" s="11">
        <v>65.53</v>
      </c>
      <c r="M2304" s="11">
        <v>39380.949999999997</v>
      </c>
      <c r="N2304" s="9">
        <f t="shared" si="73"/>
        <v>65.53</v>
      </c>
    </row>
    <row r="2305" spans="1:14" ht="12.75" hidden="1" customHeight="1" x14ac:dyDescent="0.2">
      <c r="A2305">
        <v>65061</v>
      </c>
      <c r="B2305" s="3" t="s">
        <v>1253</v>
      </c>
      <c r="C2305" s="7" t="s">
        <v>907</v>
      </c>
      <c r="D2305" s="7" t="s">
        <v>200</v>
      </c>
      <c r="F2305" s="7" t="s">
        <v>546</v>
      </c>
      <c r="G2305" s="7" t="s">
        <v>1627</v>
      </c>
      <c r="H2305" s="7" t="s">
        <v>1362</v>
      </c>
      <c r="I2305" s="7" t="s">
        <v>1253</v>
      </c>
      <c r="K2305" s="7" t="s">
        <v>789</v>
      </c>
      <c r="L2305" s="11">
        <v>35.94</v>
      </c>
      <c r="M2305" s="11">
        <v>40562.86</v>
      </c>
      <c r="N2305" s="9">
        <f t="shared" si="73"/>
        <v>35.94</v>
      </c>
    </row>
    <row r="2306" spans="1:14" ht="12.75" hidden="1" customHeight="1" x14ac:dyDescent="0.2">
      <c r="A2306">
        <v>65061</v>
      </c>
      <c r="B2306" s="3" t="s">
        <v>1253</v>
      </c>
      <c r="C2306" s="7" t="s">
        <v>367</v>
      </c>
      <c r="D2306" s="7" t="s">
        <v>200</v>
      </c>
      <c r="F2306" s="7" t="s">
        <v>791</v>
      </c>
      <c r="G2306" s="7" t="s">
        <v>1627</v>
      </c>
      <c r="H2306" s="7" t="s">
        <v>1362</v>
      </c>
      <c r="I2306" s="7" t="s">
        <v>1253</v>
      </c>
      <c r="K2306" s="7" t="s">
        <v>789</v>
      </c>
      <c r="L2306" s="11">
        <v>59.98</v>
      </c>
      <c r="M2306" s="11">
        <v>41012.33</v>
      </c>
      <c r="N2306" s="9">
        <f t="shared" si="73"/>
        <v>59.98</v>
      </c>
    </row>
    <row r="2307" spans="1:14" ht="12.75" hidden="1" customHeight="1" x14ac:dyDescent="0.2">
      <c r="A2307">
        <v>65061</v>
      </c>
      <c r="B2307" s="3" t="s">
        <v>1253</v>
      </c>
      <c r="C2307" s="7" t="s">
        <v>367</v>
      </c>
      <c r="D2307" s="7" t="s">
        <v>200</v>
      </c>
      <c r="F2307" s="7" t="s">
        <v>546</v>
      </c>
      <c r="G2307" s="7" t="s">
        <v>1627</v>
      </c>
      <c r="H2307" s="7" t="s">
        <v>1362</v>
      </c>
      <c r="I2307" s="7" t="s">
        <v>1253</v>
      </c>
      <c r="K2307" s="7" t="s">
        <v>789</v>
      </c>
      <c r="L2307" s="11">
        <v>89.37</v>
      </c>
      <c r="M2307" s="11">
        <v>41101.699999999997</v>
      </c>
      <c r="N2307" s="9">
        <f t="shared" si="73"/>
        <v>89.37</v>
      </c>
    </row>
    <row r="2308" spans="1:14" ht="12.75" hidden="1" customHeight="1" x14ac:dyDescent="0.2">
      <c r="A2308">
        <v>65061</v>
      </c>
      <c r="B2308" s="3" t="s">
        <v>1253</v>
      </c>
      <c r="C2308" s="7" t="s">
        <v>367</v>
      </c>
      <c r="D2308" s="7" t="s">
        <v>200</v>
      </c>
      <c r="F2308" s="7" t="s">
        <v>906</v>
      </c>
      <c r="G2308" s="7" t="s">
        <v>1627</v>
      </c>
      <c r="H2308" s="7" t="s">
        <v>1362</v>
      </c>
      <c r="I2308" s="7" t="s">
        <v>1253</v>
      </c>
      <c r="K2308" s="7" t="s">
        <v>789</v>
      </c>
      <c r="L2308" s="11">
        <v>99.99</v>
      </c>
      <c r="M2308" s="11">
        <v>42857.440000000002</v>
      </c>
      <c r="N2308" s="9">
        <f t="shared" si="73"/>
        <v>99.99</v>
      </c>
    </row>
    <row r="2309" spans="1:14" ht="12.75" hidden="1" customHeight="1" x14ac:dyDescent="0.2">
      <c r="A2309">
        <v>65061</v>
      </c>
      <c r="B2309" s="3" t="s">
        <v>1253</v>
      </c>
      <c r="C2309" s="7" t="s">
        <v>367</v>
      </c>
      <c r="D2309" s="7" t="s">
        <v>200</v>
      </c>
      <c r="F2309" s="7" t="s">
        <v>905</v>
      </c>
      <c r="G2309" s="7" t="s">
        <v>1627</v>
      </c>
      <c r="H2309" s="7" t="s">
        <v>1362</v>
      </c>
      <c r="I2309" s="7" t="s">
        <v>1253</v>
      </c>
      <c r="K2309" s="7" t="s">
        <v>789</v>
      </c>
      <c r="L2309" s="11">
        <v>179</v>
      </c>
      <c r="M2309" s="11">
        <v>43044.2</v>
      </c>
      <c r="N2309" s="9">
        <f t="shared" si="73"/>
        <v>179</v>
      </c>
    </row>
    <row r="2310" spans="1:14" ht="12.75" hidden="1" customHeight="1" x14ac:dyDescent="0.2">
      <c r="A2310">
        <v>65061</v>
      </c>
      <c r="B2310" s="3" t="s">
        <v>1253</v>
      </c>
      <c r="C2310" s="7" t="s">
        <v>361</v>
      </c>
      <c r="D2310" s="7" t="s">
        <v>200</v>
      </c>
      <c r="F2310" s="7" t="s">
        <v>741</v>
      </c>
      <c r="G2310" s="7" t="s">
        <v>1627</v>
      </c>
      <c r="H2310" s="7" t="s">
        <v>1362</v>
      </c>
      <c r="I2310" s="7" t="s">
        <v>1253</v>
      </c>
      <c r="K2310" s="7" t="s">
        <v>789</v>
      </c>
      <c r="L2310" s="11">
        <v>34.270000000000003</v>
      </c>
      <c r="M2310" s="11">
        <v>43153.47</v>
      </c>
      <c r="N2310" s="9">
        <f t="shared" si="73"/>
        <v>34.270000000000003</v>
      </c>
    </row>
    <row r="2311" spans="1:14" ht="12.75" hidden="1" customHeight="1" x14ac:dyDescent="0.2">
      <c r="A2311">
        <v>65061</v>
      </c>
      <c r="B2311" s="3" t="s">
        <v>1253</v>
      </c>
      <c r="C2311" s="7" t="s">
        <v>319</v>
      </c>
      <c r="D2311" s="7" t="s">
        <v>200</v>
      </c>
      <c r="E2311" s="7">
        <v>421</v>
      </c>
      <c r="F2311" s="7" t="s">
        <v>862</v>
      </c>
      <c r="G2311" s="7" t="s">
        <v>1627</v>
      </c>
      <c r="H2311" s="7" t="s">
        <v>1362</v>
      </c>
      <c r="I2311" s="7" t="s">
        <v>1253</v>
      </c>
      <c r="J2311" s="7" t="s">
        <v>861</v>
      </c>
      <c r="K2311" s="7" t="s">
        <v>198</v>
      </c>
      <c r="L2311" s="11">
        <v>59.96</v>
      </c>
      <c r="M2311" s="11">
        <v>67644.47</v>
      </c>
      <c r="N2311" s="9">
        <f t="shared" si="73"/>
        <v>59.96</v>
      </c>
    </row>
    <row r="2312" spans="1:14" ht="12.75" hidden="1" customHeight="1" x14ac:dyDescent="0.2">
      <c r="A2312">
        <v>65061</v>
      </c>
      <c r="B2312" s="3" t="s">
        <v>1253</v>
      </c>
      <c r="C2312" s="7" t="s">
        <v>788</v>
      </c>
      <c r="D2312" s="7" t="s">
        <v>242</v>
      </c>
      <c r="F2312" s="7" t="s">
        <v>791</v>
      </c>
      <c r="G2312" s="7" t="s">
        <v>1627</v>
      </c>
      <c r="H2312" s="7" t="s">
        <v>1362</v>
      </c>
      <c r="I2312" s="7" t="s">
        <v>1253</v>
      </c>
      <c r="K2312" s="7" t="s">
        <v>789</v>
      </c>
      <c r="L2312" s="11">
        <v>-134.94999999999999</v>
      </c>
      <c r="M2312" s="11">
        <v>98617.57</v>
      </c>
      <c r="N2312" s="9">
        <f t="shared" si="73"/>
        <v>-134.94999999999999</v>
      </c>
    </row>
    <row r="2313" spans="1:14" ht="12.75" customHeight="1" x14ac:dyDescent="0.2">
      <c r="A2313">
        <v>43400</v>
      </c>
      <c r="B2313" s="3" t="s">
        <v>1224</v>
      </c>
      <c r="C2313" s="7" t="s">
        <v>976</v>
      </c>
      <c r="D2313" s="7" t="s">
        <v>242</v>
      </c>
      <c r="F2313" s="7" t="s">
        <v>1206</v>
      </c>
      <c r="G2313" s="7" t="s">
        <v>1605</v>
      </c>
      <c r="H2313" s="7" t="s">
        <v>1359</v>
      </c>
      <c r="I2313" s="7" t="s">
        <v>1224</v>
      </c>
      <c r="K2313" s="7" t="s">
        <v>1040</v>
      </c>
      <c r="L2313" s="11">
        <v>200</v>
      </c>
      <c r="M2313" s="11">
        <v>-22029.89</v>
      </c>
      <c r="N2313" s="9">
        <f t="shared" si="73"/>
        <v>-200</v>
      </c>
    </row>
    <row r="2314" spans="1:14" ht="12.75" customHeight="1" x14ac:dyDescent="0.2">
      <c r="A2314">
        <v>43400</v>
      </c>
      <c r="B2314" s="3" t="s">
        <v>1224</v>
      </c>
      <c r="C2314" s="7" t="s">
        <v>348</v>
      </c>
      <c r="D2314" s="7" t="s">
        <v>242</v>
      </c>
      <c r="F2314" s="7" t="s">
        <v>665</v>
      </c>
      <c r="G2314" s="7" t="s">
        <v>1605</v>
      </c>
      <c r="H2314" s="7" t="s">
        <v>1359</v>
      </c>
      <c r="I2314" s="7" t="s">
        <v>1224</v>
      </c>
      <c r="K2314" s="7" t="s">
        <v>1191</v>
      </c>
      <c r="L2314" s="11">
        <v>200</v>
      </c>
      <c r="M2314" s="11">
        <v>72654.399999999994</v>
      </c>
      <c r="N2314" s="9">
        <f t="shared" si="73"/>
        <v>-200</v>
      </c>
    </row>
    <row r="2315" spans="1:14" ht="12.75" customHeight="1" x14ac:dyDescent="0.2">
      <c r="A2315">
        <v>43400</v>
      </c>
      <c r="B2315" s="3" t="s">
        <v>1224</v>
      </c>
      <c r="C2315" s="7" t="s">
        <v>850</v>
      </c>
      <c r="D2315" s="7" t="s">
        <v>242</v>
      </c>
      <c r="F2315" s="7" t="s">
        <v>665</v>
      </c>
      <c r="G2315" s="7" t="s">
        <v>1605</v>
      </c>
      <c r="H2315" s="7" t="s">
        <v>1359</v>
      </c>
      <c r="I2315" s="7" t="s">
        <v>1224</v>
      </c>
      <c r="K2315" s="7" t="s">
        <v>1191</v>
      </c>
      <c r="L2315" s="11">
        <v>951.22</v>
      </c>
      <c r="M2315" s="11">
        <v>93508.97</v>
      </c>
      <c r="N2315" s="9">
        <f t="shared" si="73"/>
        <v>-951.22</v>
      </c>
    </row>
    <row r="2316" spans="1:14" ht="12.75" customHeight="1" x14ac:dyDescent="0.2">
      <c r="A2316">
        <v>43400</v>
      </c>
      <c r="B2316" s="3" t="s">
        <v>1224</v>
      </c>
      <c r="C2316" s="7" t="s">
        <v>388</v>
      </c>
      <c r="D2316" s="7" t="s">
        <v>242</v>
      </c>
      <c r="F2316" s="7" t="s">
        <v>665</v>
      </c>
      <c r="G2316" s="7" t="s">
        <v>1641</v>
      </c>
      <c r="H2316" s="7" t="s">
        <v>1359</v>
      </c>
      <c r="I2316" s="7" t="s">
        <v>1224</v>
      </c>
      <c r="K2316" s="7" t="s">
        <v>1204</v>
      </c>
      <c r="L2316" s="11">
        <v>995</v>
      </c>
      <c r="M2316" s="11">
        <v>-20834.89</v>
      </c>
      <c r="N2316" s="9">
        <f t="shared" si="73"/>
        <v>-995</v>
      </c>
    </row>
    <row r="2317" spans="1:14" ht="12.75" customHeight="1" x14ac:dyDescent="0.2">
      <c r="A2317">
        <v>43400</v>
      </c>
      <c r="B2317" s="3" t="s">
        <v>1224</v>
      </c>
      <c r="C2317" s="7" t="s">
        <v>391</v>
      </c>
      <c r="D2317" s="7" t="s">
        <v>183</v>
      </c>
      <c r="E2317" s="7" t="s">
        <v>1212</v>
      </c>
      <c r="G2317" s="7" t="s">
        <v>1568</v>
      </c>
      <c r="H2317" s="7" t="s">
        <v>1359</v>
      </c>
      <c r="I2317" s="7" t="s">
        <v>1224</v>
      </c>
      <c r="J2317" s="7" t="s">
        <v>1211</v>
      </c>
      <c r="K2317" s="7" t="s">
        <v>180</v>
      </c>
      <c r="L2317" s="11">
        <v>-44781.26</v>
      </c>
      <c r="M2317" s="11">
        <v>-44781.26</v>
      </c>
      <c r="N2317" s="9">
        <f t="shared" si="73"/>
        <v>44781.26</v>
      </c>
    </row>
    <row r="2318" spans="1:14" ht="12.75" customHeight="1" x14ac:dyDescent="0.2">
      <c r="A2318">
        <v>43400</v>
      </c>
      <c r="B2318" s="3" t="s">
        <v>1224</v>
      </c>
      <c r="C2318" s="7" t="s">
        <v>449</v>
      </c>
      <c r="D2318" s="7" t="s">
        <v>242</v>
      </c>
      <c r="F2318" s="7" t="s">
        <v>425</v>
      </c>
      <c r="G2318" s="7" t="s">
        <v>1568</v>
      </c>
      <c r="H2318" s="7" t="s">
        <v>1359</v>
      </c>
      <c r="I2318" s="7" t="s">
        <v>1224</v>
      </c>
      <c r="K2318" s="7" t="s">
        <v>258</v>
      </c>
      <c r="L2318" s="11">
        <v>374.77</v>
      </c>
      <c r="M2318" s="11">
        <v>-44406.49</v>
      </c>
      <c r="N2318" s="9">
        <f t="shared" si="73"/>
        <v>-374.77</v>
      </c>
    </row>
    <row r="2319" spans="1:14" ht="12.75" customHeight="1" x14ac:dyDescent="0.2">
      <c r="A2319">
        <v>43400</v>
      </c>
      <c r="B2319" s="3" t="s">
        <v>1224</v>
      </c>
      <c r="C2319" s="7" t="s">
        <v>449</v>
      </c>
      <c r="D2319" s="7" t="s">
        <v>242</v>
      </c>
      <c r="F2319" s="7" t="s">
        <v>425</v>
      </c>
      <c r="G2319" s="7" t="s">
        <v>1568</v>
      </c>
      <c r="H2319" s="7" t="s">
        <v>1359</v>
      </c>
      <c r="I2319" s="7" t="s">
        <v>1224</v>
      </c>
      <c r="K2319" s="7" t="s">
        <v>258</v>
      </c>
      <c r="L2319" s="11">
        <v>10020</v>
      </c>
      <c r="M2319" s="11">
        <v>-34386.49</v>
      </c>
      <c r="N2319" s="9">
        <f t="shared" si="73"/>
        <v>-10020</v>
      </c>
    </row>
    <row r="2320" spans="1:14" ht="12.75" customHeight="1" x14ac:dyDescent="0.2">
      <c r="A2320">
        <v>43400</v>
      </c>
      <c r="B2320" s="3" t="s">
        <v>1224</v>
      </c>
      <c r="C2320" s="7" t="s">
        <v>393</v>
      </c>
      <c r="D2320" s="7" t="s">
        <v>242</v>
      </c>
      <c r="F2320" s="7" t="s">
        <v>665</v>
      </c>
      <c r="G2320" s="7" t="s">
        <v>1568</v>
      </c>
      <c r="H2320" s="7" t="s">
        <v>1359</v>
      </c>
      <c r="I2320" s="7" t="s">
        <v>1224</v>
      </c>
      <c r="K2320" s="7" t="s">
        <v>258</v>
      </c>
      <c r="L2320" s="11">
        <v>240</v>
      </c>
      <c r="M2320" s="11">
        <v>-6530.89</v>
      </c>
      <c r="N2320" s="9">
        <f t="shared" si="73"/>
        <v>-240</v>
      </c>
    </row>
    <row r="2321" spans="1:14" ht="12.75" customHeight="1" x14ac:dyDescent="0.2">
      <c r="A2321">
        <v>43400</v>
      </c>
      <c r="B2321" s="3" t="s">
        <v>1224</v>
      </c>
      <c r="C2321" s="7" t="s">
        <v>393</v>
      </c>
      <c r="D2321" s="7" t="s">
        <v>242</v>
      </c>
      <c r="F2321" s="7" t="s">
        <v>665</v>
      </c>
      <c r="G2321" s="7" t="s">
        <v>1568</v>
      </c>
      <c r="H2321" s="7" t="s">
        <v>1359</v>
      </c>
      <c r="I2321" s="7" t="s">
        <v>1224</v>
      </c>
      <c r="K2321" s="7" t="s">
        <v>258</v>
      </c>
      <c r="L2321" s="11">
        <v>9600</v>
      </c>
      <c r="M2321" s="11">
        <v>3069.11</v>
      </c>
      <c r="N2321" s="9">
        <f t="shared" si="73"/>
        <v>-9600</v>
      </c>
    </row>
    <row r="2322" spans="1:14" ht="12.75" customHeight="1" x14ac:dyDescent="0.2">
      <c r="A2322">
        <v>43400</v>
      </c>
      <c r="B2322" s="3" t="s">
        <v>1224</v>
      </c>
      <c r="C2322" s="7" t="s">
        <v>381</v>
      </c>
      <c r="D2322" s="7" t="s">
        <v>242</v>
      </c>
      <c r="F2322" s="7" t="s">
        <v>665</v>
      </c>
      <c r="G2322" s="7" t="s">
        <v>1568</v>
      </c>
      <c r="H2322" s="7" t="s">
        <v>1359</v>
      </c>
      <c r="I2322" s="7" t="s">
        <v>1224</v>
      </c>
      <c r="K2322" s="7" t="s">
        <v>258</v>
      </c>
      <c r="L2322" s="11">
        <v>18800</v>
      </c>
      <c r="M2322" s="11">
        <v>29306.09</v>
      </c>
      <c r="N2322" s="9">
        <f t="shared" si="73"/>
        <v>-18800</v>
      </c>
    </row>
    <row r="2323" spans="1:14" ht="12.75" customHeight="1" x14ac:dyDescent="0.2">
      <c r="A2323">
        <v>43400</v>
      </c>
      <c r="B2323" s="3" t="s">
        <v>1224</v>
      </c>
      <c r="C2323" s="7" t="s">
        <v>379</v>
      </c>
      <c r="D2323" s="7" t="s">
        <v>242</v>
      </c>
      <c r="F2323" s="7" t="s">
        <v>665</v>
      </c>
      <c r="G2323" s="7" t="s">
        <v>1568</v>
      </c>
      <c r="H2323" s="7" t="s">
        <v>1359</v>
      </c>
      <c r="I2323" s="7" t="s">
        <v>1224</v>
      </c>
      <c r="K2323" s="7" t="s">
        <v>258</v>
      </c>
      <c r="L2323" s="11">
        <v>135</v>
      </c>
      <c r="M2323" s="11">
        <v>35699.14</v>
      </c>
      <c r="N2323" s="9">
        <f t="shared" si="73"/>
        <v>-135</v>
      </c>
    </row>
    <row r="2324" spans="1:14" ht="12.75" customHeight="1" x14ac:dyDescent="0.2">
      <c r="A2324">
        <v>43400</v>
      </c>
      <c r="B2324" s="3" t="s">
        <v>1224</v>
      </c>
      <c r="C2324" s="7" t="s">
        <v>334</v>
      </c>
      <c r="D2324" s="7" t="s">
        <v>242</v>
      </c>
      <c r="F2324" s="7" t="s">
        <v>425</v>
      </c>
      <c r="G2324" s="7" t="s">
        <v>1568</v>
      </c>
      <c r="H2324" s="7" t="s">
        <v>1359</v>
      </c>
      <c r="I2324" s="7" t="s">
        <v>1224</v>
      </c>
      <c r="K2324" s="7" t="s">
        <v>258</v>
      </c>
      <c r="L2324" s="11">
        <v>4815.1499999999996</v>
      </c>
      <c r="M2324" s="11">
        <v>82069.55</v>
      </c>
      <c r="N2324" s="9">
        <f t="shared" si="73"/>
        <v>-4815.1499999999996</v>
      </c>
    </row>
    <row r="2325" spans="1:14" ht="12.75" customHeight="1" x14ac:dyDescent="0.2">
      <c r="A2325">
        <v>43400</v>
      </c>
      <c r="B2325" s="3" t="s">
        <v>1224</v>
      </c>
      <c r="C2325" s="7" t="s">
        <v>858</v>
      </c>
      <c r="D2325" s="7" t="s">
        <v>242</v>
      </c>
      <c r="F2325" s="7" t="s">
        <v>665</v>
      </c>
      <c r="G2325" s="7" t="s">
        <v>1568</v>
      </c>
      <c r="H2325" s="7" t="s">
        <v>1359</v>
      </c>
      <c r="I2325" s="7" t="s">
        <v>1224</v>
      </c>
      <c r="K2325" s="7" t="s">
        <v>258</v>
      </c>
      <c r="L2325" s="11">
        <v>325</v>
      </c>
      <c r="M2325" s="11">
        <v>91296.25</v>
      </c>
      <c r="N2325" s="9">
        <f t="shared" ref="N2325:N2345" si="74">IF(A2325&lt;60000,-L2325,+L2325)</f>
        <v>-325</v>
      </c>
    </row>
    <row r="2326" spans="1:14" ht="12.75" customHeight="1" x14ac:dyDescent="0.2">
      <c r="A2326">
        <v>43400</v>
      </c>
      <c r="B2326" s="3" t="s">
        <v>1224</v>
      </c>
      <c r="C2326" s="7" t="s">
        <v>858</v>
      </c>
      <c r="D2326" s="7" t="s">
        <v>242</v>
      </c>
      <c r="F2326" s="7" t="s">
        <v>665</v>
      </c>
      <c r="G2326" s="7" t="s">
        <v>1568</v>
      </c>
      <c r="H2326" s="7" t="s">
        <v>1359</v>
      </c>
      <c r="I2326" s="7" t="s">
        <v>1224</v>
      </c>
      <c r="K2326" s="7" t="s">
        <v>258</v>
      </c>
      <c r="L2326" s="11">
        <v>25</v>
      </c>
      <c r="M2326" s="11">
        <v>91321.25</v>
      </c>
      <c r="N2326" s="9">
        <f t="shared" si="74"/>
        <v>-25</v>
      </c>
    </row>
    <row r="2327" spans="1:14" ht="12.75" customHeight="1" x14ac:dyDescent="0.2">
      <c r="A2327">
        <v>43400</v>
      </c>
      <c r="B2327" s="3" t="s">
        <v>1224</v>
      </c>
      <c r="C2327" s="7" t="s">
        <v>282</v>
      </c>
      <c r="D2327" s="7" t="s">
        <v>242</v>
      </c>
      <c r="F2327" s="7" t="s">
        <v>665</v>
      </c>
      <c r="G2327" s="7" t="s">
        <v>1568</v>
      </c>
      <c r="H2327" s="7" t="s">
        <v>1359</v>
      </c>
      <c r="I2327" s="7" t="s">
        <v>1224</v>
      </c>
      <c r="K2327" s="7" t="s">
        <v>258</v>
      </c>
      <c r="L2327" s="11">
        <v>400</v>
      </c>
      <c r="M2327" s="11">
        <v>113838.26</v>
      </c>
      <c r="N2327" s="9">
        <f t="shared" si="74"/>
        <v>-400</v>
      </c>
    </row>
    <row r="2328" spans="1:14" ht="12.75" customHeight="1" x14ac:dyDescent="0.2">
      <c r="A2328">
        <v>43400</v>
      </c>
      <c r="B2328" s="3" t="s">
        <v>1224</v>
      </c>
      <c r="C2328" s="7" t="s">
        <v>239</v>
      </c>
      <c r="D2328" s="7" t="s">
        <v>242</v>
      </c>
      <c r="F2328" s="7" t="s">
        <v>665</v>
      </c>
      <c r="G2328" s="7" t="s">
        <v>1568</v>
      </c>
      <c r="H2328" s="7" t="s">
        <v>1359</v>
      </c>
      <c r="I2328" s="7" t="s">
        <v>1224</v>
      </c>
      <c r="K2328" s="7" t="s">
        <v>258</v>
      </c>
      <c r="L2328" s="11">
        <v>151.75</v>
      </c>
      <c r="M2328" s="11">
        <v>140155.26</v>
      </c>
      <c r="N2328" s="9">
        <f t="shared" si="74"/>
        <v>-151.75</v>
      </c>
    </row>
    <row r="2329" spans="1:14" ht="12.75" customHeight="1" x14ac:dyDescent="0.2">
      <c r="A2329">
        <v>43400</v>
      </c>
      <c r="B2329" s="3" t="s">
        <v>1224</v>
      </c>
      <c r="C2329" s="7" t="s">
        <v>427</v>
      </c>
      <c r="D2329" s="7" t="s">
        <v>242</v>
      </c>
      <c r="F2329" s="7" t="s">
        <v>665</v>
      </c>
      <c r="G2329" s="7" t="s">
        <v>1568</v>
      </c>
      <c r="H2329" s="7" t="s">
        <v>1359</v>
      </c>
      <c r="I2329" s="7" t="s">
        <v>1224</v>
      </c>
      <c r="K2329" s="7" t="s">
        <v>258</v>
      </c>
      <c r="L2329" s="11">
        <v>75</v>
      </c>
      <c r="M2329" s="11">
        <v>197075.02</v>
      </c>
      <c r="N2329" s="9">
        <f t="shared" si="74"/>
        <v>-75</v>
      </c>
    </row>
    <row r="2330" spans="1:14" ht="12.75" customHeight="1" x14ac:dyDescent="0.2">
      <c r="A2330">
        <v>43400</v>
      </c>
      <c r="B2330" s="3" t="s">
        <v>1224</v>
      </c>
      <c r="C2330" s="7" t="s">
        <v>432</v>
      </c>
      <c r="D2330" s="7" t="s">
        <v>242</v>
      </c>
      <c r="F2330" s="7" t="s">
        <v>1207</v>
      </c>
      <c r="G2330" s="7" t="s">
        <v>1566</v>
      </c>
      <c r="H2330" s="7" t="s">
        <v>1359</v>
      </c>
      <c r="I2330" s="7" t="s">
        <v>1224</v>
      </c>
      <c r="K2330" s="7" t="s">
        <v>1176</v>
      </c>
      <c r="L2330" s="11">
        <v>2500</v>
      </c>
      <c r="M2330" s="11">
        <v>-24219.89</v>
      </c>
      <c r="N2330" s="9">
        <f t="shared" si="74"/>
        <v>-2500</v>
      </c>
    </row>
    <row r="2331" spans="1:14" ht="12.75" customHeight="1" x14ac:dyDescent="0.2">
      <c r="A2331">
        <v>43400</v>
      </c>
      <c r="B2331" s="3" t="s">
        <v>1224</v>
      </c>
      <c r="C2331" s="7" t="s">
        <v>437</v>
      </c>
      <c r="D2331" s="7" t="s">
        <v>242</v>
      </c>
      <c r="F2331" s="7" t="s">
        <v>665</v>
      </c>
      <c r="G2331" s="7" t="s">
        <v>1566</v>
      </c>
      <c r="H2331" s="7" t="s">
        <v>1359</v>
      </c>
      <c r="I2331" s="7" t="s">
        <v>1224</v>
      </c>
      <c r="K2331" s="7" t="s">
        <v>1176</v>
      </c>
      <c r="L2331" s="11">
        <v>100</v>
      </c>
      <c r="M2331" s="11">
        <v>4688.43</v>
      </c>
      <c r="N2331" s="9">
        <f t="shared" si="74"/>
        <v>-100</v>
      </c>
    </row>
    <row r="2332" spans="1:14" ht="12.75" customHeight="1" x14ac:dyDescent="0.2">
      <c r="A2332">
        <v>43400</v>
      </c>
      <c r="B2332" s="3" t="s">
        <v>1224</v>
      </c>
      <c r="C2332" s="7" t="s">
        <v>437</v>
      </c>
      <c r="D2332" s="7" t="s">
        <v>242</v>
      </c>
      <c r="F2332" s="7" t="s">
        <v>665</v>
      </c>
      <c r="G2332" s="7" t="s">
        <v>1566</v>
      </c>
      <c r="H2332" s="7" t="s">
        <v>1359</v>
      </c>
      <c r="I2332" s="7" t="s">
        <v>1224</v>
      </c>
      <c r="K2332" s="7" t="s">
        <v>1176</v>
      </c>
      <c r="L2332" s="11">
        <v>357.66</v>
      </c>
      <c r="M2332" s="11">
        <v>5046.09</v>
      </c>
      <c r="N2332" s="9">
        <f t="shared" si="74"/>
        <v>-357.66</v>
      </c>
    </row>
    <row r="2333" spans="1:14" ht="12.75" customHeight="1" x14ac:dyDescent="0.2">
      <c r="A2333">
        <v>43400</v>
      </c>
      <c r="B2333" s="3" t="s">
        <v>1224</v>
      </c>
      <c r="C2333" s="7" t="s">
        <v>356</v>
      </c>
      <c r="D2333" s="7" t="s">
        <v>242</v>
      </c>
      <c r="F2333" s="7" t="s">
        <v>665</v>
      </c>
      <c r="G2333" s="7" t="s">
        <v>1566</v>
      </c>
      <c r="H2333" s="7" t="s">
        <v>1359</v>
      </c>
      <c r="I2333" s="7" t="s">
        <v>1224</v>
      </c>
      <c r="K2333" s="7" t="s">
        <v>1176</v>
      </c>
      <c r="L2333" s="11">
        <v>3621</v>
      </c>
      <c r="M2333" s="11">
        <v>69158.42</v>
      </c>
      <c r="N2333" s="9">
        <f t="shared" si="74"/>
        <v>-3621</v>
      </c>
    </row>
    <row r="2334" spans="1:14" ht="12.75" customHeight="1" x14ac:dyDescent="0.2">
      <c r="A2334">
        <v>43400</v>
      </c>
      <c r="B2334" s="3" t="s">
        <v>1224</v>
      </c>
      <c r="C2334" s="7" t="s">
        <v>356</v>
      </c>
      <c r="D2334" s="7" t="s">
        <v>242</v>
      </c>
      <c r="F2334" s="7" t="s">
        <v>665</v>
      </c>
      <c r="G2334" s="7" t="s">
        <v>1566</v>
      </c>
      <c r="H2334" s="7" t="s">
        <v>1359</v>
      </c>
      <c r="I2334" s="7" t="s">
        <v>1224</v>
      </c>
      <c r="K2334" s="7" t="s">
        <v>1176</v>
      </c>
      <c r="L2334" s="11">
        <v>560</v>
      </c>
      <c r="M2334" s="11">
        <v>69718.42</v>
      </c>
      <c r="N2334" s="9">
        <f t="shared" si="74"/>
        <v>-560</v>
      </c>
    </row>
    <row r="2335" spans="1:14" ht="12.75" customHeight="1" x14ac:dyDescent="0.2">
      <c r="A2335">
        <v>43400</v>
      </c>
      <c r="B2335" s="3" t="s">
        <v>1224</v>
      </c>
      <c r="C2335" s="7" t="s">
        <v>330</v>
      </c>
      <c r="D2335" s="7" t="s">
        <v>242</v>
      </c>
      <c r="F2335" s="7" t="s">
        <v>665</v>
      </c>
      <c r="G2335" s="7" t="s">
        <v>1566</v>
      </c>
      <c r="H2335" s="7" t="s">
        <v>1359</v>
      </c>
      <c r="I2335" s="7" t="s">
        <v>1224</v>
      </c>
      <c r="K2335" s="7" t="s">
        <v>1176</v>
      </c>
      <c r="L2335" s="11">
        <v>1000</v>
      </c>
      <c r="M2335" s="11">
        <v>83469.55</v>
      </c>
      <c r="N2335" s="9">
        <f t="shared" si="74"/>
        <v>-1000</v>
      </c>
    </row>
    <row r="2336" spans="1:14" ht="12.75" customHeight="1" x14ac:dyDescent="0.2">
      <c r="A2336">
        <v>43400</v>
      </c>
      <c r="B2336" s="3" t="s">
        <v>1224</v>
      </c>
      <c r="C2336" s="7" t="s">
        <v>415</v>
      </c>
      <c r="D2336" s="7" t="s">
        <v>242</v>
      </c>
      <c r="F2336" s="7" t="s">
        <v>665</v>
      </c>
      <c r="G2336" s="7" t="s">
        <v>1566</v>
      </c>
      <c r="H2336" s="7" t="s">
        <v>1359</v>
      </c>
      <c r="I2336" s="7" t="s">
        <v>1224</v>
      </c>
      <c r="K2336" s="7" t="s">
        <v>1176</v>
      </c>
      <c r="L2336" s="11">
        <v>320</v>
      </c>
      <c r="M2336" s="11">
        <v>92532.75</v>
      </c>
      <c r="N2336" s="9">
        <f t="shared" si="74"/>
        <v>-320</v>
      </c>
    </row>
    <row r="2337" spans="1:14" ht="12.75" customHeight="1" x14ac:dyDescent="0.2">
      <c r="A2337">
        <v>43400</v>
      </c>
      <c r="B2337" s="3" t="s">
        <v>1224</v>
      </c>
      <c r="C2337" s="7" t="s">
        <v>306</v>
      </c>
      <c r="D2337" s="7" t="s">
        <v>242</v>
      </c>
      <c r="F2337" s="7" t="s">
        <v>665</v>
      </c>
      <c r="G2337" s="7" t="s">
        <v>1566</v>
      </c>
      <c r="H2337" s="7" t="s">
        <v>1359</v>
      </c>
      <c r="I2337" s="7" t="s">
        <v>1224</v>
      </c>
      <c r="K2337" s="7" t="s">
        <v>1176</v>
      </c>
      <c r="L2337" s="11">
        <v>150</v>
      </c>
      <c r="M2337" s="11">
        <v>101930.72</v>
      </c>
      <c r="N2337" s="9">
        <f t="shared" si="74"/>
        <v>-150</v>
      </c>
    </row>
    <row r="2338" spans="1:14" ht="12.75" customHeight="1" x14ac:dyDescent="0.2">
      <c r="A2338">
        <v>43400</v>
      </c>
      <c r="B2338" s="3" t="s">
        <v>1224</v>
      </c>
      <c r="C2338" s="7" t="s">
        <v>284</v>
      </c>
      <c r="D2338" s="7" t="s">
        <v>242</v>
      </c>
      <c r="F2338" s="7" t="s">
        <v>665</v>
      </c>
      <c r="G2338" s="7" t="s">
        <v>1566</v>
      </c>
      <c r="H2338" s="7" t="s">
        <v>1359</v>
      </c>
      <c r="I2338" s="7" t="s">
        <v>1224</v>
      </c>
      <c r="K2338" s="7" t="s">
        <v>1176</v>
      </c>
      <c r="L2338" s="11">
        <v>85.82</v>
      </c>
      <c r="M2338" s="11">
        <v>111288.26</v>
      </c>
      <c r="N2338" s="9">
        <f t="shared" si="74"/>
        <v>-85.82</v>
      </c>
    </row>
    <row r="2339" spans="1:14" ht="12.75" customHeight="1" x14ac:dyDescent="0.2">
      <c r="A2339">
        <v>43400</v>
      </c>
      <c r="B2339" s="3" t="s">
        <v>1224</v>
      </c>
      <c r="C2339" s="7" t="s">
        <v>229</v>
      </c>
      <c r="D2339" s="7" t="s">
        <v>242</v>
      </c>
      <c r="F2339" s="7" t="s">
        <v>665</v>
      </c>
      <c r="G2339" s="7" t="s">
        <v>1566</v>
      </c>
      <c r="H2339" s="7" t="s">
        <v>1359</v>
      </c>
      <c r="I2339" s="7" t="s">
        <v>1224</v>
      </c>
      <c r="K2339" s="7" t="s">
        <v>1176</v>
      </c>
      <c r="L2339" s="11">
        <v>2255.9299999999998</v>
      </c>
      <c r="M2339" s="11">
        <v>161889.01</v>
      </c>
      <c r="N2339" s="9">
        <f t="shared" si="74"/>
        <v>-2255.9299999999998</v>
      </c>
    </row>
    <row r="2340" spans="1:14" ht="12.75" customHeight="1" x14ac:dyDescent="0.2">
      <c r="A2340">
        <v>43400</v>
      </c>
      <c r="B2340" s="3" t="s">
        <v>1224</v>
      </c>
      <c r="C2340" s="7" t="s">
        <v>191</v>
      </c>
      <c r="D2340" s="7" t="s">
        <v>242</v>
      </c>
      <c r="F2340" s="7" t="s">
        <v>665</v>
      </c>
      <c r="G2340" s="7" t="s">
        <v>1566</v>
      </c>
      <c r="H2340" s="7" t="s">
        <v>1359</v>
      </c>
      <c r="I2340" s="7" t="s">
        <v>1224</v>
      </c>
      <c r="K2340" s="7" t="s">
        <v>1176</v>
      </c>
      <c r="L2340" s="11">
        <v>700</v>
      </c>
      <c r="M2340" s="11">
        <v>174971.57</v>
      </c>
      <c r="N2340" s="9">
        <f t="shared" si="74"/>
        <v>-700</v>
      </c>
    </row>
    <row r="2341" spans="1:14" ht="12.75" customHeight="1" x14ac:dyDescent="0.2">
      <c r="A2341">
        <v>43400</v>
      </c>
      <c r="B2341" s="3" t="s">
        <v>1224</v>
      </c>
      <c r="C2341" s="7" t="s">
        <v>952</v>
      </c>
      <c r="D2341" s="7" t="s">
        <v>242</v>
      </c>
      <c r="F2341" s="7" t="s">
        <v>665</v>
      </c>
      <c r="G2341" s="7" t="s">
        <v>1620</v>
      </c>
      <c r="H2341" s="7" t="s">
        <v>1359</v>
      </c>
      <c r="I2341" s="7" t="s">
        <v>1224</v>
      </c>
      <c r="K2341" s="7" t="s">
        <v>1170</v>
      </c>
      <c r="L2341" s="11">
        <v>560</v>
      </c>
      <c r="M2341" s="11">
        <v>4588.43</v>
      </c>
      <c r="N2341" s="9">
        <f t="shared" si="74"/>
        <v>-560</v>
      </c>
    </row>
    <row r="2342" spans="1:14" ht="12.75" customHeight="1" x14ac:dyDescent="0.2">
      <c r="A2342">
        <v>43400</v>
      </c>
      <c r="B2342" s="3" t="s">
        <v>1224</v>
      </c>
      <c r="C2342" s="7" t="s">
        <v>218</v>
      </c>
      <c r="D2342" s="7" t="s">
        <v>242</v>
      </c>
      <c r="F2342" s="7" t="s">
        <v>665</v>
      </c>
      <c r="G2342" s="7" t="s">
        <v>1620</v>
      </c>
      <c r="H2342" s="7" t="s">
        <v>1359</v>
      </c>
      <c r="I2342" s="7" t="s">
        <v>1224</v>
      </c>
      <c r="K2342" s="7" t="s">
        <v>1170</v>
      </c>
      <c r="L2342" s="11">
        <v>350</v>
      </c>
      <c r="M2342" s="11">
        <v>188252.31</v>
      </c>
      <c r="N2342" s="9">
        <f t="shared" si="74"/>
        <v>-350</v>
      </c>
    </row>
    <row r="2343" spans="1:14" ht="12.75" customHeight="1" x14ac:dyDescent="0.2">
      <c r="A2343">
        <v>43400</v>
      </c>
      <c r="B2343" s="3" t="s">
        <v>1224</v>
      </c>
      <c r="C2343" s="7" t="s">
        <v>218</v>
      </c>
      <c r="D2343" s="7" t="s">
        <v>242</v>
      </c>
      <c r="F2343" s="7" t="s">
        <v>665</v>
      </c>
      <c r="G2343" s="7" t="s">
        <v>1552</v>
      </c>
      <c r="H2343" s="7" t="s">
        <v>1359</v>
      </c>
      <c r="I2343" s="7" t="s">
        <v>1224</v>
      </c>
      <c r="K2343" s="7" t="s">
        <v>1172</v>
      </c>
      <c r="L2343" s="11">
        <v>2655</v>
      </c>
      <c r="M2343" s="11">
        <v>186370.31</v>
      </c>
      <c r="N2343" s="9">
        <f t="shared" si="74"/>
        <v>-2655</v>
      </c>
    </row>
    <row r="2344" spans="1:14" ht="12.75" customHeight="1" x14ac:dyDescent="0.2">
      <c r="A2344">
        <v>43400</v>
      </c>
      <c r="B2344" s="3" t="s">
        <v>1224</v>
      </c>
      <c r="C2344" s="7" t="s">
        <v>218</v>
      </c>
      <c r="D2344" s="7" t="s">
        <v>242</v>
      </c>
      <c r="F2344" s="7" t="s">
        <v>665</v>
      </c>
      <c r="G2344" s="7" t="s">
        <v>1552</v>
      </c>
      <c r="H2344" s="7" t="s">
        <v>1359</v>
      </c>
      <c r="I2344" s="7" t="s">
        <v>1224</v>
      </c>
      <c r="K2344" s="7" t="s">
        <v>1172</v>
      </c>
      <c r="L2344" s="11">
        <v>922</v>
      </c>
      <c r="M2344" s="11">
        <v>187292.31</v>
      </c>
      <c r="N2344" s="9">
        <f t="shared" si="74"/>
        <v>-922</v>
      </c>
    </row>
    <row r="2345" spans="1:14" ht="12.75" customHeight="1" x14ac:dyDescent="0.2">
      <c r="A2345">
        <v>43400</v>
      </c>
      <c r="B2345" s="3" t="s">
        <v>1224</v>
      </c>
      <c r="C2345" s="7" t="s">
        <v>218</v>
      </c>
      <c r="D2345" s="7" t="s">
        <v>242</v>
      </c>
      <c r="F2345" s="7" t="s">
        <v>665</v>
      </c>
      <c r="G2345" s="7" t="s">
        <v>1552</v>
      </c>
      <c r="H2345" s="7" t="s">
        <v>1359</v>
      </c>
      <c r="I2345" s="7" t="s">
        <v>1224</v>
      </c>
      <c r="K2345" s="7" t="s">
        <v>1172</v>
      </c>
      <c r="L2345" s="11">
        <v>585</v>
      </c>
      <c r="M2345" s="11">
        <v>187877.31</v>
      </c>
      <c r="N2345" s="9">
        <f t="shared" si="74"/>
        <v>-585</v>
      </c>
    </row>
    <row r="2346" spans="1:14" ht="12.75" customHeight="1" x14ac:dyDescent="0.2">
      <c r="A2346">
        <v>43400</v>
      </c>
      <c r="B2346" s="3" t="s">
        <v>1224</v>
      </c>
      <c r="C2346" s="7" t="s">
        <v>1562</v>
      </c>
      <c r="D2346" s="7" t="s">
        <v>242</v>
      </c>
      <c r="F2346" s="7" t="s">
        <v>665</v>
      </c>
      <c r="G2346" s="7" t="s">
        <v>1564</v>
      </c>
      <c r="H2346" s="7" t="s">
        <v>1359</v>
      </c>
      <c r="I2346" s="7" t="s">
        <v>1224</v>
      </c>
      <c r="K2346" s="39" t="s">
        <v>1186</v>
      </c>
      <c r="L2346" s="40">
        <v>25</v>
      </c>
      <c r="M2346" s="40">
        <v>221972.57</v>
      </c>
      <c r="N2346" s="41">
        <f t="shared" ref="N2346:N2370" si="75">-L2346</f>
        <v>-25</v>
      </c>
    </row>
    <row r="2347" spans="1:14" ht="12.75" customHeight="1" x14ac:dyDescent="0.2">
      <c r="A2347">
        <v>43400</v>
      </c>
      <c r="B2347" s="3" t="s">
        <v>1224</v>
      </c>
      <c r="C2347" s="7" t="s">
        <v>1617</v>
      </c>
      <c r="D2347" s="7" t="s">
        <v>242</v>
      </c>
      <c r="F2347" s="7" t="s">
        <v>665</v>
      </c>
      <c r="G2347" s="7" t="s">
        <v>1564</v>
      </c>
      <c r="H2347" s="7" t="s">
        <v>1359</v>
      </c>
      <c r="I2347" s="7" t="s">
        <v>1224</v>
      </c>
      <c r="K2347" s="39" t="s">
        <v>1186</v>
      </c>
      <c r="L2347" s="40">
        <v>200</v>
      </c>
      <c r="M2347" s="40">
        <v>259241.97</v>
      </c>
      <c r="N2347" s="41">
        <f t="shared" si="75"/>
        <v>-200</v>
      </c>
    </row>
    <row r="2348" spans="1:14" ht="12.75" customHeight="1" x14ac:dyDescent="0.2">
      <c r="A2348">
        <v>43400</v>
      </c>
      <c r="B2348" s="3" t="s">
        <v>1224</v>
      </c>
      <c r="C2348" s="7" t="s">
        <v>1631</v>
      </c>
      <c r="D2348" s="7" t="s">
        <v>242</v>
      </c>
      <c r="F2348" s="7" t="s">
        <v>1633</v>
      </c>
      <c r="G2348" s="7" t="s">
        <v>1564</v>
      </c>
      <c r="H2348" s="7" t="s">
        <v>1359</v>
      </c>
      <c r="I2348" s="7" t="s">
        <v>1224</v>
      </c>
      <c r="J2348" s="39" t="s">
        <v>1634</v>
      </c>
      <c r="K2348" s="39" t="s">
        <v>1186</v>
      </c>
      <c r="L2348" s="40">
        <v>840</v>
      </c>
      <c r="M2348" s="40">
        <v>281237.89</v>
      </c>
      <c r="N2348" s="41">
        <f t="shared" si="75"/>
        <v>-840</v>
      </c>
    </row>
    <row r="2349" spans="1:14" ht="12.75" customHeight="1" x14ac:dyDescent="0.2">
      <c r="A2349">
        <v>43400</v>
      </c>
      <c r="B2349" s="3" t="s">
        <v>1224</v>
      </c>
      <c r="C2349" s="7" t="s">
        <v>1600</v>
      </c>
      <c r="D2349" s="7" t="s">
        <v>242</v>
      </c>
      <c r="F2349" s="7" t="s">
        <v>665</v>
      </c>
      <c r="G2349" s="7" t="s">
        <v>1601</v>
      </c>
      <c r="H2349" s="7" t="s">
        <v>1359</v>
      </c>
      <c r="I2349" s="7" t="s">
        <v>1224</v>
      </c>
      <c r="K2349" s="39" t="s">
        <v>1602</v>
      </c>
      <c r="L2349" s="40">
        <v>1061.05</v>
      </c>
      <c r="M2349" s="40">
        <v>242705.91</v>
      </c>
      <c r="N2349" s="41">
        <f t="shared" si="75"/>
        <v>-1061.05</v>
      </c>
    </row>
    <row r="2350" spans="1:14" ht="12.75" customHeight="1" x14ac:dyDescent="0.2">
      <c r="A2350">
        <v>43400</v>
      </c>
      <c r="B2350" s="3" t="s">
        <v>1224</v>
      </c>
      <c r="C2350" s="7" t="s">
        <v>1626</v>
      </c>
      <c r="D2350" s="7" t="s">
        <v>242</v>
      </c>
      <c r="F2350" s="7" t="s">
        <v>665</v>
      </c>
      <c r="G2350" s="7" t="s">
        <v>1601</v>
      </c>
      <c r="H2350" s="7" t="s">
        <v>1359</v>
      </c>
      <c r="I2350" s="7" t="s">
        <v>1224</v>
      </c>
      <c r="K2350" s="39" t="s">
        <v>1602</v>
      </c>
      <c r="L2350" s="40">
        <v>1321.9</v>
      </c>
      <c r="M2350" s="40">
        <v>266560.51</v>
      </c>
      <c r="N2350" s="41">
        <f t="shared" si="75"/>
        <v>-1321.9</v>
      </c>
    </row>
    <row r="2351" spans="1:14" ht="12.75" customHeight="1" x14ac:dyDescent="0.2">
      <c r="A2351">
        <v>43400</v>
      </c>
      <c r="B2351" s="3" t="s">
        <v>1224</v>
      </c>
      <c r="C2351" s="7" t="s">
        <v>1638</v>
      </c>
      <c r="D2351" s="7" t="s">
        <v>183</v>
      </c>
      <c r="E2351" s="7">
        <v>727</v>
      </c>
      <c r="G2351" s="7" t="s">
        <v>1601</v>
      </c>
      <c r="H2351" s="7" t="s">
        <v>1359</v>
      </c>
      <c r="I2351" s="7" t="s">
        <v>1224</v>
      </c>
      <c r="J2351" s="39" t="s">
        <v>1639</v>
      </c>
      <c r="K2351" s="39" t="s">
        <v>180</v>
      </c>
      <c r="L2351" s="40">
        <v>-500</v>
      </c>
      <c r="M2351" s="40">
        <v>285892.89</v>
      </c>
      <c r="N2351" s="41">
        <f t="shared" si="75"/>
        <v>500</v>
      </c>
    </row>
    <row r="2352" spans="1:14" ht="12.75" customHeight="1" x14ac:dyDescent="0.2">
      <c r="A2352">
        <v>43400</v>
      </c>
      <c r="B2352" s="3" t="s">
        <v>1224</v>
      </c>
      <c r="C2352" s="7" t="s">
        <v>1646</v>
      </c>
      <c r="D2352" s="7" t="s">
        <v>242</v>
      </c>
      <c r="F2352" s="7" t="s">
        <v>665</v>
      </c>
      <c r="G2352" s="7" t="s">
        <v>1601</v>
      </c>
      <c r="H2352" s="7" t="s">
        <v>1359</v>
      </c>
      <c r="I2352" s="7" t="s">
        <v>1224</v>
      </c>
      <c r="K2352" s="39" t="s">
        <v>1602</v>
      </c>
      <c r="L2352" s="40">
        <v>1179</v>
      </c>
      <c r="M2352" s="40">
        <v>305514.82</v>
      </c>
      <c r="N2352" s="41">
        <f t="shared" si="75"/>
        <v>-1179</v>
      </c>
    </row>
    <row r="2353" spans="1:14" ht="12.75" customHeight="1" x14ac:dyDescent="0.2">
      <c r="A2353">
        <v>43400</v>
      </c>
      <c r="B2353" s="3" t="s">
        <v>1224</v>
      </c>
      <c r="C2353" s="7" t="s">
        <v>1619</v>
      </c>
      <c r="D2353" s="7" t="s">
        <v>242</v>
      </c>
      <c r="F2353" s="7" t="s">
        <v>665</v>
      </c>
      <c r="G2353" s="7" t="s">
        <v>1621</v>
      </c>
      <c r="H2353" s="7" t="s">
        <v>1359</v>
      </c>
      <c r="I2353" s="7" t="s">
        <v>1224</v>
      </c>
      <c r="K2353" s="39" t="s">
        <v>1180</v>
      </c>
      <c r="L2353" s="40">
        <v>88.4</v>
      </c>
      <c r="M2353" s="40">
        <v>262980.62</v>
      </c>
      <c r="N2353" s="41">
        <f t="shared" si="75"/>
        <v>-88.4</v>
      </c>
    </row>
    <row r="2354" spans="1:14" ht="12.75" customHeight="1" x14ac:dyDescent="0.2">
      <c r="A2354">
        <v>43400</v>
      </c>
      <c r="B2354" s="3" t="s">
        <v>1224</v>
      </c>
      <c r="C2354" s="7" t="s">
        <v>1546</v>
      </c>
      <c r="D2354" s="7" t="s">
        <v>242</v>
      </c>
      <c r="G2354" s="7" t="s">
        <v>2133</v>
      </c>
      <c r="H2354" s="7" t="s">
        <v>1359</v>
      </c>
      <c r="I2354" s="7" t="s">
        <v>1224</v>
      </c>
      <c r="K2354" s="39" t="s">
        <v>1628</v>
      </c>
      <c r="L2354" s="40">
        <v>6000</v>
      </c>
      <c r="M2354" s="40">
        <v>277767.42</v>
      </c>
      <c r="N2354" s="41">
        <f t="shared" si="75"/>
        <v>-6000</v>
      </c>
    </row>
    <row r="2355" spans="1:14" ht="12.75" customHeight="1" x14ac:dyDescent="0.2">
      <c r="A2355">
        <v>43400</v>
      </c>
      <c r="B2355" s="3" t="s">
        <v>1224</v>
      </c>
      <c r="C2355" s="7" t="s">
        <v>1591</v>
      </c>
      <c r="D2355" s="7" t="s">
        <v>242</v>
      </c>
      <c r="F2355" s="7" t="s">
        <v>665</v>
      </c>
      <c r="G2355" s="7" t="s">
        <v>1592</v>
      </c>
      <c r="H2355" s="7" t="s">
        <v>1359</v>
      </c>
      <c r="I2355" s="7" t="s">
        <v>1224</v>
      </c>
      <c r="K2355" s="39" t="s">
        <v>1045</v>
      </c>
      <c r="L2355" s="40">
        <v>100</v>
      </c>
      <c r="M2355" s="40">
        <v>238929.86</v>
      </c>
      <c r="N2355" s="41">
        <f t="shared" si="75"/>
        <v>-100</v>
      </c>
    </row>
    <row r="2356" spans="1:14" ht="12.75" customHeight="1" x14ac:dyDescent="0.2">
      <c r="A2356">
        <v>43400</v>
      </c>
      <c r="B2356" s="3" t="s">
        <v>1224</v>
      </c>
      <c r="C2356" s="7" t="s">
        <v>1543</v>
      </c>
      <c r="D2356" s="7" t="s">
        <v>242</v>
      </c>
      <c r="F2356" s="7" t="s">
        <v>665</v>
      </c>
      <c r="G2356" s="7" t="s">
        <v>1592</v>
      </c>
      <c r="H2356" s="7" t="s">
        <v>1359</v>
      </c>
      <c r="I2356" s="7" t="s">
        <v>1224</v>
      </c>
      <c r="K2356" s="39" t="s">
        <v>1045</v>
      </c>
      <c r="L2356" s="40">
        <v>1000</v>
      </c>
      <c r="M2356" s="40">
        <v>255847.42</v>
      </c>
      <c r="N2356" s="41">
        <f t="shared" si="75"/>
        <v>-1000</v>
      </c>
    </row>
    <row r="2357" spans="1:14" ht="12.75" customHeight="1" x14ac:dyDescent="0.2">
      <c r="A2357">
        <v>43400</v>
      </c>
      <c r="B2357" s="3" t="s">
        <v>1224</v>
      </c>
      <c r="C2357" s="7" t="s">
        <v>1613</v>
      </c>
      <c r="D2357" s="7" t="s">
        <v>242</v>
      </c>
      <c r="F2357" s="7" t="s">
        <v>665</v>
      </c>
      <c r="G2357" s="7" t="s">
        <v>2120</v>
      </c>
      <c r="H2357" s="7" t="s">
        <v>1359</v>
      </c>
      <c r="I2357" s="7" t="s">
        <v>1224</v>
      </c>
      <c r="K2357" s="39" t="s">
        <v>1615</v>
      </c>
      <c r="L2357" s="40">
        <v>350</v>
      </c>
      <c r="M2357" s="40">
        <v>258741.97</v>
      </c>
      <c r="N2357" s="41">
        <f t="shared" si="75"/>
        <v>-350</v>
      </c>
    </row>
    <row r="2358" spans="1:14" ht="12.75" customHeight="1" x14ac:dyDescent="0.2">
      <c r="A2358">
        <v>43400</v>
      </c>
      <c r="B2358" s="3" t="s">
        <v>1224</v>
      </c>
      <c r="C2358" s="7" t="s">
        <v>1622</v>
      </c>
      <c r="D2358" s="7" t="s">
        <v>242</v>
      </c>
      <c r="F2358" s="7" t="s">
        <v>665</v>
      </c>
      <c r="G2358" s="7" t="s">
        <v>2120</v>
      </c>
      <c r="H2358" s="7" t="s">
        <v>1359</v>
      </c>
      <c r="I2358" s="7" t="s">
        <v>1224</v>
      </c>
      <c r="K2358" s="39" t="s">
        <v>1623</v>
      </c>
      <c r="L2358" s="40">
        <v>1948</v>
      </c>
      <c r="M2358" s="40">
        <v>264928.62</v>
      </c>
      <c r="N2358" s="41">
        <f t="shared" si="75"/>
        <v>-1948</v>
      </c>
    </row>
    <row r="2359" spans="1:14" ht="12.75" customHeight="1" x14ac:dyDescent="0.2">
      <c r="A2359">
        <v>43400</v>
      </c>
      <c r="B2359" s="3" t="s">
        <v>1224</v>
      </c>
      <c r="C2359" s="7" t="s">
        <v>1624</v>
      </c>
      <c r="D2359" s="7" t="s">
        <v>242</v>
      </c>
      <c r="F2359" s="7" t="s">
        <v>665</v>
      </c>
      <c r="G2359" s="7" t="s">
        <v>2120</v>
      </c>
      <c r="H2359" s="7" t="s">
        <v>1359</v>
      </c>
      <c r="I2359" s="7" t="s">
        <v>1224</v>
      </c>
      <c r="K2359" s="39" t="s">
        <v>1615</v>
      </c>
      <c r="L2359" s="40">
        <v>300</v>
      </c>
      <c r="M2359" s="40">
        <v>265228.62</v>
      </c>
      <c r="N2359" s="41">
        <f t="shared" si="75"/>
        <v>-300</v>
      </c>
    </row>
    <row r="2360" spans="1:14" ht="12.75" customHeight="1" x14ac:dyDescent="0.2">
      <c r="A2360">
        <v>43400</v>
      </c>
      <c r="B2360" s="3" t="s">
        <v>1224</v>
      </c>
      <c r="C2360" s="7" t="s">
        <v>1624</v>
      </c>
      <c r="D2360" s="7" t="s">
        <v>242</v>
      </c>
      <c r="F2360" s="7" t="s">
        <v>1625</v>
      </c>
      <c r="G2360" s="7" t="s">
        <v>2120</v>
      </c>
      <c r="H2360" s="7" t="s">
        <v>1359</v>
      </c>
      <c r="I2360" s="7" t="s">
        <v>1224</v>
      </c>
      <c r="K2360" s="39" t="s">
        <v>1615</v>
      </c>
      <c r="L2360" s="40">
        <v>9.5</v>
      </c>
      <c r="M2360" s="40">
        <v>265238.12</v>
      </c>
      <c r="N2360" s="41">
        <f t="shared" si="75"/>
        <v>-9.5</v>
      </c>
    </row>
    <row r="2361" spans="1:14" ht="12.75" customHeight="1" x14ac:dyDescent="0.2">
      <c r="A2361">
        <v>43400</v>
      </c>
      <c r="B2361" s="3" t="s">
        <v>1224</v>
      </c>
      <c r="C2361" s="7" t="s">
        <v>1624</v>
      </c>
      <c r="D2361" s="7" t="s">
        <v>242</v>
      </c>
      <c r="F2361" s="7" t="s">
        <v>1625</v>
      </c>
      <c r="G2361" s="7" t="s">
        <v>2120</v>
      </c>
      <c r="H2361" s="7" t="s">
        <v>1359</v>
      </c>
      <c r="I2361" s="7" t="s">
        <v>1224</v>
      </c>
      <c r="K2361" s="39" t="s">
        <v>1615</v>
      </c>
      <c r="L2361" s="40">
        <v>0.49</v>
      </c>
      <c r="M2361" s="40">
        <v>265238.61</v>
      </c>
      <c r="N2361" s="41">
        <f t="shared" si="75"/>
        <v>-0.49</v>
      </c>
    </row>
    <row r="2362" spans="1:14" ht="12.75" customHeight="1" x14ac:dyDescent="0.2">
      <c r="A2362">
        <v>43400</v>
      </c>
      <c r="B2362" s="3" t="s">
        <v>1224</v>
      </c>
      <c r="C2362" s="7" t="s">
        <v>1550</v>
      </c>
      <c r="D2362" s="7" t="s">
        <v>242</v>
      </c>
      <c r="F2362" s="7" t="s">
        <v>1643</v>
      </c>
      <c r="G2362" s="7" t="s">
        <v>2120</v>
      </c>
      <c r="H2362" s="7" t="s">
        <v>1359</v>
      </c>
      <c r="I2362" s="7" t="s">
        <v>1224</v>
      </c>
      <c r="K2362" s="39" t="s">
        <v>1615</v>
      </c>
      <c r="L2362" s="40">
        <v>5000</v>
      </c>
      <c r="M2362" s="40">
        <v>298835.82</v>
      </c>
      <c r="N2362" s="41">
        <f t="shared" si="75"/>
        <v>-5000</v>
      </c>
    </row>
    <row r="2363" spans="1:14" ht="12.75" customHeight="1" x14ac:dyDescent="0.2">
      <c r="A2363">
        <v>43400</v>
      </c>
      <c r="B2363" s="3" t="s">
        <v>1224</v>
      </c>
      <c r="C2363" s="7" t="s">
        <v>1646</v>
      </c>
      <c r="D2363" s="7" t="s">
        <v>183</v>
      </c>
      <c r="E2363" s="7">
        <v>746</v>
      </c>
      <c r="G2363" s="7" t="s">
        <v>2120</v>
      </c>
      <c r="H2363" s="7" t="s">
        <v>1359</v>
      </c>
      <c r="I2363" s="7" t="s">
        <v>1224</v>
      </c>
      <c r="J2363" s="39" t="s">
        <v>425</v>
      </c>
      <c r="K2363" s="39" t="s">
        <v>180</v>
      </c>
      <c r="L2363" s="40">
        <v>130</v>
      </c>
      <c r="M2363" s="40">
        <v>309259.82</v>
      </c>
      <c r="N2363" s="41">
        <f t="shared" si="75"/>
        <v>-130</v>
      </c>
    </row>
    <row r="2364" spans="1:14" ht="12.75" customHeight="1" x14ac:dyDescent="0.2">
      <c r="A2364">
        <v>43400</v>
      </c>
      <c r="B2364" s="3" t="s">
        <v>1224</v>
      </c>
      <c r="C2364" s="7" t="s">
        <v>1600</v>
      </c>
      <c r="D2364" s="7" t="s">
        <v>242</v>
      </c>
      <c r="F2364" s="7" t="s">
        <v>665</v>
      </c>
      <c r="G2364" s="7" t="s">
        <v>1548</v>
      </c>
      <c r="H2364" s="7" t="s">
        <v>1359</v>
      </c>
      <c r="I2364" s="7" t="s">
        <v>1224</v>
      </c>
      <c r="K2364" s="39" t="s">
        <v>1142</v>
      </c>
      <c r="L2364" s="40">
        <v>38.46</v>
      </c>
      <c r="M2364" s="40">
        <v>242744.37</v>
      </c>
      <c r="N2364" s="41">
        <f t="shared" si="75"/>
        <v>-38.46</v>
      </c>
    </row>
    <row r="2365" spans="1:14" ht="12.75" customHeight="1" x14ac:dyDescent="0.2">
      <c r="A2365">
        <v>43400</v>
      </c>
      <c r="B2365" s="3" t="s">
        <v>1224</v>
      </c>
      <c r="C2365" s="7" t="s">
        <v>1543</v>
      </c>
      <c r="D2365" s="7" t="s">
        <v>183</v>
      </c>
      <c r="E2365" s="7">
        <v>670</v>
      </c>
      <c r="G2365" s="7" t="s">
        <v>1548</v>
      </c>
      <c r="H2365" s="7" t="s">
        <v>1359</v>
      </c>
      <c r="I2365" s="7" t="s">
        <v>1224</v>
      </c>
      <c r="J2365" s="39" t="s">
        <v>425</v>
      </c>
      <c r="K2365" s="39" t="s">
        <v>180</v>
      </c>
      <c r="L2365" s="40">
        <v>100</v>
      </c>
      <c r="M2365" s="40">
        <v>256117.42</v>
      </c>
      <c r="N2365" s="41">
        <f t="shared" si="75"/>
        <v>-100</v>
      </c>
    </row>
    <row r="2366" spans="1:14" ht="12.75" customHeight="1" x14ac:dyDescent="0.2">
      <c r="A2366">
        <v>43400</v>
      </c>
      <c r="B2366" s="3" t="s">
        <v>1224</v>
      </c>
      <c r="C2366" s="7" t="s">
        <v>1629</v>
      </c>
      <c r="D2366" s="7" t="s">
        <v>183</v>
      </c>
      <c r="E2366" s="7">
        <v>716</v>
      </c>
      <c r="G2366" s="7" t="s">
        <v>1548</v>
      </c>
      <c r="H2366" s="7" t="s">
        <v>1359</v>
      </c>
      <c r="I2366" s="7" t="s">
        <v>1224</v>
      </c>
      <c r="K2366" s="39" t="s">
        <v>180</v>
      </c>
      <c r="L2366" s="40">
        <v>500</v>
      </c>
      <c r="M2366" s="40">
        <v>278297.52</v>
      </c>
      <c r="N2366" s="41">
        <f t="shared" si="75"/>
        <v>-500</v>
      </c>
    </row>
    <row r="2367" spans="1:14" ht="12.75" customHeight="1" x14ac:dyDescent="0.2">
      <c r="A2367">
        <v>43400</v>
      </c>
      <c r="B2367" s="3" t="s">
        <v>1224</v>
      </c>
      <c r="C2367" s="7" t="s">
        <v>1629</v>
      </c>
      <c r="D2367" s="7" t="s">
        <v>242</v>
      </c>
      <c r="F2367" s="7" t="s">
        <v>665</v>
      </c>
      <c r="G2367" s="7" t="s">
        <v>1548</v>
      </c>
      <c r="H2367" s="7" t="s">
        <v>1359</v>
      </c>
      <c r="I2367" s="7" t="s">
        <v>1224</v>
      </c>
      <c r="K2367" s="39" t="s">
        <v>1142</v>
      </c>
      <c r="L2367" s="40">
        <v>476.37</v>
      </c>
      <c r="M2367" s="40">
        <v>278998.89</v>
      </c>
      <c r="N2367" s="41">
        <f t="shared" si="75"/>
        <v>-476.37</v>
      </c>
    </row>
    <row r="2368" spans="1:14" ht="12.75" customHeight="1" x14ac:dyDescent="0.2">
      <c r="A2368">
        <v>43400</v>
      </c>
      <c r="B2368" s="3" t="s">
        <v>1224</v>
      </c>
      <c r="C2368" s="7" t="s">
        <v>1578</v>
      </c>
      <c r="D2368" s="7" t="s">
        <v>242</v>
      </c>
      <c r="F2368" s="7" t="s">
        <v>665</v>
      </c>
      <c r="G2368" s="7" t="s">
        <v>1581</v>
      </c>
      <c r="H2368" s="7" t="s">
        <v>1359</v>
      </c>
      <c r="I2368" s="7" t="s">
        <v>1224</v>
      </c>
      <c r="K2368" s="39" t="s">
        <v>1582</v>
      </c>
      <c r="L2368" s="40">
        <v>460</v>
      </c>
      <c r="M2368" s="40">
        <v>231292.31</v>
      </c>
      <c r="N2368" s="41">
        <f t="shared" si="75"/>
        <v>-460</v>
      </c>
    </row>
    <row r="2369" spans="1:14" ht="12.75" customHeight="1" x14ac:dyDescent="0.2">
      <c r="A2369">
        <v>43400</v>
      </c>
      <c r="B2369" s="3" t="s">
        <v>1224</v>
      </c>
      <c r="C2369" s="7" t="s">
        <v>1555</v>
      </c>
      <c r="D2369" s="7" t="s">
        <v>183</v>
      </c>
      <c r="E2369" s="7">
        <v>652</v>
      </c>
      <c r="G2369" s="7" t="s">
        <v>1581</v>
      </c>
      <c r="H2369" s="7" t="s">
        <v>1359</v>
      </c>
      <c r="I2369" s="7" t="s">
        <v>1224</v>
      </c>
      <c r="K2369" s="39" t="s">
        <v>180</v>
      </c>
      <c r="L2369" s="40">
        <v>385</v>
      </c>
      <c r="M2369" s="40">
        <v>236319.86</v>
      </c>
      <c r="N2369" s="41">
        <f t="shared" si="75"/>
        <v>-385</v>
      </c>
    </row>
    <row r="2370" spans="1:14" ht="12.75" customHeight="1" x14ac:dyDescent="0.2">
      <c r="A2370">
        <v>43400</v>
      </c>
      <c r="B2370" s="3" t="s">
        <v>1224</v>
      </c>
      <c r="C2370" s="7" t="s">
        <v>1550</v>
      </c>
      <c r="D2370" s="7" t="s">
        <v>183</v>
      </c>
      <c r="E2370" s="7">
        <v>740</v>
      </c>
      <c r="G2370" s="7" t="s">
        <v>1641</v>
      </c>
      <c r="H2370" s="7" t="s">
        <v>1359</v>
      </c>
      <c r="I2370" s="7" t="s">
        <v>1224</v>
      </c>
      <c r="J2370" s="39" t="s">
        <v>1642</v>
      </c>
      <c r="K2370" s="39" t="s">
        <v>180</v>
      </c>
      <c r="L2370" s="40">
        <v>0</v>
      </c>
      <c r="M2370" s="40">
        <v>291035.82</v>
      </c>
      <c r="N2370" s="41">
        <f t="shared" si="75"/>
        <v>0</v>
      </c>
    </row>
    <row r="2371" spans="1:14" ht="12.75" customHeight="1" x14ac:dyDescent="0.2">
      <c r="A2371">
        <v>43400</v>
      </c>
      <c r="B2371" s="3" t="s">
        <v>1224</v>
      </c>
      <c r="C2371" s="7" t="s">
        <v>432</v>
      </c>
      <c r="D2371" s="7" t="s">
        <v>242</v>
      </c>
      <c r="F2371" s="7" t="s">
        <v>665</v>
      </c>
      <c r="G2371" s="7" t="s">
        <v>1592</v>
      </c>
      <c r="H2371" s="7" t="s">
        <v>1359</v>
      </c>
      <c r="I2371" s="7" t="s">
        <v>1224</v>
      </c>
      <c r="K2371" s="7" t="s">
        <v>1045</v>
      </c>
      <c r="L2371" s="11">
        <v>425</v>
      </c>
      <c r="M2371" s="11">
        <v>-23794.89</v>
      </c>
      <c r="N2371" s="9">
        <f t="shared" ref="N2371:N2381" si="76">IF(A2371&lt;60000,-L2371,+L2371)</f>
        <v>-425</v>
      </c>
    </row>
    <row r="2372" spans="1:14" ht="12.75" customHeight="1" x14ac:dyDescent="0.2">
      <c r="A2372">
        <v>43400</v>
      </c>
      <c r="B2372" s="3" t="s">
        <v>1224</v>
      </c>
      <c r="C2372" s="7" t="s">
        <v>897</v>
      </c>
      <c r="D2372" s="7" t="s">
        <v>242</v>
      </c>
      <c r="F2372" s="7" t="s">
        <v>665</v>
      </c>
      <c r="G2372" s="7" t="s">
        <v>1592</v>
      </c>
      <c r="H2372" s="7" t="s">
        <v>1359</v>
      </c>
      <c r="I2372" s="7" t="s">
        <v>1224</v>
      </c>
      <c r="K2372" s="7" t="s">
        <v>1045</v>
      </c>
      <c r="L2372" s="11">
        <v>4050</v>
      </c>
      <c r="M2372" s="11">
        <v>58780.160000000003</v>
      </c>
      <c r="N2372" s="9">
        <f t="shared" si="76"/>
        <v>-4050</v>
      </c>
    </row>
    <row r="2373" spans="1:14" ht="12.75" customHeight="1" x14ac:dyDescent="0.2">
      <c r="A2373">
        <v>43400</v>
      </c>
      <c r="B2373" s="3" t="s">
        <v>1224</v>
      </c>
      <c r="C2373" s="7" t="s">
        <v>306</v>
      </c>
      <c r="D2373" s="7" t="s">
        <v>242</v>
      </c>
      <c r="F2373" s="7" t="s">
        <v>665</v>
      </c>
      <c r="G2373" s="7" t="s">
        <v>1592</v>
      </c>
      <c r="H2373" s="7" t="s">
        <v>1359</v>
      </c>
      <c r="I2373" s="7" t="s">
        <v>1224</v>
      </c>
      <c r="K2373" s="7" t="s">
        <v>1045</v>
      </c>
      <c r="L2373" s="11">
        <v>550</v>
      </c>
      <c r="M2373" s="11">
        <v>103308.59</v>
      </c>
      <c r="N2373" s="9">
        <f t="shared" si="76"/>
        <v>-550</v>
      </c>
    </row>
    <row r="2374" spans="1:14" ht="12.75" customHeight="1" x14ac:dyDescent="0.2">
      <c r="A2374">
        <v>43400</v>
      </c>
      <c r="B2374" s="3" t="s">
        <v>1224</v>
      </c>
      <c r="C2374" s="7" t="s">
        <v>284</v>
      </c>
      <c r="D2374" s="7" t="s">
        <v>242</v>
      </c>
      <c r="F2374" s="7" t="s">
        <v>665</v>
      </c>
      <c r="G2374" s="7" t="s">
        <v>1592</v>
      </c>
      <c r="H2374" s="7" t="s">
        <v>1359</v>
      </c>
      <c r="I2374" s="7" t="s">
        <v>1224</v>
      </c>
      <c r="K2374" s="7" t="s">
        <v>1045</v>
      </c>
      <c r="L2374" s="11">
        <v>1680</v>
      </c>
      <c r="M2374" s="11">
        <v>111202.44</v>
      </c>
      <c r="N2374" s="9">
        <f t="shared" si="76"/>
        <v>-1680</v>
      </c>
    </row>
    <row r="2375" spans="1:14" ht="12.75" customHeight="1" x14ac:dyDescent="0.2">
      <c r="A2375">
        <v>43400</v>
      </c>
      <c r="B2375" s="3" t="s">
        <v>1224</v>
      </c>
      <c r="C2375" s="7" t="s">
        <v>201</v>
      </c>
      <c r="D2375" s="7" t="s">
        <v>183</v>
      </c>
      <c r="E2375" s="7">
        <v>508</v>
      </c>
      <c r="G2375" s="7" t="s">
        <v>1592</v>
      </c>
      <c r="H2375" s="7" t="s">
        <v>1359</v>
      </c>
      <c r="I2375" s="7" t="s">
        <v>1224</v>
      </c>
      <c r="J2375" s="7" t="s">
        <v>428</v>
      </c>
      <c r="K2375" s="7" t="s">
        <v>180</v>
      </c>
      <c r="L2375" s="11">
        <v>50</v>
      </c>
      <c r="M2375" s="11">
        <v>115289.26</v>
      </c>
      <c r="N2375" s="9">
        <f t="shared" si="76"/>
        <v>-50</v>
      </c>
    </row>
    <row r="2376" spans="1:14" ht="12.75" customHeight="1" x14ac:dyDescent="0.2">
      <c r="A2376">
        <v>43400</v>
      </c>
      <c r="B2376" s="3" t="s">
        <v>1224</v>
      </c>
      <c r="C2376" s="7" t="s">
        <v>755</v>
      </c>
      <c r="D2376" s="7" t="s">
        <v>242</v>
      </c>
      <c r="F2376" s="7" t="s">
        <v>665</v>
      </c>
      <c r="G2376" s="7" t="s">
        <v>1592</v>
      </c>
      <c r="H2376" s="7" t="s">
        <v>1359</v>
      </c>
      <c r="I2376" s="7" t="s">
        <v>1224</v>
      </c>
      <c r="K2376" s="7" t="s">
        <v>1045</v>
      </c>
      <c r="L2376" s="11">
        <v>3500</v>
      </c>
      <c r="M2376" s="11">
        <v>143655.26</v>
      </c>
      <c r="N2376" s="9">
        <f t="shared" si="76"/>
        <v>-3500</v>
      </c>
    </row>
    <row r="2377" spans="1:14" ht="12.75" customHeight="1" x14ac:dyDescent="0.2">
      <c r="A2377">
        <v>43400</v>
      </c>
      <c r="B2377" s="3" t="s">
        <v>1224</v>
      </c>
      <c r="C2377" s="7" t="s">
        <v>755</v>
      </c>
      <c r="D2377" s="7" t="s">
        <v>242</v>
      </c>
      <c r="F2377" s="7" t="s">
        <v>665</v>
      </c>
      <c r="G2377" s="7" t="s">
        <v>1592</v>
      </c>
      <c r="H2377" s="7" t="s">
        <v>1359</v>
      </c>
      <c r="I2377" s="7" t="s">
        <v>1224</v>
      </c>
      <c r="K2377" s="7" t="s">
        <v>1045</v>
      </c>
      <c r="L2377" s="11">
        <v>610</v>
      </c>
      <c r="M2377" s="11">
        <v>144805.26</v>
      </c>
      <c r="N2377" s="9">
        <f t="shared" si="76"/>
        <v>-610</v>
      </c>
    </row>
    <row r="2378" spans="1:14" ht="12.75" hidden="1" customHeight="1" x14ac:dyDescent="0.2">
      <c r="A2378">
        <v>43430</v>
      </c>
      <c r="B2378" s="3" t="s">
        <v>1226</v>
      </c>
      <c r="C2378" s="7" t="s">
        <v>479</v>
      </c>
      <c r="D2378" s="7" t="s">
        <v>183</v>
      </c>
      <c r="E2378" s="7">
        <v>497</v>
      </c>
      <c r="G2378" s="7" t="s">
        <v>182</v>
      </c>
      <c r="H2378" s="7" t="s">
        <v>1360</v>
      </c>
      <c r="I2378" s="7" t="s">
        <v>1226</v>
      </c>
      <c r="J2378" s="7" t="s">
        <v>478</v>
      </c>
      <c r="K2378" s="7" t="s">
        <v>180</v>
      </c>
      <c r="L2378" s="11">
        <v>1000</v>
      </c>
      <c r="M2378" s="11">
        <v>7277</v>
      </c>
      <c r="N2378" s="9">
        <f t="shared" si="76"/>
        <v>-1000</v>
      </c>
    </row>
    <row r="2379" spans="1:14" ht="12.75" customHeight="1" x14ac:dyDescent="0.2">
      <c r="A2379">
        <v>43400</v>
      </c>
      <c r="B2379" s="3" t="s">
        <v>1224</v>
      </c>
      <c r="C2379" s="7" t="s">
        <v>191</v>
      </c>
      <c r="D2379" s="7" t="s">
        <v>242</v>
      </c>
      <c r="F2379" s="7" t="s">
        <v>665</v>
      </c>
      <c r="G2379" s="7" t="s">
        <v>1592</v>
      </c>
      <c r="H2379" s="7" t="s">
        <v>1359</v>
      </c>
      <c r="I2379" s="7" t="s">
        <v>1224</v>
      </c>
      <c r="K2379" s="7" t="s">
        <v>1045</v>
      </c>
      <c r="L2379" s="11">
        <v>175</v>
      </c>
      <c r="M2379" s="11">
        <v>175226.57</v>
      </c>
      <c r="N2379" s="9">
        <f t="shared" si="76"/>
        <v>-175</v>
      </c>
    </row>
    <row r="2380" spans="1:14" ht="12.75" customHeight="1" x14ac:dyDescent="0.2">
      <c r="A2380">
        <v>43400</v>
      </c>
      <c r="B2380" s="3" t="s">
        <v>1224</v>
      </c>
      <c r="C2380" s="7" t="s">
        <v>191</v>
      </c>
      <c r="D2380" s="7" t="s">
        <v>242</v>
      </c>
      <c r="F2380" s="7" t="s">
        <v>665</v>
      </c>
      <c r="G2380" s="7" t="s">
        <v>1592</v>
      </c>
      <c r="H2380" s="7" t="s">
        <v>1359</v>
      </c>
      <c r="I2380" s="7" t="s">
        <v>1224</v>
      </c>
      <c r="K2380" s="7" t="s">
        <v>1045</v>
      </c>
      <c r="L2380" s="11">
        <v>3030</v>
      </c>
      <c r="M2380" s="11">
        <v>178256.57</v>
      </c>
      <c r="N2380" s="9">
        <f t="shared" si="76"/>
        <v>-3030</v>
      </c>
    </row>
    <row r="2381" spans="1:14" ht="12.75" customHeight="1" x14ac:dyDescent="0.2">
      <c r="A2381">
        <v>43400</v>
      </c>
      <c r="B2381" s="3" t="s">
        <v>1224</v>
      </c>
      <c r="C2381" s="7" t="s">
        <v>191</v>
      </c>
      <c r="D2381" s="7" t="s">
        <v>242</v>
      </c>
      <c r="F2381" s="7" t="s">
        <v>665</v>
      </c>
      <c r="G2381" s="7" t="s">
        <v>1592</v>
      </c>
      <c r="H2381" s="7" t="s">
        <v>1359</v>
      </c>
      <c r="I2381" s="7" t="s">
        <v>1224</v>
      </c>
      <c r="K2381" s="7" t="s">
        <v>1045</v>
      </c>
      <c r="L2381" s="11">
        <v>4279</v>
      </c>
      <c r="M2381" s="11">
        <v>182535.57</v>
      </c>
      <c r="N2381" s="9">
        <f t="shared" si="76"/>
        <v>-4279</v>
      </c>
    </row>
    <row r="2382" spans="1:14" ht="12.75" hidden="1" customHeight="1" x14ac:dyDescent="0.2">
      <c r="A2382">
        <v>43430</v>
      </c>
      <c r="B2382" s="3" t="s">
        <v>1226</v>
      </c>
      <c r="C2382" s="7" t="s">
        <v>1647</v>
      </c>
      <c r="D2382" s="7" t="s">
        <v>183</v>
      </c>
      <c r="E2382" s="7">
        <v>751</v>
      </c>
      <c r="G2382" s="7" t="s">
        <v>182</v>
      </c>
      <c r="H2382" s="7" t="s">
        <v>1360</v>
      </c>
      <c r="I2382" s="7" t="s">
        <v>1226</v>
      </c>
      <c r="J2382" s="39" t="s">
        <v>1660</v>
      </c>
      <c r="K2382" s="39" t="s">
        <v>180</v>
      </c>
      <c r="L2382" s="40">
        <v>757</v>
      </c>
      <c r="M2382" s="40">
        <v>38887.5</v>
      </c>
      <c r="N2382" s="41">
        <f>-L2382</f>
        <v>-757</v>
      </c>
    </row>
    <row r="2383" spans="1:14" ht="12.75" hidden="1" customHeight="1" x14ac:dyDescent="0.2">
      <c r="A2383">
        <v>43435</v>
      </c>
      <c r="B2383" s="3" t="s">
        <v>1227</v>
      </c>
      <c r="C2383" s="7" t="s">
        <v>204</v>
      </c>
      <c r="D2383" s="7" t="s">
        <v>183</v>
      </c>
      <c r="E2383" s="7">
        <v>554</v>
      </c>
      <c r="G2383" s="7" t="s">
        <v>182</v>
      </c>
      <c r="H2383" s="7" t="s">
        <v>1360</v>
      </c>
      <c r="I2383" s="7" t="s">
        <v>1227</v>
      </c>
      <c r="J2383" s="7" t="s">
        <v>1084</v>
      </c>
      <c r="K2383" s="7" t="s">
        <v>180</v>
      </c>
      <c r="L2383" s="11">
        <v>6000</v>
      </c>
      <c r="M2383" s="11">
        <v>6000</v>
      </c>
      <c r="N2383" s="9">
        <f>IF(A2383&lt;60000,-L2383,+L2383)</f>
        <v>-6000</v>
      </c>
    </row>
    <row r="2384" spans="1:14" ht="12.75" hidden="1" customHeight="1" x14ac:dyDescent="0.2">
      <c r="A2384">
        <v>43435</v>
      </c>
      <c r="B2384" s="3" t="s">
        <v>1227</v>
      </c>
      <c r="C2384" s="7" t="s">
        <v>1578</v>
      </c>
      <c r="D2384" s="7" t="s">
        <v>183</v>
      </c>
      <c r="E2384" s="7">
        <v>642</v>
      </c>
      <c r="G2384" s="7" t="s">
        <v>182</v>
      </c>
      <c r="H2384" s="7" t="s">
        <v>1360</v>
      </c>
      <c r="I2384" s="7" t="s">
        <v>1227</v>
      </c>
      <c r="J2384" s="39" t="s">
        <v>1661</v>
      </c>
      <c r="K2384" s="39" t="s">
        <v>180</v>
      </c>
      <c r="L2384" s="40">
        <v>1000</v>
      </c>
      <c r="M2384" s="40">
        <v>7000</v>
      </c>
      <c r="N2384" s="41">
        <f t="shared" ref="N2384:N2390" si="77">-L2384</f>
        <v>-1000</v>
      </c>
    </row>
    <row r="2385" spans="1:14" ht="12.75" hidden="1" customHeight="1" x14ac:dyDescent="0.2">
      <c r="A2385">
        <v>43435</v>
      </c>
      <c r="B2385" s="3" t="s">
        <v>1227</v>
      </c>
      <c r="C2385" s="7" t="s">
        <v>1662</v>
      </c>
      <c r="D2385" s="7" t="s">
        <v>183</v>
      </c>
      <c r="E2385" s="7">
        <v>661</v>
      </c>
      <c r="G2385" s="7" t="s">
        <v>182</v>
      </c>
      <c r="H2385" s="7" t="s">
        <v>1360</v>
      </c>
      <c r="I2385" s="7" t="s">
        <v>1227</v>
      </c>
      <c r="J2385" s="39" t="s">
        <v>1661</v>
      </c>
      <c r="K2385" s="39" t="s">
        <v>180</v>
      </c>
      <c r="L2385" s="40">
        <v>1000</v>
      </c>
      <c r="M2385" s="40">
        <v>8000</v>
      </c>
      <c r="N2385" s="41">
        <f t="shared" si="77"/>
        <v>-1000</v>
      </c>
    </row>
    <row r="2386" spans="1:14" ht="12.75" hidden="1" customHeight="1" x14ac:dyDescent="0.2">
      <c r="A2386">
        <v>43435</v>
      </c>
      <c r="B2386" s="3" t="s">
        <v>1227</v>
      </c>
      <c r="C2386" s="7" t="s">
        <v>1663</v>
      </c>
      <c r="D2386" s="7" t="s">
        <v>183</v>
      </c>
      <c r="E2386" s="7">
        <v>694</v>
      </c>
      <c r="G2386" s="7" t="s">
        <v>182</v>
      </c>
      <c r="H2386" s="7" t="s">
        <v>1360</v>
      </c>
      <c r="I2386" s="7" t="s">
        <v>1227</v>
      </c>
      <c r="J2386" s="39" t="s">
        <v>1661</v>
      </c>
      <c r="K2386" s="39" t="s">
        <v>180</v>
      </c>
      <c r="L2386" s="40">
        <v>1000</v>
      </c>
      <c r="M2386" s="40">
        <v>9000</v>
      </c>
      <c r="N2386" s="41">
        <f t="shared" si="77"/>
        <v>-1000</v>
      </c>
    </row>
    <row r="2387" spans="1:14" ht="12.75" hidden="1" customHeight="1" x14ac:dyDescent="0.2">
      <c r="A2387">
        <v>43435</v>
      </c>
      <c r="B2387" s="3" t="s">
        <v>1227</v>
      </c>
      <c r="C2387" s="7" t="s">
        <v>1664</v>
      </c>
      <c r="D2387" s="7" t="s">
        <v>183</v>
      </c>
      <c r="E2387" s="7">
        <v>752</v>
      </c>
      <c r="G2387" s="7" t="s">
        <v>182</v>
      </c>
      <c r="H2387" s="7" t="s">
        <v>1360</v>
      </c>
      <c r="I2387" s="7" t="s">
        <v>1227</v>
      </c>
      <c r="J2387" s="39" t="s">
        <v>1661</v>
      </c>
      <c r="K2387" s="39" t="s">
        <v>180</v>
      </c>
      <c r="L2387" s="40">
        <v>1000</v>
      </c>
      <c r="M2387" s="40">
        <v>10000</v>
      </c>
      <c r="N2387" s="41">
        <f t="shared" si="77"/>
        <v>-1000</v>
      </c>
    </row>
    <row r="2388" spans="1:14" ht="12.75" hidden="1" customHeight="1" x14ac:dyDescent="0.2">
      <c r="A2388">
        <v>43440</v>
      </c>
      <c r="B2388" s="3" t="s">
        <v>1228</v>
      </c>
      <c r="C2388" s="7" t="s">
        <v>1680</v>
      </c>
      <c r="D2388" s="7" t="s">
        <v>183</v>
      </c>
      <c r="E2388" s="7">
        <v>753</v>
      </c>
      <c r="G2388" s="7" t="s">
        <v>182</v>
      </c>
      <c r="H2388" s="7" t="s">
        <v>1360</v>
      </c>
      <c r="I2388" s="7" t="s">
        <v>1228</v>
      </c>
      <c r="J2388" s="39" t="s">
        <v>1681</v>
      </c>
      <c r="K2388" s="39" t="s">
        <v>180</v>
      </c>
      <c r="L2388" s="40">
        <v>800</v>
      </c>
      <c r="M2388" s="40">
        <v>48116.95</v>
      </c>
      <c r="N2388" s="41">
        <f t="shared" si="77"/>
        <v>-800</v>
      </c>
    </row>
    <row r="2389" spans="1:14" ht="12.75" hidden="1" customHeight="1" x14ac:dyDescent="0.2">
      <c r="A2389">
        <v>43440</v>
      </c>
      <c r="B2389" s="3" t="s">
        <v>1228</v>
      </c>
      <c r="C2389" s="7" t="s">
        <v>1638</v>
      </c>
      <c r="D2389" s="7" t="s">
        <v>183</v>
      </c>
      <c r="E2389" s="7">
        <v>736</v>
      </c>
      <c r="G2389" s="7" t="s">
        <v>182</v>
      </c>
      <c r="H2389" s="7" t="s">
        <v>1360</v>
      </c>
      <c r="I2389" s="7" t="s">
        <v>1228</v>
      </c>
      <c r="J2389" s="39" t="s">
        <v>1683</v>
      </c>
      <c r="K2389" s="39" t="s">
        <v>180</v>
      </c>
      <c r="L2389" s="40">
        <v>100</v>
      </c>
      <c r="M2389" s="40">
        <v>48336.95</v>
      </c>
      <c r="N2389" s="41">
        <f t="shared" si="77"/>
        <v>-100</v>
      </c>
    </row>
    <row r="2390" spans="1:14" ht="12.75" hidden="1" customHeight="1" x14ac:dyDescent="0.2">
      <c r="A2390">
        <v>43440</v>
      </c>
      <c r="B2390" s="3" t="s">
        <v>1228</v>
      </c>
      <c r="C2390" s="7" t="s">
        <v>1638</v>
      </c>
      <c r="D2390" s="7" t="s">
        <v>183</v>
      </c>
      <c r="E2390" s="7">
        <v>735</v>
      </c>
      <c r="G2390" s="7" t="s">
        <v>182</v>
      </c>
      <c r="H2390" s="7" t="s">
        <v>1360</v>
      </c>
      <c r="I2390" s="7" t="s">
        <v>1228</v>
      </c>
      <c r="J2390" s="39" t="s">
        <v>1684</v>
      </c>
      <c r="K2390" s="39" t="s">
        <v>180</v>
      </c>
      <c r="L2390" s="40">
        <v>1600</v>
      </c>
      <c r="M2390" s="40">
        <v>49936.95</v>
      </c>
      <c r="N2390" s="41">
        <f t="shared" si="77"/>
        <v>-1600</v>
      </c>
    </row>
    <row r="2391" spans="1:14" ht="12.75" customHeight="1" x14ac:dyDescent="0.2">
      <c r="A2391">
        <v>43400</v>
      </c>
      <c r="B2391" s="3" t="s">
        <v>1224</v>
      </c>
      <c r="C2391" s="7" t="s">
        <v>191</v>
      </c>
      <c r="D2391" s="7" t="s">
        <v>242</v>
      </c>
      <c r="F2391" s="7" t="s">
        <v>665</v>
      </c>
      <c r="G2391" s="7" t="s">
        <v>1592</v>
      </c>
      <c r="H2391" s="7" t="s">
        <v>1359</v>
      </c>
      <c r="I2391" s="7" t="s">
        <v>1224</v>
      </c>
      <c r="K2391" s="7" t="s">
        <v>1045</v>
      </c>
      <c r="L2391" s="11">
        <v>900</v>
      </c>
      <c r="M2391" s="11">
        <v>183435.57</v>
      </c>
      <c r="N2391" s="9">
        <f t="shared" ref="N2391:N2412" si="78">IF(A2391&lt;60000,-L2391,+L2391)</f>
        <v>-900</v>
      </c>
    </row>
    <row r="2392" spans="1:14" ht="12.75" customHeight="1" x14ac:dyDescent="0.2">
      <c r="A2392">
        <v>43400</v>
      </c>
      <c r="B2392" s="3" t="s">
        <v>1224</v>
      </c>
      <c r="C2392" s="7" t="s">
        <v>427</v>
      </c>
      <c r="D2392" s="7" t="s">
        <v>242</v>
      </c>
      <c r="F2392" s="7" t="s">
        <v>665</v>
      </c>
      <c r="G2392" s="7" t="s">
        <v>1592</v>
      </c>
      <c r="H2392" s="7" t="s">
        <v>1359</v>
      </c>
      <c r="I2392" s="7" t="s">
        <v>1224</v>
      </c>
      <c r="K2392" s="7" t="s">
        <v>1045</v>
      </c>
      <c r="L2392" s="11">
        <v>2325</v>
      </c>
      <c r="M2392" s="11">
        <v>199400.02</v>
      </c>
      <c r="N2392" s="9">
        <f t="shared" si="78"/>
        <v>-2325</v>
      </c>
    </row>
    <row r="2393" spans="1:14" ht="12.75" customHeight="1" x14ac:dyDescent="0.2">
      <c r="A2393">
        <v>43400</v>
      </c>
      <c r="B2393" s="3" t="s">
        <v>1224</v>
      </c>
      <c r="C2393" s="7" t="s">
        <v>351</v>
      </c>
      <c r="D2393" s="7" t="s">
        <v>242</v>
      </c>
      <c r="F2393" s="7" t="s">
        <v>665</v>
      </c>
      <c r="G2393" s="7" t="s">
        <v>1584</v>
      </c>
      <c r="H2393" s="7" t="s">
        <v>1359</v>
      </c>
      <c r="I2393" s="7" t="s">
        <v>1224</v>
      </c>
      <c r="K2393" s="7" t="s">
        <v>1190</v>
      </c>
      <c r="L2393" s="11">
        <v>150</v>
      </c>
      <c r="M2393" s="11">
        <v>72454.399999999994</v>
      </c>
      <c r="N2393" s="9">
        <f t="shared" si="78"/>
        <v>-150</v>
      </c>
    </row>
    <row r="2394" spans="1:14" ht="12.75" customHeight="1" x14ac:dyDescent="0.2">
      <c r="A2394">
        <v>43400</v>
      </c>
      <c r="B2394" s="3" t="s">
        <v>1224</v>
      </c>
      <c r="C2394" s="7" t="s">
        <v>305</v>
      </c>
      <c r="D2394" s="7" t="s">
        <v>242</v>
      </c>
      <c r="F2394" s="7" t="s">
        <v>665</v>
      </c>
      <c r="G2394" s="7" t="s">
        <v>1584</v>
      </c>
      <c r="H2394" s="7" t="s">
        <v>1359</v>
      </c>
      <c r="I2394" s="7" t="s">
        <v>1224</v>
      </c>
      <c r="K2394" s="7" t="s">
        <v>1190</v>
      </c>
      <c r="L2394" s="11">
        <v>150</v>
      </c>
      <c r="M2394" s="11">
        <v>105098.59</v>
      </c>
      <c r="N2394" s="9">
        <f t="shared" si="78"/>
        <v>-150</v>
      </c>
    </row>
    <row r="2395" spans="1:14" ht="12.75" customHeight="1" x14ac:dyDescent="0.2">
      <c r="A2395">
        <v>43400</v>
      </c>
      <c r="B2395" s="3" t="s">
        <v>1224</v>
      </c>
      <c r="C2395" s="7" t="s">
        <v>978</v>
      </c>
      <c r="D2395" s="7" t="s">
        <v>242</v>
      </c>
      <c r="F2395" s="7" t="s">
        <v>665</v>
      </c>
      <c r="G2395" s="7" t="s">
        <v>1561</v>
      </c>
      <c r="H2395" s="7" t="s">
        <v>1359</v>
      </c>
      <c r="I2395" s="7" t="s">
        <v>1224</v>
      </c>
      <c r="K2395" s="7" t="s">
        <v>1171</v>
      </c>
      <c r="L2395" s="11">
        <v>500</v>
      </c>
      <c r="M2395" s="11">
        <v>-28054.89</v>
      </c>
      <c r="N2395" s="9">
        <f t="shared" si="78"/>
        <v>-500</v>
      </c>
    </row>
    <row r="2396" spans="1:14" ht="12.75" customHeight="1" x14ac:dyDescent="0.2">
      <c r="A2396">
        <v>43400</v>
      </c>
      <c r="B2396" s="3" t="s">
        <v>1224</v>
      </c>
      <c r="C2396" s="7" t="s">
        <v>978</v>
      </c>
      <c r="D2396" s="7" t="s">
        <v>242</v>
      </c>
      <c r="F2396" s="7" t="s">
        <v>665</v>
      </c>
      <c r="G2396" s="7" t="s">
        <v>1561</v>
      </c>
      <c r="H2396" s="7" t="s">
        <v>1359</v>
      </c>
      <c r="I2396" s="7" t="s">
        <v>1224</v>
      </c>
      <c r="K2396" s="7" t="s">
        <v>1171</v>
      </c>
      <c r="L2396" s="11">
        <v>25</v>
      </c>
      <c r="M2396" s="11">
        <v>-26719.89</v>
      </c>
      <c r="N2396" s="9">
        <f t="shared" si="78"/>
        <v>-25</v>
      </c>
    </row>
    <row r="2397" spans="1:14" ht="12.75" customHeight="1" x14ac:dyDescent="0.2">
      <c r="A2397">
        <v>43400</v>
      </c>
      <c r="B2397" s="3" t="s">
        <v>1224</v>
      </c>
      <c r="C2397" s="7" t="s">
        <v>926</v>
      </c>
      <c r="D2397" s="7" t="s">
        <v>242</v>
      </c>
      <c r="F2397" s="7" t="s">
        <v>665</v>
      </c>
      <c r="G2397" s="7" t="s">
        <v>1561</v>
      </c>
      <c r="H2397" s="7" t="s">
        <v>1359</v>
      </c>
      <c r="I2397" s="7" t="s">
        <v>1224</v>
      </c>
      <c r="K2397" s="7" t="s">
        <v>1171</v>
      </c>
      <c r="L2397" s="11">
        <v>25</v>
      </c>
      <c r="M2397" s="11">
        <v>35847.25</v>
      </c>
      <c r="N2397" s="9">
        <f t="shared" si="78"/>
        <v>-25</v>
      </c>
    </row>
    <row r="2398" spans="1:14" ht="12.75" customHeight="1" x14ac:dyDescent="0.2">
      <c r="A2398">
        <v>43400</v>
      </c>
      <c r="B2398" s="3" t="s">
        <v>1224</v>
      </c>
      <c r="C2398" s="7" t="s">
        <v>372</v>
      </c>
      <c r="D2398" s="7" t="s">
        <v>242</v>
      </c>
      <c r="F2398" s="7" t="s">
        <v>665</v>
      </c>
      <c r="G2398" s="7" t="s">
        <v>1561</v>
      </c>
      <c r="H2398" s="7" t="s">
        <v>1359</v>
      </c>
      <c r="I2398" s="7" t="s">
        <v>1224</v>
      </c>
      <c r="K2398" s="7" t="s">
        <v>1171</v>
      </c>
      <c r="L2398" s="11">
        <v>2528.64</v>
      </c>
      <c r="M2398" s="11">
        <v>40825.89</v>
      </c>
      <c r="N2398" s="9">
        <f t="shared" si="78"/>
        <v>-2528.64</v>
      </c>
    </row>
    <row r="2399" spans="1:14" ht="12.75" customHeight="1" x14ac:dyDescent="0.2">
      <c r="A2399">
        <v>43400</v>
      </c>
      <c r="B2399" s="3" t="s">
        <v>1224</v>
      </c>
      <c r="C2399" s="7" t="s">
        <v>361</v>
      </c>
      <c r="D2399" s="7" t="s">
        <v>242</v>
      </c>
      <c r="F2399" s="7" t="s">
        <v>665</v>
      </c>
      <c r="G2399" s="7" t="s">
        <v>1561</v>
      </c>
      <c r="H2399" s="7" t="s">
        <v>1359</v>
      </c>
      <c r="I2399" s="7" t="s">
        <v>1224</v>
      </c>
      <c r="K2399" s="7" t="s">
        <v>1171</v>
      </c>
      <c r="L2399" s="11">
        <v>251.57</v>
      </c>
      <c r="M2399" s="11">
        <v>54525.37</v>
      </c>
      <c r="N2399" s="9">
        <f t="shared" si="78"/>
        <v>-251.57</v>
      </c>
    </row>
    <row r="2400" spans="1:14" ht="12.75" customHeight="1" x14ac:dyDescent="0.2">
      <c r="A2400">
        <v>43400</v>
      </c>
      <c r="B2400" s="3" t="s">
        <v>1224</v>
      </c>
      <c r="C2400" s="7" t="s">
        <v>361</v>
      </c>
      <c r="D2400" s="7" t="s">
        <v>242</v>
      </c>
      <c r="F2400" s="7" t="s">
        <v>665</v>
      </c>
      <c r="G2400" s="7" t="s">
        <v>1561</v>
      </c>
      <c r="H2400" s="7" t="s">
        <v>1359</v>
      </c>
      <c r="I2400" s="7" t="s">
        <v>1224</v>
      </c>
      <c r="K2400" s="7" t="s">
        <v>1171</v>
      </c>
      <c r="L2400" s="11">
        <v>200</v>
      </c>
      <c r="M2400" s="11">
        <v>54725.37</v>
      </c>
      <c r="N2400" s="9">
        <f t="shared" si="78"/>
        <v>-200</v>
      </c>
    </row>
    <row r="2401" spans="1:14" ht="12.75" customHeight="1" x14ac:dyDescent="0.2">
      <c r="A2401">
        <v>43400</v>
      </c>
      <c r="B2401" s="3" t="s">
        <v>1224</v>
      </c>
      <c r="C2401" s="7" t="s">
        <v>327</v>
      </c>
      <c r="D2401" s="7" t="s">
        <v>242</v>
      </c>
      <c r="F2401" s="7" t="s">
        <v>665</v>
      </c>
      <c r="G2401" s="7" t="s">
        <v>1561</v>
      </c>
      <c r="H2401" s="7" t="s">
        <v>1359</v>
      </c>
      <c r="I2401" s="7" t="s">
        <v>1224</v>
      </c>
      <c r="K2401" s="7" t="s">
        <v>1171</v>
      </c>
      <c r="L2401" s="11">
        <v>25</v>
      </c>
      <c r="M2401" s="11">
        <v>83494.55</v>
      </c>
      <c r="N2401" s="9">
        <f t="shared" si="78"/>
        <v>-25</v>
      </c>
    </row>
    <row r="2402" spans="1:14" ht="12.75" customHeight="1" x14ac:dyDescent="0.2">
      <c r="A2402">
        <v>43400</v>
      </c>
      <c r="B2402" s="3" t="s">
        <v>1224</v>
      </c>
      <c r="C2402" s="7" t="s">
        <v>327</v>
      </c>
      <c r="D2402" s="7" t="s">
        <v>242</v>
      </c>
      <c r="F2402" s="7" t="s">
        <v>665</v>
      </c>
      <c r="G2402" s="7" t="s">
        <v>1561</v>
      </c>
      <c r="H2402" s="7" t="s">
        <v>1359</v>
      </c>
      <c r="I2402" s="7" t="s">
        <v>1224</v>
      </c>
      <c r="K2402" s="7" t="s">
        <v>1171</v>
      </c>
      <c r="L2402" s="11">
        <v>500</v>
      </c>
      <c r="M2402" s="11">
        <v>83994.55</v>
      </c>
      <c r="N2402" s="9">
        <f t="shared" si="78"/>
        <v>-500</v>
      </c>
    </row>
    <row r="2403" spans="1:14" ht="12.75" customHeight="1" x14ac:dyDescent="0.2">
      <c r="A2403">
        <v>43400</v>
      </c>
      <c r="B2403" s="3" t="s">
        <v>1224</v>
      </c>
      <c r="C2403" s="7" t="s">
        <v>327</v>
      </c>
      <c r="D2403" s="7" t="s">
        <v>242</v>
      </c>
      <c r="F2403" s="7" t="s">
        <v>665</v>
      </c>
      <c r="G2403" s="7" t="s">
        <v>1561</v>
      </c>
      <c r="H2403" s="7" t="s">
        <v>1359</v>
      </c>
      <c r="I2403" s="7" t="s">
        <v>1224</v>
      </c>
      <c r="K2403" s="7" t="s">
        <v>1171</v>
      </c>
      <c r="L2403" s="11">
        <v>718.66</v>
      </c>
      <c r="M2403" s="11">
        <v>84713.21</v>
      </c>
      <c r="N2403" s="9">
        <f t="shared" si="78"/>
        <v>-718.66</v>
      </c>
    </row>
    <row r="2404" spans="1:14" ht="12.75" customHeight="1" x14ac:dyDescent="0.2">
      <c r="A2404">
        <v>43400</v>
      </c>
      <c r="B2404" s="3" t="s">
        <v>1224</v>
      </c>
      <c r="C2404" s="7" t="s">
        <v>415</v>
      </c>
      <c r="D2404" s="7" t="s">
        <v>242</v>
      </c>
      <c r="F2404" s="7" t="s">
        <v>665</v>
      </c>
      <c r="G2404" s="7" t="s">
        <v>1561</v>
      </c>
      <c r="H2404" s="7" t="s">
        <v>1359</v>
      </c>
      <c r="I2404" s="7" t="s">
        <v>1224</v>
      </c>
      <c r="K2404" s="7" t="s">
        <v>1171</v>
      </c>
      <c r="L2404" s="11">
        <v>25</v>
      </c>
      <c r="M2404" s="11">
        <v>92557.75</v>
      </c>
      <c r="N2404" s="9">
        <f t="shared" si="78"/>
        <v>-25</v>
      </c>
    </row>
    <row r="2405" spans="1:14" ht="12.75" customHeight="1" x14ac:dyDescent="0.2">
      <c r="A2405">
        <v>43400</v>
      </c>
      <c r="B2405" s="3" t="s">
        <v>1224</v>
      </c>
      <c r="C2405" s="7" t="s">
        <v>290</v>
      </c>
      <c r="D2405" s="7" t="s">
        <v>183</v>
      </c>
      <c r="E2405" s="7">
        <v>485</v>
      </c>
      <c r="G2405" s="7" t="s">
        <v>1561</v>
      </c>
      <c r="H2405" s="7" t="s">
        <v>1359</v>
      </c>
      <c r="I2405" s="7" t="s">
        <v>1224</v>
      </c>
      <c r="K2405" s="7" t="s">
        <v>180</v>
      </c>
      <c r="L2405" s="11">
        <v>53</v>
      </c>
      <c r="M2405" s="11">
        <v>108285.57</v>
      </c>
      <c r="N2405" s="9">
        <f t="shared" si="78"/>
        <v>-53</v>
      </c>
    </row>
    <row r="2406" spans="1:14" ht="12.75" customHeight="1" x14ac:dyDescent="0.2">
      <c r="A2406">
        <v>43400</v>
      </c>
      <c r="B2406" s="3" t="s">
        <v>1224</v>
      </c>
      <c r="C2406" s="7" t="s">
        <v>201</v>
      </c>
      <c r="D2406" s="7" t="s">
        <v>183</v>
      </c>
      <c r="E2406" s="7">
        <v>508</v>
      </c>
      <c r="G2406" s="7" t="s">
        <v>1561</v>
      </c>
      <c r="H2406" s="7" t="s">
        <v>1359</v>
      </c>
      <c r="I2406" s="7" t="s">
        <v>1224</v>
      </c>
      <c r="J2406" s="7" t="s">
        <v>428</v>
      </c>
      <c r="K2406" s="7" t="s">
        <v>180</v>
      </c>
      <c r="L2406" s="11">
        <v>786</v>
      </c>
      <c r="M2406" s="11">
        <v>115139.26</v>
      </c>
      <c r="N2406" s="9">
        <f t="shared" si="78"/>
        <v>-786</v>
      </c>
    </row>
    <row r="2407" spans="1:14" ht="12.75" customHeight="1" x14ac:dyDescent="0.2">
      <c r="A2407">
        <v>43400</v>
      </c>
      <c r="B2407" s="3" t="s">
        <v>1224</v>
      </c>
      <c r="C2407" s="7" t="s">
        <v>267</v>
      </c>
      <c r="D2407" s="7" t="s">
        <v>242</v>
      </c>
      <c r="F2407" s="7" t="s">
        <v>665</v>
      </c>
      <c r="G2407" s="7" t="s">
        <v>1561</v>
      </c>
      <c r="H2407" s="7" t="s">
        <v>1359</v>
      </c>
      <c r="I2407" s="7" t="s">
        <v>1224</v>
      </c>
      <c r="K2407" s="7" t="s">
        <v>1171</v>
      </c>
      <c r="L2407" s="11">
        <v>114.56</v>
      </c>
      <c r="M2407" s="11">
        <v>115526.22</v>
      </c>
      <c r="N2407" s="9">
        <f t="shared" si="78"/>
        <v>-114.56</v>
      </c>
    </row>
    <row r="2408" spans="1:14" ht="12.75" customHeight="1" x14ac:dyDescent="0.2">
      <c r="A2408">
        <v>43400</v>
      </c>
      <c r="B2408" s="3" t="s">
        <v>1224</v>
      </c>
      <c r="C2408" s="7" t="s">
        <v>267</v>
      </c>
      <c r="D2408" s="7" t="s">
        <v>242</v>
      </c>
      <c r="F2408" s="7" t="s">
        <v>665</v>
      </c>
      <c r="G2408" s="7" t="s">
        <v>1561</v>
      </c>
      <c r="H2408" s="7" t="s">
        <v>1359</v>
      </c>
      <c r="I2408" s="7" t="s">
        <v>1224</v>
      </c>
      <c r="K2408" s="7" t="s">
        <v>1171</v>
      </c>
      <c r="L2408" s="11">
        <v>492</v>
      </c>
      <c r="M2408" s="11">
        <v>116018.22</v>
      </c>
      <c r="N2408" s="9">
        <f t="shared" si="78"/>
        <v>-492</v>
      </c>
    </row>
    <row r="2409" spans="1:14" ht="12.75" customHeight="1" x14ac:dyDescent="0.2">
      <c r="A2409">
        <v>43400</v>
      </c>
      <c r="B2409" s="3" t="s">
        <v>1224</v>
      </c>
      <c r="C2409" s="7" t="s">
        <v>249</v>
      </c>
      <c r="D2409" s="7" t="s">
        <v>242</v>
      </c>
      <c r="F2409" s="7" t="s">
        <v>665</v>
      </c>
      <c r="G2409" s="7" t="s">
        <v>1561</v>
      </c>
      <c r="H2409" s="7" t="s">
        <v>1359</v>
      </c>
      <c r="I2409" s="7" t="s">
        <v>1224</v>
      </c>
      <c r="K2409" s="7" t="s">
        <v>1171</v>
      </c>
      <c r="L2409" s="11">
        <v>25</v>
      </c>
      <c r="M2409" s="11">
        <v>128374.41</v>
      </c>
      <c r="N2409" s="9">
        <f t="shared" si="78"/>
        <v>-25</v>
      </c>
    </row>
    <row r="2410" spans="1:14" ht="12.75" customHeight="1" x14ac:dyDescent="0.2">
      <c r="A2410">
        <v>43400</v>
      </c>
      <c r="B2410" s="3" t="s">
        <v>1224</v>
      </c>
      <c r="C2410" s="7" t="s">
        <v>218</v>
      </c>
      <c r="D2410" s="7" t="s">
        <v>242</v>
      </c>
      <c r="F2410" s="7" t="s">
        <v>665</v>
      </c>
      <c r="G2410" s="7" t="s">
        <v>1561</v>
      </c>
      <c r="H2410" s="7" t="s">
        <v>1359</v>
      </c>
      <c r="I2410" s="7" t="s">
        <v>1224</v>
      </c>
      <c r="K2410" s="7" t="s">
        <v>1171</v>
      </c>
      <c r="L2410" s="11">
        <v>25</v>
      </c>
      <c r="M2410" s="11">
        <v>187902.31</v>
      </c>
      <c r="N2410" s="9">
        <f t="shared" si="78"/>
        <v>-25</v>
      </c>
    </row>
    <row r="2411" spans="1:14" ht="12.75" customHeight="1" x14ac:dyDescent="0.2">
      <c r="A2411">
        <v>43400</v>
      </c>
      <c r="B2411" s="3" t="s">
        <v>1224</v>
      </c>
      <c r="C2411" s="7" t="s">
        <v>388</v>
      </c>
      <c r="D2411" s="7" t="s">
        <v>242</v>
      </c>
      <c r="F2411" s="7" t="s">
        <v>665</v>
      </c>
      <c r="G2411" s="7" t="s">
        <v>1039</v>
      </c>
      <c r="H2411" s="7" t="s">
        <v>1359</v>
      </c>
      <c r="I2411" s="7" t="s">
        <v>1224</v>
      </c>
      <c r="K2411" s="7" t="s">
        <v>1205</v>
      </c>
      <c r="L2411" s="11">
        <v>200</v>
      </c>
      <c r="M2411" s="11">
        <v>-21829.89</v>
      </c>
      <c r="N2411" s="9">
        <f t="shared" si="78"/>
        <v>-200</v>
      </c>
    </row>
    <row r="2412" spans="1:14" ht="12.75" customHeight="1" x14ac:dyDescent="0.2">
      <c r="A2412">
        <v>43400</v>
      </c>
      <c r="B2412" s="3" t="s">
        <v>1224</v>
      </c>
      <c r="C2412" s="7" t="s">
        <v>315</v>
      </c>
      <c r="D2412" s="7" t="s">
        <v>183</v>
      </c>
      <c r="E2412" s="7">
        <v>446</v>
      </c>
      <c r="G2412" s="7" t="s">
        <v>1039</v>
      </c>
      <c r="H2412" s="7" t="s">
        <v>1359</v>
      </c>
      <c r="I2412" s="7" t="s">
        <v>1224</v>
      </c>
      <c r="J2412" s="7" t="s">
        <v>425</v>
      </c>
      <c r="K2412" s="7" t="s">
        <v>180</v>
      </c>
      <c r="L2412" s="11">
        <v>50</v>
      </c>
      <c r="M2412" s="11">
        <v>89224.21</v>
      </c>
      <c r="N2412" s="9">
        <f t="shared" si="78"/>
        <v>-50</v>
      </c>
    </row>
    <row r="2413" spans="1:14" ht="12.75" customHeight="1" x14ac:dyDescent="0.2">
      <c r="A2413">
        <v>43400</v>
      </c>
      <c r="B2413" s="3" t="s">
        <v>1224</v>
      </c>
      <c r="C2413" s="7" t="s">
        <v>1648</v>
      </c>
      <c r="D2413" s="7" t="s">
        <v>242</v>
      </c>
      <c r="F2413" s="7" t="s">
        <v>665</v>
      </c>
      <c r="G2413" s="7" t="s">
        <v>1039</v>
      </c>
      <c r="H2413" s="7" t="s">
        <v>1359</v>
      </c>
      <c r="I2413" s="7" t="s">
        <v>1224</v>
      </c>
      <c r="K2413" s="39" t="s">
        <v>1038</v>
      </c>
      <c r="L2413" s="40">
        <v>1800</v>
      </c>
      <c r="M2413" s="40">
        <v>312703.82</v>
      </c>
      <c r="N2413" s="41">
        <f>-L2413</f>
        <v>-1800</v>
      </c>
    </row>
    <row r="2414" spans="1:14" ht="12.75" customHeight="1" x14ac:dyDescent="0.2">
      <c r="A2414">
        <v>43400</v>
      </c>
      <c r="B2414" s="3" t="s">
        <v>1224</v>
      </c>
      <c r="C2414" s="7" t="s">
        <v>1648</v>
      </c>
      <c r="D2414" s="7" t="s">
        <v>242</v>
      </c>
      <c r="F2414" s="7" t="s">
        <v>665</v>
      </c>
      <c r="G2414" s="7" t="s">
        <v>1039</v>
      </c>
      <c r="H2414" s="7" t="s">
        <v>1359</v>
      </c>
      <c r="I2414" s="7" t="s">
        <v>1224</v>
      </c>
      <c r="K2414" s="39" t="s">
        <v>1038</v>
      </c>
      <c r="L2414" s="40">
        <v>570</v>
      </c>
      <c r="M2414" s="40">
        <v>313273.82</v>
      </c>
      <c r="N2414" s="41">
        <f>-L2414</f>
        <v>-570</v>
      </c>
    </row>
    <row r="2415" spans="1:14" ht="12.75" customHeight="1" x14ac:dyDescent="0.2">
      <c r="A2415">
        <v>43400</v>
      </c>
      <c r="B2415" s="3" t="s">
        <v>1224</v>
      </c>
      <c r="C2415" s="7" t="s">
        <v>1629</v>
      </c>
      <c r="D2415" s="7" t="s">
        <v>183</v>
      </c>
      <c r="E2415" s="7">
        <v>716</v>
      </c>
      <c r="G2415" s="7" t="s">
        <v>1630</v>
      </c>
      <c r="H2415" s="7" t="s">
        <v>1359</v>
      </c>
      <c r="I2415" s="7" t="s">
        <v>1224</v>
      </c>
      <c r="K2415" s="39" t="s">
        <v>180</v>
      </c>
      <c r="L2415" s="40">
        <v>5</v>
      </c>
      <c r="M2415" s="40">
        <v>277797.42</v>
      </c>
      <c r="N2415" s="41">
        <f>-L2415</f>
        <v>-5</v>
      </c>
    </row>
    <row r="2416" spans="1:14" ht="12.75" customHeight="1" x14ac:dyDescent="0.2">
      <c r="A2416">
        <v>43400</v>
      </c>
      <c r="B2416" s="3" t="s">
        <v>1224</v>
      </c>
      <c r="C2416" s="7" t="s">
        <v>1543</v>
      </c>
      <c r="D2416" s="7" t="s">
        <v>183</v>
      </c>
      <c r="E2416" s="7">
        <v>672</v>
      </c>
      <c r="G2416" s="7" t="s">
        <v>1610</v>
      </c>
      <c r="H2416" s="7" t="s">
        <v>1359</v>
      </c>
      <c r="I2416" s="7" t="s">
        <v>1224</v>
      </c>
      <c r="J2416" s="39" t="s">
        <v>1611</v>
      </c>
      <c r="K2416" s="39" t="s">
        <v>180</v>
      </c>
      <c r="L2416" s="40">
        <v>100</v>
      </c>
      <c r="M2416" s="40">
        <v>254847.42</v>
      </c>
      <c r="N2416" s="41">
        <f>-L2416</f>
        <v>-100</v>
      </c>
    </row>
    <row r="2417" spans="1:14" ht="12.75" customHeight="1" x14ac:dyDescent="0.2">
      <c r="A2417">
        <v>43300</v>
      </c>
      <c r="B2417" s="3" t="s">
        <v>1225</v>
      </c>
      <c r="C2417" s="7" t="s">
        <v>330</v>
      </c>
      <c r="D2417" s="7" t="s">
        <v>242</v>
      </c>
      <c r="F2417" s="7" t="s">
        <v>1213</v>
      </c>
      <c r="G2417" s="7" t="s">
        <v>1577</v>
      </c>
      <c r="H2417" s="7" t="s">
        <v>1359</v>
      </c>
      <c r="I2417" s="7" t="s">
        <v>1225</v>
      </c>
      <c r="K2417" s="7" t="s">
        <v>1141</v>
      </c>
      <c r="L2417" s="11">
        <v>1000</v>
      </c>
      <c r="M2417" s="11">
        <v>1000</v>
      </c>
      <c r="N2417" s="9">
        <f>IF(A2417&lt;60000,-L2417,+L2417)</f>
        <v>-1000</v>
      </c>
    </row>
    <row r="2418" spans="1:14" ht="12.75" customHeight="1" x14ac:dyDescent="0.2">
      <c r="A2418">
        <v>43300</v>
      </c>
      <c r="B2418" s="3" t="s">
        <v>1225</v>
      </c>
      <c r="C2418" s="7" t="s">
        <v>430</v>
      </c>
      <c r="D2418" s="7" t="s">
        <v>242</v>
      </c>
      <c r="G2418" s="7" t="s">
        <v>1545</v>
      </c>
      <c r="H2418" s="7" t="s">
        <v>1359</v>
      </c>
      <c r="I2418" s="7" t="s">
        <v>1225</v>
      </c>
      <c r="K2418" s="7" t="s">
        <v>1150</v>
      </c>
      <c r="L2418" s="11">
        <v>5500</v>
      </c>
      <c r="M2418" s="11">
        <v>6500</v>
      </c>
      <c r="N2418" s="9">
        <f>IF(A2418&lt;60000,-L2418,+L2418)</f>
        <v>-5500</v>
      </c>
    </row>
    <row r="2419" spans="1:14" ht="12.75" customHeight="1" x14ac:dyDescent="0.2">
      <c r="A2419">
        <v>43300</v>
      </c>
      <c r="B2419" s="3" t="s">
        <v>1225</v>
      </c>
      <c r="C2419" s="7" t="s">
        <v>1550</v>
      </c>
      <c r="D2419" s="7" t="s">
        <v>242</v>
      </c>
      <c r="F2419" s="7" t="s">
        <v>1551</v>
      </c>
      <c r="G2419" s="7" t="s">
        <v>1552</v>
      </c>
      <c r="H2419" s="7" t="s">
        <v>1359</v>
      </c>
      <c r="I2419" s="7" t="s">
        <v>1225</v>
      </c>
      <c r="K2419" s="39" t="s">
        <v>1172</v>
      </c>
      <c r="L2419" s="40">
        <v>3000</v>
      </c>
      <c r="M2419" s="40">
        <v>6550</v>
      </c>
      <c r="N2419" s="41">
        <f>-L2419</f>
        <v>-3000</v>
      </c>
    </row>
    <row r="2420" spans="1:14" ht="12.75" customHeight="1" x14ac:dyDescent="0.2">
      <c r="A2420">
        <v>43300</v>
      </c>
      <c r="B2420" s="3" t="s">
        <v>1225</v>
      </c>
      <c r="C2420" s="7" t="s">
        <v>1543</v>
      </c>
      <c r="D2420" s="7" t="s">
        <v>242</v>
      </c>
      <c r="F2420" s="7" t="s">
        <v>1544</v>
      </c>
      <c r="G2420" s="7" t="s">
        <v>1545</v>
      </c>
      <c r="H2420" s="7" t="s">
        <v>1359</v>
      </c>
      <c r="I2420" s="7" t="s">
        <v>1225</v>
      </c>
      <c r="K2420" s="39" t="s">
        <v>1150</v>
      </c>
      <c r="L2420" s="40">
        <v>800</v>
      </c>
      <c r="M2420" s="40">
        <v>1800</v>
      </c>
      <c r="N2420" s="41">
        <f>-L2420</f>
        <v>-800</v>
      </c>
    </row>
    <row r="2421" spans="1:14" ht="12.75" hidden="1" customHeight="1" x14ac:dyDescent="0.2">
      <c r="A2421">
        <v>60920</v>
      </c>
      <c r="B2421" s="3" t="s">
        <v>1233</v>
      </c>
      <c r="C2421" s="7" t="s">
        <v>391</v>
      </c>
      <c r="D2421" s="7" t="s">
        <v>183</v>
      </c>
      <c r="E2421" s="7" t="s">
        <v>390</v>
      </c>
      <c r="G2421" s="7" t="s">
        <v>182</v>
      </c>
      <c r="H2421" s="7" t="s">
        <v>1361</v>
      </c>
      <c r="I2421" s="7" t="s">
        <v>1536</v>
      </c>
      <c r="J2421" s="7" t="s">
        <v>389</v>
      </c>
      <c r="K2421" s="7" t="s">
        <v>180</v>
      </c>
      <c r="L2421" s="11">
        <v>-160.75</v>
      </c>
      <c r="M2421" s="11">
        <v>-160.75</v>
      </c>
      <c r="N2421" s="9">
        <f t="shared" ref="N2421:N2439" si="79">IF(A2421&lt;60000,-L2421,+L2421)</f>
        <v>-160.75</v>
      </c>
    </row>
    <row r="2422" spans="1:14" ht="12.75" hidden="1" customHeight="1" x14ac:dyDescent="0.2">
      <c r="A2422">
        <v>60920</v>
      </c>
      <c r="B2422" s="3" t="s">
        <v>1233</v>
      </c>
      <c r="C2422" s="7" t="s">
        <v>393</v>
      </c>
      <c r="D2422" s="7" t="s">
        <v>200</v>
      </c>
      <c r="E2422" s="7" t="s">
        <v>447</v>
      </c>
      <c r="F2422" s="7" t="s">
        <v>1108</v>
      </c>
      <c r="G2422" s="7" t="s">
        <v>182</v>
      </c>
      <c r="H2422" s="7" t="s">
        <v>1361</v>
      </c>
      <c r="I2422" s="7" t="s">
        <v>1536</v>
      </c>
      <c r="J2422" s="7" t="s">
        <v>1122</v>
      </c>
      <c r="K2422" s="7" t="s">
        <v>198</v>
      </c>
      <c r="L2422" s="11">
        <v>25</v>
      </c>
      <c r="M2422" s="11">
        <v>-135.75</v>
      </c>
      <c r="N2422" s="9">
        <f t="shared" si="79"/>
        <v>25</v>
      </c>
    </row>
    <row r="2423" spans="1:14" ht="12.75" hidden="1" customHeight="1" x14ac:dyDescent="0.2">
      <c r="A2423">
        <v>60920</v>
      </c>
      <c r="B2423" s="3" t="s">
        <v>1233</v>
      </c>
      <c r="C2423" s="7" t="s">
        <v>535</v>
      </c>
      <c r="D2423" s="7" t="s">
        <v>200</v>
      </c>
      <c r="E2423" s="7">
        <v>404</v>
      </c>
      <c r="F2423" s="7" t="s">
        <v>1111</v>
      </c>
      <c r="G2423" s="7" t="s">
        <v>182</v>
      </c>
      <c r="H2423" s="7" t="s">
        <v>1361</v>
      </c>
      <c r="I2423" s="7" t="s">
        <v>1536</v>
      </c>
      <c r="J2423" s="7" t="s">
        <v>1121</v>
      </c>
      <c r="K2423" s="7" t="s">
        <v>198</v>
      </c>
      <c r="L2423" s="11">
        <v>160.75</v>
      </c>
      <c r="M2423" s="11">
        <v>25</v>
      </c>
      <c r="N2423" s="9">
        <f t="shared" si="79"/>
        <v>160.75</v>
      </c>
    </row>
    <row r="2424" spans="1:14" ht="12.75" hidden="1" customHeight="1" x14ac:dyDescent="0.2">
      <c r="A2424">
        <v>60920</v>
      </c>
      <c r="B2424" s="3" t="s">
        <v>1233</v>
      </c>
      <c r="C2424" s="7" t="s">
        <v>437</v>
      </c>
      <c r="D2424" s="7" t="s">
        <v>200</v>
      </c>
      <c r="F2424" s="7" t="s">
        <v>1120</v>
      </c>
      <c r="G2424" s="7" t="s">
        <v>182</v>
      </c>
      <c r="H2424" s="7" t="s">
        <v>1361</v>
      </c>
      <c r="I2424" s="7" t="s">
        <v>1536</v>
      </c>
      <c r="K2424" s="7" t="s">
        <v>198</v>
      </c>
      <c r="L2424" s="11">
        <v>22.25</v>
      </c>
      <c r="M2424" s="11">
        <v>47.25</v>
      </c>
      <c r="N2424" s="9">
        <f t="shared" si="79"/>
        <v>22.25</v>
      </c>
    </row>
    <row r="2425" spans="1:14" ht="12.75" hidden="1" customHeight="1" x14ac:dyDescent="0.2">
      <c r="A2425">
        <v>60920</v>
      </c>
      <c r="B2425" s="3" t="s">
        <v>1233</v>
      </c>
      <c r="C2425" s="7" t="s">
        <v>381</v>
      </c>
      <c r="D2425" s="7" t="s">
        <v>200</v>
      </c>
      <c r="E2425" s="7">
        <v>407</v>
      </c>
      <c r="F2425" s="7" t="s">
        <v>1119</v>
      </c>
      <c r="G2425" s="7" t="s">
        <v>182</v>
      </c>
      <c r="H2425" s="7" t="s">
        <v>1361</v>
      </c>
      <c r="I2425" s="7" t="s">
        <v>1536</v>
      </c>
      <c r="J2425" s="7" t="s">
        <v>1118</v>
      </c>
      <c r="K2425" s="7" t="s">
        <v>198</v>
      </c>
      <c r="L2425" s="11">
        <v>15</v>
      </c>
      <c r="M2425" s="11">
        <v>62.25</v>
      </c>
      <c r="N2425" s="9">
        <f t="shared" si="79"/>
        <v>15</v>
      </c>
    </row>
    <row r="2426" spans="1:14" ht="12.75" hidden="1" customHeight="1" x14ac:dyDescent="0.2">
      <c r="A2426">
        <v>60920</v>
      </c>
      <c r="B2426" s="3" t="s">
        <v>1233</v>
      </c>
      <c r="C2426" s="7" t="s">
        <v>381</v>
      </c>
      <c r="D2426" s="7" t="s">
        <v>200</v>
      </c>
      <c r="E2426" s="7">
        <v>406</v>
      </c>
      <c r="F2426" s="7" t="s">
        <v>1117</v>
      </c>
      <c r="G2426" s="7" t="s">
        <v>182</v>
      </c>
      <c r="H2426" s="7" t="s">
        <v>1361</v>
      </c>
      <c r="I2426" s="7" t="s">
        <v>1536</v>
      </c>
      <c r="J2426" s="7" t="s">
        <v>1116</v>
      </c>
      <c r="K2426" s="7" t="s">
        <v>198</v>
      </c>
      <c r="L2426" s="11">
        <v>15</v>
      </c>
      <c r="M2426" s="11">
        <v>77.25</v>
      </c>
      <c r="N2426" s="9">
        <f t="shared" si="79"/>
        <v>15</v>
      </c>
    </row>
    <row r="2427" spans="1:14" ht="12.75" hidden="1" customHeight="1" x14ac:dyDescent="0.2">
      <c r="A2427">
        <v>60920</v>
      </c>
      <c r="B2427" s="3" t="s">
        <v>1233</v>
      </c>
      <c r="C2427" s="7" t="s">
        <v>330</v>
      </c>
      <c r="D2427" s="7" t="s">
        <v>200</v>
      </c>
      <c r="E2427" s="7">
        <v>417</v>
      </c>
      <c r="F2427" s="7" t="s">
        <v>1108</v>
      </c>
      <c r="G2427" s="7" t="s">
        <v>182</v>
      </c>
      <c r="H2427" s="7" t="s">
        <v>1361</v>
      </c>
      <c r="I2427" s="7" t="s">
        <v>1536</v>
      </c>
      <c r="J2427" s="7" t="s">
        <v>1110</v>
      </c>
      <c r="K2427" s="7" t="s">
        <v>198</v>
      </c>
      <c r="L2427" s="11">
        <v>25</v>
      </c>
      <c r="M2427" s="11">
        <v>102.25</v>
      </c>
      <c r="N2427" s="9">
        <f t="shared" si="79"/>
        <v>25</v>
      </c>
    </row>
    <row r="2428" spans="1:14" ht="12.75" hidden="1" customHeight="1" x14ac:dyDescent="0.2">
      <c r="A2428">
        <v>60920</v>
      </c>
      <c r="B2428" s="3" t="s">
        <v>1233</v>
      </c>
      <c r="C2428" s="7" t="s">
        <v>323</v>
      </c>
      <c r="D2428" s="7" t="s">
        <v>200</v>
      </c>
      <c r="F2428" s="7" t="s">
        <v>1108</v>
      </c>
      <c r="G2428" s="7" t="s">
        <v>182</v>
      </c>
      <c r="H2428" s="7" t="s">
        <v>1361</v>
      </c>
      <c r="I2428" s="7" t="s">
        <v>1536</v>
      </c>
      <c r="K2428" s="7" t="s">
        <v>198</v>
      </c>
      <c r="L2428" s="11">
        <v>22.25</v>
      </c>
      <c r="M2428" s="11">
        <v>124.5</v>
      </c>
      <c r="N2428" s="9">
        <f t="shared" si="79"/>
        <v>22.25</v>
      </c>
    </row>
    <row r="2429" spans="1:14" ht="12.75" hidden="1" customHeight="1" x14ac:dyDescent="0.2">
      <c r="A2429">
        <v>60920</v>
      </c>
      <c r="B2429" s="3" t="s">
        <v>1233</v>
      </c>
      <c r="C2429" s="7" t="s">
        <v>319</v>
      </c>
      <c r="D2429" s="7" t="s">
        <v>200</v>
      </c>
      <c r="E2429" s="7">
        <v>424</v>
      </c>
      <c r="F2429" s="7" t="s">
        <v>1115</v>
      </c>
      <c r="G2429" s="7" t="s">
        <v>182</v>
      </c>
      <c r="H2429" s="7" t="s">
        <v>1361</v>
      </c>
      <c r="I2429" s="7" t="s">
        <v>1536</v>
      </c>
      <c r="J2429" s="7" t="s">
        <v>1114</v>
      </c>
      <c r="K2429" s="7" t="s">
        <v>198</v>
      </c>
      <c r="L2429" s="11">
        <v>173.1</v>
      </c>
      <c r="M2429" s="11">
        <v>297.60000000000002</v>
      </c>
      <c r="N2429" s="9">
        <f t="shared" si="79"/>
        <v>173.1</v>
      </c>
    </row>
    <row r="2430" spans="1:14" ht="12.75" hidden="1" customHeight="1" x14ac:dyDescent="0.2">
      <c r="A2430">
        <v>60920</v>
      </c>
      <c r="B2430" s="3" t="s">
        <v>1233</v>
      </c>
      <c r="C2430" s="7" t="s">
        <v>293</v>
      </c>
      <c r="D2430" s="7" t="s">
        <v>200</v>
      </c>
      <c r="E2430" s="7">
        <v>431</v>
      </c>
      <c r="F2430" s="7" t="s">
        <v>1113</v>
      </c>
      <c r="G2430" s="7" t="s">
        <v>182</v>
      </c>
      <c r="H2430" s="7" t="s">
        <v>1361</v>
      </c>
      <c r="I2430" s="7" t="s">
        <v>1536</v>
      </c>
      <c r="J2430" s="7" t="s">
        <v>1112</v>
      </c>
      <c r="K2430" s="7" t="s">
        <v>198</v>
      </c>
      <c r="L2430" s="11">
        <v>75</v>
      </c>
      <c r="M2430" s="11">
        <v>372.6</v>
      </c>
      <c r="N2430" s="9">
        <f t="shared" si="79"/>
        <v>75</v>
      </c>
    </row>
    <row r="2431" spans="1:14" ht="12.75" hidden="1" customHeight="1" x14ac:dyDescent="0.2">
      <c r="A2431">
        <v>60920</v>
      </c>
      <c r="B2431" s="3" t="s">
        <v>1233</v>
      </c>
      <c r="C2431" s="7" t="s">
        <v>287</v>
      </c>
      <c r="D2431" s="7" t="s">
        <v>200</v>
      </c>
      <c r="E2431" s="7">
        <v>433</v>
      </c>
      <c r="F2431" s="7" t="s">
        <v>1111</v>
      </c>
      <c r="G2431" s="7" t="s">
        <v>182</v>
      </c>
      <c r="H2431" s="7" t="s">
        <v>1361</v>
      </c>
      <c r="I2431" s="7" t="s">
        <v>1536</v>
      </c>
      <c r="J2431" s="7" t="s">
        <v>1110</v>
      </c>
      <c r="K2431" s="7" t="s">
        <v>198</v>
      </c>
      <c r="L2431" s="11">
        <v>40.369999999999997</v>
      </c>
      <c r="M2431" s="11">
        <v>412.97</v>
      </c>
      <c r="N2431" s="9">
        <f t="shared" si="79"/>
        <v>40.369999999999997</v>
      </c>
    </row>
    <row r="2432" spans="1:14" ht="12.75" hidden="1" customHeight="1" x14ac:dyDescent="0.2">
      <c r="A2432">
        <v>60920</v>
      </c>
      <c r="B2432" s="3" t="s">
        <v>1233</v>
      </c>
      <c r="C2432" s="7" t="s">
        <v>191</v>
      </c>
      <c r="D2432" s="7" t="s">
        <v>221</v>
      </c>
      <c r="F2432" s="7" t="s">
        <v>1109</v>
      </c>
      <c r="G2432" s="7" t="s">
        <v>182</v>
      </c>
      <c r="H2432" s="7" t="s">
        <v>1361</v>
      </c>
      <c r="I2432" s="7" t="s">
        <v>1536</v>
      </c>
      <c r="K2432" s="7" t="s">
        <v>198</v>
      </c>
      <c r="L2432" s="11">
        <v>40</v>
      </c>
      <c r="M2432" s="11">
        <v>452.97</v>
      </c>
      <c r="N2432" s="9">
        <f t="shared" si="79"/>
        <v>40</v>
      </c>
    </row>
    <row r="2433" spans="1:14" ht="12.75" hidden="1" customHeight="1" x14ac:dyDescent="0.2">
      <c r="A2433">
        <v>60920</v>
      </c>
      <c r="B2433" s="3" t="s">
        <v>1233</v>
      </c>
      <c r="C2433" s="7" t="s">
        <v>222</v>
      </c>
      <c r="D2433" s="7" t="s">
        <v>200</v>
      </c>
      <c r="E2433" s="7">
        <v>466</v>
      </c>
      <c r="F2433" s="7" t="s">
        <v>1108</v>
      </c>
      <c r="G2433" s="7" t="s">
        <v>182</v>
      </c>
      <c r="H2433" s="7" t="s">
        <v>1361</v>
      </c>
      <c r="I2433" s="7" t="s">
        <v>1536</v>
      </c>
      <c r="J2433" s="7" t="s">
        <v>1107</v>
      </c>
      <c r="K2433" s="7" t="s">
        <v>198</v>
      </c>
      <c r="L2433" s="11">
        <v>0</v>
      </c>
      <c r="M2433" s="11">
        <v>452.97</v>
      </c>
      <c r="N2433" s="9">
        <f t="shared" si="79"/>
        <v>0</v>
      </c>
    </row>
    <row r="2434" spans="1:14" ht="12.75" hidden="1" customHeight="1" x14ac:dyDescent="0.2">
      <c r="A2434">
        <v>60920</v>
      </c>
      <c r="B2434" s="3" t="s">
        <v>1233</v>
      </c>
      <c r="C2434" s="7" t="s">
        <v>222</v>
      </c>
      <c r="D2434" s="7" t="s">
        <v>200</v>
      </c>
      <c r="E2434" s="7">
        <v>465</v>
      </c>
      <c r="F2434" s="7" t="s">
        <v>1106</v>
      </c>
      <c r="G2434" s="7" t="s">
        <v>182</v>
      </c>
      <c r="H2434" s="7" t="s">
        <v>1361</v>
      </c>
      <c r="I2434" s="7" t="s">
        <v>1536</v>
      </c>
      <c r="J2434" s="7" t="s">
        <v>551</v>
      </c>
      <c r="K2434" s="7" t="s">
        <v>198</v>
      </c>
      <c r="L2434" s="11">
        <v>0</v>
      </c>
      <c r="M2434" s="11">
        <v>452.97</v>
      </c>
      <c r="N2434" s="9">
        <f t="shared" si="79"/>
        <v>0</v>
      </c>
    </row>
    <row r="2435" spans="1:14" ht="12.75" hidden="1" customHeight="1" x14ac:dyDescent="0.2">
      <c r="A2435">
        <v>60920</v>
      </c>
      <c r="B2435" s="3" t="s">
        <v>1233</v>
      </c>
      <c r="C2435" s="7" t="s">
        <v>676</v>
      </c>
      <c r="D2435" s="7" t="s">
        <v>221</v>
      </c>
      <c r="F2435" s="7" t="s">
        <v>1105</v>
      </c>
      <c r="G2435" s="7" t="s">
        <v>182</v>
      </c>
      <c r="H2435" s="7" t="s">
        <v>1361</v>
      </c>
      <c r="I2435" s="7" t="s">
        <v>1536</v>
      </c>
      <c r="K2435" s="7" t="s">
        <v>198</v>
      </c>
      <c r="L2435" s="11">
        <v>54</v>
      </c>
      <c r="M2435" s="11">
        <v>506.97</v>
      </c>
      <c r="N2435" s="9">
        <f t="shared" si="79"/>
        <v>54</v>
      </c>
    </row>
    <row r="2436" spans="1:14" ht="12.75" hidden="1" customHeight="1" x14ac:dyDescent="0.2">
      <c r="A2436">
        <v>60920</v>
      </c>
      <c r="B2436" s="3" t="s">
        <v>1233</v>
      </c>
      <c r="C2436" s="7" t="s">
        <v>676</v>
      </c>
      <c r="D2436" s="7" t="s">
        <v>221</v>
      </c>
      <c r="F2436" s="7" t="s">
        <v>1104</v>
      </c>
      <c r="G2436" s="7" t="s">
        <v>182</v>
      </c>
      <c r="H2436" s="7" t="s">
        <v>1361</v>
      </c>
      <c r="I2436" s="7" t="s">
        <v>1536</v>
      </c>
      <c r="K2436" s="7" t="s">
        <v>198</v>
      </c>
      <c r="L2436" s="11">
        <v>20.52</v>
      </c>
      <c r="M2436" s="11">
        <v>527.49</v>
      </c>
      <c r="N2436" s="9">
        <f t="shared" si="79"/>
        <v>20.52</v>
      </c>
    </row>
    <row r="2437" spans="1:14" ht="12.75" hidden="1" customHeight="1" x14ac:dyDescent="0.2">
      <c r="A2437">
        <v>60920</v>
      </c>
      <c r="B2437" s="3" t="s">
        <v>1233</v>
      </c>
      <c r="C2437" s="7" t="s">
        <v>218</v>
      </c>
      <c r="D2437" s="7" t="s">
        <v>200</v>
      </c>
      <c r="E2437" s="7">
        <v>467</v>
      </c>
      <c r="F2437" s="7" t="s">
        <v>1103</v>
      </c>
      <c r="G2437" s="7" t="s">
        <v>182</v>
      </c>
      <c r="H2437" s="7" t="s">
        <v>1361</v>
      </c>
      <c r="I2437" s="7" t="s">
        <v>1536</v>
      </c>
      <c r="J2437" s="7" t="s">
        <v>1102</v>
      </c>
      <c r="K2437" s="7" t="s">
        <v>198</v>
      </c>
      <c r="L2437" s="11">
        <v>0</v>
      </c>
      <c r="M2437" s="11">
        <v>527.49</v>
      </c>
      <c r="N2437" s="9">
        <f t="shared" si="79"/>
        <v>0</v>
      </c>
    </row>
    <row r="2438" spans="1:14" ht="12.75" hidden="1" customHeight="1" x14ac:dyDescent="0.2">
      <c r="A2438">
        <v>60920</v>
      </c>
      <c r="B2438" s="3" t="s">
        <v>1233</v>
      </c>
      <c r="C2438" s="7" t="s">
        <v>218</v>
      </c>
      <c r="D2438" s="7" t="s">
        <v>200</v>
      </c>
      <c r="E2438" s="7">
        <v>468</v>
      </c>
      <c r="F2438" s="7" t="s">
        <v>1101</v>
      </c>
      <c r="G2438" s="7" t="s">
        <v>182</v>
      </c>
      <c r="H2438" s="7" t="s">
        <v>1361</v>
      </c>
      <c r="I2438" s="7" t="s">
        <v>1536</v>
      </c>
      <c r="J2438" s="7" t="s">
        <v>1100</v>
      </c>
      <c r="K2438" s="7" t="s">
        <v>198</v>
      </c>
      <c r="L2438" s="11">
        <v>200</v>
      </c>
      <c r="M2438" s="11">
        <v>727.49</v>
      </c>
      <c r="N2438" s="9">
        <f t="shared" si="79"/>
        <v>200</v>
      </c>
    </row>
    <row r="2439" spans="1:14" ht="12.75" hidden="1" customHeight="1" x14ac:dyDescent="0.2">
      <c r="A2439">
        <v>60920</v>
      </c>
      <c r="B2439" s="3" t="s">
        <v>1233</v>
      </c>
      <c r="C2439" s="7" t="s">
        <v>659</v>
      </c>
      <c r="D2439" s="7" t="s">
        <v>221</v>
      </c>
      <c r="F2439" s="7" t="s">
        <v>1099</v>
      </c>
      <c r="G2439" s="7" t="s">
        <v>182</v>
      </c>
      <c r="H2439" s="7" t="s">
        <v>1361</v>
      </c>
      <c r="I2439" s="7" t="s">
        <v>1536</v>
      </c>
      <c r="K2439" s="7" t="s">
        <v>198</v>
      </c>
      <c r="L2439" s="11">
        <v>100</v>
      </c>
      <c r="M2439" s="11">
        <v>827.49</v>
      </c>
      <c r="N2439" s="9">
        <f t="shared" si="79"/>
        <v>100</v>
      </c>
    </row>
    <row r="2440" spans="1:14" ht="12.75" hidden="1" customHeight="1" x14ac:dyDescent="0.2">
      <c r="A2440">
        <v>60920</v>
      </c>
      <c r="B2440" s="3" t="s">
        <v>1536</v>
      </c>
      <c r="C2440" s="7" t="s">
        <v>1737</v>
      </c>
      <c r="D2440" s="7" t="s">
        <v>221</v>
      </c>
      <c r="F2440" s="7" t="s">
        <v>1738</v>
      </c>
      <c r="G2440" s="7" t="s">
        <v>182</v>
      </c>
      <c r="H2440" s="7" t="s">
        <v>1361</v>
      </c>
      <c r="I2440" s="7" t="s">
        <v>1536</v>
      </c>
      <c r="K2440" s="39" t="s">
        <v>198</v>
      </c>
      <c r="L2440" s="40">
        <v>300</v>
      </c>
      <c r="M2440" s="40">
        <v>1127.49</v>
      </c>
      <c r="N2440" s="40">
        <f t="shared" ref="N2440:N2454" si="80">+L2440</f>
        <v>300</v>
      </c>
    </row>
    <row r="2441" spans="1:14" ht="12.75" hidden="1" customHeight="1" x14ac:dyDescent="0.2">
      <c r="A2441">
        <v>60920</v>
      </c>
      <c r="B2441" s="3" t="s">
        <v>1536</v>
      </c>
      <c r="C2441" s="7" t="s">
        <v>1575</v>
      </c>
      <c r="D2441" s="7" t="s">
        <v>200</v>
      </c>
      <c r="E2441" s="7">
        <v>499</v>
      </c>
      <c r="F2441" s="7" t="s">
        <v>1739</v>
      </c>
      <c r="G2441" s="7" t="s">
        <v>182</v>
      </c>
      <c r="H2441" s="7" t="s">
        <v>1361</v>
      </c>
      <c r="I2441" s="7" t="s">
        <v>1536</v>
      </c>
      <c r="J2441" s="39" t="s">
        <v>1740</v>
      </c>
      <c r="K2441" s="39" t="s">
        <v>198</v>
      </c>
      <c r="L2441" s="40">
        <v>20</v>
      </c>
      <c r="M2441" s="40">
        <v>1147.49</v>
      </c>
      <c r="N2441" s="40">
        <f t="shared" si="80"/>
        <v>20</v>
      </c>
    </row>
    <row r="2442" spans="1:14" ht="12.75" hidden="1" customHeight="1" x14ac:dyDescent="0.2">
      <c r="A2442">
        <v>60920</v>
      </c>
      <c r="B2442" s="3" t="s">
        <v>1536</v>
      </c>
      <c r="C2442" s="7" t="s">
        <v>1576</v>
      </c>
      <c r="D2442" s="7" t="s">
        <v>221</v>
      </c>
      <c r="F2442" s="7" t="s">
        <v>1741</v>
      </c>
      <c r="G2442" s="7" t="s">
        <v>182</v>
      </c>
      <c r="H2442" s="7" t="s">
        <v>1361</v>
      </c>
      <c r="I2442" s="7" t="s">
        <v>1536</v>
      </c>
      <c r="K2442" s="39" t="s">
        <v>198</v>
      </c>
      <c r="L2442" s="40">
        <v>10</v>
      </c>
      <c r="M2442" s="40">
        <v>1157.49</v>
      </c>
      <c r="N2442" s="40">
        <f t="shared" si="80"/>
        <v>10</v>
      </c>
    </row>
    <row r="2443" spans="1:14" ht="12.75" hidden="1" customHeight="1" x14ac:dyDescent="0.2">
      <c r="A2443">
        <v>60920</v>
      </c>
      <c r="B2443" s="3" t="s">
        <v>1536</v>
      </c>
      <c r="C2443" s="7" t="s">
        <v>1742</v>
      </c>
      <c r="D2443" s="7" t="s">
        <v>200</v>
      </c>
      <c r="E2443" s="7">
        <v>517</v>
      </c>
      <c r="F2443" s="7" t="s">
        <v>1743</v>
      </c>
      <c r="G2443" s="7" t="s">
        <v>182</v>
      </c>
      <c r="H2443" s="7" t="s">
        <v>1361</v>
      </c>
      <c r="I2443" s="7" t="s">
        <v>1536</v>
      </c>
      <c r="K2443" s="39" t="s">
        <v>198</v>
      </c>
      <c r="L2443" s="40">
        <v>10</v>
      </c>
      <c r="M2443" s="40">
        <v>1167.49</v>
      </c>
      <c r="N2443" s="40">
        <f t="shared" si="80"/>
        <v>10</v>
      </c>
    </row>
    <row r="2444" spans="1:14" ht="12.75" hidden="1" customHeight="1" x14ac:dyDescent="0.2">
      <c r="A2444">
        <v>60920</v>
      </c>
      <c r="B2444" s="3" t="s">
        <v>1536</v>
      </c>
      <c r="C2444" s="7" t="s">
        <v>1744</v>
      </c>
      <c r="D2444" s="7" t="s">
        <v>200</v>
      </c>
      <c r="E2444" s="7">
        <v>521</v>
      </c>
      <c r="F2444" s="7" t="s">
        <v>1103</v>
      </c>
      <c r="G2444" s="7" t="s">
        <v>182</v>
      </c>
      <c r="H2444" s="7" t="s">
        <v>1361</v>
      </c>
      <c r="I2444" s="7" t="s">
        <v>1536</v>
      </c>
      <c r="J2444" s="39" t="s">
        <v>1745</v>
      </c>
      <c r="K2444" s="39" t="s">
        <v>198</v>
      </c>
      <c r="L2444" s="40">
        <v>315</v>
      </c>
      <c r="M2444" s="40">
        <v>1482.49</v>
      </c>
      <c r="N2444" s="40">
        <f t="shared" si="80"/>
        <v>315</v>
      </c>
    </row>
    <row r="2445" spans="1:14" ht="12.75" hidden="1" customHeight="1" x14ac:dyDescent="0.2">
      <c r="A2445">
        <v>60920</v>
      </c>
      <c r="B2445" s="3" t="s">
        <v>1536</v>
      </c>
      <c r="C2445" s="7" t="s">
        <v>1746</v>
      </c>
      <c r="D2445" s="7" t="s">
        <v>221</v>
      </c>
      <c r="F2445" s="7" t="s">
        <v>1747</v>
      </c>
      <c r="G2445" s="7" t="s">
        <v>182</v>
      </c>
      <c r="H2445" s="7" t="s">
        <v>1361</v>
      </c>
      <c r="I2445" s="7" t="s">
        <v>1536</v>
      </c>
      <c r="K2445" s="39" t="s">
        <v>198</v>
      </c>
      <c r="L2445" s="40">
        <v>5</v>
      </c>
      <c r="M2445" s="40">
        <v>1487.49</v>
      </c>
      <c r="N2445" s="40">
        <f t="shared" si="80"/>
        <v>5</v>
      </c>
    </row>
    <row r="2446" spans="1:14" ht="12.75" hidden="1" customHeight="1" x14ac:dyDescent="0.2">
      <c r="A2446">
        <v>60920</v>
      </c>
      <c r="B2446" s="3" t="s">
        <v>1536</v>
      </c>
      <c r="C2446" s="7" t="s">
        <v>1703</v>
      </c>
      <c r="D2446" s="7" t="s">
        <v>221</v>
      </c>
      <c r="F2446" s="7" t="s">
        <v>1748</v>
      </c>
      <c r="G2446" s="7" t="s">
        <v>182</v>
      </c>
      <c r="H2446" s="7" t="s">
        <v>1361</v>
      </c>
      <c r="I2446" s="7" t="s">
        <v>1536</v>
      </c>
      <c r="K2446" s="39" t="s">
        <v>198</v>
      </c>
      <c r="L2446" s="40">
        <v>22.25</v>
      </c>
      <c r="M2446" s="40">
        <v>1509.74</v>
      </c>
      <c r="N2446" s="40">
        <f t="shared" si="80"/>
        <v>22.25</v>
      </c>
    </row>
    <row r="2447" spans="1:14" ht="12.75" hidden="1" customHeight="1" x14ac:dyDescent="0.2">
      <c r="A2447">
        <v>60920</v>
      </c>
      <c r="B2447" s="3" t="s">
        <v>1536</v>
      </c>
      <c r="C2447" s="7" t="s">
        <v>1616</v>
      </c>
      <c r="D2447" s="7" t="s">
        <v>200</v>
      </c>
      <c r="E2447" s="7">
        <v>538</v>
      </c>
      <c r="F2447" s="7" t="s">
        <v>1749</v>
      </c>
      <c r="G2447" s="7" t="s">
        <v>182</v>
      </c>
      <c r="H2447" s="7" t="s">
        <v>1361</v>
      </c>
      <c r="I2447" s="7" t="s">
        <v>1536</v>
      </c>
      <c r="K2447" s="39" t="s">
        <v>198</v>
      </c>
      <c r="L2447" s="40">
        <v>89</v>
      </c>
      <c r="M2447" s="40">
        <v>1598.74</v>
      </c>
      <c r="N2447" s="40">
        <f t="shared" si="80"/>
        <v>89</v>
      </c>
    </row>
    <row r="2448" spans="1:14" ht="12.75" hidden="1" customHeight="1" x14ac:dyDescent="0.2">
      <c r="A2448">
        <v>60920</v>
      </c>
      <c r="B2448" s="3" t="s">
        <v>1536</v>
      </c>
      <c r="C2448" s="7" t="s">
        <v>1616</v>
      </c>
      <c r="D2448" s="7" t="s">
        <v>200</v>
      </c>
      <c r="E2448" s="7">
        <v>535</v>
      </c>
      <c r="F2448" s="7" t="s">
        <v>1750</v>
      </c>
      <c r="G2448" s="7" t="s">
        <v>182</v>
      </c>
      <c r="H2448" s="7" t="s">
        <v>1361</v>
      </c>
      <c r="I2448" s="7" t="s">
        <v>1536</v>
      </c>
      <c r="J2448" s="39" t="s">
        <v>1751</v>
      </c>
      <c r="K2448" s="39" t="s">
        <v>198</v>
      </c>
      <c r="L2448" s="40">
        <v>300</v>
      </c>
      <c r="M2448" s="40">
        <v>1898.74</v>
      </c>
      <c r="N2448" s="40">
        <f t="shared" si="80"/>
        <v>300</v>
      </c>
    </row>
    <row r="2449" spans="1:14" ht="12.75" hidden="1" customHeight="1" x14ac:dyDescent="0.2">
      <c r="A2449">
        <v>60920</v>
      </c>
      <c r="B2449" s="3" t="s">
        <v>1536</v>
      </c>
      <c r="C2449" s="7" t="s">
        <v>1616</v>
      </c>
      <c r="D2449" s="7" t="s">
        <v>200</v>
      </c>
      <c r="E2449" s="7">
        <v>536</v>
      </c>
      <c r="F2449" s="7" t="s">
        <v>1752</v>
      </c>
      <c r="G2449" s="7" t="s">
        <v>182</v>
      </c>
      <c r="H2449" s="7" t="s">
        <v>1361</v>
      </c>
      <c r="I2449" s="7" t="s">
        <v>1536</v>
      </c>
      <c r="J2449" s="39" t="s">
        <v>1753</v>
      </c>
      <c r="K2449" s="39" t="s">
        <v>198</v>
      </c>
      <c r="L2449" s="40">
        <v>25</v>
      </c>
      <c r="M2449" s="40">
        <v>1923.74</v>
      </c>
      <c r="N2449" s="40">
        <f t="shared" si="80"/>
        <v>25</v>
      </c>
    </row>
    <row r="2450" spans="1:14" ht="12.75" hidden="1" customHeight="1" x14ac:dyDescent="0.2">
      <c r="A2450">
        <v>60920</v>
      </c>
      <c r="B2450" s="3" t="s">
        <v>1536</v>
      </c>
      <c r="C2450" s="7" t="s">
        <v>1616</v>
      </c>
      <c r="D2450" s="7" t="s">
        <v>200</v>
      </c>
      <c r="E2450" s="7">
        <v>537</v>
      </c>
      <c r="F2450" s="7" t="s">
        <v>1754</v>
      </c>
      <c r="G2450" s="7" t="s">
        <v>182</v>
      </c>
      <c r="H2450" s="7" t="s">
        <v>1361</v>
      </c>
      <c r="I2450" s="7" t="s">
        <v>1536</v>
      </c>
      <c r="J2450" s="39" t="s">
        <v>1755</v>
      </c>
      <c r="K2450" s="39" t="s">
        <v>198</v>
      </c>
      <c r="L2450" s="40">
        <v>250</v>
      </c>
      <c r="M2450" s="40">
        <v>2173.7399999999998</v>
      </c>
      <c r="N2450" s="40">
        <f t="shared" si="80"/>
        <v>250</v>
      </c>
    </row>
    <row r="2451" spans="1:14" ht="12.75" hidden="1" customHeight="1" x14ac:dyDescent="0.2">
      <c r="A2451">
        <v>60920</v>
      </c>
      <c r="B2451" s="3" t="s">
        <v>1536</v>
      </c>
      <c r="C2451" s="7" t="s">
        <v>1617</v>
      </c>
      <c r="D2451" s="7" t="s">
        <v>221</v>
      </c>
      <c r="F2451" s="7" t="s">
        <v>1756</v>
      </c>
      <c r="G2451" s="7" t="s">
        <v>182</v>
      </c>
      <c r="H2451" s="7" t="s">
        <v>1361</v>
      </c>
      <c r="I2451" s="7" t="s">
        <v>1536</v>
      </c>
      <c r="K2451" s="39" t="s">
        <v>198</v>
      </c>
      <c r="L2451" s="40">
        <v>1</v>
      </c>
      <c r="M2451" s="40">
        <v>2174.7399999999998</v>
      </c>
      <c r="N2451" s="40">
        <f t="shared" si="80"/>
        <v>1</v>
      </c>
    </row>
    <row r="2452" spans="1:14" ht="12.75" hidden="1" customHeight="1" x14ac:dyDescent="0.2">
      <c r="A2452">
        <v>60920</v>
      </c>
      <c r="B2452" s="3" t="s">
        <v>1536</v>
      </c>
      <c r="C2452" s="7" t="s">
        <v>1631</v>
      </c>
      <c r="D2452" s="7" t="s">
        <v>221</v>
      </c>
      <c r="G2452" s="7" t="s">
        <v>182</v>
      </c>
      <c r="H2452" s="7" t="s">
        <v>1361</v>
      </c>
      <c r="I2452" s="7" t="s">
        <v>1536</v>
      </c>
      <c r="K2452" s="39" t="s">
        <v>198</v>
      </c>
      <c r="L2452" s="40">
        <v>1</v>
      </c>
      <c r="M2452" s="40">
        <v>2175.7399999999998</v>
      </c>
      <c r="N2452" s="40">
        <f t="shared" si="80"/>
        <v>1</v>
      </c>
    </row>
    <row r="2453" spans="1:14" ht="12.75" hidden="1" customHeight="1" x14ac:dyDescent="0.2">
      <c r="A2453">
        <v>60920</v>
      </c>
      <c r="B2453" s="3" t="s">
        <v>1536</v>
      </c>
      <c r="C2453" s="7" t="s">
        <v>1631</v>
      </c>
      <c r="D2453" s="7" t="s">
        <v>221</v>
      </c>
      <c r="F2453" s="7" t="s">
        <v>1757</v>
      </c>
      <c r="G2453" s="7" t="s">
        <v>182</v>
      </c>
      <c r="H2453" s="7" t="s">
        <v>1361</v>
      </c>
      <c r="I2453" s="7" t="s">
        <v>1536</v>
      </c>
      <c r="K2453" s="39" t="s">
        <v>198</v>
      </c>
      <c r="L2453" s="40">
        <v>20</v>
      </c>
      <c r="M2453" s="40">
        <v>2195.7399999999998</v>
      </c>
      <c r="N2453" s="40">
        <f t="shared" si="80"/>
        <v>20</v>
      </c>
    </row>
    <row r="2454" spans="1:14" ht="12.75" hidden="1" customHeight="1" x14ac:dyDescent="0.2">
      <c r="A2454">
        <v>60920</v>
      </c>
      <c r="B2454" s="3" t="s">
        <v>1536</v>
      </c>
      <c r="C2454" s="7" t="s">
        <v>1640</v>
      </c>
      <c r="D2454" s="7" t="s">
        <v>200</v>
      </c>
      <c r="E2454" s="7">
        <v>558</v>
      </c>
      <c r="F2454" s="7" t="s">
        <v>1111</v>
      </c>
      <c r="G2454" s="7" t="s">
        <v>182</v>
      </c>
      <c r="H2454" s="7" t="s">
        <v>1361</v>
      </c>
      <c r="I2454" s="7" t="s">
        <v>1536</v>
      </c>
      <c r="J2454" s="39" t="s">
        <v>1758</v>
      </c>
      <c r="K2454" s="39" t="s">
        <v>198</v>
      </c>
      <c r="L2454" s="40">
        <v>1049.75</v>
      </c>
      <c r="M2454" s="40">
        <v>3245.49</v>
      </c>
      <c r="N2454" s="40">
        <f t="shared" si="80"/>
        <v>1049.75</v>
      </c>
    </row>
    <row r="2455" spans="1:14" ht="12.75" hidden="1" customHeight="1" x14ac:dyDescent="0.2">
      <c r="A2455">
        <v>62110</v>
      </c>
      <c r="B2455" s="3" t="s">
        <v>1234</v>
      </c>
      <c r="C2455" s="7" t="s">
        <v>981</v>
      </c>
      <c r="D2455" s="7" t="s">
        <v>200</v>
      </c>
      <c r="F2455" s="7" t="s">
        <v>1088</v>
      </c>
      <c r="G2455" s="7" t="s">
        <v>182</v>
      </c>
      <c r="H2455" s="7" t="s">
        <v>1361</v>
      </c>
      <c r="I2455" s="7" t="s">
        <v>1234</v>
      </c>
      <c r="K2455" s="7" t="s">
        <v>198</v>
      </c>
      <c r="L2455" s="11">
        <v>43.65</v>
      </c>
      <c r="M2455" s="11">
        <v>43.65</v>
      </c>
      <c r="N2455" s="9">
        <f t="shared" ref="N2455:N2466" si="81">IF(A2455&lt;60000,-L2455,+L2455)</f>
        <v>43.65</v>
      </c>
    </row>
    <row r="2456" spans="1:14" ht="12.75" hidden="1" customHeight="1" x14ac:dyDescent="0.2">
      <c r="A2456">
        <v>62110</v>
      </c>
      <c r="B2456" s="3" t="s">
        <v>1234</v>
      </c>
      <c r="C2456" s="7" t="s">
        <v>978</v>
      </c>
      <c r="D2456" s="7" t="s">
        <v>200</v>
      </c>
      <c r="F2456" s="7" t="s">
        <v>1088</v>
      </c>
      <c r="G2456" s="7" t="s">
        <v>182</v>
      </c>
      <c r="H2456" s="7" t="s">
        <v>1361</v>
      </c>
      <c r="I2456" s="7" t="s">
        <v>1234</v>
      </c>
      <c r="K2456" s="7" t="s">
        <v>198</v>
      </c>
      <c r="L2456" s="11">
        <v>60.64</v>
      </c>
      <c r="M2456" s="11">
        <v>104.29</v>
      </c>
      <c r="N2456" s="9">
        <f t="shared" si="81"/>
        <v>60.64</v>
      </c>
    </row>
    <row r="2457" spans="1:14" ht="12.75" hidden="1" customHeight="1" x14ac:dyDescent="0.2">
      <c r="A2457">
        <v>62110</v>
      </c>
      <c r="B2457" s="3" t="s">
        <v>1234</v>
      </c>
      <c r="C2457" s="7" t="s">
        <v>376</v>
      </c>
      <c r="D2457" s="7" t="s">
        <v>200</v>
      </c>
      <c r="F2457" s="7" t="s">
        <v>1088</v>
      </c>
      <c r="G2457" s="7" t="s">
        <v>182</v>
      </c>
      <c r="H2457" s="7" t="s">
        <v>1361</v>
      </c>
      <c r="I2457" s="7" t="s">
        <v>1234</v>
      </c>
      <c r="K2457" s="7" t="s">
        <v>198</v>
      </c>
      <c r="L2457" s="11">
        <v>60.64</v>
      </c>
      <c r="M2457" s="11">
        <v>164.93</v>
      </c>
      <c r="N2457" s="9">
        <f t="shared" si="81"/>
        <v>60.64</v>
      </c>
    </row>
    <row r="2458" spans="1:14" ht="12.75" hidden="1" customHeight="1" x14ac:dyDescent="0.2">
      <c r="A2458">
        <v>62110</v>
      </c>
      <c r="B2458" s="3" t="s">
        <v>1234</v>
      </c>
      <c r="C2458" s="7" t="s">
        <v>374</v>
      </c>
      <c r="D2458" s="7" t="s">
        <v>200</v>
      </c>
      <c r="F2458" s="7" t="s">
        <v>1088</v>
      </c>
      <c r="G2458" s="7" t="s">
        <v>182</v>
      </c>
      <c r="H2458" s="7" t="s">
        <v>1361</v>
      </c>
      <c r="I2458" s="7" t="s">
        <v>1234</v>
      </c>
      <c r="K2458" s="7" t="s">
        <v>198</v>
      </c>
      <c r="L2458" s="11">
        <v>43.65</v>
      </c>
      <c r="M2458" s="11">
        <v>208.58</v>
      </c>
      <c r="N2458" s="9">
        <f t="shared" si="81"/>
        <v>43.65</v>
      </c>
    </row>
    <row r="2459" spans="1:14" ht="12.75" hidden="1" customHeight="1" x14ac:dyDescent="0.2">
      <c r="A2459">
        <v>62110</v>
      </c>
      <c r="B2459" s="3" t="s">
        <v>1234</v>
      </c>
      <c r="C2459" s="15">
        <v>41820</v>
      </c>
      <c r="D2459" s="7" t="s">
        <v>1370</v>
      </c>
      <c r="E2459" s="7"/>
      <c r="F2459" s="7" t="s">
        <v>1088</v>
      </c>
      <c r="G2459" s="7" t="s">
        <v>182</v>
      </c>
      <c r="H2459" s="7" t="s">
        <v>1361</v>
      </c>
      <c r="I2459" s="7" t="s">
        <v>1234</v>
      </c>
      <c r="J2459" s="7"/>
      <c r="K2459" s="7" t="s">
        <v>1370</v>
      </c>
      <c r="L2459" s="11">
        <v>8000</v>
      </c>
      <c r="M2459" s="11"/>
      <c r="N2459" s="9">
        <f t="shared" si="81"/>
        <v>8000</v>
      </c>
    </row>
    <row r="2460" spans="1:14" ht="12.75" hidden="1" customHeight="1" x14ac:dyDescent="0.2">
      <c r="A2460">
        <v>62110</v>
      </c>
      <c r="B2460" s="3" t="s">
        <v>1234</v>
      </c>
      <c r="C2460" s="7" t="s">
        <v>327</v>
      </c>
      <c r="D2460" s="7" t="s">
        <v>200</v>
      </c>
      <c r="F2460" s="7" t="s">
        <v>1088</v>
      </c>
      <c r="G2460" s="7" t="s">
        <v>182</v>
      </c>
      <c r="H2460" s="7" t="s">
        <v>1361</v>
      </c>
      <c r="I2460" s="7" t="s">
        <v>1234</v>
      </c>
      <c r="K2460" s="7" t="s">
        <v>198</v>
      </c>
      <c r="L2460" s="11">
        <v>43.65</v>
      </c>
      <c r="M2460" s="11">
        <v>252.23</v>
      </c>
      <c r="N2460" s="9">
        <f t="shared" si="81"/>
        <v>43.65</v>
      </c>
    </row>
    <row r="2461" spans="1:14" ht="12.75" hidden="1" customHeight="1" x14ac:dyDescent="0.2">
      <c r="A2461">
        <v>62110</v>
      </c>
      <c r="B2461" s="3" t="s">
        <v>1234</v>
      </c>
      <c r="C2461" s="7" t="s">
        <v>868</v>
      </c>
      <c r="D2461" s="7" t="s">
        <v>200</v>
      </c>
      <c r="F2461" s="7" t="s">
        <v>1088</v>
      </c>
      <c r="G2461" s="7" t="s">
        <v>182</v>
      </c>
      <c r="H2461" s="7" t="s">
        <v>1361</v>
      </c>
      <c r="I2461" s="7" t="s">
        <v>1234</v>
      </c>
      <c r="K2461" s="7" t="s">
        <v>198</v>
      </c>
      <c r="L2461" s="11">
        <v>60.64</v>
      </c>
      <c r="M2461" s="11">
        <v>312.87</v>
      </c>
      <c r="N2461" s="9">
        <f t="shared" si="81"/>
        <v>60.64</v>
      </c>
    </row>
    <row r="2462" spans="1:14" ht="12.75" hidden="1" customHeight="1" x14ac:dyDescent="0.2">
      <c r="A2462">
        <v>62110</v>
      </c>
      <c r="B2462" s="3" t="s">
        <v>1234</v>
      </c>
      <c r="C2462" s="7" t="s">
        <v>290</v>
      </c>
      <c r="D2462" s="7" t="s">
        <v>200</v>
      </c>
      <c r="F2462" s="7" t="s">
        <v>1088</v>
      </c>
      <c r="G2462" s="7" t="s">
        <v>182</v>
      </c>
      <c r="H2462" s="7" t="s">
        <v>1361</v>
      </c>
      <c r="I2462" s="7" t="s">
        <v>1234</v>
      </c>
      <c r="K2462" s="7" t="s">
        <v>198</v>
      </c>
      <c r="L2462" s="11">
        <v>43.65</v>
      </c>
      <c r="M2462" s="11">
        <v>356.52</v>
      </c>
      <c r="N2462" s="9">
        <f t="shared" si="81"/>
        <v>43.65</v>
      </c>
    </row>
    <row r="2463" spans="1:14" ht="12.75" hidden="1" customHeight="1" x14ac:dyDescent="0.2">
      <c r="A2463">
        <v>62110</v>
      </c>
      <c r="B2463" s="3" t="s">
        <v>1234</v>
      </c>
      <c r="C2463" s="7" t="s">
        <v>290</v>
      </c>
      <c r="D2463" s="7" t="s">
        <v>200</v>
      </c>
      <c r="F2463" s="7" t="s">
        <v>1088</v>
      </c>
      <c r="G2463" s="7" t="s">
        <v>182</v>
      </c>
      <c r="H2463" s="7" t="s">
        <v>1361</v>
      </c>
      <c r="I2463" s="7" t="s">
        <v>1234</v>
      </c>
      <c r="K2463" s="7" t="s">
        <v>198</v>
      </c>
      <c r="L2463" s="11">
        <v>60.64</v>
      </c>
      <c r="M2463" s="11">
        <v>417.16</v>
      </c>
      <c r="N2463" s="9">
        <f t="shared" si="81"/>
        <v>60.64</v>
      </c>
    </row>
    <row r="2464" spans="1:14" ht="12.75" hidden="1" customHeight="1" x14ac:dyDescent="0.2">
      <c r="A2464">
        <v>62110</v>
      </c>
      <c r="B2464" s="3" t="s">
        <v>1234</v>
      </c>
      <c r="C2464" s="7" t="s">
        <v>239</v>
      </c>
      <c r="D2464" s="7" t="s">
        <v>221</v>
      </c>
      <c r="F2464" s="7" t="s">
        <v>1088</v>
      </c>
      <c r="G2464" s="7" t="s">
        <v>182</v>
      </c>
      <c r="H2464" s="7" t="s">
        <v>1361</v>
      </c>
      <c r="I2464" s="7" t="s">
        <v>1234</v>
      </c>
      <c r="K2464" s="7" t="s">
        <v>198</v>
      </c>
      <c r="L2464" s="11">
        <v>43.65</v>
      </c>
      <c r="M2464" s="11">
        <v>460.81</v>
      </c>
      <c r="N2464" s="9">
        <f t="shared" si="81"/>
        <v>43.65</v>
      </c>
    </row>
    <row r="2465" spans="1:14" ht="12.75" hidden="1" customHeight="1" x14ac:dyDescent="0.2">
      <c r="A2465">
        <v>62110</v>
      </c>
      <c r="B2465" s="3" t="s">
        <v>1234</v>
      </c>
      <c r="C2465" s="7" t="s">
        <v>429</v>
      </c>
      <c r="D2465" s="7" t="s">
        <v>221</v>
      </c>
      <c r="F2465" s="7" t="s">
        <v>1088</v>
      </c>
      <c r="G2465" s="7" t="s">
        <v>182</v>
      </c>
      <c r="H2465" s="7" t="s">
        <v>1361</v>
      </c>
      <c r="I2465" s="7" t="s">
        <v>1234</v>
      </c>
      <c r="K2465" s="7" t="s">
        <v>198</v>
      </c>
      <c r="L2465" s="11">
        <v>60.64</v>
      </c>
      <c r="M2465" s="11">
        <v>521.45000000000005</v>
      </c>
      <c r="N2465" s="9">
        <f t="shared" si="81"/>
        <v>60.64</v>
      </c>
    </row>
    <row r="2466" spans="1:14" ht="12.75" hidden="1" customHeight="1" x14ac:dyDescent="0.2">
      <c r="A2466">
        <v>62110</v>
      </c>
      <c r="B2466" s="3" t="s">
        <v>1234</v>
      </c>
      <c r="C2466" s="7" t="s">
        <v>659</v>
      </c>
      <c r="D2466" s="7" t="s">
        <v>221</v>
      </c>
      <c r="F2466" s="7" t="s">
        <v>1088</v>
      </c>
      <c r="G2466" s="7" t="s">
        <v>182</v>
      </c>
      <c r="H2466" s="7" t="s">
        <v>1361</v>
      </c>
      <c r="I2466" s="7" t="s">
        <v>1234</v>
      </c>
      <c r="K2466" s="7" t="s">
        <v>198</v>
      </c>
      <c r="L2466" s="11">
        <v>43.65</v>
      </c>
      <c r="M2466" s="11">
        <v>565.1</v>
      </c>
      <c r="N2466" s="9">
        <f t="shared" si="81"/>
        <v>43.65</v>
      </c>
    </row>
    <row r="2467" spans="1:14" ht="12.75" hidden="1" customHeight="1" x14ac:dyDescent="0.2">
      <c r="A2467">
        <v>62110</v>
      </c>
      <c r="B2467" s="3" t="s">
        <v>1234</v>
      </c>
      <c r="C2467" s="7" t="s">
        <v>1559</v>
      </c>
      <c r="D2467" s="7" t="s">
        <v>221</v>
      </c>
      <c r="F2467" s="7" t="s">
        <v>1088</v>
      </c>
      <c r="G2467" s="7" t="s">
        <v>182</v>
      </c>
      <c r="H2467" s="7" t="s">
        <v>1361</v>
      </c>
      <c r="I2467" s="7" t="s">
        <v>1234</v>
      </c>
      <c r="K2467" s="39" t="s">
        <v>198</v>
      </c>
      <c r="L2467" s="40">
        <v>43.65</v>
      </c>
      <c r="M2467" s="40">
        <v>8608.75</v>
      </c>
      <c r="N2467" s="40">
        <f t="shared" ref="N2467:N2474" si="82">+L2467</f>
        <v>43.65</v>
      </c>
    </row>
    <row r="2468" spans="1:14" ht="12.75" hidden="1" customHeight="1" x14ac:dyDescent="0.2">
      <c r="A2468">
        <v>62110</v>
      </c>
      <c r="B2468" s="3" t="s">
        <v>1234</v>
      </c>
      <c r="C2468" s="7" t="s">
        <v>1685</v>
      </c>
      <c r="D2468" s="7" t="s">
        <v>221</v>
      </c>
      <c r="F2468" s="7" t="s">
        <v>1088</v>
      </c>
      <c r="G2468" s="7" t="s">
        <v>182</v>
      </c>
      <c r="H2468" s="7" t="s">
        <v>1361</v>
      </c>
      <c r="I2468" s="7" t="s">
        <v>1234</v>
      </c>
      <c r="K2468" s="39" t="s">
        <v>198</v>
      </c>
      <c r="L2468" s="40">
        <v>60.64</v>
      </c>
      <c r="M2468" s="40">
        <v>8669.39</v>
      </c>
      <c r="N2468" s="40">
        <f t="shared" si="82"/>
        <v>60.64</v>
      </c>
    </row>
    <row r="2469" spans="1:14" ht="12.75" hidden="1" customHeight="1" x14ac:dyDescent="0.2">
      <c r="A2469">
        <v>62110</v>
      </c>
      <c r="B2469" s="3" t="s">
        <v>1234</v>
      </c>
      <c r="C2469" s="7" t="s">
        <v>1553</v>
      </c>
      <c r="D2469" s="7" t="s">
        <v>221</v>
      </c>
      <c r="F2469" s="7" t="s">
        <v>1088</v>
      </c>
      <c r="G2469" s="7" t="s">
        <v>182</v>
      </c>
      <c r="H2469" s="7" t="s">
        <v>1361</v>
      </c>
      <c r="I2469" s="7" t="s">
        <v>1234</v>
      </c>
      <c r="K2469" s="39" t="s">
        <v>198</v>
      </c>
      <c r="L2469" s="40">
        <v>43.65</v>
      </c>
      <c r="M2469" s="40">
        <v>8713.0400000000009</v>
      </c>
      <c r="N2469" s="40">
        <f t="shared" si="82"/>
        <v>43.65</v>
      </c>
    </row>
    <row r="2470" spans="1:14" ht="12.75" hidden="1" customHeight="1" x14ac:dyDescent="0.2">
      <c r="A2470">
        <v>62110</v>
      </c>
      <c r="B2470" s="3" t="s">
        <v>1234</v>
      </c>
      <c r="C2470" s="7" t="s">
        <v>1553</v>
      </c>
      <c r="D2470" s="7" t="s">
        <v>221</v>
      </c>
      <c r="F2470" s="7" t="s">
        <v>1088</v>
      </c>
      <c r="G2470" s="7" t="s">
        <v>182</v>
      </c>
      <c r="H2470" s="7" t="s">
        <v>1361</v>
      </c>
      <c r="I2470" s="7" t="s">
        <v>1234</v>
      </c>
      <c r="K2470" s="39" t="s">
        <v>198</v>
      </c>
      <c r="L2470" s="40">
        <v>60.64</v>
      </c>
      <c r="M2470" s="40">
        <v>8773.68</v>
      </c>
      <c r="N2470" s="40">
        <f t="shared" si="82"/>
        <v>60.64</v>
      </c>
    </row>
    <row r="2471" spans="1:14" ht="12.75" hidden="1" customHeight="1" x14ac:dyDescent="0.2">
      <c r="A2471">
        <v>62110</v>
      </c>
      <c r="B2471" s="3" t="s">
        <v>1234</v>
      </c>
      <c r="C2471" s="7" t="s">
        <v>1759</v>
      </c>
      <c r="D2471" s="7" t="s">
        <v>221</v>
      </c>
      <c r="F2471" s="7" t="s">
        <v>1088</v>
      </c>
      <c r="G2471" s="7" t="s">
        <v>182</v>
      </c>
      <c r="H2471" s="7" t="s">
        <v>1361</v>
      </c>
      <c r="I2471" s="7" t="s">
        <v>1234</v>
      </c>
      <c r="K2471" s="39" t="s">
        <v>198</v>
      </c>
      <c r="L2471" s="40">
        <v>73.75</v>
      </c>
      <c r="M2471" s="40">
        <v>8847.43</v>
      </c>
      <c r="N2471" s="40">
        <f t="shared" si="82"/>
        <v>73.75</v>
      </c>
    </row>
    <row r="2472" spans="1:14" ht="12.75" hidden="1" customHeight="1" x14ac:dyDescent="0.2">
      <c r="A2472">
        <v>62110</v>
      </c>
      <c r="B2472" s="3" t="s">
        <v>1234</v>
      </c>
      <c r="C2472" s="7" t="s">
        <v>1600</v>
      </c>
      <c r="D2472" s="7" t="s">
        <v>221</v>
      </c>
      <c r="F2472" s="7" t="s">
        <v>1088</v>
      </c>
      <c r="G2472" s="7" t="s">
        <v>182</v>
      </c>
      <c r="H2472" s="7" t="s">
        <v>1361</v>
      </c>
      <c r="I2472" s="7" t="s">
        <v>1234</v>
      </c>
      <c r="K2472" s="39" t="s">
        <v>198</v>
      </c>
      <c r="L2472" s="40">
        <v>43.65</v>
      </c>
      <c r="M2472" s="40">
        <v>8891.08</v>
      </c>
      <c r="N2472" s="40">
        <f t="shared" si="82"/>
        <v>43.65</v>
      </c>
    </row>
    <row r="2473" spans="1:14" ht="12.75" hidden="1" customHeight="1" x14ac:dyDescent="0.2">
      <c r="A2473">
        <v>62110</v>
      </c>
      <c r="B2473" s="3" t="s">
        <v>1234</v>
      </c>
      <c r="C2473" s="7" t="s">
        <v>1760</v>
      </c>
      <c r="D2473" s="7" t="s">
        <v>221</v>
      </c>
      <c r="F2473" s="7" t="s">
        <v>1088</v>
      </c>
      <c r="G2473" s="7" t="s">
        <v>182</v>
      </c>
      <c r="H2473" s="7" t="s">
        <v>1361</v>
      </c>
      <c r="I2473" s="7" t="s">
        <v>1234</v>
      </c>
      <c r="K2473" s="39" t="s">
        <v>198</v>
      </c>
      <c r="L2473" s="40">
        <v>43.65</v>
      </c>
      <c r="M2473" s="40">
        <v>8934.73</v>
      </c>
      <c r="N2473" s="40">
        <f t="shared" si="82"/>
        <v>43.65</v>
      </c>
    </row>
    <row r="2474" spans="1:14" ht="12.75" hidden="1" customHeight="1" x14ac:dyDescent="0.2">
      <c r="A2474">
        <v>62110</v>
      </c>
      <c r="B2474" s="3" t="s">
        <v>1234</v>
      </c>
      <c r="C2474" s="7" t="s">
        <v>1761</v>
      </c>
      <c r="D2474" s="7" t="s">
        <v>221</v>
      </c>
      <c r="F2474" s="7" t="s">
        <v>1088</v>
      </c>
      <c r="G2474" s="7" t="s">
        <v>182</v>
      </c>
      <c r="H2474" s="7" t="s">
        <v>1361</v>
      </c>
      <c r="I2474" s="7" t="s">
        <v>1234</v>
      </c>
      <c r="K2474" s="39" t="s">
        <v>198</v>
      </c>
      <c r="L2474" s="40">
        <v>88.49</v>
      </c>
      <c r="M2474" s="40">
        <v>9023.2199999999993</v>
      </c>
      <c r="N2474" s="40">
        <f t="shared" si="82"/>
        <v>88.49</v>
      </c>
    </row>
    <row r="2475" spans="1:14" ht="12.75" hidden="1" customHeight="1" x14ac:dyDescent="0.2">
      <c r="A2475">
        <v>62115</v>
      </c>
      <c r="B2475" s="3" t="s">
        <v>1235</v>
      </c>
      <c r="C2475" s="7" t="s">
        <v>391</v>
      </c>
      <c r="D2475" s="7" t="s">
        <v>183</v>
      </c>
      <c r="E2475" s="7" t="s">
        <v>390</v>
      </c>
      <c r="G2475" s="7" t="s">
        <v>182</v>
      </c>
      <c r="H2475" s="7" t="s">
        <v>1361</v>
      </c>
      <c r="I2475" s="7" t="s">
        <v>1537</v>
      </c>
      <c r="J2475" s="7" t="s">
        <v>389</v>
      </c>
      <c r="K2475" s="7" t="s">
        <v>180</v>
      </c>
      <c r="L2475" s="11">
        <v>-120</v>
      </c>
      <c r="M2475" s="11">
        <v>-120</v>
      </c>
      <c r="N2475" s="9">
        <f>IF(A2475&lt;60000,-L2475,+L2475)</f>
        <v>-120</v>
      </c>
    </row>
    <row r="2476" spans="1:14" ht="12.75" hidden="1" customHeight="1" x14ac:dyDescent="0.2">
      <c r="A2476">
        <v>62115</v>
      </c>
      <c r="B2476" s="3" t="s">
        <v>1235</v>
      </c>
      <c r="C2476" s="7" t="s">
        <v>535</v>
      </c>
      <c r="D2476" s="7" t="s">
        <v>200</v>
      </c>
      <c r="E2476" s="7">
        <v>401</v>
      </c>
      <c r="F2476" s="7" t="s">
        <v>1097</v>
      </c>
      <c r="G2476" s="7" t="s">
        <v>182</v>
      </c>
      <c r="H2476" s="7" t="s">
        <v>1361</v>
      </c>
      <c r="I2476" s="7" t="s">
        <v>1537</v>
      </c>
      <c r="J2476" s="7" t="s">
        <v>1098</v>
      </c>
      <c r="K2476" s="7" t="s">
        <v>198</v>
      </c>
      <c r="L2476" s="11">
        <v>120</v>
      </c>
      <c r="M2476" s="11">
        <v>0</v>
      </c>
      <c r="N2476" s="9">
        <f>IF(A2476&lt;60000,-L2476,+L2476)</f>
        <v>120</v>
      </c>
    </row>
    <row r="2477" spans="1:14" ht="12.75" hidden="1" customHeight="1" x14ac:dyDescent="0.2">
      <c r="A2477">
        <v>62115</v>
      </c>
      <c r="B2477" s="3" t="s">
        <v>1235</v>
      </c>
      <c r="C2477" s="7" t="s">
        <v>233</v>
      </c>
      <c r="D2477" s="7" t="s">
        <v>200</v>
      </c>
      <c r="E2477" s="7">
        <v>453</v>
      </c>
      <c r="F2477" s="7" t="s">
        <v>1097</v>
      </c>
      <c r="G2477" s="7" t="s">
        <v>182</v>
      </c>
      <c r="H2477" s="7" t="s">
        <v>1361</v>
      </c>
      <c r="I2477" s="7" t="s">
        <v>1537</v>
      </c>
      <c r="J2477" s="7" t="s">
        <v>636</v>
      </c>
      <c r="K2477" s="7" t="s">
        <v>198</v>
      </c>
      <c r="L2477" s="11">
        <v>60</v>
      </c>
      <c r="M2477" s="11">
        <v>60</v>
      </c>
      <c r="N2477" s="9">
        <f>IF(A2477&lt;60000,-L2477,+L2477)</f>
        <v>60</v>
      </c>
    </row>
    <row r="2478" spans="1:14" ht="12.75" hidden="1" customHeight="1" x14ac:dyDescent="0.2">
      <c r="A2478">
        <v>62115</v>
      </c>
      <c r="B2478" s="3" t="s">
        <v>1235</v>
      </c>
      <c r="C2478" s="7" t="s">
        <v>214</v>
      </c>
      <c r="D2478" s="7" t="s">
        <v>200</v>
      </c>
      <c r="E2478" s="7">
        <v>477</v>
      </c>
      <c r="F2478" s="7" t="s">
        <v>1097</v>
      </c>
      <c r="G2478" s="7" t="s">
        <v>182</v>
      </c>
      <c r="H2478" s="7" t="s">
        <v>1361</v>
      </c>
      <c r="I2478" s="7" t="s">
        <v>1537</v>
      </c>
      <c r="J2478" s="7" t="s">
        <v>1096</v>
      </c>
      <c r="K2478" s="7" t="s">
        <v>198</v>
      </c>
      <c r="L2478" s="11">
        <v>60</v>
      </c>
      <c r="M2478" s="11">
        <v>120</v>
      </c>
      <c r="N2478" s="9">
        <f>IF(A2478&lt;60000,-L2478,+L2478)</f>
        <v>60</v>
      </c>
    </row>
    <row r="2479" spans="1:14" ht="12.75" hidden="1" customHeight="1" x14ac:dyDescent="0.2">
      <c r="A2479">
        <v>62115</v>
      </c>
      <c r="B2479" s="3" t="s">
        <v>1537</v>
      </c>
      <c r="C2479" s="7" t="s">
        <v>1543</v>
      </c>
      <c r="D2479" s="7" t="s">
        <v>200</v>
      </c>
      <c r="E2479" s="7">
        <v>525</v>
      </c>
      <c r="F2479" s="7" t="s">
        <v>1097</v>
      </c>
      <c r="G2479" s="7" t="s">
        <v>182</v>
      </c>
      <c r="H2479" s="7" t="s">
        <v>1361</v>
      </c>
      <c r="I2479" s="7" t="s">
        <v>1537</v>
      </c>
      <c r="J2479" s="39" t="s">
        <v>1731</v>
      </c>
      <c r="K2479" s="39" t="s">
        <v>198</v>
      </c>
      <c r="L2479" s="40">
        <v>20</v>
      </c>
      <c r="M2479" s="40">
        <v>140</v>
      </c>
      <c r="N2479" s="40">
        <f>+L2479</f>
        <v>20</v>
      </c>
    </row>
    <row r="2480" spans="1:14" ht="12.75" hidden="1" customHeight="1" x14ac:dyDescent="0.2">
      <c r="A2480">
        <v>62115</v>
      </c>
      <c r="B2480" s="3" t="s">
        <v>1537</v>
      </c>
      <c r="C2480" s="7" t="s">
        <v>1663</v>
      </c>
      <c r="D2480" s="7" t="s">
        <v>200</v>
      </c>
      <c r="E2480" s="7">
        <v>542</v>
      </c>
      <c r="F2480" s="7" t="s">
        <v>1097</v>
      </c>
      <c r="G2480" s="7" t="s">
        <v>182</v>
      </c>
      <c r="H2480" s="7" t="s">
        <v>1361</v>
      </c>
      <c r="I2480" s="7" t="s">
        <v>1537</v>
      </c>
      <c r="J2480" s="39" t="s">
        <v>1762</v>
      </c>
      <c r="K2480" s="39" t="s">
        <v>198</v>
      </c>
      <c r="L2480" s="40">
        <v>82.5</v>
      </c>
      <c r="M2480" s="40">
        <v>222.5</v>
      </c>
      <c r="N2480" s="40">
        <f>+L2480</f>
        <v>82.5</v>
      </c>
    </row>
    <row r="2481" spans="1:14" ht="12.75" hidden="1" customHeight="1" x14ac:dyDescent="0.2">
      <c r="A2481">
        <v>62115</v>
      </c>
      <c r="B2481" s="3" t="s">
        <v>1537</v>
      </c>
      <c r="C2481" s="7" t="s">
        <v>1728</v>
      </c>
      <c r="D2481" s="7" t="s">
        <v>200</v>
      </c>
      <c r="E2481" s="7">
        <v>566</v>
      </c>
      <c r="F2481" s="7" t="s">
        <v>1097</v>
      </c>
      <c r="G2481" s="7" t="s">
        <v>182</v>
      </c>
      <c r="H2481" s="7" t="s">
        <v>1361</v>
      </c>
      <c r="I2481" s="7" t="s">
        <v>1537</v>
      </c>
      <c r="J2481" s="39" t="s">
        <v>1763</v>
      </c>
      <c r="K2481" s="39" t="s">
        <v>198</v>
      </c>
      <c r="L2481" s="40">
        <v>120</v>
      </c>
      <c r="M2481" s="40">
        <v>342.5</v>
      </c>
      <c r="N2481" s="40">
        <f>+L2481</f>
        <v>120</v>
      </c>
    </row>
    <row r="2482" spans="1:14" ht="12.75" hidden="1" customHeight="1" x14ac:dyDescent="0.2">
      <c r="A2482">
        <v>62115</v>
      </c>
      <c r="B2482" s="3" t="s">
        <v>1537</v>
      </c>
      <c r="C2482" s="7" t="s">
        <v>1647</v>
      </c>
      <c r="D2482" s="7" t="s">
        <v>200</v>
      </c>
      <c r="E2482" s="7">
        <v>568</v>
      </c>
      <c r="F2482" s="7" t="s">
        <v>1097</v>
      </c>
      <c r="G2482" s="7" t="s">
        <v>182</v>
      </c>
      <c r="H2482" s="7" t="s">
        <v>1361</v>
      </c>
      <c r="I2482" s="7" t="s">
        <v>1537</v>
      </c>
      <c r="J2482" s="39" t="s">
        <v>1764</v>
      </c>
      <c r="K2482" s="39" t="s">
        <v>198</v>
      </c>
      <c r="L2482" s="40">
        <v>62.5</v>
      </c>
      <c r="M2482" s="40">
        <v>405</v>
      </c>
      <c r="N2482" s="40">
        <f>+L2482</f>
        <v>62.5</v>
      </c>
    </row>
    <row r="2483" spans="1:14" ht="12.75" hidden="1" customHeight="1" x14ac:dyDescent="0.2">
      <c r="A2483">
        <v>62130</v>
      </c>
      <c r="B2483" s="3" t="s">
        <v>1236</v>
      </c>
      <c r="C2483" s="7" t="s">
        <v>381</v>
      </c>
      <c r="D2483" s="7" t="s">
        <v>200</v>
      </c>
      <c r="F2483" s="7" t="s">
        <v>1092</v>
      </c>
      <c r="G2483" s="7" t="s">
        <v>182</v>
      </c>
      <c r="H2483" s="7" t="s">
        <v>1369</v>
      </c>
      <c r="I2483" s="7" t="s">
        <v>1236</v>
      </c>
      <c r="K2483" s="7" t="s">
        <v>198</v>
      </c>
      <c r="L2483" s="11">
        <v>79</v>
      </c>
      <c r="M2483" s="11">
        <v>79</v>
      </c>
      <c r="N2483" s="9">
        <f t="shared" ref="N2483:N2501" si="83">IF(A2483&lt;60000,-L2483,+L2483)</f>
        <v>79</v>
      </c>
    </row>
    <row r="2484" spans="1:14" ht="12.75" hidden="1" customHeight="1" x14ac:dyDescent="0.2">
      <c r="A2484">
        <v>62130</v>
      </c>
      <c r="B2484" s="3" t="s">
        <v>1236</v>
      </c>
      <c r="C2484" s="7" t="s">
        <v>381</v>
      </c>
      <c r="D2484" s="7" t="s">
        <v>200</v>
      </c>
      <c r="F2484" s="7" t="s">
        <v>1091</v>
      </c>
      <c r="G2484" s="7" t="s">
        <v>182</v>
      </c>
      <c r="H2484" s="7" t="s">
        <v>1369</v>
      </c>
      <c r="I2484" s="7" t="s">
        <v>1236</v>
      </c>
      <c r="K2484" s="7" t="s">
        <v>198</v>
      </c>
      <c r="L2484" s="11">
        <v>38.5</v>
      </c>
      <c r="M2484" s="11">
        <v>117.5</v>
      </c>
      <c r="N2484" s="9">
        <f t="shared" si="83"/>
        <v>38.5</v>
      </c>
    </row>
    <row r="2485" spans="1:14" ht="12.75" hidden="1" customHeight="1" x14ac:dyDescent="0.2">
      <c r="A2485">
        <v>62130</v>
      </c>
      <c r="B2485" s="3" t="s">
        <v>1236</v>
      </c>
      <c r="C2485" s="7" t="s">
        <v>939</v>
      </c>
      <c r="D2485" s="7" t="s">
        <v>200</v>
      </c>
      <c r="F2485" s="7" t="s">
        <v>1090</v>
      </c>
      <c r="G2485" s="7" t="s">
        <v>182</v>
      </c>
      <c r="H2485" s="7" t="s">
        <v>1369</v>
      </c>
      <c r="I2485" s="7" t="s">
        <v>1236</v>
      </c>
      <c r="K2485" s="7" t="s">
        <v>198</v>
      </c>
      <c r="L2485" s="11">
        <v>29.95</v>
      </c>
      <c r="M2485" s="11">
        <v>147.44999999999999</v>
      </c>
      <c r="N2485" s="9">
        <f t="shared" si="83"/>
        <v>29.95</v>
      </c>
    </row>
    <row r="2486" spans="1:14" ht="12.75" hidden="1" customHeight="1" x14ac:dyDescent="0.2">
      <c r="A2486">
        <v>62130</v>
      </c>
      <c r="B2486" s="3" t="s">
        <v>1236</v>
      </c>
      <c r="C2486" s="7" t="s">
        <v>344</v>
      </c>
      <c r="D2486" s="7" t="s">
        <v>200</v>
      </c>
      <c r="F2486" s="7" t="s">
        <v>1091</v>
      </c>
      <c r="G2486" s="7" t="s">
        <v>182</v>
      </c>
      <c r="H2486" s="7" t="s">
        <v>1369</v>
      </c>
      <c r="I2486" s="7" t="s">
        <v>1236</v>
      </c>
      <c r="K2486" s="7" t="s">
        <v>198</v>
      </c>
      <c r="L2486" s="11">
        <v>38.5</v>
      </c>
      <c r="M2486" s="11">
        <v>484.95</v>
      </c>
      <c r="N2486" s="9">
        <f t="shared" si="83"/>
        <v>38.5</v>
      </c>
    </row>
    <row r="2487" spans="1:14" ht="12.75" hidden="1" customHeight="1" x14ac:dyDescent="0.2">
      <c r="A2487">
        <v>62130</v>
      </c>
      <c r="B2487" s="3" t="s">
        <v>1236</v>
      </c>
      <c r="C2487" s="7" t="s">
        <v>344</v>
      </c>
      <c r="D2487" s="7" t="s">
        <v>200</v>
      </c>
      <c r="F2487" s="7" t="s">
        <v>1092</v>
      </c>
      <c r="G2487" s="7" t="s">
        <v>182</v>
      </c>
      <c r="H2487" s="7" t="s">
        <v>1369</v>
      </c>
      <c r="I2487" s="7" t="s">
        <v>1236</v>
      </c>
      <c r="K2487" s="7" t="s">
        <v>198</v>
      </c>
      <c r="L2487" s="11">
        <v>79</v>
      </c>
      <c r="M2487" s="11">
        <v>563.95000000000005</v>
      </c>
      <c r="N2487" s="9">
        <f t="shared" si="83"/>
        <v>79</v>
      </c>
    </row>
    <row r="2488" spans="1:14" ht="12.75" hidden="1" customHeight="1" x14ac:dyDescent="0.2">
      <c r="A2488">
        <v>62130</v>
      </c>
      <c r="B2488" s="3" t="s">
        <v>1236</v>
      </c>
      <c r="C2488" s="7" t="s">
        <v>334</v>
      </c>
      <c r="D2488" s="7" t="s">
        <v>200</v>
      </c>
      <c r="F2488" s="7" t="s">
        <v>1090</v>
      </c>
      <c r="G2488" s="7" t="s">
        <v>182</v>
      </c>
      <c r="H2488" s="7" t="s">
        <v>1369</v>
      </c>
      <c r="I2488" s="7" t="s">
        <v>1236</v>
      </c>
      <c r="K2488" s="7" t="s">
        <v>198</v>
      </c>
      <c r="L2488" s="11">
        <v>29.95</v>
      </c>
      <c r="M2488" s="11">
        <v>593.9</v>
      </c>
      <c r="N2488" s="9">
        <f t="shared" si="83"/>
        <v>29.95</v>
      </c>
    </row>
    <row r="2489" spans="1:14" ht="12.75" hidden="1" customHeight="1" x14ac:dyDescent="0.2">
      <c r="A2489">
        <v>62130</v>
      </c>
      <c r="B2489" s="3" t="s">
        <v>1236</v>
      </c>
      <c r="C2489" s="7" t="s">
        <v>302</v>
      </c>
      <c r="D2489" s="7" t="s">
        <v>200</v>
      </c>
      <c r="F2489" s="7" t="s">
        <v>1091</v>
      </c>
      <c r="G2489" s="7" t="s">
        <v>182</v>
      </c>
      <c r="H2489" s="7" t="s">
        <v>1369</v>
      </c>
      <c r="I2489" s="7" t="s">
        <v>1236</v>
      </c>
      <c r="K2489" s="7" t="s">
        <v>198</v>
      </c>
      <c r="L2489" s="11">
        <v>38.5</v>
      </c>
      <c r="M2489" s="11">
        <v>632.4</v>
      </c>
      <c r="N2489" s="9">
        <f t="shared" si="83"/>
        <v>38.5</v>
      </c>
    </row>
    <row r="2490" spans="1:14" ht="12.75" hidden="1" customHeight="1" x14ac:dyDescent="0.2">
      <c r="A2490">
        <v>62130</v>
      </c>
      <c r="B2490" s="3" t="s">
        <v>1236</v>
      </c>
      <c r="C2490" s="7" t="s">
        <v>302</v>
      </c>
      <c r="D2490" s="7" t="s">
        <v>200</v>
      </c>
      <c r="F2490" s="7" t="s">
        <v>1092</v>
      </c>
      <c r="G2490" s="7" t="s">
        <v>182</v>
      </c>
      <c r="H2490" s="7" t="s">
        <v>1369</v>
      </c>
      <c r="I2490" s="7" t="s">
        <v>1236</v>
      </c>
      <c r="K2490" s="7" t="s">
        <v>198</v>
      </c>
      <c r="L2490" s="11">
        <v>79</v>
      </c>
      <c r="M2490" s="11">
        <v>711.4</v>
      </c>
      <c r="N2490" s="9">
        <f t="shared" si="83"/>
        <v>79</v>
      </c>
    </row>
    <row r="2491" spans="1:14" ht="12.75" hidden="1" customHeight="1" x14ac:dyDescent="0.2">
      <c r="A2491">
        <v>62130</v>
      </c>
      <c r="B2491" s="3" t="s">
        <v>1236</v>
      </c>
      <c r="C2491" s="7" t="s">
        <v>298</v>
      </c>
      <c r="D2491" s="7" t="s">
        <v>200</v>
      </c>
      <c r="F2491" s="7" t="s">
        <v>1090</v>
      </c>
      <c r="G2491" s="7" t="s">
        <v>182</v>
      </c>
      <c r="H2491" s="7" t="s">
        <v>1369</v>
      </c>
      <c r="I2491" s="7" t="s">
        <v>1236</v>
      </c>
      <c r="K2491" s="7" t="s">
        <v>198</v>
      </c>
      <c r="L2491" s="11">
        <v>29.95</v>
      </c>
      <c r="M2491" s="11">
        <v>741.35</v>
      </c>
      <c r="N2491" s="9">
        <f t="shared" si="83"/>
        <v>29.95</v>
      </c>
    </row>
    <row r="2492" spans="1:14" ht="12.75" hidden="1" customHeight="1" x14ac:dyDescent="0.2">
      <c r="A2492">
        <v>62130</v>
      </c>
      <c r="B2492" s="3" t="s">
        <v>1236</v>
      </c>
      <c r="C2492" s="7" t="s">
        <v>287</v>
      </c>
      <c r="D2492" s="7" t="s">
        <v>200</v>
      </c>
      <c r="E2492" s="7">
        <v>443</v>
      </c>
      <c r="F2492" s="7" t="s">
        <v>1093</v>
      </c>
      <c r="G2492" s="7" t="s">
        <v>182</v>
      </c>
      <c r="H2492" s="7" t="s">
        <v>1369</v>
      </c>
      <c r="I2492" s="7" t="s">
        <v>1236</v>
      </c>
      <c r="K2492" s="7" t="s">
        <v>198</v>
      </c>
      <c r="L2492" s="11">
        <v>250</v>
      </c>
      <c r="M2492" s="11">
        <v>991.35</v>
      </c>
      <c r="N2492" s="9">
        <f t="shared" si="83"/>
        <v>250</v>
      </c>
    </row>
    <row r="2493" spans="1:14" ht="12.75" hidden="1" customHeight="1" x14ac:dyDescent="0.2">
      <c r="A2493">
        <v>62130</v>
      </c>
      <c r="B2493" s="3" t="s">
        <v>1236</v>
      </c>
      <c r="C2493" s="7" t="s">
        <v>257</v>
      </c>
      <c r="D2493" s="7" t="s">
        <v>200</v>
      </c>
      <c r="F2493" s="7" t="s">
        <v>1092</v>
      </c>
      <c r="G2493" s="7" t="s">
        <v>182</v>
      </c>
      <c r="H2493" s="7" t="s">
        <v>1369</v>
      </c>
      <c r="I2493" s="7" t="s">
        <v>1236</v>
      </c>
      <c r="K2493" s="7" t="s">
        <v>198</v>
      </c>
      <c r="L2493" s="11">
        <v>79</v>
      </c>
      <c r="M2493" s="11">
        <v>1070.3499999999999</v>
      </c>
      <c r="N2493" s="9">
        <f t="shared" si="83"/>
        <v>79</v>
      </c>
    </row>
    <row r="2494" spans="1:14" ht="12.75" hidden="1" customHeight="1" x14ac:dyDescent="0.2">
      <c r="A2494">
        <v>62130</v>
      </c>
      <c r="B2494" s="3" t="s">
        <v>1236</v>
      </c>
      <c r="C2494" s="7" t="s">
        <v>257</v>
      </c>
      <c r="D2494" s="7" t="s">
        <v>200</v>
      </c>
      <c r="F2494" s="7" t="s">
        <v>1091</v>
      </c>
      <c r="G2494" s="7" t="s">
        <v>182</v>
      </c>
      <c r="H2494" s="7" t="s">
        <v>1369</v>
      </c>
      <c r="I2494" s="7" t="s">
        <v>1236</v>
      </c>
      <c r="K2494" s="7" t="s">
        <v>198</v>
      </c>
      <c r="L2494" s="11">
        <v>38.5</v>
      </c>
      <c r="M2494" s="11">
        <v>1108.8499999999999</v>
      </c>
      <c r="N2494" s="9">
        <f t="shared" si="83"/>
        <v>38.5</v>
      </c>
    </row>
    <row r="2495" spans="1:14" ht="12.75" hidden="1" customHeight="1" x14ac:dyDescent="0.2">
      <c r="A2495">
        <v>62130</v>
      </c>
      <c r="B2495" s="3" t="s">
        <v>1236</v>
      </c>
      <c r="C2495" s="7" t="s">
        <v>253</v>
      </c>
      <c r="D2495" s="7" t="s">
        <v>200</v>
      </c>
      <c r="F2495" s="7" t="s">
        <v>1090</v>
      </c>
      <c r="G2495" s="7" t="s">
        <v>182</v>
      </c>
      <c r="H2495" s="7" t="s">
        <v>1369</v>
      </c>
      <c r="I2495" s="7" t="s">
        <v>1236</v>
      </c>
      <c r="K2495" s="7" t="s">
        <v>198</v>
      </c>
      <c r="L2495" s="11">
        <v>29.95</v>
      </c>
      <c r="M2495" s="11">
        <v>1138.8</v>
      </c>
      <c r="N2495" s="9">
        <f t="shared" si="83"/>
        <v>29.95</v>
      </c>
    </row>
    <row r="2496" spans="1:14" ht="12.75" hidden="1" customHeight="1" x14ac:dyDescent="0.2">
      <c r="A2496">
        <v>62130</v>
      </c>
      <c r="B2496" s="3" t="s">
        <v>1236</v>
      </c>
      <c r="C2496" s="7" t="s">
        <v>698</v>
      </c>
      <c r="D2496" s="7" t="s">
        <v>221</v>
      </c>
      <c r="F2496" s="7" t="s">
        <v>1091</v>
      </c>
      <c r="G2496" s="7" t="s">
        <v>182</v>
      </c>
      <c r="H2496" s="7" t="s">
        <v>1369</v>
      </c>
      <c r="I2496" s="7" t="s">
        <v>1236</v>
      </c>
      <c r="K2496" s="7" t="s">
        <v>198</v>
      </c>
      <c r="L2496" s="11">
        <v>49</v>
      </c>
      <c r="M2496" s="11">
        <v>1187.8</v>
      </c>
      <c r="N2496" s="9">
        <f t="shared" si="83"/>
        <v>49</v>
      </c>
    </row>
    <row r="2497" spans="1:14" ht="12.75" hidden="1" customHeight="1" x14ac:dyDescent="0.2">
      <c r="A2497">
        <v>62130</v>
      </c>
      <c r="B2497" s="3" t="s">
        <v>1236</v>
      </c>
      <c r="C2497" s="7" t="s">
        <v>698</v>
      </c>
      <c r="D2497" s="7" t="s">
        <v>221</v>
      </c>
      <c r="F2497" s="7" t="s">
        <v>1092</v>
      </c>
      <c r="G2497" s="7" t="s">
        <v>182</v>
      </c>
      <c r="H2497" s="7" t="s">
        <v>1369</v>
      </c>
      <c r="I2497" s="7" t="s">
        <v>1236</v>
      </c>
      <c r="K2497" s="7" t="s">
        <v>198</v>
      </c>
      <c r="L2497" s="11">
        <v>79</v>
      </c>
      <c r="M2497" s="11">
        <v>1266.8</v>
      </c>
      <c r="N2497" s="9">
        <f t="shared" si="83"/>
        <v>79</v>
      </c>
    </row>
    <row r="2498" spans="1:14" ht="12.75" hidden="1" customHeight="1" x14ac:dyDescent="0.2">
      <c r="A2498">
        <v>62130</v>
      </c>
      <c r="B2498" s="3" t="s">
        <v>1236</v>
      </c>
      <c r="C2498" s="7" t="s">
        <v>442</v>
      </c>
      <c r="D2498" s="7" t="s">
        <v>221</v>
      </c>
      <c r="F2498" s="7" t="s">
        <v>1090</v>
      </c>
      <c r="G2498" s="7" t="s">
        <v>182</v>
      </c>
      <c r="H2498" s="7" t="s">
        <v>1369</v>
      </c>
      <c r="I2498" s="7" t="s">
        <v>1236</v>
      </c>
      <c r="K2498" s="7" t="s">
        <v>198</v>
      </c>
      <c r="L2498" s="11">
        <v>29.95</v>
      </c>
      <c r="M2498" s="11">
        <v>1296.75</v>
      </c>
      <c r="N2498" s="9">
        <f t="shared" si="83"/>
        <v>29.95</v>
      </c>
    </row>
    <row r="2499" spans="1:14" ht="12.75" hidden="1" customHeight="1" x14ac:dyDescent="0.2">
      <c r="A2499">
        <v>62130</v>
      </c>
      <c r="B2499" s="3" t="s">
        <v>1236</v>
      </c>
      <c r="C2499" s="7" t="s">
        <v>207</v>
      </c>
      <c r="D2499" s="7" t="s">
        <v>221</v>
      </c>
      <c r="F2499" s="7" t="s">
        <v>1092</v>
      </c>
      <c r="G2499" s="7" t="s">
        <v>182</v>
      </c>
      <c r="H2499" s="7" t="s">
        <v>1369</v>
      </c>
      <c r="I2499" s="7" t="s">
        <v>1236</v>
      </c>
      <c r="K2499" s="7" t="s">
        <v>198</v>
      </c>
      <c r="L2499" s="11">
        <v>79</v>
      </c>
      <c r="M2499" s="11">
        <v>1375.75</v>
      </c>
      <c r="N2499" s="9">
        <f t="shared" si="83"/>
        <v>79</v>
      </c>
    </row>
    <row r="2500" spans="1:14" ht="12.75" hidden="1" customHeight="1" x14ac:dyDescent="0.2">
      <c r="A2500">
        <v>62130</v>
      </c>
      <c r="B2500" s="3" t="s">
        <v>1236</v>
      </c>
      <c r="C2500" s="7" t="s">
        <v>207</v>
      </c>
      <c r="D2500" s="7" t="s">
        <v>221</v>
      </c>
      <c r="F2500" s="7" t="s">
        <v>1091</v>
      </c>
      <c r="G2500" s="7" t="s">
        <v>182</v>
      </c>
      <c r="H2500" s="7" t="s">
        <v>1369</v>
      </c>
      <c r="I2500" s="7" t="s">
        <v>1236</v>
      </c>
      <c r="K2500" s="7" t="s">
        <v>198</v>
      </c>
      <c r="L2500" s="11">
        <v>49</v>
      </c>
      <c r="M2500" s="11">
        <v>1424.75</v>
      </c>
      <c r="N2500" s="9">
        <f t="shared" si="83"/>
        <v>49</v>
      </c>
    </row>
    <row r="2501" spans="1:14" ht="12.75" hidden="1" customHeight="1" x14ac:dyDescent="0.2">
      <c r="A2501">
        <v>62130</v>
      </c>
      <c r="B2501" s="3" t="s">
        <v>1236</v>
      </c>
      <c r="C2501" s="7" t="s">
        <v>204</v>
      </c>
      <c r="D2501" s="7" t="s">
        <v>221</v>
      </c>
      <c r="F2501" s="7" t="s">
        <v>1090</v>
      </c>
      <c r="G2501" s="7" t="s">
        <v>182</v>
      </c>
      <c r="H2501" s="7" t="s">
        <v>1369</v>
      </c>
      <c r="I2501" s="7" t="s">
        <v>1236</v>
      </c>
      <c r="K2501" s="7" t="s">
        <v>198</v>
      </c>
      <c r="L2501" s="11">
        <v>29.95</v>
      </c>
      <c r="M2501" s="11">
        <v>1454.7</v>
      </c>
      <c r="N2501" s="9">
        <f t="shared" si="83"/>
        <v>29.95</v>
      </c>
    </row>
    <row r="2502" spans="1:14" ht="12.75" hidden="1" customHeight="1" x14ac:dyDescent="0.2">
      <c r="A2502">
        <v>62130</v>
      </c>
      <c r="B2502" s="3" t="s">
        <v>1236</v>
      </c>
      <c r="C2502" s="7" t="s">
        <v>1649</v>
      </c>
      <c r="D2502" s="7" t="s">
        <v>221</v>
      </c>
      <c r="F2502" s="7" t="s">
        <v>1091</v>
      </c>
      <c r="G2502" s="7" t="s">
        <v>182</v>
      </c>
      <c r="H2502" s="7" t="s">
        <v>1369</v>
      </c>
      <c r="I2502" s="7" t="s">
        <v>1236</v>
      </c>
      <c r="K2502" s="39" t="s">
        <v>198</v>
      </c>
      <c r="L2502" s="40">
        <v>5.95</v>
      </c>
      <c r="M2502" s="40">
        <v>1460.65</v>
      </c>
      <c r="N2502" s="40">
        <f t="shared" ref="N2502:N2519" si="84">+L2502</f>
        <v>5.95</v>
      </c>
    </row>
    <row r="2503" spans="1:14" ht="12.75" hidden="1" customHeight="1" x14ac:dyDescent="0.2">
      <c r="A2503">
        <v>62130</v>
      </c>
      <c r="B2503" s="3" t="s">
        <v>1236</v>
      </c>
      <c r="C2503" s="7" t="s">
        <v>1649</v>
      </c>
      <c r="D2503" s="7" t="s">
        <v>221</v>
      </c>
      <c r="F2503" s="7" t="s">
        <v>1091</v>
      </c>
      <c r="G2503" s="7" t="s">
        <v>182</v>
      </c>
      <c r="H2503" s="7" t="s">
        <v>1369</v>
      </c>
      <c r="I2503" s="7" t="s">
        <v>1236</v>
      </c>
      <c r="K2503" s="39" t="s">
        <v>198</v>
      </c>
      <c r="L2503" s="40">
        <v>5.95</v>
      </c>
      <c r="M2503" s="40">
        <v>1466.6</v>
      </c>
      <c r="N2503" s="40">
        <f t="shared" si="84"/>
        <v>5.95</v>
      </c>
    </row>
    <row r="2504" spans="1:14" ht="12.75" hidden="1" customHeight="1" x14ac:dyDescent="0.2">
      <c r="A2504">
        <v>62130</v>
      </c>
      <c r="B2504" s="3" t="s">
        <v>1236</v>
      </c>
      <c r="C2504" s="7" t="s">
        <v>1649</v>
      </c>
      <c r="D2504" s="7" t="s">
        <v>221</v>
      </c>
      <c r="F2504" s="7" t="s">
        <v>1091</v>
      </c>
      <c r="G2504" s="7" t="s">
        <v>182</v>
      </c>
      <c r="H2504" s="7" t="s">
        <v>1369</v>
      </c>
      <c r="I2504" s="7" t="s">
        <v>1236</v>
      </c>
      <c r="K2504" s="39" t="s">
        <v>198</v>
      </c>
      <c r="L2504" s="40">
        <v>5.95</v>
      </c>
      <c r="M2504" s="40">
        <v>1472.55</v>
      </c>
      <c r="N2504" s="40">
        <f t="shared" si="84"/>
        <v>5.95</v>
      </c>
    </row>
    <row r="2505" spans="1:14" ht="12.75" hidden="1" customHeight="1" x14ac:dyDescent="0.2">
      <c r="A2505">
        <v>62130</v>
      </c>
      <c r="B2505" s="3" t="s">
        <v>1236</v>
      </c>
      <c r="C2505" s="7" t="s">
        <v>1765</v>
      </c>
      <c r="D2505" s="7" t="s">
        <v>221</v>
      </c>
      <c r="F2505" s="7" t="s">
        <v>1091</v>
      </c>
      <c r="G2505" s="7" t="s">
        <v>182</v>
      </c>
      <c r="H2505" s="7" t="s">
        <v>1369</v>
      </c>
      <c r="I2505" s="7" t="s">
        <v>1236</v>
      </c>
      <c r="K2505" s="39" t="s">
        <v>198</v>
      </c>
      <c r="L2505" s="40">
        <v>80.5</v>
      </c>
      <c r="M2505" s="40">
        <v>1553.05</v>
      </c>
      <c r="N2505" s="40">
        <f t="shared" si="84"/>
        <v>80.5</v>
      </c>
    </row>
    <row r="2506" spans="1:14" ht="12.75" hidden="1" customHeight="1" x14ac:dyDescent="0.2">
      <c r="A2506">
        <v>62130</v>
      </c>
      <c r="B2506" s="3" t="s">
        <v>1236</v>
      </c>
      <c r="C2506" s="7" t="s">
        <v>1765</v>
      </c>
      <c r="D2506" s="7" t="s">
        <v>221</v>
      </c>
      <c r="F2506" s="7" t="s">
        <v>1092</v>
      </c>
      <c r="G2506" s="7" t="s">
        <v>182</v>
      </c>
      <c r="H2506" s="7" t="s">
        <v>1369</v>
      </c>
      <c r="I2506" s="7" t="s">
        <v>1236</v>
      </c>
      <c r="K2506" s="39" t="s">
        <v>198</v>
      </c>
      <c r="L2506" s="40">
        <v>79</v>
      </c>
      <c r="M2506" s="40">
        <v>1632.05</v>
      </c>
      <c r="N2506" s="40">
        <f t="shared" si="84"/>
        <v>79</v>
      </c>
    </row>
    <row r="2507" spans="1:14" ht="12.75" hidden="1" customHeight="1" x14ac:dyDescent="0.2">
      <c r="A2507">
        <v>62130</v>
      </c>
      <c r="B2507" s="3" t="s">
        <v>1236</v>
      </c>
      <c r="C2507" s="7" t="s">
        <v>1575</v>
      </c>
      <c r="D2507" s="7" t="s">
        <v>221</v>
      </c>
      <c r="F2507" s="7" t="s">
        <v>1090</v>
      </c>
      <c r="G2507" s="7" t="s">
        <v>182</v>
      </c>
      <c r="H2507" s="7" t="s">
        <v>1369</v>
      </c>
      <c r="I2507" s="7" t="s">
        <v>1236</v>
      </c>
      <c r="K2507" s="39" t="s">
        <v>198</v>
      </c>
      <c r="L2507" s="40">
        <v>29.95</v>
      </c>
      <c r="M2507" s="40">
        <v>1662</v>
      </c>
      <c r="N2507" s="40">
        <f t="shared" si="84"/>
        <v>29.95</v>
      </c>
    </row>
    <row r="2508" spans="1:14" ht="12.75" hidden="1" customHeight="1" x14ac:dyDescent="0.2">
      <c r="A2508">
        <v>62130</v>
      </c>
      <c r="B2508" s="3" t="s">
        <v>1236</v>
      </c>
      <c r="C2508" s="7" t="s">
        <v>1596</v>
      </c>
      <c r="D2508" s="7" t="s">
        <v>221</v>
      </c>
      <c r="F2508" s="7" t="s">
        <v>1091</v>
      </c>
      <c r="G2508" s="7" t="s">
        <v>182</v>
      </c>
      <c r="H2508" s="7" t="s">
        <v>1369</v>
      </c>
      <c r="I2508" s="7" t="s">
        <v>1236</v>
      </c>
      <c r="K2508" s="39" t="s">
        <v>198</v>
      </c>
      <c r="L2508" s="40">
        <v>80.5</v>
      </c>
      <c r="M2508" s="40">
        <v>1742.5</v>
      </c>
      <c r="N2508" s="40">
        <f t="shared" si="84"/>
        <v>80.5</v>
      </c>
    </row>
    <row r="2509" spans="1:14" ht="12.75" hidden="1" customHeight="1" x14ac:dyDescent="0.2">
      <c r="A2509">
        <v>62130</v>
      </c>
      <c r="B2509" s="3" t="s">
        <v>1236</v>
      </c>
      <c r="C2509" s="7" t="s">
        <v>1596</v>
      </c>
      <c r="D2509" s="7" t="s">
        <v>221</v>
      </c>
      <c r="F2509" s="7" t="s">
        <v>1092</v>
      </c>
      <c r="G2509" s="7" t="s">
        <v>182</v>
      </c>
      <c r="H2509" s="7" t="s">
        <v>1369</v>
      </c>
      <c r="I2509" s="7" t="s">
        <v>1236</v>
      </c>
      <c r="K2509" s="39" t="s">
        <v>198</v>
      </c>
      <c r="L2509" s="40">
        <v>79</v>
      </c>
      <c r="M2509" s="40">
        <v>1821.5</v>
      </c>
      <c r="N2509" s="40">
        <f t="shared" si="84"/>
        <v>79</v>
      </c>
    </row>
    <row r="2510" spans="1:14" ht="12.75" hidden="1" customHeight="1" x14ac:dyDescent="0.2">
      <c r="A2510">
        <v>62130</v>
      </c>
      <c r="B2510" s="3" t="s">
        <v>1236</v>
      </c>
      <c r="C2510" s="7" t="s">
        <v>1658</v>
      </c>
      <c r="D2510" s="7" t="s">
        <v>221</v>
      </c>
      <c r="F2510" s="7" t="s">
        <v>1090</v>
      </c>
      <c r="G2510" s="7" t="s">
        <v>182</v>
      </c>
      <c r="H2510" s="7" t="s">
        <v>1369</v>
      </c>
      <c r="I2510" s="7" t="s">
        <v>1236</v>
      </c>
      <c r="K2510" s="39" t="s">
        <v>198</v>
      </c>
      <c r="L2510" s="40">
        <v>29.95</v>
      </c>
      <c r="M2510" s="40">
        <v>1851.45</v>
      </c>
      <c r="N2510" s="40">
        <f t="shared" si="84"/>
        <v>29.95</v>
      </c>
    </row>
    <row r="2511" spans="1:14" ht="12.75" hidden="1" customHeight="1" x14ac:dyDescent="0.2">
      <c r="A2511">
        <v>62130</v>
      </c>
      <c r="B2511" s="3" t="s">
        <v>1236</v>
      </c>
      <c r="C2511" s="7" t="s">
        <v>1617</v>
      </c>
      <c r="D2511" s="7" t="s">
        <v>221</v>
      </c>
      <c r="F2511" s="7" t="s">
        <v>1092</v>
      </c>
      <c r="G2511" s="7" t="s">
        <v>182</v>
      </c>
      <c r="H2511" s="7" t="s">
        <v>1369</v>
      </c>
      <c r="I2511" s="7" t="s">
        <v>1236</v>
      </c>
      <c r="K2511" s="39" t="s">
        <v>198</v>
      </c>
      <c r="L2511" s="40">
        <v>79</v>
      </c>
      <c r="M2511" s="40">
        <v>1930.45</v>
      </c>
      <c r="N2511" s="40">
        <f t="shared" si="84"/>
        <v>79</v>
      </c>
    </row>
    <row r="2512" spans="1:14" ht="12.75" hidden="1" customHeight="1" x14ac:dyDescent="0.2">
      <c r="A2512">
        <v>62130</v>
      </c>
      <c r="B2512" s="3" t="s">
        <v>1236</v>
      </c>
      <c r="C2512" s="7" t="s">
        <v>1617</v>
      </c>
      <c r="D2512" s="7" t="s">
        <v>221</v>
      </c>
      <c r="F2512" s="7" t="s">
        <v>1091</v>
      </c>
      <c r="G2512" s="7" t="s">
        <v>182</v>
      </c>
      <c r="H2512" s="7" t="s">
        <v>1369</v>
      </c>
      <c r="I2512" s="7" t="s">
        <v>1236</v>
      </c>
      <c r="K2512" s="39" t="s">
        <v>198</v>
      </c>
      <c r="L2512" s="40">
        <v>80.5</v>
      </c>
      <c r="M2512" s="40">
        <v>2010.95</v>
      </c>
      <c r="N2512" s="40">
        <f t="shared" si="84"/>
        <v>80.5</v>
      </c>
    </row>
    <row r="2513" spans="1:14" ht="12.75" hidden="1" customHeight="1" x14ac:dyDescent="0.2">
      <c r="A2513">
        <v>62130</v>
      </c>
      <c r="B2513" s="3" t="s">
        <v>1236</v>
      </c>
      <c r="C2513" s="7" t="s">
        <v>1617</v>
      </c>
      <c r="D2513" s="7" t="s">
        <v>221</v>
      </c>
      <c r="F2513" s="7" t="s">
        <v>1090</v>
      </c>
      <c r="G2513" s="7" t="s">
        <v>182</v>
      </c>
      <c r="H2513" s="7" t="s">
        <v>1369</v>
      </c>
      <c r="I2513" s="7" t="s">
        <v>1236</v>
      </c>
      <c r="K2513" s="39" t="s">
        <v>198</v>
      </c>
      <c r="L2513" s="40">
        <v>29.95</v>
      </c>
      <c r="M2513" s="40">
        <v>2040.9</v>
      </c>
      <c r="N2513" s="40">
        <f t="shared" si="84"/>
        <v>29.95</v>
      </c>
    </row>
    <row r="2514" spans="1:14" ht="12.75" hidden="1" customHeight="1" x14ac:dyDescent="0.2">
      <c r="A2514">
        <v>62130</v>
      </c>
      <c r="B2514" s="3" t="s">
        <v>1236</v>
      </c>
      <c r="C2514" s="7" t="s">
        <v>1680</v>
      </c>
      <c r="D2514" s="7" t="s">
        <v>221</v>
      </c>
      <c r="F2514" s="7" t="s">
        <v>1091</v>
      </c>
      <c r="G2514" s="7" t="s">
        <v>182</v>
      </c>
      <c r="H2514" s="7" t="s">
        <v>1369</v>
      </c>
      <c r="I2514" s="7" t="s">
        <v>1236</v>
      </c>
      <c r="K2514" s="39" t="s">
        <v>198</v>
      </c>
      <c r="L2514" s="40">
        <v>4.2</v>
      </c>
      <c r="M2514" s="40">
        <v>2045.1</v>
      </c>
      <c r="N2514" s="40">
        <f t="shared" si="84"/>
        <v>4.2</v>
      </c>
    </row>
    <row r="2515" spans="1:14" ht="12.75" hidden="1" customHeight="1" x14ac:dyDescent="0.2">
      <c r="A2515">
        <v>62130</v>
      </c>
      <c r="B2515" s="3" t="s">
        <v>1236</v>
      </c>
      <c r="C2515" s="7" t="s">
        <v>1680</v>
      </c>
      <c r="D2515" s="7" t="s">
        <v>221</v>
      </c>
      <c r="F2515" s="7" t="s">
        <v>1091</v>
      </c>
      <c r="G2515" s="7" t="s">
        <v>182</v>
      </c>
      <c r="H2515" s="7" t="s">
        <v>1369</v>
      </c>
      <c r="I2515" s="7" t="s">
        <v>1236</v>
      </c>
      <c r="K2515" s="39" t="s">
        <v>198</v>
      </c>
      <c r="L2515" s="40">
        <v>4.2</v>
      </c>
      <c r="M2515" s="40">
        <v>2049.3000000000002</v>
      </c>
      <c r="N2515" s="40">
        <f t="shared" si="84"/>
        <v>4.2</v>
      </c>
    </row>
    <row r="2516" spans="1:14" ht="12.75" hidden="1" customHeight="1" x14ac:dyDescent="0.2">
      <c r="A2516">
        <v>62130</v>
      </c>
      <c r="B2516" s="3" t="s">
        <v>1236</v>
      </c>
      <c r="C2516" s="7" t="s">
        <v>1728</v>
      </c>
      <c r="D2516" s="7" t="s">
        <v>221</v>
      </c>
      <c r="F2516" s="7" t="s">
        <v>1091</v>
      </c>
      <c r="G2516" s="7" t="s">
        <v>182</v>
      </c>
      <c r="H2516" s="7" t="s">
        <v>1369</v>
      </c>
      <c r="I2516" s="7" t="s">
        <v>1236</v>
      </c>
      <c r="K2516" s="39" t="s">
        <v>198</v>
      </c>
      <c r="L2516" s="40">
        <v>101.5</v>
      </c>
      <c r="M2516" s="40">
        <v>2150.8000000000002</v>
      </c>
      <c r="N2516" s="40">
        <f t="shared" si="84"/>
        <v>101.5</v>
      </c>
    </row>
    <row r="2517" spans="1:14" ht="12.75" hidden="1" customHeight="1" x14ac:dyDescent="0.2">
      <c r="A2517">
        <v>62130</v>
      </c>
      <c r="B2517" s="3" t="s">
        <v>1236</v>
      </c>
      <c r="C2517" s="7" t="s">
        <v>1728</v>
      </c>
      <c r="D2517" s="7" t="s">
        <v>221</v>
      </c>
      <c r="F2517" s="7" t="s">
        <v>1092</v>
      </c>
      <c r="G2517" s="7" t="s">
        <v>182</v>
      </c>
      <c r="H2517" s="7" t="s">
        <v>1369</v>
      </c>
      <c r="I2517" s="7" t="s">
        <v>1236</v>
      </c>
      <c r="K2517" s="39" t="s">
        <v>198</v>
      </c>
      <c r="L2517" s="40">
        <v>79</v>
      </c>
      <c r="M2517" s="40">
        <v>2229.8000000000002</v>
      </c>
      <c r="N2517" s="40">
        <f t="shared" si="84"/>
        <v>79</v>
      </c>
    </row>
    <row r="2518" spans="1:14" ht="12.75" hidden="1" customHeight="1" x14ac:dyDescent="0.2">
      <c r="A2518">
        <v>62130</v>
      </c>
      <c r="B2518" s="3" t="s">
        <v>1236</v>
      </c>
      <c r="C2518" s="7" t="s">
        <v>1647</v>
      </c>
      <c r="D2518" s="7" t="s">
        <v>221</v>
      </c>
      <c r="F2518" s="7" t="s">
        <v>1090</v>
      </c>
      <c r="G2518" s="7" t="s">
        <v>182</v>
      </c>
      <c r="H2518" s="7" t="s">
        <v>1369</v>
      </c>
      <c r="I2518" s="7" t="s">
        <v>1236</v>
      </c>
      <c r="K2518" s="39" t="s">
        <v>198</v>
      </c>
      <c r="L2518" s="40">
        <v>29.95</v>
      </c>
      <c r="M2518" s="40">
        <v>2259.75</v>
      </c>
      <c r="N2518" s="40">
        <f t="shared" si="84"/>
        <v>29.95</v>
      </c>
    </row>
    <row r="2519" spans="1:14" ht="12.75" hidden="1" customHeight="1" x14ac:dyDescent="0.2">
      <c r="A2519">
        <v>62140</v>
      </c>
      <c r="B2519" s="3" t="s">
        <v>1766</v>
      </c>
      <c r="C2519" s="7" t="s">
        <v>1555</v>
      </c>
      <c r="D2519" s="7" t="s">
        <v>200</v>
      </c>
      <c r="E2519" s="7">
        <v>516</v>
      </c>
      <c r="F2519" s="7" t="s">
        <v>1767</v>
      </c>
      <c r="G2519" s="7" t="s">
        <v>182</v>
      </c>
      <c r="H2519" s="7" t="s">
        <v>1361</v>
      </c>
      <c r="I2519" s="7" t="s">
        <v>1766</v>
      </c>
      <c r="K2519" s="39" t="s">
        <v>198</v>
      </c>
      <c r="L2519" s="40">
        <v>1559.55</v>
      </c>
      <c r="M2519" s="40">
        <v>1559.55</v>
      </c>
      <c r="N2519" s="40">
        <f t="shared" si="84"/>
        <v>1559.55</v>
      </c>
    </row>
    <row r="2520" spans="1:14" ht="12.75" hidden="1" customHeight="1" x14ac:dyDescent="0.2">
      <c r="A2520">
        <v>62145</v>
      </c>
      <c r="B2520" s="3" t="s">
        <v>1237</v>
      </c>
      <c r="C2520" s="7" t="s">
        <v>391</v>
      </c>
      <c r="D2520" s="7" t="s">
        <v>183</v>
      </c>
      <c r="E2520" s="7" t="s">
        <v>390</v>
      </c>
      <c r="G2520" s="7" t="s">
        <v>182</v>
      </c>
      <c r="H2520" s="7" t="s">
        <v>1361</v>
      </c>
      <c r="I2520" s="7" t="s">
        <v>1237</v>
      </c>
      <c r="J2520" s="7" t="s">
        <v>389</v>
      </c>
      <c r="K2520" s="7" t="s">
        <v>180</v>
      </c>
      <c r="L2520" s="11">
        <v>-740</v>
      </c>
      <c r="M2520" s="11">
        <v>-740</v>
      </c>
      <c r="N2520" s="9">
        <f t="shared" ref="N2520:N2526" si="85">IF(A2520&lt;60000,-L2520,+L2520)</f>
        <v>-740</v>
      </c>
    </row>
    <row r="2521" spans="1:14" ht="12.75" hidden="1" customHeight="1" x14ac:dyDescent="0.2">
      <c r="A2521">
        <v>62145</v>
      </c>
      <c r="B2521" s="3" t="s">
        <v>1237</v>
      </c>
      <c r="C2521" s="7" t="s">
        <v>535</v>
      </c>
      <c r="D2521" s="7" t="s">
        <v>200</v>
      </c>
      <c r="E2521" s="7">
        <v>402</v>
      </c>
      <c r="F2521" s="7" t="s">
        <v>248</v>
      </c>
      <c r="G2521" s="7" t="s">
        <v>182</v>
      </c>
      <c r="H2521" s="7" t="s">
        <v>1361</v>
      </c>
      <c r="I2521" s="7" t="s">
        <v>1237</v>
      </c>
      <c r="J2521" s="7" t="s">
        <v>1089</v>
      </c>
      <c r="K2521" s="7" t="s">
        <v>198</v>
      </c>
      <c r="L2521" s="11">
        <v>740</v>
      </c>
      <c r="M2521" s="11">
        <v>0</v>
      </c>
      <c r="N2521" s="9">
        <f t="shared" si="85"/>
        <v>740</v>
      </c>
    </row>
    <row r="2522" spans="1:14" ht="12.75" hidden="1" customHeight="1" x14ac:dyDescent="0.2">
      <c r="A2522">
        <v>62145</v>
      </c>
      <c r="B2522" s="3" t="s">
        <v>1237</v>
      </c>
      <c r="C2522" s="7" t="s">
        <v>759</v>
      </c>
      <c r="D2522" s="7" t="s">
        <v>221</v>
      </c>
      <c r="F2522" s="7" t="s">
        <v>1088</v>
      </c>
      <c r="G2522" s="7" t="s">
        <v>182</v>
      </c>
      <c r="H2522" s="7" t="s">
        <v>1361</v>
      </c>
      <c r="I2522" s="7" t="s">
        <v>1237</v>
      </c>
      <c r="K2522" s="7" t="s">
        <v>198</v>
      </c>
      <c r="L2522" s="11">
        <v>60.64</v>
      </c>
      <c r="M2522" s="11">
        <v>1184.55</v>
      </c>
      <c r="N2522" s="9">
        <f t="shared" si="85"/>
        <v>60.64</v>
      </c>
    </row>
    <row r="2523" spans="1:14" ht="12.75" hidden="1" customHeight="1" x14ac:dyDescent="0.2">
      <c r="A2523">
        <v>62150</v>
      </c>
      <c r="B2523" s="3" t="s">
        <v>1238</v>
      </c>
      <c r="C2523" s="7" t="s">
        <v>201</v>
      </c>
      <c r="D2523" s="7" t="s">
        <v>200</v>
      </c>
      <c r="F2523" s="7" t="s">
        <v>1085</v>
      </c>
      <c r="G2523" s="7" t="s">
        <v>182</v>
      </c>
      <c r="H2523" s="7" t="s">
        <v>1361</v>
      </c>
      <c r="I2523" s="7" t="s">
        <v>1238</v>
      </c>
      <c r="K2523" s="7" t="s">
        <v>198</v>
      </c>
      <c r="L2523" s="11">
        <v>80.739999999999995</v>
      </c>
      <c r="M2523" s="11">
        <v>80.739999999999995</v>
      </c>
      <c r="N2523" s="9">
        <f t="shared" si="85"/>
        <v>80.739999999999995</v>
      </c>
    </row>
    <row r="2524" spans="1:14" ht="12.75" hidden="1" customHeight="1" x14ac:dyDescent="0.2">
      <c r="A2524">
        <v>62830</v>
      </c>
      <c r="B2524" s="3" t="s">
        <v>1239</v>
      </c>
      <c r="C2524" s="7" t="s">
        <v>204</v>
      </c>
      <c r="D2524" s="7" t="s">
        <v>183</v>
      </c>
      <c r="E2524" s="7">
        <v>554</v>
      </c>
      <c r="G2524" s="7" t="s">
        <v>182</v>
      </c>
      <c r="H2524" s="7" t="s">
        <v>1361</v>
      </c>
      <c r="I2524" s="7" t="s">
        <v>1251</v>
      </c>
      <c r="J2524" s="7" t="s">
        <v>1084</v>
      </c>
      <c r="K2524" s="7" t="s">
        <v>180</v>
      </c>
      <c r="L2524" s="11">
        <v>2000</v>
      </c>
      <c r="M2524" s="11">
        <v>2000</v>
      </c>
      <c r="N2524" s="9">
        <f t="shared" si="85"/>
        <v>2000</v>
      </c>
    </row>
    <row r="2525" spans="1:14" ht="12.75" hidden="1" customHeight="1" x14ac:dyDescent="0.2">
      <c r="A2525">
        <v>62830</v>
      </c>
      <c r="B2525" s="3" t="s">
        <v>1239</v>
      </c>
      <c r="C2525" s="7" t="s">
        <v>204</v>
      </c>
      <c r="D2525" s="7" t="s">
        <v>183</v>
      </c>
      <c r="E2525" s="7">
        <v>554</v>
      </c>
      <c r="G2525" s="7" t="s">
        <v>182</v>
      </c>
      <c r="H2525" s="7" t="s">
        <v>1369</v>
      </c>
      <c r="I2525" s="7" t="s">
        <v>1251</v>
      </c>
      <c r="J2525" s="7" t="s">
        <v>1084</v>
      </c>
      <c r="K2525" s="7" t="s">
        <v>180</v>
      </c>
      <c r="L2525" s="11">
        <v>2000</v>
      </c>
      <c r="M2525" s="11">
        <v>2000</v>
      </c>
      <c r="N2525" s="9">
        <f t="shared" si="85"/>
        <v>2000</v>
      </c>
    </row>
    <row r="2526" spans="1:14" ht="12.75" hidden="1" customHeight="1" x14ac:dyDescent="0.2">
      <c r="A2526">
        <v>62830</v>
      </c>
      <c r="B2526" s="3" t="s">
        <v>1239</v>
      </c>
      <c r="C2526" s="7" t="s">
        <v>204</v>
      </c>
      <c r="D2526" s="7" t="s">
        <v>183</v>
      </c>
      <c r="E2526" s="7">
        <v>554</v>
      </c>
      <c r="G2526" s="7" t="s">
        <v>182</v>
      </c>
      <c r="H2526" s="7" t="s">
        <v>1362</v>
      </c>
      <c r="I2526" s="7" t="s">
        <v>1251</v>
      </c>
      <c r="J2526" s="7" t="s">
        <v>1084</v>
      </c>
      <c r="K2526" s="7" t="s">
        <v>180</v>
      </c>
      <c r="L2526" s="11">
        <v>2000</v>
      </c>
      <c r="M2526" s="11">
        <v>2000</v>
      </c>
      <c r="N2526" s="9">
        <f t="shared" si="85"/>
        <v>2000</v>
      </c>
    </row>
    <row r="2527" spans="1:14" ht="12.75" hidden="1" customHeight="1" x14ac:dyDescent="0.2">
      <c r="A2527">
        <v>62830</v>
      </c>
      <c r="B2527" s="3" t="s">
        <v>1239</v>
      </c>
      <c r="C2527" s="7" t="s">
        <v>1578</v>
      </c>
      <c r="D2527" s="7" t="s">
        <v>183</v>
      </c>
      <c r="E2527" s="7">
        <v>642</v>
      </c>
      <c r="G2527" s="7" t="s">
        <v>182</v>
      </c>
      <c r="H2527" s="43" t="s">
        <v>1361</v>
      </c>
      <c r="I2527" s="7" t="s">
        <v>1251</v>
      </c>
      <c r="J2527" s="39" t="s">
        <v>1661</v>
      </c>
      <c r="K2527" s="39" t="s">
        <v>180</v>
      </c>
      <c r="L2527" s="40">
        <v>1000</v>
      </c>
      <c r="M2527" s="40">
        <v>7000</v>
      </c>
      <c r="N2527" s="40">
        <f>+L2527</f>
        <v>1000</v>
      </c>
    </row>
    <row r="2528" spans="1:14" ht="12.75" hidden="1" customHeight="1" x14ac:dyDescent="0.2">
      <c r="A2528">
        <v>62830</v>
      </c>
      <c r="B2528" s="3" t="s">
        <v>1239</v>
      </c>
      <c r="C2528" s="7" t="s">
        <v>1662</v>
      </c>
      <c r="D2528" s="7" t="s">
        <v>183</v>
      </c>
      <c r="E2528" s="7">
        <v>661</v>
      </c>
      <c r="G2528" s="7" t="s">
        <v>182</v>
      </c>
      <c r="H2528" s="43" t="s">
        <v>1362</v>
      </c>
      <c r="I2528" s="7" t="s">
        <v>1251</v>
      </c>
      <c r="J2528" s="39" t="s">
        <v>1661</v>
      </c>
      <c r="K2528" s="39" t="s">
        <v>180</v>
      </c>
      <c r="L2528" s="40">
        <v>1000</v>
      </c>
      <c r="M2528" s="40">
        <v>8000</v>
      </c>
      <c r="N2528" s="40">
        <f>+L2528</f>
        <v>1000</v>
      </c>
    </row>
    <row r="2529" spans="1:14" ht="12.75" hidden="1" customHeight="1" x14ac:dyDescent="0.2">
      <c r="A2529">
        <v>62830</v>
      </c>
      <c r="B2529" s="3" t="s">
        <v>1239</v>
      </c>
      <c r="C2529" s="7" t="s">
        <v>1663</v>
      </c>
      <c r="D2529" s="7" t="s">
        <v>183</v>
      </c>
      <c r="E2529" s="7">
        <v>694</v>
      </c>
      <c r="G2529" s="7" t="s">
        <v>182</v>
      </c>
      <c r="H2529" s="43" t="s">
        <v>1369</v>
      </c>
      <c r="I2529" s="7" t="s">
        <v>1251</v>
      </c>
      <c r="J2529" s="39" t="s">
        <v>1661</v>
      </c>
      <c r="K2529" s="39" t="s">
        <v>180</v>
      </c>
      <c r="L2529" s="40">
        <v>1000</v>
      </c>
      <c r="M2529" s="40">
        <v>9000</v>
      </c>
      <c r="N2529" s="40">
        <f>+L2529</f>
        <v>1000</v>
      </c>
    </row>
    <row r="2530" spans="1:14" ht="12.75" hidden="1" customHeight="1" x14ac:dyDescent="0.2">
      <c r="A2530">
        <v>62830</v>
      </c>
      <c r="B2530" s="3" t="s">
        <v>1239</v>
      </c>
      <c r="C2530" s="7" t="s">
        <v>1664</v>
      </c>
      <c r="D2530" s="7" t="s">
        <v>183</v>
      </c>
      <c r="E2530" s="7">
        <v>752</v>
      </c>
      <c r="G2530" s="7" t="s">
        <v>182</v>
      </c>
      <c r="H2530" s="43" t="s">
        <v>1362</v>
      </c>
      <c r="I2530" s="7" t="s">
        <v>1251</v>
      </c>
      <c r="J2530" s="39" t="s">
        <v>1661</v>
      </c>
      <c r="K2530" s="39" t="s">
        <v>180</v>
      </c>
      <c r="L2530" s="40">
        <v>1000</v>
      </c>
      <c r="M2530" s="40">
        <v>10000</v>
      </c>
      <c r="N2530" s="40">
        <f>+L2530</f>
        <v>1000</v>
      </c>
    </row>
    <row r="2531" spans="1:14" ht="12.75" hidden="1" customHeight="1" x14ac:dyDescent="0.2">
      <c r="A2531">
        <v>62845</v>
      </c>
      <c r="B2531" s="3" t="s">
        <v>1240</v>
      </c>
      <c r="C2531" s="7" t="s">
        <v>391</v>
      </c>
      <c r="D2531" s="7" t="s">
        <v>183</v>
      </c>
      <c r="E2531" s="7" t="s">
        <v>390</v>
      </c>
      <c r="G2531" s="7" t="s">
        <v>182</v>
      </c>
      <c r="H2531" s="7" t="s">
        <v>1361</v>
      </c>
      <c r="I2531" s="7" t="s">
        <v>1240</v>
      </c>
      <c r="J2531" s="7" t="s">
        <v>389</v>
      </c>
      <c r="K2531" s="7" t="s">
        <v>180</v>
      </c>
      <c r="L2531" s="11">
        <v>-342.5</v>
      </c>
      <c r="M2531" s="11">
        <v>-342.5</v>
      </c>
      <c r="N2531" s="9">
        <f t="shared" ref="N2531:N2540" si="86">IF(A2531&lt;60000,-L2531,+L2531)</f>
        <v>-342.5</v>
      </c>
    </row>
    <row r="2532" spans="1:14" ht="12.75" hidden="1" customHeight="1" x14ac:dyDescent="0.2">
      <c r="A2532">
        <v>62845</v>
      </c>
      <c r="B2532" s="3" t="s">
        <v>1240</v>
      </c>
      <c r="C2532" s="7" t="s">
        <v>932</v>
      </c>
      <c r="D2532" s="7" t="s">
        <v>200</v>
      </c>
      <c r="E2532" s="7">
        <v>408</v>
      </c>
      <c r="F2532" s="7" t="s">
        <v>1081</v>
      </c>
      <c r="G2532" s="7" t="s">
        <v>182</v>
      </c>
      <c r="H2532" s="7" t="s">
        <v>1361</v>
      </c>
      <c r="I2532" s="7" t="s">
        <v>1240</v>
      </c>
      <c r="J2532" s="7" t="s">
        <v>1083</v>
      </c>
      <c r="K2532" s="7" t="s">
        <v>198</v>
      </c>
      <c r="L2532" s="11">
        <v>342.5</v>
      </c>
      <c r="M2532" s="11">
        <v>0</v>
      </c>
      <c r="N2532" s="9">
        <f t="shared" si="86"/>
        <v>342.5</v>
      </c>
    </row>
    <row r="2533" spans="1:14" ht="12.75" hidden="1" customHeight="1" x14ac:dyDescent="0.2">
      <c r="A2533">
        <v>62845</v>
      </c>
      <c r="B2533" s="3" t="s">
        <v>1240</v>
      </c>
      <c r="C2533" s="7" t="s">
        <v>374</v>
      </c>
      <c r="D2533" s="7" t="s">
        <v>200</v>
      </c>
      <c r="E2533" s="7">
        <v>410</v>
      </c>
      <c r="F2533" s="7" t="s">
        <v>1079</v>
      </c>
      <c r="G2533" s="7" t="s">
        <v>182</v>
      </c>
      <c r="H2533" s="7" t="s">
        <v>1361</v>
      </c>
      <c r="I2533" s="7" t="s">
        <v>1240</v>
      </c>
      <c r="J2533" s="7" t="s">
        <v>1078</v>
      </c>
      <c r="K2533" s="7" t="s">
        <v>198</v>
      </c>
      <c r="L2533" s="11">
        <v>37.93</v>
      </c>
      <c r="M2533" s="11">
        <v>37.93</v>
      </c>
      <c r="N2533" s="9">
        <f t="shared" si="86"/>
        <v>37.93</v>
      </c>
    </row>
    <row r="2534" spans="1:14" ht="12.75" hidden="1" customHeight="1" x14ac:dyDescent="0.2">
      <c r="A2534">
        <v>62845</v>
      </c>
      <c r="B2534" s="3" t="s">
        <v>1240</v>
      </c>
      <c r="C2534" s="7" t="s">
        <v>319</v>
      </c>
      <c r="D2534" s="7" t="s">
        <v>200</v>
      </c>
      <c r="E2534" s="7">
        <v>423</v>
      </c>
      <c r="F2534" s="7" t="s">
        <v>1079</v>
      </c>
      <c r="G2534" s="7" t="s">
        <v>182</v>
      </c>
      <c r="H2534" s="7" t="s">
        <v>1361</v>
      </c>
      <c r="I2534" s="7" t="s">
        <v>1240</v>
      </c>
      <c r="J2534" s="7" t="s">
        <v>1078</v>
      </c>
      <c r="K2534" s="7" t="s">
        <v>198</v>
      </c>
      <c r="L2534" s="11">
        <v>21.8</v>
      </c>
      <c r="M2534" s="11">
        <v>59.73</v>
      </c>
      <c r="N2534" s="9">
        <f t="shared" si="86"/>
        <v>21.8</v>
      </c>
    </row>
    <row r="2535" spans="1:14" ht="12.75" hidden="1" customHeight="1" x14ac:dyDescent="0.2">
      <c r="A2535">
        <v>62845</v>
      </c>
      <c r="B2535" s="3" t="s">
        <v>1240</v>
      </c>
      <c r="C2535" s="7" t="s">
        <v>845</v>
      </c>
      <c r="D2535" s="7" t="s">
        <v>200</v>
      </c>
      <c r="F2535" s="7" t="s">
        <v>546</v>
      </c>
      <c r="G2535" s="7" t="s">
        <v>182</v>
      </c>
      <c r="H2535" s="7" t="s">
        <v>1361</v>
      </c>
      <c r="I2535" s="7" t="s">
        <v>1240</v>
      </c>
      <c r="K2535" s="7" t="s">
        <v>198</v>
      </c>
      <c r="L2535" s="11">
        <v>21.42</v>
      </c>
      <c r="M2535" s="11">
        <v>81.150000000000006</v>
      </c>
      <c r="N2535" s="9">
        <f t="shared" si="86"/>
        <v>21.42</v>
      </c>
    </row>
    <row r="2536" spans="1:14" ht="12.75" hidden="1" customHeight="1" x14ac:dyDescent="0.2">
      <c r="A2536">
        <v>62845</v>
      </c>
      <c r="B2536" s="3" t="s">
        <v>1240</v>
      </c>
      <c r="C2536" s="7" t="s">
        <v>287</v>
      </c>
      <c r="D2536" s="7" t="s">
        <v>200</v>
      </c>
      <c r="E2536" s="7">
        <v>435</v>
      </c>
      <c r="F2536" s="7" t="s">
        <v>1079</v>
      </c>
      <c r="G2536" s="7" t="s">
        <v>182</v>
      </c>
      <c r="H2536" s="7" t="s">
        <v>1361</v>
      </c>
      <c r="I2536" s="7" t="s">
        <v>1240</v>
      </c>
      <c r="J2536" s="7" t="s">
        <v>1078</v>
      </c>
      <c r="K2536" s="7" t="s">
        <v>198</v>
      </c>
      <c r="L2536" s="11">
        <v>21.8</v>
      </c>
      <c r="M2536" s="11">
        <v>102.95</v>
      </c>
      <c r="N2536" s="9">
        <f t="shared" si="86"/>
        <v>21.8</v>
      </c>
    </row>
    <row r="2537" spans="1:14" ht="12.75" hidden="1" customHeight="1" x14ac:dyDescent="0.2">
      <c r="A2537">
        <v>62845</v>
      </c>
      <c r="B2537" s="3" t="s">
        <v>1240</v>
      </c>
      <c r="C2537" s="7" t="s">
        <v>239</v>
      </c>
      <c r="D2537" s="7" t="s">
        <v>200</v>
      </c>
      <c r="E2537" s="7">
        <v>448</v>
      </c>
      <c r="F2537" s="7" t="s">
        <v>1081</v>
      </c>
      <c r="G2537" s="7" t="s">
        <v>182</v>
      </c>
      <c r="H2537" s="7" t="s">
        <v>1361</v>
      </c>
      <c r="I2537" s="7" t="s">
        <v>1240</v>
      </c>
      <c r="J2537" s="7" t="s">
        <v>1082</v>
      </c>
      <c r="K2537" s="7" t="s">
        <v>198</v>
      </c>
      <c r="L2537" s="11">
        <v>100</v>
      </c>
      <c r="M2537" s="11">
        <v>202.95</v>
      </c>
      <c r="N2537" s="9">
        <f t="shared" si="86"/>
        <v>100</v>
      </c>
    </row>
    <row r="2538" spans="1:14" ht="12.75" hidden="1" customHeight="1" x14ac:dyDescent="0.2">
      <c r="A2538">
        <v>62845</v>
      </c>
      <c r="B2538" s="3" t="s">
        <v>1240</v>
      </c>
      <c r="C2538" s="7" t="s">
        <v>233</v>
      </c>
      <c r="D2538" s="7" t="s">
        <v>200</v>
      </c>
      <c r="E2538" s="7">
        <v>452</v>
      </c>
      <c r="F2538" s="7" t="s">
        <v>1079</v>
      </c>
      <c r="G2538" s="7" t="s">
        <v>182</v>
      </c>
      <c r="H2538" s="7" t="s">
        <v>1361</v>
      </c>
      <c r="I2538" s="7" t="s">
        <v>1240</v>
      </c>
      <c r="J2538" s="7" t="s">
        <v>1078</v>
      </c>
      <c r="K2538" s="7" t="s">
        <v>198</v>
      </c>
      <c r="L2538" s="11">
        <v>21.8</v>
      </c>
      <c r="M2538" s="11">
        <v>224.75</v>
      </c>
      <c r="N2538" s="9">
        <f t="shared" si="86"/>
        <v>21.8</v>
      </c>
    </row>
    <row r="2539" spans="1:14" ht="12.75" hidden="1" customHeight="1" x14ac:dyDescent="0.2">
      <c r="A2539">
        <v>62845</v>
      </c>
      <c r="B2539" s="3" t="s">
        <v>1240</v>
      </c>
      <c r="C2539" s="7" t="s">
        <v>218</v>
      </c>
      <c r="D2539" s="7" t="s">
        <v>200</v>
      </c>
      <c r="E2539" s="7">
        <v>471</v>
      </c>
      <c r="F2539" s="7" t="s">
        <v>1081</v>
      </c>
      <c r="G2539" s="7" t="s">
        <v>182</v>
      </c>
      <c r="H2539" s="7" t="s">
        <v>1361</v>
      </c>
      <c r="I2539" s="7" t="s">
        <v>1240</v>
      </c>
      <c r="J2539" s="7" t="s">
        <v>1080</v>
      </c>
      <c r="K2539" s="7" t="s">
        <v>198</v>
      </c>
      <c r="L2539" s="11">
        <v>80</v>
      </c>
      <c r="M2539" s="11">
        <v>304.75</v>
      </c>
      <c r="N2539" s="9">
        <f t="shared" si="86"/>
        <v>80</v>
      </c>
    </row>
    <row r="2540" spans="1:14" ht="12.75" hidden="1" customHeight="1" x14ac:dyDescent="0.2">
      <c r="A2540">
        <v>62845</v>
      </c>
      <c r="B2540" s="3" t="s">
        <v>1240</v>
      </c>
      <c r="C2540" s="7" t="s">
        <v>659</v>
      </c>
      <c r="D2540" s="7" t="s">
        <v>200</v>
      </c>
      <c r="E2540" s="7">
        <v>474</v>
      </c>
      <c r="F2540" s="7" t="s">
        <v>1079</v>
      </c>
      <c r="G2540" s="7" t="s">
        <v>182</v>
      </c>
      <c r="H2540" s="7" t="s">
        <v>1361</v>
      </c>
      <c r="I2540" s="7" t="s">
        <v>1240</v>
      </c>
      <c r="J2540" s="7" t="s">
        <v>1078</v>
      </c>
      <c r="K2540" s="7" t="s">
        <v>198</v>
      </c>
      <c r="L2540" s="11">
        <v>21.8</v>
      </c>
      <c r="M2540" s="11">
        <v>326.55</v>
      </c>
      <c r="N2540" s="9">
        <f t="shared" si="86"/>
        <v>21.8</v>
      </c>
    </row>
    <row r="2541" spans="1:14" ht="12.75" hidden="1" customHeight="1" x14ac:dyDescent="0.2">
      <c r="A2541">
        <v>62845</v>
      </c>
      <c r="B2541" s="3" t="s">
        <v>1240</v>
      </c>
      <c r="C2541" s="7" t="s">
        <v>1559</v>
      </c>
      <c r="D2541" s="7" t="s">
        <v>200</v>
      </c>
      <c r="E2541" s="7">
        <v>486</v>
      </c>
      <c r="F2541" s="7" t="s">
        <v>1081</v>
      </c>
      <c r="G2541" s="7" t="s">
        <v>182</v>
      </c>
      <c r="H2541" s="7" t="s">
        <v>1361</v>
      </c>
      <c r="I2541" s="7" t="s">
        <v>1240</v>
      </c>
      <c r="J2541" s="39" t="s">
        <v>1768</v>
      </c>
      <c r="K2541" s="39" t="s">
        <v>198</v>
      </c>
      <c r="L2541" s="40">
        <v>40</v>
      </c>
      <c r="M2541" s="40">
        <v>447.29</v>
      </c>
      <c r="N2541" s="40">
        <f t="shared" ref="N2541:N2548" si="87">+L2541</f>
        <v>40</v>
      </c>
    </row>
    <row r="2542" spans="1:14" ht="12.75" hidden="1" customHeight="1" x14ac:dyDescent="0.2">
      <c r="A2542">
        <v>62845</v>
      </c>
      <c r="B2542" s="3" t="s">
        <v>1240</v>
      </c>
      <c r="C2542" s="7" t="s">
        <v>1565</v>
      </c>
      <c r="D2542" s="7" t="s">
        <v>200</v>
      </c>
      <c r="E2542" s="7">
        <v>490</v>
      </c>
      <c r="F2542" s="7" t="s">
        <v>1079</v>
      </c>
      <c r="G2542" s="7" t="s">
        <v>182</v>
      </c>
      <c r="H2542" s="43" t="s">
        <v>1361</v>
      </c>
      <c r="I2542" s="7" t="s">
        <v>1240</v>
      </c>
      <c r="J2542" s="39" t="s">
        <v>1078</v>
      </c>
      <c r="K2542" s="39" t="s">
        <v>198</v>
      </c>
      <c r="L2542" s="40">
        <v>21.8</v>
      </c>
      <c r="M2542" s="40">
        <v>469.09</v>
      </c>
      <c r="N2542" s="40">
        <f t="shared" si="87"/>
        <v>21.8</v>
      </c>
    </row>
    <row r="2543" spans="1:14" ht="12.75" hidden="1" customHeight="1" x14ac:dyDescent="0.2">
      <c r="A2543">
        <v>62845</v>
      </c>
      <c r="B2543" s="3" t="s">
        <v>1240</v>
      </c>
      <c r="C2543" s="7" t="s">
        <v>1555</v>
      </c>
      <c r="D2543" s="7" t="s">
        <v>200</v>
      </c>
      <c r="E2543" s="7">
        <v>504</v>
      </c>
      <c r="F2543" s="7" t="s">
        <v>1079</v>
      </c>
      <c r="G2543" s="7" t="s">
        <v>182</v>
      </c>
      <c r="H2543" s="43" t="s">
        <v>1361</v>
      </c>
      <c r="I2543" s="7" t="s">
        <v>1240</v>
      </c>
      <c r="J2543" s="39" t="s">
        <v>1078</v>
      </c>
      <c r="K2543" s="39" t="s">
        <v>198</v>
      </c>
      <c r="L2543" s="40">
        <v>21.8</v>
      </c>
      <c r="M2543" s="40">
        <v>490.89</v>
      </c>
      <c r="N2543" s="40">
        <f t="shared" si="87"/>
        <v>21.8</v>
      </c>
    </row>
    <row r="2544" spans="1:14" ht="12.75" hidden="1" customHeight="1" x14ac:dyDescent="0.2">
      <c r="A2544">
        <v>62845</v>
      </c>
      <c r="B2544" s="3" t="s">
        <v>1240</v>
      </c>
      <c r="C2544" s="7" t="s">
        <v>1555</v>
      </c>
      <c r="D2544" s="7" t="s">
        <v>200</v>
      </c>
      <c r="E2544" s="7">
        <v>508</v>
      </c>
      <c r="F2544" s="7" t="s">
        <v>1081</v>
      </c>
      <c r="G2544" s="7" t="s">
        <v>182</v>
      </c>
      <c r="H2544" s="43" t="s">
        <v>1361</v>
      </c>
      <c r="I2544" s="7" t="s">
        <v>1240</v>
      </c>
      <c r="J2544" s="39" t="s">
        <v>1769</v>
      </c>
      <c r="K2544" s="39" t="s">
        <v>198</v>
      </c>
      <c r="L2544" s="40">
        <v>80</v>
      </c>
      <c r="M2544" s="40">
        <v>570.89</v>
      </c>
      <c r="N2544" s="40">
        <f t="shared" si="87"/>
        <v>80</v>
      </c>
    </row>
    <row r="2545" spans="1:14" ht="12.75" hidden="1" customHeight="1" x14ac:dyDescent="0.2">
      <c r="A2545">
        <v>62845</v>
      </c>
      <c r="B2545" s="3" t="s">
        <v>1240</v>
      </c>
      <c r="C2545" s="7" t="s">
        <v>1543</v>
      </c>
      <c r="D2545" s="7" t="s">
        <v>200</v>
      </c>
      <c r="E2545" s="7">
        <v>532</v>
      </c>
      <c r="F2545" s="7" t="s">
        <v>1081</v>
      </c>
      <c r="G2545" s="7" t="s">
        <v>182</v>
      </c>
      <c r="H2545" s="43" t="s">
        <v>1361</v>
      </c>
      <c r="I2545" s="7" t="s">
        <v>1240</v>
      </c>
      <c r="J2545" s="39" t="s">
        <v>1770</v>
      </c>
      <c r="K2545" s="39" t="s">
        <v>198</v>
      </c>
      <c r="L2545" s="40">
        <v>80</v>
      </c>
      <c r="M2545" s="40">
        <v>650.89</v>
      </c>
      <c r="N2545" s="40">
        <f t="shared" si="87"/>
        <v>80</v>
      </c>
    </row>
    <row r="2546" spans="1:14" ht="12.75" hidden="1" customHeight="1" x14ac:dyDescent="0.2">
      <c r="A2546">
        <v>62845</v>
      </c>
      <c r="B2546" s="3" t="s">
        <v>1240</v>
      </c>
      <c r="C2546" s="7" t="s">
        <v>1543</v>
      </c>
      <c r="D2546" s="7" t="s">
        <v>200</v>
      </c>
      <c r="E2546" s="7">
        <v>530</v>
      </c>
      <c r="F2546" s="7" t="s">
        <v>1079</v>
      </c>
      <c r="G2546" s="7" t="s">
        <v>182</v>
      </c>
      <c r="H2546" s="43" t="s">
        <v>1361</v>
      </c>
      <c r="I2546" s="7" t="s">
        <v>1240</v>
      </c>
      <c r="J2546" s="39" t="s">
        <v>1078</v>
      </c>
      <c r="K2546" s="39" t="s">
        <v>198</v>
      </c>
      <c r="L2546" s="40">
        <v>21.8</v>
      </c>
      <c r="M2546" s="40">
        <v>672.69</v>
      </c>
      <c r="N2546" s="40">
        <f t="shared" si="87"/>
        <v>21.8</v>
      </c>
    </row>
    <row r="2547" spans="1:14" ht="12.75" hidden="1" customHeight="1" x14ac:dyDescent="0.2">
      <c r="A2547">
        <v>62845</v>
      </c>
      <c r="B2547" s="3" t="s">
        <v>1240</v>
      </c>
      <c r="C2547" s="7" t="s">
        <v>1635</v>
      </c>
      <c r="D2547" s="7" t="s">
        <v>200</v>
      </c>
      <c r="E2547" s="7">
        <v>556</v>
      </c>
      <c r="F2547" s="7" t="s">
        <v>1081</v>
      </c>
      <c r="G2547" s="7" t="s">
        <v>182</v>
      </c>
      <c r="H2547" s="43" t="s">
        <v>1361</v>
      </c>
      <c r="I2547" s="7" t="s">
        <v>1240</v>
      </c>
      <c r="J2547" s="39" t="s">
        <v>1771</v>
      </c>
      <c r="K2547" s="39" t="s">
        <v>198</v>
      </c>
      <c r="L2547" s="40">
        <v>60</v>
      </c>
      <c r="M2547" s="40">
        <v>732.69</v>
      </c>
      <c r="N2547" s="40">
        <f t="shared" si="87"/>
        <v>60</v>
      </c>
    </row>
    <row r="2548" spans="1:14" ht="12.75" hidden="1" customHeight="1" x14ac:dyDescent="0.2">
      <c r="A2548">
        <v>62845</v>
      </c>
      <c r="B2548" s="3" t="s">
        <v>1240</v>
      </c>
      <c r="C2548" s="7" t="s">
        <v>1635</v>
      </c>
      <c r="D2548" s="7" t="s">
        <v>200</v>
      </c>
      <c r="E2548" s="7">
        <v>551</v>
      </c>
      <c r="F2548" s="7" t="s">
        <v>1079</v>
      </c>
      <c r="G2548" s="7" t="s">
        <v>182</v>
      </c>
      <c r="H2548" s="43" t="s">
        <v>1361</v>
      </c>
      <c r="I2548" s="7" t="s">
        <v>1240</v>
      </c>
      <c r="J2548" s="39" t="s">
        <v>1078</v>
      </c>
      <c r="K2548" s="39" t="s">
        <v>198</v>
      </c>
      <c r="L2548" s="40">
        <v>21.8</v>
      </c>
      <c r="M2548" s="40">
        <v>754.49</v>
      </c>
      <c r="N2548" s="40">
        <f t="shared" si="87"/>
        <v>21.8</v>
      </c>
    </row>
    <row r="2549" spans="1:14" ht="12.75" hidden="1" customHeight="1" x14ac:dyDescent="0.2">
      <c r="A2549">
        <v>62890</v>
      </c>
      <c r="B2549" s="3" t="s">
        <v>1241</v>
      </c>
      <c r="C2549" s="7" t="s">
        <v>449</v>
      </c>
      <c r="D2549" s="7" t="s">
        <v>200</v>
      </c>
      <c r="F2549" s="7" t="s">
        <v>1072</v>
      </c>
      <c r="G2549" s="7" t="s">
        <v>182</v>
      </c>
      <c r="H2549" s="7" t="s">
        <v>1361</v>
      </c>
      <c r="I2549" s="7" t="s">
        <v>1241</v>
      </c>
      <c r="K2549" s="7" t="s">
        <v>198</v>
      </c>
      <c r="L2549" s="11">
        <v>10.99</v>
      </c>
      <c r="M2549" s="11">
        <v>10.99</v>
      </c>
      <c r="N2549" s="9">
        <f t="shared" ref="N2549:N2578" si="88">IF(A2549&lt;60000,-L2549,+L2549)</f>
        <v>10.99</v>
      </c>
    </row>
    <row r="2550" spans="1:14" ht="12.75" hidden="1" customHeight="1" x14ac:dyDescent="0.2">
      <c r="A2550">
        <v>62890</v>
      </c>
      <c r="B2550" s="3" t="s">
        <v>1241</v>
      </c>
      <c r="C2550" s="7" t="s">
        <v>388</v>
      </c>
      <c r="D2550" s="7" t="s">
        <v>200</v>
      </c>
      <c r="E2550" s="7">
        <v>397</v>
      </c>
      <c r="F2550" s="7" t="s">
        <v>1071</v>
      </c>
      <c r="G2550" s="7" t="s">
        <v>182</v>
      </c>
      <c r="H2550" s="7" t="s">
        <v>1369</v>
      </c>
      <c r="I2550" s="7" t="s">
        <v>1241</v>
      </c>
      <c r="J2550" s="7" t="s">
        <v>1070</v>
      </c>
      <c r="K2550" s="7" t="s">
        <v>198</v>
      </c>
      <c r="L2550" s="11">
        <v>16.61</v>
      </c>
      <c r="M2550" s="11">
        <v>27.6</v>
      </c>
      <c r="N2550" s="9">
        <f t="shared" si="88"/>
        <v>16.61</v>
      </c>
    </row>
    <row r="2551" spans="1:14" ht="12.75" hidden="1" customHeight="1" x14ac:dyDescent="0.2">
      <c r="A2551">
        <v>62890</v>
      </c>
      <c r="B2551" s="3" t="s">
        <v>1241</v>
      </c>
      <c r="C2551" s="7" t="s">
        <v>388</v>
      </c>
      <c r="D2551" s="7" t="s">
        <v>200</v>
      </c>
      <c r="E2551" s="7">
        <v>396</v>
      </c>
      <c r="F2551" s="7" t="s">
        <v>1069</v>
      </c>
      <c r="G2551" s="7" t="s">
        <v>182</v>
      </c>
      <c r="H2551" s="7" t="s">
        <v>1362</v>
      </c>
      <c r="I2551" s="7" t="s">
        <v>1241</v>
      </c>
      <c r="J2551" s="7" t="s">
        <v>1068</v>
      </c>
      <c r="K2551" s="7" t="s">
        <v>198</v>
      </c>
      <c r="L2551" s="11">
        <v>212.26</v>
      </c>
      <c r="M2551" s="11">
        <v>239.86</v>
      </c>
      <c r="N2551" s="9">
        <f t="shared" si="88"/>
        <v>212.26</v>
      </c>
    </row>
    <row r="2552" spans="1:14" ht="12.75" hidden="1" customHeight="1" x14ac:dyDescent="0.2">
      <c r="A2552">
        <v>62890</v>
      </c>
      <c r="B2552" s="3" t="s">
        <v>1241</v>
      </c>
      <c r="C2552" s="7" t="s">
        <v>388</v>
      </c>
      <c r="D2552" s="7" t="s">
        <v>200</v>
      </c>
      <c r="E2552" s="7">
        <v>395</v>
      </c>
      <c r="F2552" s="7" t="s">
        <v>1067</v>
      </c>
      <c r="G2552" s="7" t="s">
        <v>182</v>
      </c>
      <c r="H2552" s="7" t="s">
        <v>1361</v>
      </c>
      <c r="I2552" s="7" t="s">
        <v>1241</v>
      </c>
      <c r="K2552" s="7" t="s">
        <v>198</v>
      </c>
      <c r="L2552" s="11">
        <v>168.4</v>
      </c>
      <c r="M2552" s="11">
        <v>408.26</v>
      </c>
      <c r="N2552" s="9">
        <f t="shared" si="88"/>
        <v>168.4</v>
      </c>
    </row>
    <row r="2553" spans="1:14" ht="12.75" hidden="1" customHeight="1" x14ac:dyDescent="0.2">
      <c r="A2553">
        <v>62890</v>
      </c>
      <c r="B2553" s="3" t="s">
        <v>1241</v>
      </c>
      <c r="C2553" s="7" t="s">
        <v>535</v>
      </c>
      <c r="D2553" s="7" t="s">
        <v>200</v>
      </c>
      <c r="E2553" s="7">
        <v>403</v>
      </c>
      <c r="F2553" s="7" t="s">
        <v>1066</v>
      </c>
      <c r="G2553" s="7" t="s">
        <v>182</v>
      </c>
      <c r="H2553" s="7" t="s">
        <v>1369</v>
      </c>
      <c r="I2553" s="7" t="s">
        <v>1241</v>
      </c>
      <c r="J2553" s="7" t="s">
        <v>1077</v>
      </c>
      <c r="K2553" s="7" t="s">
        <v>198</v>
      </c>
      <c r="L2553" s="11">
        <v>33</v>
      </c>
      <c r="M2553" s="11">
        <v>441.26</v>
      </c>
      <c r="N2553" s="9">
        <f t="shared" si="88"/>
        <v>33</v>
      </c>
    </row>
    <row r="2554" spans="1:14" ht="12.75" hidden="1" customHeight="1" x14ac:dyDescent="0.2">
      <c r="A2554">
        <v>62890</v>
      </c>
      <c r="B2554" s="3" t="s">
        <v>1241</v>
      </c>
      <c r="C2554" s="7" t="s">
        <v>379</v>
      </c>
      <c r="D2554" s="7" t="s">
        <v>200</v>
      </c>
      <c r="F2554" s="7" t="s">
        <v>1072</v>
      </c>
      <c r="G2554" s="7" t="s">
        <v>182</v>
      </c>
      <c r="H2554" s="7" t="s">
        <v>1362</v>
      </c>
      <c r="I2554" s="7" t="s">
        <v>1241</v>
      </c>
      <c r="K2554" s="7" t="s">
        <v>198</v>
      </c>
      <c r="L2554" s="11">
        <v>10.99</v>
      </c>
      <c r="M2554" s="11">
        <v>452.25</v>
      </c>
      <c r="N2554" s="9">
        <f t="shared" si="88"/>
        <v>10.99</v>
      </c>
    </row>
    <row r="2555" spans="1:14" ht="12.75" hidden="1" customHeight="1" x14ac:dyDescent="0.2">
      <c r="A2555">
        <v>62890</v>
      </c>
      <c r="B2555" s="3" t="s">
        <v>1241</v>
      </c>
      <c r="C2555" s="7" t="s">
        <v>374</v>
      </c>
      <c r="D2555" s="7" t="s">
        <v>200</v>
      </c>
      <c r="E2555" s="7">
        <v>413</v>
      </c>
      <c r="F2555" s="7" t="s">
        <v>1067</v>
      </c>
      <c r="G2555" s="7" t="s">
        <v>182</v>
      </c>
      <c r="H2555" s="7" t="s">
        <v>1361</v>
      </c>
      <c r="I2555" s="7" t="s">
        <v>1241</v>
      </c>
      <c r="K2555" s="7" t="s">
        <v>198</v>
      </c>
      <c r="L2555" s="11">
        <v>169.93</v>
      </c>
      <c r="M2555" s="11">
        <v>622.17999999999995</v>
      </c>
      <c r="N2555" s="9">
        <f t="shared" si="88"/>
        <v>169.93</v>
      </c>
    </row>
    <row r="2556" spans="1:14" ht="12.75" hidden="1" customHeight="1" x14ac:dyDescent="0.2">
      <c r="A2556">
        <v>62890</v>
      </c>
      <c r="B2556" s="3" t="s">
        <v>1241</v>
      </c>
      <c r="C2556" s="7" t="s">
        <v>374</v>
      </c>
      <c r="D2556" s="7" t="s">
        <v>200</v>
      </c>
      <c r="E2556" s="7">
        <v>412</v>
      </c>
      <c r="F2556" s="7" t="s">
        <v>1069</v>
      </c>
      <c r="G2556" s="7" t="s">
        <v>182</v>
      </c>
      <c r="H2556" s="7" t="s">
        <v>1369</v>
      </c>
      <c r="I2556" s="7" t="s">
        <v>1241</v>
      </c>
      <c r="J2556" s="7" t="s">
        <v>1068</v>
      </c>
      <c r="K2556" s="7" t="s">
        <v>198</v>
      </c>
      <c r="L2556" s="11">
        <v>270.41000000000003</v>
      </c>
      <c r="M2556" s="11">
        <v>892.59</v>
      </c>
      <c r="N2556" s="9">
        <f t="shared" si="88"/>
        <v>270.41000000000003</v>
      </c>
    </row>
    <row r="2557" spans="1:14" ht="12.75" hidden="1" customHeight="1" x14ac:dyDescent="0.2">
      <c r="A2557">
        <v>62890</v>
      </c>
      <c r="B2557" s="3" t="s">
        <v>1241</v>
      </c>
      <c r="C2557" s="7" t="s">
        <v>374</v>
      </c>
      <c r="D2557" s="7" t="s">
        <v>200</v>
      </c>
      <c r="E2557" s="7">
        <v>411</v>
      </c>
      <c r="F2557" s="7" t="s">
        <v>1071</v>
      </c>
      <c r="G2557" s="7" t="s">
        <v>182</v>
      </c>
      <c r="H2557" s="7" t="s">
        <v>1362</v>
      </c>
      <c r="I2557" s="7" t="s">
        <v>1241</v>
      </c>
      <c r="J2557" s="7" t="s">
        <v>1070</v>
      </c>
      <c r="K2557" s="7" t="s">
        <v>198</v>
      </c>
      <c r="L2557" s="11">
        <v>16.61</v>
      </c>
      <c r="M2557" s="11">
        <v>909.2</v>
      </c>
      <c r="N2557" s="9">
        <f t="shared" si="88"/>
        <v>16.61</v>
      </c>
    </row>
    <row r="2558" spans="1:14" ht="12.75" hidden="1" customHeight="1" x14ac:dyDescent="0.2">
      <c r="A2558">
        <v>62890</v>
      </c>
      <c r="B2558" s="3" t="s">
        <v>1241</v>
      </c>
      <c r="C2558" s="7" t="s">
        <v>334</v>
      </c>
      <c r="D2558" s="7" t="s">
        <v>200</v>
      </c>
      <c r="F2558" s="7" t="s">
        <v>1072</v>
      </c>
      <c r="G2558" s="7" t="s">
        <v>182</v>
      </c>
      <c r="H2558" s="7" t="s">
        <v>1361</v>
      </c>
      <c r="I2558" s="7" t="s">
        <v>1241</v>
      </c>
      <c r="K2558" s="7" t="s">
        <v>198</v>
      </c>
      <c r="L2558" s="11">
        <v>10.99</v>
      </c>
      <c r="M2558" s="11">
        <v>920.19</v>
      </c>
      <c r="N2558" s="9">
        <f t="shared" si="88"/>
        <v>10.99</v>
      </c>
    </row>
    <row r="2559" spans="1:14" ht="12.75" hidden="1" customHeight="1" x14ac:dyDescent="0.2">
      <c r="A2559">
        <v>62890</v>
      </c>
      <c r="B2559" s="3" t="s">
        <v>1241</v>
      </c>
      <c r="C2559" s="7" t="s">
        <v>330</v>
      </c>
      <c r="D2559" s="7" t="s">
        <v>200</v>
      </c>
      <c r="E2559" s="7">
        <v>418</v>
      </c>
      <c r="F2559" s="7" t="s">
        <v>1066</v>
      </c>
      <c r="G2559" s="7" t="s">
        <v>182</v>
      </c>
      <c r="H2559" s="7" t="s">
        <v>1369</v>
      </c>
      <c r="I2559" s="7" t="s">
        <v>1241</v>
      </c>
      <c r="J2559" s="7" t="s">
        <v>1076</v>
      </c>
      <c r="K2559" s="7" t="s">
        <v>198</v>
      </c>
      <c r="L2559" s="11">
        <v>33</v>
      </c>
      <c r="M2559" s="11">
        <v>953.19</v>
      </c>
      <c r="N2559" s="9">
        <f t="shared" si="88"/>
        <v>33</v>
      </c>
    </row>
    <row r="2560" spans="1:14" ht="12.75" hidden="1" customHeight="1" x14ac:dyDescent="0.2">
      <c r="A2560">
        <v>62890</v>
      </c>
      <c r="B2560" s="3" t="s">
        <v>1241</v>
      </c>
      <c r="C2560" s="7" t="s">
        <v>319</v>
      </c>
      <c r="D2560" s="7" t="s">
        <v>200</v>
      </c>
      <c r="E2560" s="7">
        <v>426</v>
      </c>
      <c r="F2560" s="7" t="s">
        <v>1071</v>
      </c>
      <c r="G2560" s="7" t="s">
        <v>182</v>
      </c>
      <c r="H2560" s="7" t="s">
        <v>1362</v>
      </c>
      <c r="I2560" s="7" t="s">
        <v>1241</v>
      </c>
      <c r="J2560" s="7" t="s">
        <v>1070</v>
      </c>
      <c r="K2560" s="7" t="s">
        <v>198</v>
      </c>
      <c r="L2560" s="11">
        <v>18.38</v>
      </c>
      <c r="M2560" s="11">
        <v>971.57</v>
      </c>
      <c r="N2560" s="9">
        <f t="shared" si="88"/>
        <v>18.38</v>
      </c>
    </row>
    <row r="2561" spans="1:14" ht="12.75" hidden="1" customHeight="1" x14ac:dyDescent="0.2">
      <c r="A2561">
        <v>62890</v>
      </c>
      <c r="B2561" s="3" t="s">
        <v>1241</v>
      </c>
      <c r="C2561" s="7" t="s">
        <v>319</v>
      </c>
      <c r="D2561" s="7" t="s">
        <v>200</v>
      </c>
      <c r="E2561" s="7">
        <v>425</v>
      </c>
      <c r="F2561" s="7" t="s">
        <v>1067</v>
      </c>
      <c r="G2561" s="7" t="s">
        <v>182</v>
      </c>
      <c r="H2561" s="7" t="s">
        <v>1361</v>
      </c>
      <c r="I2561" s="7" t="s">
        <v>1241</v>
      </c>
      <c r="K2561" s="7" t="s">
        <v>198</v>
      </c>
      <c r="L2561" s="11">
        <v>171.43</v>
      </c>
      <c r="M2561" s="11">
        <v>1143</v>
      </c>
      <c r="N2561" s="9">
        <f t="shared" si="88"/>
        <v>171.43</v>
      </c>
    </row>
    <row r="2562" spans="1:14" ht="12.75" hidden="1" customHeight="1" x14ac:dyDescent="0.2">
      <c r="A2562">
        <v>62890</v>
      </c>
      <c r="B2562" s="3" t="s">
        <v>1241</v>
      </c>
      <c r="C2562" s="7" t="s">
        <v>319</v>
      </c>
      <c r="D2562" s="7" t="s">
        <v>200</v>
      </c>
      <c r="E2562" s="7">
        <v>427</v>
      </c>
      <c r="F2562" s="7" t="s">
        <v>1069</v>
      </c>
      <c r="G2562" s="7" t="s">
        <v>182</v>
      </c>
      <c r="H2562" s="7" t="s">
        <v>1369</v>
      </c>
      <c r="I2562" s="7" t="s">
        <v>1241</v>
      </c>
      <c r="J2562" s="7" t="s">
        <v>1068</v>
      </c>
      <c r="K2562" s="7" t="s">
        <v>198</v>
      </c>
      <c r="L2562" s="11">
        <v>271.95</v>
      </c>
      <c r="M2562" s="11">
        <v>1414.95</v>
      </c>
      <c r="N2562" s="9">
        <f t="shared" si="88"/>
        <v>271.95</v>
      </c>
    </row>
    <row r="2563" spans="1:14" ht="12.75" hidden="1" customHeight="1" x14ac:dyDescent="0.2">
      <c r="A2563">
        <v>62890</v>
      </c>
      <c r="B2563" s="3" t="s">
        <v>1241</v>
      </c>
      <c r="C2563" s="7" t="s">
        <v>814</v>
      </c>
      <c r="D2563" s="7" t="s">
        <v>200</v>
      </c>
      <c r="F2563" s="7" t="s">
        <v>1072</v>
      </c>
      <c r="G2563" s="7" t="s">
        <v>182</v>
      </c>
      <c r="H2563" s="7" t="s">
        <v>1362</v>
      </c>
      <c r="I2563" s="7" t="s">
        <v>1241</v>
      </c>
      <c r="K2563" s="7" t="s">
        <v>198</v>
      </c>
      <c r="L2563" s="11">
        <v>10.99</v>
      </c>
      <c r="M2563" s="11">
        <v>1425.94</v>
      </c>
      <c r="N2563" s="9">
        <f t="shared" si="88"/>
        <v>10.99</v>
      </c>
    </row>
    <row r="2564" spans="1:14" ht="12.75" hidden="1" customHeight="1" x14ac:dyDescent="0.2">
      <c r="A2564">
        <v>62890</v>
      </c>
      <c r="B2564" s="3" t="s">
        <v>1241</v>
      </c>
      <c r="C2564" s="7" t="s">
        <v>287</v>
      </c>
      <c r="D2564" s="7" t="s">
        <v>200</v>
      </c>
      <c r="E2564" s="7">
        <v>441</v>
      </c>
      <c r="F2564" s="7" t="s">
        <v>1071</v>
      </c>
      <c r="G2564" s="7" t="s">
        <v>182</v>
      </c>
      <c r="H2564" s="7" t="s">
        <v>1361</v>
      </c>
      <c r="I2564" s="7" t="s">
        <v>1241</v>
      </c>
      <c r="J2564" s="7" t="s">
        <v>1070</v>
      </c>
      <c r="K2564" s="7" t="s">
        <v>198</v>
      </c>
      <c r="L2564" s="11">
        <v>19.07</v>
      </c>
      <c r="M2564" s="11">
        <v>1445.01</v>
      </c>
      <c r="N2564" s="9">
        <f t="shared" si="88"/>
        <v>19.07</v>
      </c>
    </row>
    <row r="2565" spans="1:14" ht="12.75" hidden="1" customHeight="1" x14ac:dyDescent="0.2">
      <c r="A2565">
        <v>62890</v>
      </c>
      <c r="B2565" s="3" t="s">
        <v>1241</v>
      </c>
      <c r="C2565" s="7" t="s">
        <v>287</v>
      </c>
      <c r="D2565" s="7" t="s">
        <v>200</v>
      </c>
      <c r="E2565" s="7">
        <v>440</v>
      </c>
      <c r="F2565" s="7" t="s">
        <v>1067</v>
      </c>
      <c r="G2565" s="7" t="s">
        <v>182</v>
      </c>
      <c r="H2565" s="7" t="s">
        <v>1362</v>
      </c>
      <c r="I2565" s="7" t="s">
        <v>1241</v>
      </c>
      <c r="K2565" s="7" t="s">
        <v>198</v>
      </c>
      <c r="L2565" s="11">
        <v>171.45</v>
      </c>
      <c r="M2565" s="11">
        <v>1616.46</v>
      </c>
      <c r="N2565" s="9">
        <f t="shared" si="88"/>
        <v>171.45</v>
      </c>
    </row>
    <row r="2566" spans="1:14" ht="12.75" hidden="1" customHeight="1" x14ac:dyDescent="0.2">
      <c r="A2566">
        <v>62890</v>
      </c>
      <c r="B2566" s="3" t="s">
        <v>1241</v>
      </c>
      <c r="C2566" s="7" t="s">
        <v>287</v>
      </c>
      <c r="D2566" s="7" t="s">
        <v>200</v>
      </c>
      <c r="E2566" s="7">
        <v>438</v>
      </c>
      <c r="F2566" s="7" t="s">
        <v>1066</v>
      </c>
      <c r="G2566" s="7" t="s">
        <v>182</v>
      </c>
      <c r="H2566" s="7" t="s">
        <v>1362</v>
      </c>
      <c r="I2566" s="7" t="s">
        <v>1241</v>
      </c>
      <c r="J2566" s="7" t="s">
        <v>1075</v>
      </c>
      <c r="K2566" s="7" t="s">
        <v>198</v>
      </c>
      <c r="L2566" s="11">
        <v>33</v>
      </c>
      <c r="M2566" s="11">
        <v>1649.46</v>
      </c>
      <c r="N2566" s="9">
        <f t="shared" si="88"/>
        <v>33</v>
      </c>
    </row>
    <row r="2567" spans="1:14" ht="12.75" hidden="1" customHeight="1" x14ac:dyDescent="0.2">
      <c r="A2567">
        <v>62890</v>
      </c>
      <c r="B2567" s="3" t="s">
        <v>1241</v>
      </c>
      <c r="C2567" s="7" t="s">
        <v>287</v>
      </c>
      <c r="D2567" s="7" t="s">
        <v>200</v>
      </c>
      <c r="E2567" s="7">
        <v>436</v>
      </c>
      <c r="F2567" s="7" t="s">
        <v>1069</v>
      </c>
      <c r="G2567" s="7" t="s">
        <v>182</v>
      </c>
      <c r="H2567" s="7" t="s">
        <v>1362</v>
      </c>
      <c r="I2567" s="7" t="s">
        <v>1241</v>
      </c>
      <c r="J2567" s="7" t="s">
        <v>1068</v>
      </c>
      <c r="K2567" s="7" t="s">
        <v>198</v>
      </c>
      <c r="L2567" s="11">
        <v>175.19</v>
      </c>
      <c r="M2567" s="11">
        <v>1824.65</v>
      </c>
      <c r="N2567" s="9">
        <f t="shared" si="88"/>
        <v>175.19</v>
      </c>
    </row>
    <row r="2568" spans="1:14" ht="12.75" hidden="1" customHeight="1" x14ac:dyDescent="0.2">
      <c r="A2568">
        <v>62890</v>
      </c>
      <c r="B2568" s="3" t="s">
        <v>1241</v>
      </c>
      <c r="C2568" s="7" t="s">
        <v>267</v>
      </c>
      <c r="D2568" s="7" t="s">
        <v>200</v>
      </c>
      <c r="E2568" s="7">
        <v>445</v>
      </c>
      <c r="F2568" s="7" t="s">
        <v>1066</v>
      </c>
      <c r="G2568" s="7" t="s">
        <v>182</v>
      </c>
      <c r="H2568" s="7" t="s">
        <v>1369</v>
      </c>
      <c r="I2568" s="7" t="s">
        <v>1241</v>
      </c>
      <c r="J2568" s="7" t="s">
        <v>1074</v>
      </c>
      <c r="K2568" s="7" t="s">
        <v>198</v>
      </c>
      <c r="L2568" s="11">
        <v>33</v>
      </c>
      <c r="M2568" s="11">
        <v>1857.65</v>
      </c>
      <c r="N2568" s="9">
        <f t="shared" si="88"/>
        <v>33</v>
      </c>
    </row>
    <row r="2569" spans="1:14" ht="12.75" hidden="1" customHeight="1" x14ac:dyDescent="0.2">
      <c r="A2569">
        <v>62890</v>
      </c>
      <c r="B2569" s="3" t="s">
        <v>1241</v>
      </c>
      <c r="C2569" s="7" t="s">
        <v>239</v>
      </c>
      <c r="D2569" s="7" t="s">
        <v>221</v>
      </c>
      <c r="F2569" s="7" t="s">
        <v>1072</v>
      </c>
      <c r="G2569" s="7" t="s">
        <v>182</v>
      </c>
      <c r="H2569" s="7" t="s">
        <v>1362</v>
      </c>
      <c r="I2569" s="7" t="s">
        <v>1241</v>
      </c>
      <c r="K2569" s="7" t="s">
        <v>198</v>
      </c>
      <c r="L2569" s="11">
        <v>10.99</v>
      </c>
      <c r="M2569" s="11">
        <v>1868.64</v>
      </c>
      <c r="N2569" s="9">
        <f t="shared" si="88"/>
        <v>10.99</v>
      </c>
    </row>
    <row r="2570" spans="1:14" ht="12.75" hidden="1" customHeight="1" x14ac:dyDescent="0.2">
      <c r="A2570">
        <v>62890</v>
      </c>
      <c r="B2570" s="3" t="s">
        <v>1241</v>
      </c>
      <c r="C2570" s="7" t="s">
        <v>233</v>
      </c>
      <c r="D2570" s="7" t="s">
        <v>200</v>
      </c>
      <c r="E2570" s="7">
        <v>456</v>
      </c>
      <c r="F2570" s="7" t="s">
        <v>1069</v>
      </c>
      <c r="G2570" s="7" t="s">
        <v>182</v>
      </c>
      <c r="H2570" s="7" t="s">
        <v>1361</v>
      </c>
      <c r="I2570" s="7" t="s">
        <v>1241</v>
      </c>
      <c r="J2570" s="7" t="s">
        <v>1068</v>
      </c>
      <c r="K2570" s="7" t="s">
        <v>198</v>
      </c>
      <c r="L2570" s="11">
        <v>148.06</v>
      </c>
      <c r="M2570" s="11">
        <v>2016.7</v>
      </c>
      <c r="N2570" s="9">
        <f t="shared" si="88"/>
        <v>148.06</v>
      </c>
    </row>
    <row r="2571" spans="1:14" ht="12.75" hidden="1" customHeight="1" x14ac:dyDescent="0.2">
      <c r="A2571">
        <v>62890</v>
      </c>
      <c r="B2571" s="3" t="s">
        <v>1241</v>
      </c>
      <c r="C2571" s="7" t="s">
        <v>233</v>
      </c>
      <c r="D2571" s="7" t="s">
        <v>200</v>
      </c>
      <c r="E2571" s="7">
        <v>454</v>
      </c>
      <c r="F2571" s="7" t="s">
        <v>1071</v>
      </c>
      <c r="G2571" s="7" t="s">
        <v>182</v>
      </c>
      <c r="H2571" s="7" t="s">
        <v>1369</v>
      </c>
      <c r="I2571" s="7" t="s">
        <v>1241</v>
      </c>
      <c r="J2571" s="7" t="s">
        <v>1070</v>
      </c>
      <c r="K2571" s="7" t="s">
        <v>198</v>
      </c>
      <c r="L2571" s="11">
        <v>22.59</v>
      </c>
      <c r="M2571" s="11">
        <v>2039.29</v>
      </c>
      <c r="N2571" s="9">
        <f t="shared" si="88"/>
        <v>22.59</v>
      </c>
    </row>
    <row r="2572" spans="1:14" ht="12.75" hidden="1" customHeight="1" x14ac:dyDescent="0.2">
      <c r="A2572">
        <v>62890</v>
      </c>
      <c r="B2572" s="3" t="s">
        <v>1241</v>
      </c>
      <c r="C2572" s="7" t="s">
        <v>493</v>
      </c>
      <c r="D2572" s="7" t="s">
        <v>200</v>
      </c>
      <c r="E2572" s="7">
        <v>463</v>
      </c>
      <c r="F2572" s="7" t="s">
        <v>1067</v>
      </c>
      <c r="G2572" s="7" t="s">
        <v>182</v>
      </c>
      <c r="H2572" s="7" t="s">
        <v>1362</v>
      </c>
      <c r="I2572" s="7" t="s">
        <v>1241</v>
      </c>
      <c r="K2572" s="7" t="s">
        <v>198</v>
      </c>
      <c r="L2572" s="11">
        <v>171.48</v>
      </c>
      <c r="M2572" s="11">
        <v>2210.77</v>
      </c>
      <c r="N2572" s="9">
        <f t="shared" si="88"/>
        <v>171.48</v>
      </c>
    </row>
    <row r="2573" spans="1:14" ht="12.75" hidden="1" customHeight="1" x14ac:dyDescent="0.2">
      <c r="A2573">
        <v>62890</v>
      </c>
      <c r="B2573" s="3" t="s">
        <v>1241</v>
      </c>
      <c r="C2573" s="7" t="s">
        <v>698</v>
      </c>
      <c r="D2573" s="7" t="s">
        <v>200</v>
      </c>
      <c r="E2573" s="7">
        <v>461</v>
      </c>
      <c r="F2573" s="7" t="s">
        <v>1066</v>
      </c>
      <c r="G2573" s="7" t="s">
        <v>182</v>
      </c>
      <c r="H2573" s="7" t="s">
        <v>1361</v>
      </c>
      <c r="I2573" s="7" t="s">
        <v>1241</v>
      </c>
      <c r="J2573" s="7" t="s">
        <v>1073</v>
      </c>
      <c r="K2573" s="7" t="s">
        <v>198</v>
      </c>
      <c r="L2573" s="11">
        <v>33</v>
      </c>
      <c r="M2573" s="11">
        <v>2243.77</v>
      </c>
      <c r="N2573" s="9">
        <f t="shared" si="88"/>
        <v>33</v>
      </c>
    </row>
    <row r="2574" spans="1:14" ht="12.75" hidden="1" customHeight="1" x14ac:dyDescent="0.2">
      <c r="A2574">
        <v>62890</v>
      </c>
      <c r="B2574" s="3" t="s">
        <v>1241</v>
      </c>
      <c r="C2574" s="7" t="s">
        <v>676</v>
      </c>
      <c r="D2574" s="7" t="s">
        <v>221</v>
      </c>
      <c r="F2574" s="7" t="s">
        <v>1072</v>
      </c>
      <c r="G2574" s="7" t="s">
        <v>182</v>
      </c>
      <c r="H2574" s="7" t="s">
        <v>1369</v>
      </c>
      <c r="I2574" s="7" t="s">
        <v>1241</v>
      </c>
      <c r="K2574" s="7" t="s">
        <v>198</v>
      </c>
      <c r="L2574" s="11">
        <v>10.99</v>
      </c>
      <c r="M2574" s="11">
        <v>2254.7600000000002</v>
      </c>
      <c r="N2574" s="9">
        <f t="shared" si="88"/>
        <v>10.99</v>
      </c>
    </row>
    <row r="2575" spans="1:14" ht="12.75" hidden="1" customHeight="1" x14ac:dyDescent="0.2">
      <c r="A2575">
        <v>62890</v>
      </c>
      <c r="B2575" s="3" t="s">
        <v>1241</v>
      </c>
      <c r="C2575" s="7" t="s">
        <v>659</v>
      </c>
      <c r="D2575" s="7" t="s">
        <v>200</v>
      </c>
      <c r="E2575" s="7">
        <v>473</v>
      </c>
      <c r="F2575" s="7" t="s">
        <v>1071</v>
      </c>
      <c r="G2575" s="7" t="s">
        <v>182</v>
      </c>
      <c r="H2575" s="7" t="s">
        <v>1362</v>
      </c>
      <c r="I2575" s="7" t="s">
        <v>1241</v>
      </c>
      <c r="J2575" s="7" t="s">
        <v>1070</v>
      </c>
      <c r="K2575" s="7" t="s">
        <v>198</v>
      </c>
      <c r="L2575" s="11">
        <v>19.07</v>
      </c>
      <c r="M2575" s="11">
        <v>2273.83</v>
      </c>
      <c r="N2575" s="9">
        <f t="shared" si="88"/>
        <v>19.07</v>
      </c>
    </row>
    <row r="2576" spans="1:14" ht="12.75" hidden="1" customHeight="1" x14ac:dyDescent="0.2">
      <c r="A2576">
        <v>62890</v>
      </c>
      <c r="B2576" s="3" t="s">
        <v>1241</v>
      </c>
      <c r="C2576" s="7" t="s">
        <v>659</v>
      </c>
      <c r="D2576" s="7" t="s">
        <v>200</v>
      </c>
      <c r="E2576" s="7">
        <v>472</v>
      </c>
      <c r="F2576" s="7" t="s">
        <v>1069</v>
      </c>
      <c r="G2576" s="7" t="s">
        <v>182</v>
      </c>
      <c r="H2576" s="7" t="s">
        <v>1361</v>
      </c>
      <c r="I2576" s="7" t="s">
        <v>1241</v>
      </c>
      <c r="J2576" s="7" t="s">
        <v>1068</v>
      </c>
      <c r="K2576" s="7" t="s">
        <v>198</v>
      </c>
      <c r="L2576" s="11">
        <v>139.36000000000001</v>
      </c>
      <c r="M2576" s="11">
        <v>2413.19</v>
      </c>
      <c r="N2576" s="9">
        <f t="shared" si="88"/>
        <v>139.36000000000001</v>
      </c>
    </row>
    <row r="2577" spans="1:14" ht="12.75" hidden="1" customHeight="1" x14ac:dyDescent="0.2">
      <c r="A2577">
        <v>62890</v>
      </c>
      <c r="B2577" s="3" t="s">
        <v>1241</v>
      </c>
      <c r="C2577" s="7" t="s">
        <v>659</v>
      </c>
      <c r="D2577" s="7" t="s">
        <v>200</v>
      </c>
      <c r="E2577" s="7">
        <v>475</v>
      </c>
      <c r="F2577" s="7" t="s">
        <v>1067</v>
      </c>
      <c r="G2577" s="7" t="s">
        <v>182</v>
      </c>
      <c r="H2577" s="7" t="s">
        <v>1369</v>
      </c>
      <c r="I2577" s="7" t="s">
        <v>1241</v>
      </c>
      <c r="K2577" s="7" t="s">
        <v>198</v>
      </c>
      <c r="L2577" s="11">
        <v>180.98</v>
      </c>
      <c r="M2577" s="11">
        <v>2594.17</v>
      </c>
      <c r="N2577" s="9">
        <f t="shared" si="88"/>
        <v>180.98</v>
      </c>
    </row>
    <row r="2578" spans="1:14" ht="12.75" hidden="1" customHeight="1" x14ac:dyDescent="0.2">
      <c r="A2578">
        <v>62890</v>
      </c>
      <c r="B2578" s="3" t="s">
        <v>1241</v>
      </c>
      <c r="C2578" s="7" t="s">
        <v>214</v>
      </c>
      <c r="D2578" s="7" t="s">
        <v>200</v>
      </c>
      <c r="E2578" s="7">
        <v>478</v>
      </c>
      <c r="F2578" s="7" t="s">
        <v>1066</v>
      </c>
      <c r="G2578" s="7" t="s">
        <v>182</v>
      </c>
      <c r="H2578" s="7" t="s">
        <v>1362</v>
      </c>
      <c r="I2578" s="7" t="s">
        <v>1241</v>
      </c>
      <c r="J2578" s="7" t="s">
        <v>1065</v>
      </c>
      <c r="K2578" s="7" t="s">
        <v>198</v>
      </c>
      <c r="L2578" s="11">
        <v>33</v>
      </c>
      <c r="M2578" s="11">
        <v>2627.17</v>
      </c>
      <c r="N2578" s="9">
        <f t="shared" si="88"/>
        <v>33</v>
      </c>
    </row>
    <row r="2579" spans="1:14" ht="12.75" hidden="1" customHeight="1" x14ac:dyDescent="0.2">
      <c r="A2579">
        <v>62890</v>
      </c>
      <c r="B2579" s="3" t="s">
        <v>1241</v>
      </c>
      <c r="C2579" s="7" t="s">
        <v>1772</v>
      </c>
      <c r="D2579" s="7" t="s">
        <v>221</v>
      </c>
      <c r="F2579" s="7" t="s">
        <v>1072</v>
      </c>
      <c r="G2579" s="7" t="s">
        <v>182</v>
      </c>
      <c r="H2579" s="43" t="s">
        <v>1361</v>
      </c>
      <c r="I2579" s="7" t="s">
        <v>1241</v>
      </c>
      <c r="K2579" s="39" t="s">
        <v>198</v>
      </c>
      <c r="L2579" s="40">
        <v>10.99</v>
      </c>
      <c r="M2579" s="40">
        <v>2638.16</v>
      </c>
      <c r="N2579" s="40">
        <f t="shared" ref="N2579:N2598" si="89">+L2579</f>
        <v>10.99</v>
      </c>
    </row>
    <row r="2580" spans="1:14" ht="12.75" hidden="1" customHeight="1" x14ac:dyDescent="0.2">
      <c r="A2580">
        <v>62890</v>
      </c>
      <c r="B2580" s="3" t="s">
        <v>1241</v>
      </c>
      <c r="C2580" s="7" t="s">
        <v>1565</v>
      </c>
      <c r="D2580" s="7" t="s">
        <v>200</v>
      </c>
      <c r="E2580" s="7">
        <v>492</v>
      </c>
      <c r="F2580" s="7" t="s">
        <v>1067</v>
      </c>
      <c r="G2580" s="7" t="s">
        <v>182</v>
      </c>
      <c r="H2580" s="43" t="s">
        <v>1362</v>
      </c>
      <c r="I2580" s="7" t="s">
        <v>1241</v>
      </c>
      <c r="K2580" s="39" t="s">
        <v>198</v>
      </c>
      <c r="L2580" s="40">
        <v>171.48</v>
      </c>
      <c r="M2580" s="40">
        <v>2809.64</v>
      </c>
      <c r="N2580" s="40">
        <f t="shared" si="89"/>
        <v>171.48</v>
      </c>
    </row>
    <row r="2581" spans="1:14" ht="12.75" hidden="1" customHeight="1" x14ac:dyDescent="0.2">
      <c r="A2581">
        <v>62890</v>
      </c>
      <c r="B2581" s="3" t="s">
        <v>1241</v>
      </c>
      <c r="C2581" s="7" t="s">
        <v>1565</v>
      </c>
      <c r="D2581" s="7" t="s">
        <v>200</v>
      </c>
      <c r="E2581" s="7">
        <v>491</v>
      </c>
      <c r="F2581" s="7" t="s">
        <v>1069</v>
      </c>
      <c r="G2581" s="7" t="s">
        <v>182</v>
      </c>
      <c r="H2581" s="43" t="s">
        <v>1369</v>
      </c>
      <c r="I2581" s="7" t="s">
        <v>1241</v>
      </c>
      <c r="J2581" s="39" t="s">
        <v>1068</v>
      </c>
      <c r="K2581" s="39" t="s">
        <v>198</v>
      </c>
      <c r="L2581" s="40">
        <v>179.36</v>
      </c>
      <c r="M2581" s="40">
        <v>2989</v>
      </c>
      <c r="N2581" s="40">
        <f t="shared" si="89"/>
        <v>179.36</v>
      </c>
    </row>
    <row r="2582" spans="1:14" ht="12.75" hidden="1" customHeight="1" x14ac:dyDescent="0.2">
      <c r="A2582">
        <v>62890</v>
      </c>
      <c r="B2582" s="3" t="s">
        <v>1241</v>
      </c>
      <c r="C2582" s="7" t="s">
        <v>1565</v>
      </c>
      <c r="D2582" s="7" t="s">
        <v>200</v>
      </c>
      <c r="E2582" s="7">
        <v>494</v>
      </c>
      <c r="F2582" s="7" t="s">
        <v>1071</v>
      </c>
      <c r="G2582" s="7" t="s">
        <v>182</v>
      </c>
      <c r="H2582" s="43" t="s">
        <v>1361</v>
      </c>
      <c r="I2582" s="7" t="s">
        <v>1241</v>
      </c>
      <c r="J2582" s="39" t="s">
        <v>1070</v>
      </c>
      <c r="K2582" s="39" t="s">
        <v>198</v>
      </c>
      <c r="L2582" s="40">
        <v>19.420000000000002</v>
      </c>
      <c r="M2582" s="40">
        <v>3008.42</v>
      </c>
      <c r="N2582" s="40">
        <f t="shared" si="89"/>
        <v>19.420000000000002</v>
      </c>
    </row>
    <row r="2583" spans="1:14" ht="12.75" hidden="1" customHeight="1" x14ac:dyDescent="0.2">
      <c r="A2583">
        <v>62890</v>
      </c>
      <c r="B2583" s="3" t="s">
        <v>1241</v>
      </c>
      <c r="C2583" s="7" t="s">
        <v>1565</v>
      </c>
      <c r="D2583" s="7" t="s">
        <v>200</v>
      </c>
      <c r="E2583" s="7">
        <v>489</v>
      </c>
      <c r="F2583" s="7" t="s">
        <v>1066</v>
      </c>
      <c r="G2583" s="7" t="s">
        <v>182</v>
      </c>
      <c r="H2583" s="43" t="s">
        <v>1362</v>
      </c>
      <c r="I2583" s="7" t="s">
        <v>1241</v>
      </c>
      <c r="J2583" s="39" t="s">
        <v>1773</v>
      </c>
      <c r="K2583" s="39" t="s">
        <v>198</v>
      </c>
      <c r="L2583" s="40">
        <v>33</v>
      </c>
      <c r="M2583" s="40">
        <v>3041.42</v>
      </c>
      <c r="N2583" s="40">
        <f t="shared" si="89"/>
        <v>33</v>
      </c>
    </row>
    <row r="2584" spans="1:14" ht="12.75" hidden="1" customHeight="1" x14ac:dyDescent="0.2">
      <c r="A2584">
        <v>62890</v>
      </c>
      <c r="B2584" s="3" t="s">
        <v>1241</v>
      </c>
      <c r="C2584" s="7" t="s">
        <v>1583</v>
      </c>
      <c r="D2584" s="7" t="s">
        <v>221</v>
      </c>
      <c r="F2584" s="7" t="s">
        <v>1072</v>
      </c>
      <c r="G2584" s="7" t="s">
        <v>182</v>
      </c>
      <c r="H2584" s="43" t="s">
        <v>1369</v>
      </c>
      <c r="I2584" s="7" t="s">
        <v>1241</v>
      </c>
      <c r="K2584" s="39" t="s">
        <v>198</v>
      </c>
      <c r="L2584" s="40">
        <v>10.99</v>
      </c>
      <c r="M2584" s="40">
        <v>3052.41</v>
      </c>
      <c r="N2584" s="40">
        <f t="shared" si="89"/>
        <v>10.99</v>
      </c>
    </row>
    <row r="2585" spans="1:14" ht="12.75" hidden="1" customHeight="1" x14ac:dyDescent="0.2">
      <c r="A2585">
        <v>62890</v>
      </c>
      <c r="B2585" s="3" t="s">
        <v>1241</v>
      </c>
      <c r="C2585" s="7" t="s">
        <v>1555</v>
      </c>
      <c r="D2585" s="7" t="s">
        <v>200</v>
      </c>
      <c r="E2585" s="7">
        <v>505</v>
      </c>
      <c r="F2585" s="7" t="s">
        <v>1071</v>
      </c>
      <c r="G2585" s="7" t="s">
        <v>182</v>
      </c>
      <c r="H2585" s="43" t="s">
        <v>1361</v>
      </c>
      <c r="I2585" s="7" t="s">
        <v>1241</v>
      </c>
      <c r="J2585" s="39" t="s">
        <v>1070</v>
      </c>
      <c r="K2585" s="39" t="s">
        <v>198</v>
      </c>
      <c r="L2585" s="40">
        <v>19.420000000000002</v>
      </c>
      <c r="M2585" s="40">
        <v>3071.83</v>
      </c>
      <c r="N2585" s="40">
        <f t="shared" si="89"/>
        <v>19.420000000000002</v>
      </c>
    </row>
    <row r="2586" spans="1:14" ht="12.75" hidden="1" customHeight="1" x14ac:dyDescent="0.2">
      <c r="A2586">
        <v>62890</v>
      </c>
      <c r="B2586" s="3" t="s">
        <v>1241</v>
      </c>
      <c r="C2586" s="7" t="s">
        <v>1555</v>
      </c>
      <c r="D2586" s="7" t="s">
        <v>200</v>
      </c>
      <c r="E2586" s="7">
        <v>506</v>
      </c>
      <c r="F2586" s="7" t="s">
        <v>1069</v>
      </c>
      <c r="G2586" s="7" t="s">
        <v>182</v>
      </c>
      <c r="H2586" s="43" t="s">
        <v>1362</v>
      </c>
      <c r="I2586" s="7" t="s">
        <v>1241</v>
      </c>
      <c r="J2586" s="39" t="s">
        <v>1068</v>
      </c>
      <c r="K2586" s="39" t="s">
        <v>198</v>
      </c>
      <c r="L2586" s="40">
        <v>195.8</v>
      </c>
      <c r="M2586" s="40">
        <v>3267.63</v>
      </c>
      <c r="N2586" s="40">
        <f t="shared" si="89"/>
        <v>195.8</v>
      </c>
    </row>
    <row r="2587" spans="1:14" ht="12.75" hidden="1" customHeight="1" x14ac:dyDescent="0.2">
      <c r="A2587">
        <v>62890</v>
      </c>
      <c r="B2587" s="3" t="s">
        <v>1241</v>
      </c>
      <c r="C2587" s="7" t="s">
        <v>1555</v>
      </c>
      <c r="D2587" s="7" t="s">
        <v>200</v>
      </c>
      <c r="E2587" s="7">
        <v>507</v>
      </c>
      <c r="F2587" s="7" t="s">
        <v>1067</v>
      </c>
      <c r="G2587" s="7" t="s">
        <v>182</v>
      </c>
      <c r="H2587" s="43" t="s">
        <v>1369</v>
      </c>
      <c r="I2587" s="7" t="s">
        <v>1241</v>
      </c>
      <c r="K2587" s="39" t="s">
        <v>198</v>
      </c>
      <c r="L2587" s="40">
        <v>180.85</v>
      </c>
      <c r="M2587" s="40">
        <v>3448.48</v>
      </c>
      <c r="N2587" s="40">
        <f t="shared" si="89"/>
        <v>180.85</v>
      </c>
    </row>
    <row r="2588" spans="1:14" ht="12.75" hidden="1" customHeight="1" x14ac:dyDescent="0.2">
      <c r="A2588">
        <v>62890</v>
      </c>
      <c r="B2588" s="3" t="s">
        <v>1241</v>
      </c>
      <c r="C2588" s="7" t="s">
        <v>1744</v>
      </c>
      <c r="D2588" s="7" t="s">
        <v>200</v>
      </c>
      <c r="E2588" s="7">
        <v>520</v>
      </c>
      <c r="F2588" s="7" t="s">
        <v>1066</v>
      </c>
      <c r="G2588" s="7" t="s">
        <v>182</v>
      </c>
      <c r="H2588" s="43" t="s">
        <v>1361</v>
      </c>
      <c r="I2588" s="7" t="s">
        <v>1241</v>
      </c>
      <c r="J2588" s="39" t="s">
        <v>1774</v>
      </c>
      <c r="K2588" s="39" t="s">
        <v>198</v>
      </c>
      <c r="L2588" s="40">
        <v>33</v>
      </c>
      <c r="M2588" s="40">
        <v>3481.48</v>
      </c>
      <c r="N2588" s="40">
        <f t="shared" si="89"/>
        <v>33</v>
      </c>
    </row>
    <row r="2589" spans="1:14" ht="12.75" hidden="1" customHeight="1" x14ac:dyDescent="0.2">
      <c r="A2589">
        <v>62890</v>
      </c>
      <c r="B2589" s="3" t="s">
        <v>1241</v>
      </c>
      <c r="C2589" s="7" t="s">
        <v>1775</v>
      </c>
      <c r="D2589" s="7" t="s">
        <v>221</v>
      </c>
      <c r="F2589" s="7" t="s">
        <v>1072</v>
      </c>
      <c r="G2589" s="7" t="s">
        <v>182</v>
      </c>
      <c r="H2589" s="43" t="s">
        <v>1362</v>
      </c>
      <c r="I2589" s="7" t="s">
        <v>1241</v>
      </c>
      <c r="K2589" s="39" t="s">
        <v>198</v>
      </c>
      <c r="L2589" s="40">
        <v>10.99</v>
      </c>
      <c r="M2589" s="40">
        <v>3492.47</v>
      </c>
      <c r="N2589" s="40">
        <f t="shared" si="89"/>
        <v>10.99</v>
      </c>
    </row>
    <row r="2590" spans="1:14" ht="12.75" hidden="1" customHeight="1" x14ac:dyDescent="0.2">
      <c r="A2590">
        <v>62890</v>
      </c>
      <c r="B2590" s="3" t="s">
        <v>1241</v>
      </c>
      <c r="C2590" s="7" t="s">
        <v>1543</v>
      </c>
      <c r="D2590" s="7" t="s">
        <v>200</v>
      </c>
      <c r="E2590" s="7">
        <v>526</v>
      </c>
      <c r="F2590" s="7" t="s">
        <v>1071</v>
      </c>
      <c r="G2590" s="7" t="s">
        <v>182</v>
      </c>
      <c r="H2590" s="43" t="s">
        <v>1369</v>
      </c>
      <c r="I2590" s="7" t="s">
        <v>1241</v>
      </c>
      <c r="J2590" s="39" t="s">
        <v>1070</v>
      </c>
      <c r="K2590" s="39" t="s">
        <v>198</v>
      </c>
      <c r="L2590" s="40">
        <v>23.1</v>
      </c>
      <c r="M2590" s="40">
        <v>3515.57</v>
      </c>
      <c r="N2590" s="40">
        <f t="shared" si="89"/>
        <v>23.1</v>
      </c>
    </row>
    <row r="2591" spans="1:14" ht="12.75" hidden="1" customHeight="1" x14ac:dyDescent="0.2">
      <c r="A2591">
        <v>62890</v>
      </c>
      <c r="B2591" s="3" t="s">
        <v>1241</v>
      </c>
      <c r="C2591" s="7" t="s">
        <v>1543</v>
      </c>
      <c r="D2591" s="7" t="s">
        <v>200</v>
      </c>
      <c r="E2591" s="7">
        <v>527</v>
      </c>
      <c r="F2591" s="7" t="s">
        <v>1069</v>
      </c>
      <c r="G2591" s="7" t="s">
        <v>182</v>
      </c>
      <c r="H2591" s="43" t="s">
        <v>1361</v>
      </c>
      <c r="I2591" s="7" t="s">
        <v>1241</v>
      </c>
      <c r="J2591" s="39" t="s">
        <v>1068</v>
      </c>
      <c r="K2591" s="39" t="s">
        <v>198</v>
      </c>
      <c r="L2591" s="40">
        <v>159.79</v>
      </c>
      <c r="M2591" s="40">
        <v>3675.36</v>
      </c>
      <c r="N2591" s="40">
        <f t="shared" si="89"/>
        <v>159.79</v>
      </c>
    </row>
    <row r="2592" spans="1:14" ht="12.75" hidden="1" customHeight="1" x14ac:dyDescent="0.2">
      <c r="A2592">
        <v>62890</v>
      </c>
      <c r="B2592" s="3" t="s">
        <v>1241</v>
      </c>
      <c r="C2592" s="7" t="s">
        <v>1543</v>
      </c>
      <c r="D2592" s="7" t="s">
        <v>200</v>
      </c>
      <c r="E2592" s="7">
        <v>529</v>
      </c>
      <c r="F2592" s="7" t="s">
        <v>1067</v>
      </c>
      <c r="G2592" s="7" t="s">
        <v>182</v>
      </c>
      <c r="H2592" s="43" t="s">
        <v>1362</v>
      </c>
      <c r="I2592" s="7" t="s">
        <v>1241</v>
      </c>
      <c r="K2592" s="39" t="s">
        <v>198</v>
      </c>
      <c r="L2592" s="40">
        <v>174.63</v>
      </c>
      <c r="M2592" s="40">
        <v>3849.99</v>
      </c>
      <c r="N2592" s="40">
        <f t="shared" si="89"/>
        <v>174.63</v>
      </c>
    </row>
    <row r="2593" spans="1:14" ht="12.75" hidden="1" customHeight="1" x14ac:dyDescent="0.2">
      <c r="A2593">
        <v>62890</v>
      </c>
      <c r="B2593" s="3" t="s">
        <v>1241</v>
      </c>
      <c r="C2593" s="7" t="s">
        <v>1663</v>
      </c>
      <c r="D2593" s="7" t="s">
        <v>200</v>
      </c>
      <c r="E2593" s="7">
        <v>544</v>
      </c>
      <c r="F2593" s="7" t="s">
        <v>1066</v>
      </c>
      <c r="G2593" s="7" t="s">
        <v>182</v>
      </c>
      <c r="H2593" s="43" t="s">
        <v>1369</v>
      </c>
      <c r="I2593" s="7" t="s">
        <v>1241</v>
      </c>
      <c r="J2593" s="39" t="s">
        <v>1776</v>
      </c>
      <c r="K2593" s="39" t="s">
        <v>198</v>
      </c>
      <c r="L2593" s="40">
        <v>33</v>
      </c>
      <c r="M2593" s="40">
        <v>3882.99</v>
      </c>
      <c r="N2593" s="40">
        <f t="shared" si="89"/>
        <v>33</v>
      </c>
    </row>
    <row r="2594" spans="1:14" ht="12.75" hidden="1" customHeight="1" x14ac:dyDescent="0.2">
      <c r="A2594">
        <v>62890</v>
      </c>
      <c r="B2594" s="3" t="s">
        <v>1241</v>
      </c>
      <c r="C2594" s="7" t="s">
        <v>1663</v>
      </c>
      <c r="D2594" s="7" t="s">
        <v>200</v>
      </c>
      <c r="E2594" s="7">
        <v>541</v>
      </c>
      <c r="F2594" s="7" t="s">
        <v>1067</v>
      </c>
      <c r="G2594" s="7" t="s">
        <v>182</v>
      </c>
      <c r="H2594" s="43" t="s">
        <v>1361</v>
      </c>
      <c r="I2594" s="7" t="s">
        <v>1241</v>
      </c>
      <c r="K2594" s="39" t="s">
        <v>198</v>
      </c>
      <c r="L2594" s="40">
        <v>184.11</v>
      </c>
      <c r="M2594" s="40">
        <v>4067.1</v>
      </c>
      <c r="N2594" s="40">
        <f t="shared" si="89"/>
        <v>184.11</v>
      </c>
    </row>
    <row r="2595" spans="1:14" ht="12.75" hidden="1" customHeight="1" x14ac:dyDescent="0.2">
      <c r="A2595">
        <v>62890</v>
      </c>
      <c r="B2595" s="3" t="s">
        <v>1241</v>
      </c>
      <c r="C2595" s="7" t="s">
        <v>1663</v>
      </c>
      <c r="D2595" s="7" t="s">
        <v>200</v>
      </c>
      <c r="E2595" s="7">
        <v>540</v>
      </c>
      <c r="F2595" s="7" t="s">
        <v>1069</v>
      </c>
      <c r="G2595" s="7" t="s">
        <v>182</v>
      </c>
      <c r="H2595" s="43" t="s">
        <v>1362</v>
      </c>
      <c r="I2595" s="7" t="s">
        <v>1241</v>
      </c>
      <c r="J2595" s="39" t="s">
        <v>1068</v>
      </c>
      <c r="K2595" s="39" t="s">
        <v>198</v>
      </c>
      <c r="L2595" s="40">
        <v>175.2</v>
      </c>
      <c r="M2595" s="40">
        <v>4242.3</v>
      </c>
      <c r="N2595" s="40">
        <f t="shared" si="89"/>
        <v>175.2</v>
      </c>
    </row>
    <row r="2596" spans="1:14" ht="12.75" hidden="1" customHeight="1" x14ac:dyDescent="0.2">
      <c r="A2596">
        <v>62890</v>
      </c>
      <c r="B2596" s="3" t="s">
        <v>1241</v>
      </c>
      <c r="C2596" s="7" t="s">
        <v>1760</v>
      </c>
      <c r="D2596" s="7" t="s">
        <v>221</v>
      </c>
      <c r="F2596" s="7" t="s">
        <v>1072</v>
      </c>
      <c r="G2596" s="7" t="s">
        <v>182</v>
      </c>
      <c r="H2596" s="43" t="s">
        <v>1369</v>
      </c>
      <c r="I2596" s="7" t="s">
        <v>1241</v>
      </c>
      <c r="K2596" s="39" t="s">
        <v>198</v>
      </c>
      <c r="L2596" s="40">
        <v>10.99</v>
      </c>
      <c r="M2596" s="40">
        <v>4253.29</v>
      </c>
      <c r="N2596" s="40">
        <f t="shared" si="89"/>
        <v>10.99</v>
      </c>
    </row>
    <row r="2597" spans="1:14" ht="12.75" hidden="1" customHeight="1" x14ac:dyDescent="0.2">
      <c r="A2597">
        <v>62890</v>
      </c>
      <c r="B2597" s="3" t="s">
        <v>1241</v>
      </c>
      <c r="C2597" s="7" t="s">
        <v>1635</v>
      </c>
      <c r="D2597" s="7" t="s">
        <v>200</v>
      </c>
      <c r="E2597" s="7">
        <v>553</v>
      </c>
      <c r="F2597" s="7" t="s">
        <v>1071</v>
      </c>
      <c r="G2597" s="7" t="s">
        <v>182</v>
      </c>
      <c r="H2597" s="43" t="s">
        <v>1361</v>
      </c>
      <c r="I2597" s="7" t="s">
        <v>1241</v>
      </c>
      <c r="J2597" s="39" t="s">
        <v>1070</v>
      </c>
      <c r="K2597" s="39" t="s">
        <v>198</v>
      </c>
      <c r="L2597" s="40">
        <v>26.6</v>
      </c>
      <c r="M2597" s="40">
        <v>4279.8900000000003</v>
      </c>
      <c r="N2597" s="40">
        <f t="shared" si="89"/>
        <v>26.6</v>
      </c>
    </row>
    <row r="2598" spans="1:14" ht="12.75" hidden="1" customHeight="1" x14ac:dyDescent="0.2">
      <c r="A2598">
        <v>62890</v>
      </c>
      <c r="B2598" s="3" t="s">
        <v>1241</v>
      </c>
      <c r="C2598" s="7" t="s">
        <v>1635</v>
      </c>
      <c r="D2598" s="7" t="s">
        <v>200</v>
      </c>
      <c r="E2598" s="7">
        <v>554</v>
      </c>
      <c r="F2598" s="7" t="s">
        <v>1066</v>
      </c>
      <c r="G2598" s="7" t="s">
        <v>182</v>
      </c>
      <c r="H2598" s="43" t="s">
        <v>1362</v>
      </c>
      <c r="I2598" s="7" t="s">
        <v>1241</v>
      </c>
      <c r="J2598" s="39" t="s">
        <v>1777</v>
      </c>
      <c r="K2598" s="39" t="s">
        <v>198</v>
      </c>
      <c r="L2598" s="40">
        <v>33</v>
      </c>
      <c r="M2598" s="40">
        <v>4312.8900000000003</v>
      </c>
      <c r="N2598" s="40">
        <f t="shared" si="89"/>
        <v>33</v>
      </c>
    </row>
    <row r="2599" spans="1:14" ht="12.75" hidden="1" customHeight="1" x14ac:dyDescent="0.2">
      <c r="A2599">
        <v>65000</v>
      </c>
      <c r="B2599" s="3" t="s">
        <v>1242</v>
      </c>
      <c r="C2599" s="7" t="s">
        <v>432</v>
      </c>
      <c r="D2599" s="7" t="s">
        <v>183</v>
      </c>
      <c r="E2599" s="7">
        <v>352</v>
      </c>
      <c r="G2599" s="7" t="s">
        <v>182</v>
      </c>
      <c r="H2599" s="7" t="s">
        <v>1361</v>
      </c>
      <c r="I2599" s="7" t="s">
        <v>1242</v>
      </c>
      <c r="J2599" s="7" t="s">
        <v>425</v>
      </c>
      <c r="K2599" s="7" t="s">
        <v>180</v>
      </c>
      <c r="L2599" s="11">
        <v>13.02</v>
      </c>
      <c r="M2599" s="11">
        <v>13.02</v>
      </c>
      <c r="N2599" s="9">
        <f t="shared" ref="N2599:N2625" si="90">IF(A2599&lt;60000,-L2599,+L2599)</f>
        <v>13.02</v>
      </c>
    </row>
    <row r="2600" spans="1:14" ht="12.75" hidden="1" customHeight="1" x14ac:dyDescent="0.2">
      <c r="A2600">
        <v>65015</v>
      </c>
      <c r="B2600" s="3" t="s">
        <v>1244</v>
      </c>
      <c r="C2600" s="7" t="s">
        <v>545</v>
      </c>
      <c r="D2600" s="7" t="s">
        <v>200</v>
      </c>
      <c r="F2600" s="7" t="s">
        <v>1050</v>
      </c>
      <c r="G2600" s="7" t="s">
        <v>182</v>
      </c>
      <c r="H2600" s="7" t="s">
        <v>1362</v>
      </c>
      <c r="I2600" s="7" t="s">
        <v>1244</v>
      </c>
      <c r="K2600" s="7" t="s">
        <v>198</v>
      </c>
      <c r="L2600" s="11">
        <v>35.08</v>
      </c>
      <c r="M2600" s="11">
        <v>35.08</v>
      </c>
      <c r="N2600" s="9">
        <f t="shared" si="90"/>
        <v>35.08</v>
      </c>
    </row>
    <row r="2601" spans="1:14" ht="12.75" hidden="1" customHeight="1" x14ac:dyDescent="0.2">
      <c r="A2601">
        <v>65015</v>
      </c>
      <c r="B2601" s="3" t="s">
        <v>1244</v>
      </c>
      <c r="C2601" s="7" t="s">
        <v>384</v>
      </c>
      <c r="D2601" s="7" t="s">
        <v>200</v>
      </c>
      <c r="F2601" s="7" t="s">
        <v>1056</v>
      </c>
      <c r="G2601" s="7" t="s">
        <v>182</v>
      </c>
      <c r="H2601" s="7" t="s">
        <v>1362</v>
      </c>
      <c r="I2601" s="7" t="s">
        <v>1244</v>
      </c>
      <c r="K2601" s="7" t="s">
        <v>198</v>
      </c>
      <c r="L2601" s="11">
        <v>242</v>
      </c>
      <c r="M2601" s="11">
        <v>419.7</v>
      </c>
      <c r="N2601" s="9">
        <f t="shared" si="90"/>
        <v>242</v>
      </c>
    </row>
    <row r="2602" spans="1:14" ht="12.75" hidden="1" customHeight="1" x14ac:dyDescent="0.2">
      <c r="A2602">
        <v>65015</v>
      </c>
      <c r="B2602" s="3" t="s">
        <v>1244</v>
      </c>
      <c r="C2602" s="7" t="s">
        <v>418</v>
      </c>
      <c r="D2602" s="7" t="s">
        <v>200</v>
      </c>
      <c r="F2602" s="7" t="s">
        <v>1056</v>
      </c>
      <c r="G2602" s="7" t="s">
        <v>182</v>
      </c>
      <c r="H2602" s="7" t="s">
        <v>1362</v>
      </c>
      <c r="I2602" s="7" t="s">
        <v>1244</v>
      </c>
      <c r="K2602" s="7" t="s">
        <v>198</v>
      </c>
      <c r="L2602" s="11">
        <v>25</v>
      </c>
      <c r="M2602" s="11">
        <v>519.04</v>
      </c>
      <c r="N2602" s="9">
        <f t="shared" si="90"/>
        <v>25</v>
      </c>
    </row>
    <row r="2603" spans="1:14" ht="12.75" hidden="1" customHeight="1" x14ac:dyDescent="0.2">
      <c r="A2603">
        <v>65015</v>
      </c>
      <c r="B2603" s="3" t="s">
        <v>1244</v>
      </c>
      <c r="C2603" s="7" t="s">
        <v>369</v>
      </c>
      <c r="D2603" s="7" t="s">
        <v>200</v>
      </c>
      <c r="F2603" s="7" t="s">
        <v>1063</v>
      </c>
      <c r="G2603" s="7" t="s">
        <v>182</v>
      </c>
      <c r="H2603" s="7" t="s">
        <v>1362</v>
      </c>
      <c r="I2603" s="7" t="s">
        <v>1244</v>
      </c>
      <c r="K2603" s="7" t="s">
        <v>198</v>
      </c>
      <c r="L2603" s="11">
        <v>90</v>
      </c>
      <c r="M2603" s="11">
        <v>609.04</v>
      </c>
      <c r="N2603" s="9">
        <f t="shared" si="90"/>
        <v>90</v>
      </c>
    </row>
    <row r="2604" spans="1:14" ht="12.75" hidden="1" customHeight="1" x14ac:dyDescent="0.2">
      <c r="A2604">
        <v>65015</v>
      </c>
      <c r="B2604" s="3" t="s">
        <v>1244</v>
      </c>
      <c r="C2604" s="7" t="s">
        <v>369</v>
      </c>
      <c r="D2604" s="7" t="s">
        <v>200</v>
      </c>
      <c r="F2604" s="7" t="s">
        <v>1063</v>
      </c>
      <c r="G2604" s="7" t="s">
        <v>182</v>
      </c>
      <c r="H2604" s="7" t="s">
        <v>1362</v>
      </c>
      <c r="I2604" s="7" t="s">
        <v>1244</v>
      </c>
      <c r="K2604" s="7" t="s">
        <v>198</v>
      </c>
      <c r="L2604" s="11">
        <v>85.5</v>
      </c>
      <c r="M2604" s="11">
        <v>694.54</v>
      </c>
      <c r="N2604" s="9">
        <f t="shared" si="90"/>
        <v>85.5</v>
      </c>
    </row>
    <row r="2605" spans="1:14" ht="12.75" hidden="1" customHeight="1" x14ac:dyDescent="0.2">
      <c r="A2605">
        <v>65015</v>
      </c>
      <c r="B2605" s="3" t="s">
        <v>1244</v>
      </c>
      <c r="C2605" s="7" t="s">
        <v>907</v>
      </c>
      <c r="D2605" s="7" t="s">
        <v>200</v>
      </c>
      <c r="F2605" s="7" t="s">
        <v>1061</v>
      </c>
      <c r="G2605" s="7" t="s">
        <v>182</v>
      </c>
      <c r="H2605" s="7" t="s">
        <v>1362</v>
      </c>
      <c r="I2605" s="7" t="s">
        <v>1244</v>
      </c>
      <c r="K2605" s="7" t="s">
        <v>198</v>
      </c>
      <c r="L2605" s="11">
        <v>141</v>
      </c>
      <c r="M2605" s="11">
        <v>855.54</v>
      </c>
      <c r="N2605" s="9">
        <f t="shared" si="90"/>
        <v>141</v>
      </c>
    </row>
    <row r="2606" spans="1:14" ht="12.75" hidden="1" customHeight="1" x14ac:dyDescent="0.2">
      <c r="A2606">
        <v>65015</v>
      </c>
      <c r="B2606" s="3" t="s">
        <v>1244</v>
      </c>
      <c r="C2606" s="7" t="s">
        <v>907</v>
      </c>
      <c r="D2606" s="7" t="s">
        <v>200</v>
      </c>
      <c r="F2606" s="7" t="s">
        <v>1061</v>
      </c>
      <c r="G2606" s="7" t="s">
        <v>182</v>
      </c>
      <c r="H2606" s="7" t="s">
        <v>1362</v>
      </c>
      <c r="I2606" s="7" t="s">
        <v>1244</v>
      </c>
      <c r="K2606" s="7" t="s">
        <v>198</v>
      </c>
      <c r="L2606" s="11">
        <v>25</v>
      </c>
      <c r="M2606" s="11">
        <v>880.54</v>
      </c>
      <c r="N2606" s="9">
        <f t="shared" si="90"/>
        <v>25</v>
      </c>
    </row>
    <row r="2607" spans="1:14" ht="12.75" hidden="1" customHeight="1" x14ac:dyDescent="0.2">
      <c r="A2607">
        <v>65015</v>
      </c>
      <c r="B2607" s="3" t="s">
        <v>1244</v>
      </c>
      <c r="C2607" s="7" t="s">
        <v>907</v>
      </c>
      <c r="D2607" s="7" t="s">
        <v>200</v>
      </c>
      <c r="F2607" s="7" t="s">
        <v>1057</v>
      </c>
      <c r="G2607" s="7" t="s">
        <v>182</v>
      </c>
      <c r="H2607" s="7" t="s">
        <v>1362</v>
      </c>
      <c r="I2607" s="7" t="s">
        <v>1244</v>
      </c>
      <c r="K2607" s="7" t="s">
        <v>198</v>
      </c>
      <c r="L2607" s="11">
        <v>36</v>
      </c>
      <c r="M2607" s="11">
        <v>916.54</v>
      </c>
      <c r="N2607" s="9">
        <f t="shared" si="90"/>
        <v>36</v>
      </c>
    </row>
    <row r="2608" spans="1:14" ht="12.75" hidden="1" customHeight="1" x14ac:dyDescent="0.2">
      <c r="A2608">
        <v>65015</v>
      </c>
      <c r="B2608" s="3" t="s">
        <v>1244</v>
      </c>
      <c r="C2608" s="7" t="s">
        <v>907</v>
      </c>
      <c r="D2608" s="7" t="s">
        <v>200</v>
      </c>
      <c r="F2608" s="7" t="s">
        <v>1060</v>
      </c>
      <c r="G2608" s="7" t="s">
        <v>182</v>
      </c>
      <c r="H2608" s="7" t="s">
        <v>1362</v>
      </c>
      <c r="I2608" s="7" t="s">
        <v>1244</v>
      </c>
      <c r="K2608" s="7" t="s">
        <v>198</v>
      </c>
      <c r="L2608" s="11">
        <v>255.73</v>
      </c>
      <c r="M2608" s="11">
        <v>1172.27</v>
      </c>
      <c r="N2608" s="9">
        <f t="shared" si="90"/>
        <v>255.73</v>
      </c>
    </row>
    <row r="2609" spans="1:14" ht="12.75" hidden="1" customHeight="1" x14ac:dyDescent="0.2">
      <c r="A2609">
        <v>65015</v>
      </c>
      <c r="B2609" s="3" t="s">
        <v>1244</v>
      </c>
      <c r="C2609" s="7" t="s">
        <v>359</v>
      </c>
      <c r="D2609" s="7" t="s">
        <v>200</v>
      </c>
      <c r="E2609" s="7">
        <v>416</v>
      </c>
      <c r="F2609" s="7" t="s">
        <v>730</v>
      </c>
      <c r="G2609" s="7" t="s">
        <v>182</v>
      </c>
      <c r="H2609" s="7" t="s">
        <v>1362</v>
      </c>
      <c r="I2609" s="7" t="s">
        <v>1244</v>
      </c>
      <c r="J2609" s="7" t="s">
        <v>1058</v>
      </c>
      <c r="K2609" s="7" t="s">
        <v>198</v>
      </c>
      <c r="L2609" s="11">
        <v>126.21</v>
      </c>
      <c r="M2609" s="11">
        <v>1699.42</v>
      </c>
      <c r="N2609" s="9">
        <f t="shared" si="90"/>
        <v>126.21</v>
      </c>
    </row>
    <row r="2610" spans="1:14" ht="12.75" hidden="1" customHeight="1" x14ac:dyDescent="0.2">
      <c r="A2610">
        <v>65015</v>
      </c>
      <c r="B2610" s="3" t="s">
        <v>1244</v>
      </c>
      <c r="C2610" s="7" t="s">
        <v>348</v>
      </c>
      <c r="D2610" s="7" t="s">
        <v>200</v>
      </c>
      <c r="F2610" s="7" t="s">
        <v>1056</v>
      </c>
      <c r="G2610" s="7" t="s">
        <v>182</v>
      </c>
      <c r="H2610" s="7" t="s">
        <v>1362</v>
      </c>
      <c r="I2610" s="7" t="s">
        <v>1244</v>
      </c>
      <c r="K2610" s="7" t="s">
        <v>198</v>
      </c>
      <c r="L2610" s="11">
        <v>594</v>
      </c>
      <c r="M2610" s="11">
        <v>2293.42</v>
      </c>
      <c r="N2610" s="9">
        <f t="shared" si="90"/>
        <v>594</v>
      </c>
    </row>
    <row r="2611" spans="1:14" ht="12.75" hidden="1" customHeight="1" x14ac:dyDescent="0.2">
      <c r="A2611">
        <v>65015</v>
      </c>
      <c r="B2611" s="3" t="s">
        <v>1244</v>
      </c>
      <c r="C2611" s="7" t="s">
        <v>344</v>
      </c>
      <c r="D2611" s="7" t="s">
        <v>200</v>
      </c>
      <c r="F2611" s="7" t="s">
        <v>1056</v>
      </c>
      <c r="G2611" s="7" t="s">
        <v>182</v>
      </c>
      <c r="H2611" s="7" t="s">
        <v>1362</v>
      </c>
      <c r="I2611" s="7" t="s">
        <v>1244</v>
      </c>
      <c r="K2611" s="7" t="s">
        <v>198</v>
      </c>
      <c r="L2611" s="11">
        <v>19</v>
      </c>
      <c r="M2611" s="11">
        <v>2312.42</v>
      </c>
      <c r="N2611" s="9">
        <f t="shared" si="90"/>
        <v>19</v>
      </c>
    </row>
    <row r="2612" spans="1:14" ht="12.75" hidden="1" customHeight="1" x14ac:dyDescent="0.2">
      <c r="A2612">
        <v>65015</v>
      </c>
      <c r="B2612" s="3" t="s">
        <v>1244</v>
      </c>
      <c r="C2612" s="7" t="s">
        <v>344</v>
      </c>
      <c r="D2612" s="7" t="s">
        <v>200</v>
      </c>
      <c r="F2612" s="7" t="s">
        <v>1056</v>
      </c>
      <c r="G2612" s="7" t="s">
        <v>182</v>
      </c>
      <c r="H2612" s="7" t="s">
        <v>1362</v>
      </c>
      <c r="I2612" s="7" t="s">
        <v>1244</v>
      </c>
      <c r="K2612" s="7" t="s">
        <v>198</v>
      </c>
      <c r="L2612" s="11">
        <v>15</v>
      </c>
      <c r="M2612" s="11">
        <v>2327.42</v>
      </c>
      <c r="N2612" s="9">
        <f t="shared" si="90"/>
        <v>15</v>
      </c>
    </row>
    <row r="2613" spans="1:14" ht="12.75" hidden="1" customHeight="1" x14ac:dyDescent="0.2">
      <c r="A2613">
        <v>65015</v>
      </c>
      <c r="B2613" s="3" t="s">
        <v>1244</v>
      </c>
      <c r="C2613" s="7" t="s">
        <v>344</v>
      </c>
      <c r="D2613" s="7" t="s">
        <v>200</v>
      </c>
      <c r="F2613" s="7" t="s">
        <v>1056</v>
      </c>
      <c r="G2613" s="7" t="s">
        <v>182</v>
      </c>
      <c r="H2613" s="7" t="s">
        <v>1369</v>
      </c>
      <c r="I2613" s="7" t="s">
        <v>1244</v>
      </c>
      <c r="K2613" s="7" t="s">
        <v>198</v>
      </c>
      <c r="L2613" s="11">
        <v>9</v>
      </c>
      <c r="M2613" s="11">
        <v>2336.42</v>
      </c>
      <c r="N2613" s="9">
        <f t="shared" si="90"/>
        <v>9</v>
      </c>
    </row>
    <row r="2614" spans="1:14" ht="12.75" hidden="1" customHeight="1" x14ac:dyDescent="0.2">
      <c r="A2614">
        <v>65015</v>
      </c>
      <c r="B2614" s="3" t="s">
        <v>1244</v>
      </c>
      <c r="C2614" s="7" t="s">
        <v>344</v>
      </c>
      <c r="D2614" s="7" t="s">
        <v>200</v>
      </c>
      <c r="F2614" s="7" t="s">
        <v>1056</v>
      </c>
      <c r="G2614" s="7" t="s">
        <v>182</v>
      </c>
      <c r="H2614" s="7" t="s">
        <v>1369</v>
      </c>
      <c r="I2614" s="7" t="s">
        <v>1244</v>
      </c>
      <c r="K2614" s="7" t="s">
        <v>198</v>
      </c>
      <c r="L2614" s="11">
        <v>19</v>
      </c>
      <c r="M2614" s="11">
        <v>2355.42</v>
      </c>
      <c r="N2614" s="9">
        <f t="shared" si="90"/>
        <v>19</v>
      </c>
    </row>
    <row r="2615" spans="1:14" ht="12.75" hidden="1" customHeight="1" x14ac:dyDescent="0.2">
      <c r="A2615">
        <v>65015</v>
      </c>
      <c r="B2615" s="3" t="s">
        <v>1244</v>
      </c>
      <c r="C2615" s="7" t="s">
        <v>340</v>
      </c>
      <c r="D2615" s="7" t="s">
        <v>200</v>
      </c>
      <c r="F2615" s="7" t="s">
        <v>1056</v>
      </c>
      <c r="G2615" s="7" t="s">
        <v>182</v>
      </c>
      <c r="H2615" s="7" t="s">
        <v>1369</v>
      </c>
      <c r="I2615" s="7" t="s">
        <v>1244</v>
      </c>
      <c r="K2615" s="7" t="s">
        <v>198</v>
      </c>
      <c r="L2615" s="11">
        <v>200</v>
      </c>
      <c r="M2615" s="11">
        <v>2555.42</v>
      </c>
      <c r="N2615" s="9">
        <f t="shared" si="90"/>
        <v>200</v>
      </c>
    </row>
    <row r="2616" spans="1:14" ht="12.75" hidden="1" customHeight="1" x14ac:dyDescent="0.2">
      <c r="A2616">
        <v>65015</v>
      </c>
      <c r="B2616" s="3" t="s">
        <v>1244</v>
      </c>
      <c r="C2616" s="7" t="s">
        <v>334</v>
      </c>
      <c r="D2616" s="7" t="s">
        <v>200</v>
      </c>
      <c r="F2616" s="7" t="s">
        <v>1056</v>
      </c>
      <c r="G2616" s="7" t="s">
        <v>182</v>
      </c>
      <c r="H2616" s="7" t="s">
        <v>1369</v>
      </c>
      <c r="I2616" s="7" t="s">
        <v>1244</v>
      </c>
      <c r="K2616" s="7" t="s">
        <v>198</v>
      </c>
      <c r="L2616" s="11">
        <v>25</v>
      </c>
      <c r="M2616" s="11">
        <v>2580.42</v>
      </c>
      <c r="N2616" s="9">
        <f t="shared" si="90"/>
        <v>25</v>
      </c>
    </row>
    <row r="2617" spans="1:14" ht="12.75" hidden="1" customHeight="1" x14ac:dyDescent="0.2">
      <c r="A2617">
        <v>65015</v>
      </c>
      <c r="B2617" s="3" t="s">
        <v>1244</v>
      </c>
      <c r="C2617" s="7" t="s">
        <v>334</v>
      </c>
      <c r="D2617" s="7" t="s">
        <v>200</v>
      </c>
      <c r="F2617" s="7" t="s">
        <v>1057</v>
      </c>
      <c r="G2617" s="7" t="s">
        <v>182</v>
      </c>
      <c r="H2617" s="7" t="s">
        <v>1369</v>
      </c>
      <c r="I2617" s="7" t="s">
        <v>1244</v>
      </c>
      <c r="K2617" s="7" t="s">
        <v>198</v>
      </c>
      <c r="L2617" s="11">
        <v>36</v>
      </c>
      <c r="M2617" s="11">
        <v>2616.42</v>
      </c>
      <c r="N2617" s="9">
        <f t="shared" si="90"/>
        <v>36</v>
      </c>
    </row>
    <row r="2618" spans="1:14" ht="12.75" hidden="1" customHeight="1" x14ac:dyDescent="0.2">
      <c r="A2618">
        <v>65015</v>
      </c>
      <c r="B2618" s="3" t="s">
        <v>1244</v>
      </c>
      <c r="C2618" s="7" t="s">
        <v>334</v>
      </c>
      <c r="D2618" s="7" t="s">
        <v>200</v>
      </c>
      <c r="F2618" s="7" t="s">
        <v>1056</v>
      </c>
      <c r="G2618" s="7" t="s">
        <v>182</v>
      </c>
      <c r="H2618" s="7" t="s">
        <v>1369</v>
      </c>
      <c r="I2618" s="7" t="s">
        <v>1244</v>
      </c>
      <c r="K2618" s="7" t="s">
        <v>198</v>
      </c>
      <c r="L2618" s="11">
        <v>25</v>
      </c>
      <c r="M2618" s="11">
        <v>2641.42</v>
      </c>
      <c r="N2618" s="9">
        <f t="shared" si="90"/>
        <v>25</v>
      </c>
    </row>
    <row r="2619" spans="1:14" ht="12.75" hidden="1" customHeight="1" x14ac:dyDescent="0.2">
      <c r="A2619">
        <v>65015</v>
      </c>
      <c r="B2619" s="3" t="s">
        <v>1244</v>
      </c>
      <c r="C2619" s="7" t="s">
        <v>334</v>
      </c>
      <c r="D2619" s="7" t="s">
        <v>200</v>
      </c>
      <c r="F2619" s="7" t="s">
        <v>335</v>
      </c>
      <c r="G2619" s="7" t="s">
        <v>182</v>
      </c>
      <c r="H2619" s="7" t="s">
        <v>1369</v>
      </c>
      <c r="I2619" s="7" t="s">
        <v>1244</v>
      </c>
      <c r="K2619" s="7" t="s">
        <v>198</v>
      </c>
      <c r="L2619" s="11">
        <v>16.670000000000002</v>
      </c>
      <c r="M2619" s="11">
        <v>2658.09</v>
      </c>
      <c r="N2619" s="9">
        <f t="shared" si="90"/>
        <v>16.670000000000002</v>
      </c>
    </row>
    <row r="2620" spans="1:14" ht="12.75" hidden="1" customHeight="1" x14ac:dyDescent="0.2">
      <c r="A2620">
        <v>65015</v>
      </c>
      <c r="B2620" s="3" t="s">
        <v>1244</v>
      </c>
      <c r="C2620" s="7" t="s">
        <v>287</v>
      </c>
      <c r="D2620" s="7" t="s">
        <v>200</v>
      </c>
      <c r="E2620" s="7">
        <v>444</v>
      </c>
      <c r="F2620" s="7" t="s">
        <v>730</v>
      </c>
      <c r="G2620" s="7" t="s">
        <v>182</v>
      </c>
      <c r="H2620" s="7" t="s">
        <v>1369</v>
      </c>
      <c r="I2620" s="7" t="s">
        <v>1244</v>
      </c>
      <c r="J2620" s="7" t="s">
        <v>1055</v>
      </c>
      <c r="K2620" s="7" t="s">
        <v>198</v>
      </c>
      <c r="L2620" s="11">
        <v>170.11</v>
      </c>
      <c r="M2620" s="11">
        <v>2960.37</v>
      </c>
      <c r="N2620" s="9">
        <f t="shared" si="90"/>
        <v>170.11</v>
      </c>
    </row>
    <row r="2621" spans="1:14" ht="12.75" hidden="1" customHeight="1" x14ac:dyDescent="0.2">
      <c r="A2621">
        <v>65015</v>
      </c>
      <c r="B2621" s="3" t="s">
        <v>1244</v>
      </c>
      <c r="C2621" s="7" t="s">
        <v>701</v>
      </c>
      <c r="D2621" s="7" t="s">
        <v>221</v>
      </c>
      <c r="F2621" s="7" t="s">
        <v>1054</v>
      </c>
      <c r="G2621" s="7" t="s">
        <v>182</v>
      </c>
      <c r="H2621" s="7" t="s">
        <v>1369</v>
      </c>
      <c r="I2621" s="7" t="s">
        <v>1244</v>
      </c>
      <c r="K2621" s="7" t="s">
        <v>198</v>
      </c>
      <c r="L2621" s="11">
        <v>35.49</v>
      </c>
      <c r="M2621" s="11">
        <v>3109.67</v>
      </c>
      <c r="N2621" s="9">
        <f t="shared" si="90"/>
        <v>35.49</v>
      </c>
    </row>
    <row r="2622" spans="1:14" ht="12.75" hidden="1" customHeight="1" x14ac:dyDescent="0.2">
      <c r="A2622">
        <v>65015</v>
      </c>
      <c r="B2622" s="3" t="s">
        <v>1244</v>
      </c>
      <c r="C2622" s="7" t="s">
        <v>585</v>
      </c>
      <c r="D2622" s="7" t="s">
        <v>221</v>
      </c>
      <c r="F2622" s="7" t="s">
        <v>1053</v>
      </c>
      <c r="G2622" s="7" t="s">
        <v>182</v>
      </c>
      <c r="H2622" s="7" t="s">
        <v>1369</v>
      </c>
      <c r="I2622" s="7" t="s">
        <v>1244</v>
      </c>
      <c r="K2622" s="7" t="s">
        <v>198</v>
      </c>
      <c r="L2622" s="11">
        <v>100</v>
      </c>
      <c r="M2622" s="11">
        <v>3301.64</v>
      </c>
      <c r="N2622" s="9">
        <f t="shared" si="90"/>
        <v>100</v>
      </c>
    </row>
    <row r="2623" spans="1:14" ht="12.75" hidden="1" customHeight="1" x14ac:dyDescent="0.2">
      <c r="A2623">
        <v>65015</v>
      </c>
      <c r="B2623" s="3" t="s">
        <v>1244</v>
      </c>
      <c r="C2623" s="7" t="s">
        <v>576</v>
      </c>
      <c r="D2623" s="7" t="s">
        <v>221</v>
      </c>
      <c r="F2623" s="7" t="s">
        <v>1049</v>
      </c>
      <c r="G2623" s="7" t="s">
        <v>182</v>
      </c>
      <c r="H2623" s="7" t="s">
        <v>1369</v>
      </c>
      <c r="I2623" s="7" t="s">
        <v>1244</v>
      </c>
      <c r="K2623" s="7" t="s">
        <v>198</v>
      </c>
      <c r="L2623" s="11">
        <v>90</v>
      </c>
      <c r="M2623" s="11">
        <v>3455.42</v>
      </c>
      <c r="N2623" s="9">
        <f t="shared" si="90"/>
        <v>90</v>
      </c>
    </row>
    <row r="2624" spans="1:14" ht="12.75" hidden="1" customHeight="1" x14ac:dyDescent="0.2">
      <c r="A2624">
        <v>65015</v>
      </c>
      <c r="B2624" s="3" t="s">
        <v>1244</v>
      </c>
      <c r="C2624" s="7" t="s">
        <v>210</v>
      </c>
      <c r="D2624" s="7" t="s">
        <v>221</v>
      </c>
      <c r="F2624" s="7" t="s">
        <v>1051</v>
      </c>
      <c r="G2624" s="7" t="s">
        <v>182</v>
      </c>
      <c r="H2624" s="7" t="s">
        <v>1369</v>
      </c>
      <c r="I2624" s="7" t="s">
        <v>1244</v>
      </c>
      <c r="K2624" s="7" t="s">
        <v>198</v>
      </c>
      <c r="L2624" s="11">
        <v>90</v>
      </c>
      <c r="M2624" s="11">
        <v>3545.42</v>
      </c>
      <c r="N2624" s="9">
        <f t="shared" si="90"/>
        <v>90</v>
      </c>
    </row>
    <row r="2625" spans="1:14" ht="12.75" hidden="1" customHeight="1" x14ac:dyDescent="0.2">
      <c r="A2625">
        <v>65015</v>
      </c>
      <c r="B2625" s="3" t="s">
        <v>1244</v>
      </c>
      <c r="C2625" s="7" t="s">
        <v>210</v>
      </c>
      <c r="D2625" s="7" t="s">
        <v>221</v>
      </c>
      <c r="F2625" s="7" t="s">
        <v>1049</v>
      </c>
      <c r="G2625" s="7" t="s">
        <v>182</v>
      </c>
      <c r="H2625" s="7" t="s">
        <v>1369</v>
      </c>
      <c r="I2625" s="7" t="s">
        <v>1244</v>
      </c>
      <c r="K2625" s="7" t="s">
        <v>198</v>
      </c>
      <c r="L2625" s="11">
        <v>90</v>
      </c>
      <c r="M2625" s="11">
        <v>3635.42</v>
      </c>
      <c r="N2625" s="9">
        <f t="shared" si="90"/>
        <v>90</v>
      </c>
    </row>
    <row r="2626" spans="1:14" ht="12.75" hidden="1" customHeight="1" x14ac:dyDescent="0.2">
      <c r="A2626">
        <v>65015</v>
      </c>
      <c r="B2626" s="3" t="s">
        <v>1244</v>
      </c>
      <c r="C2626" s="7" t="s">
        <v>1780</v>
      </c>
      <c r="D2626" s="7" t="s">
        <v>221</v>
      </c>
      <c r="F2626" s="7" t="s">
        <v>1056</v>
      </c>
      <c r="G2626" s="7" t="s">
        <v>182</v>
      </c>
      <c r="H2626" s="43" t="s">
        <v>1362</v>
      </c>
      <c r="I2626" s="7" t="s">
        <v>1244</v>
      </c>
      <c r="K2626" s="39" t="s">
        <v>198</v>
      </c>
      <c r="L2626" s="40">
        <v>561.20000000000005</v>
      </c>
      <c r="M2626" s="40">
        <v>4941.2299999999996</v>
      </c>
      <c r="N2626" s="40">
        <f t="shared" ref="N2626:N2633" si="91">+L2626</f>
        <v>561.20000000000005</v>
      </c>
    </row>
    <row r="2627" spans="1:14" ht="12.75" hidden="1" customHeight="1" x14ac:dyDescent="0.2">
      <c r="A2627">
        <v>65015</v>
      </c>
      <c r="B2627" s="3" t="s">
        <v>1244</v>
      </c>
      <c r="C2627" s="7" t="s">
        <v>1593</v>
      </c>
      <c r="D2627" s="7" t="s">
        <v>221</v>
      </c>
      <c r="F2627" s="7" t="s">
        <v>1056</v>
      </c>
      <c r="G2627" s="7" t="s">
        <v>182</v>
      </c>
      <c r="H2627" s="43" t="s">
        <v>1362</v>
      </c>
      <c r="I2627" s="7" t="s">
        <v>1244</v>
      </c>
      <c r="K2627" s="39" t="s">
        <v>198</v>
      </c>
      <c r="L2627" s="40">
        <v>8</v>
      </c>
      <c r="M2627" s="40">
        <v>4949.2299999999996</v>
      </c>
      <c r="N2627" s="40">
        <f t="shared" si="91"/>
        <v>8</v>
      </c>
    </row>
    <row r="2628" spans="1:14" ht="12.75" hidden="1" customHeight="1" x14ac:dyDescent="0.2">
      <c r="A2628">
        <v>65015</v>
      </c>
      <c r="B2628" s="3" t="s">
        <v>1244</v>
      </c>
      <c r="C2628" s="7" t="s">
        <v>1593</v>
      </c>
      <c r="D2628" s="7" t="s">
        <v>221</v>
      </c>
      <c r="F2628" s="7" t="s">
        <v>1056</v>
      </c>
      <c r="G2628" s="7" t="s">
        <v>182</v>
      </c>
      <c r="H2628" s="43" t="s">
        <v>1362</v>
      </c>
      <c r="I2628" s="7" t="s">
        <v>1244</v>
      </c>
      <c r="K2628" s="39" t="s">
        <v>198</v>
      </c>
      <c r="L2628" s="40">
        <v>25</v>
      </c>
      <c r="M2628" s="40">
        <v>4974.2299999999996</v>
      </c>
      <c r="N2628" s="40">
        <f t="shared" si="91"/>
        <v>25</v>
      </c>
    </row>
    <row r="2629" spans="1:14" ht="12.75" hidden="1" customHeight="1" x14ac:dyDescent="0.2">
      <c r="A2629">
        <v>65015</v>
      </c>
      <c r="B2629" s="3" t="s">
        <v>1244</v>
      </c>
      <c r="C2629" s="7" t="s">
        <v>1593</v>
      </c>
      <c r="D2629" s="7" t="s">
        <v>221</v>
      </c>
      <c r="F2629" s="7" t="s">
        <v>1056</v>
      </c>
      <c r="G2629" s="7" t="s">
        <v>182</v>
      </c>
      <c r="H2629" s="43" t="s">
        <v>1362</v>
      </c>
      <c r="I2629" s="7" t="s">
        <v>1244</v>
      </c>
      <c r="K2629" s="39" t="s">
        <v>198</v>
      </c>
      <c r="L2629" s="40">
        <v>25</v>
      </c>
      <c r="M2629" s="40">
        <v>4999.2299999999996</v>
      </c>
      <c r="N2629" s="40">
        <f t="shared" si="91"/>
        <v>25</v>
      </c>
    </row>
    <row r="2630" spans="1:14" ht="12.75" hidden="1" customHeight="1" x14ac:dyDescent="0.2">
      <c r="A2630">
        <v>65015</v>
      </c>
      <c r="B2630" s="3" t="s">
        <v>1244</v>
      </c>
      <c r="C2630" s="7" t="s">
        <v>1593</v>
      </c>
      <c r="D2630" s="7" t="s">
        <v>221</v>
      </c>
      <c r="F2630" s="7" t="s">
        <v>1056</v>
      </c>
      <c r="G2630" s="7" t="s">
        <v>182</v>
      </c>
      <c r="H2630" s="43" t="s">
        <v>1362</v>
      </c>
      <c r="I2630" s="7" t="s">
        <v>1244</v>
      </c>
      <c r="K2630" s="39" t="s">
        <v>198</v>
      </c>
      <c r="L2630" s="40">
        <v>8</v>
      </c>
      <c r="M2630" s="40">
        <v>5007.2299999999996</v>
      </c>
      <c r="N2630" s="40">
        <f t="shared" si="91"/>
        <v>8</v>
      </c>
    </row>
    <row r="2631" spans="1:14" ht="12.75" hidden="1" customHeight="1" x14ac:dyDescent="0.2">
      <c r="A2631">
        <v>65015</v>
      </c>
      <c r="B2631" s="3" t="s">
        <v>1244</v>
      </c>
      <c r="C2631" s="7" t="s">
        <v>1781</v>
      </c>
      <c r="D2631" s="7" t="s">
        <v>221</v>
      </c>
      <c r="F2631" s="7" t="s">
        <v>1782</v>
      </c>
      <c r="G2631" s="7" t="s">
        <v>182</v>
      </c>
      <c r="H2631" s="43" t="s">
        <v>1362</v>
      </c>
      <c r="I2631" s="7" t="s">
        <v>1244</v>
      </c>
      <c r="K2631" s="39" t="s">
        <v>198</v>
      </c>
      <c r="L2631" s="40">
        <v>31.75</v>
      </c>
      <c r="M2631" s="40">
        <v>5038.9799999999996</v>
      </c>
      <c r="N2631" s="40">
        <f t="shared" si="91"/>
        <v>31.75</v>
      </c>
    </row>
    <row r="2632" spans="1:14" ht="12.75" hidden="1" customHeight="1" x14ac:dyDescent="0.2">
      <c r="A2632">
        <v>65015</v>
      </c>
      <c r="B2632" s="3" t="s">
        <v>1244</v>
      </c>
      <c r="C2632" s="7" t="s">
        <v>1790</v>
      </c>
      <c r="D2632" s="7" t="s">
        <v>221</v>
      </c>
      <c r="F2632" s="7" t="s">
        <v>1056</v>
      </c>
      <c r="G2632" s="7" t="s">
        <v>182</v>
      </c>
      <c r="H2632" s="43" t="s">
        <v>1362</v>
      </c>
      <c r="I2632" s="7" t="s">
        <v>1244</v>
      </c>
      <c r="K2632" s="39" t="s">
        <v>198</v>
      </c>
      <c r="L2632" s="40">
        <v>639.20000000000005</v>
      </c>
      <c r="M2632" s="40">
        <v>11536.53</v>
      </c>
      <c r="N2632" s="40">
        <f t="shared" si="91"/>
        <v>639.20000000000005</v>
      </c>
    </row>
    <row r="2633" spans="1:14" ht="12.75" hidden="1" customHeight="1" x14ac:dyDescent="0.2">
      <c r="A2633">
        <v>65015</v>
      </c>
      <c r="B2633" s="3" t="s">
        <v>1244</v>
      </c>
      <c r="C2633" s="7" t="s">
        <v>1647</v>
      </c>
      <c r="D2633" s="7" t="s">
        <v>221</v>
      </c>
      <c r="F2633" s="7" t="s">
        <v>549</v>
      </c>
      <c r="G2633" s="7" t="s">
        <v>182</v>
      </c>
      <c r="H2633" s="43" t="s">
        <v>1362</v>
      </c>
      <c r="I2633" s="7" t="s">
        <v>1244</v>
      </c>
      <c r="K2633" s="39" t="s">
        <v>565</v>
      </c>
      <c r="L2633" s="40">
        <v>709.19</v>
      </c>
      <c r="M2633" s="40">
        <v>12985.82</v>
      </c>
      <c r="N2633" s="40">
        <f t="shared" si="91"/>
        <v>709.19</v>
      </c>
    </row>
    <row r="2634" spans="1:14" ht="12.75" hidden="1" customHeight="1" x14ac:dyDescent="0.2">
      <c r="A2634">
        <v>65020</v>
      </c>
      <c r="B2634" s="3" t="s">
        <v>1245</v>
      </c>
      <c r="C2634" s="7" t="s">
        <v>965</v>
      </c>
      <c r="D2634" s="7" t="s">
        <v>200</v>
      </c>
      <c r="F2634" s="7" t="s">
        <v>338</v>
      </c>
      <c r="G2634" s="7" t="s">
        <v>182</v>
      </c>
      <c r="H2634" s="7" t="s">
        <v>1369</v>
      </c>
      <c r="I2634" s="7" t="s">
        <v>1245</v>
      </c>
      <c r="K2634" s="7" t="s">
        <v>198</v>
      </c>
      <c r="L2634" s="11">
        <v>41.4</v>
      </c>
      <c r="M2634" s="11">
        <v>147.31</v>
      </c>
      <c r="N2634" s="9">
        <f t="shared" ref="N2634:N2656" si="92">IF(A2634&lt;60000,-L2634,+L2634)</f>
        <v>41.4</v>
      </c>
    </row>
    <row r="2635" spans="1:14" ht="12.75" hidden="1" customHeight="1" x14ac:dyDescent="0.2">
      <c r="A2635">
        <v>65020</v>
      </c>
      <c r="B2635" s="3" t="s">
        <v>1245</v>
      </c>
      <c r="C2635" s="7" t="s">
        <v>965</v>
      </c>
      <c r="D2635" s="7" t="s">
        <v>200</v>
      </c>
      <c r="F2635" s="7" t="s">
        <v>338</v>
      </c>
      <c r="G2635" s="7" t="s">
        <v>182</v>
      </c>
      <c r="H2635" s="7" t="s">
        <v>1369</v>
      </c>
      <c r="I2635" s="7" t="s">
        <v>1245</v>
      </c>
      <c r="K2635" s="7" t="s">
        <v>198</v>
      </c>
      <c r="L2635" s="11">
        <v>41.4</v>
      </c>
      <c r="M2635" s="11">
        <v>188.71</v>
      </c>
      <c r="N2635" s="9">
        <f t="shared" si="92"/>
        <v>41.4</v>
      </c>
    </row>
    <row r="2636" spans="1:14" ht="12.75" hidden="1" customHeight="1" x14ac:dyDescent="0.2">
      <c r="A2636">
        <v>65020</v>
      </c>
      <c r="B2636" s="3" t="s">
        <v>1245</v>
      </c>
      <c r="C2636" s="7" t="s">
        <v>392</v>
      </c>
      <c r="D2636" s="7" t="s">
        <v>200</v>
      </c>
      <c r="F2636" s="7" t="s">
        <v>338</v>
      </c>
      <c r="G2636" s="7" t="s">
        <v>182</v>
      </c>
      <c r="H2636" s="7" t="s">
        <v>1369</v>
      </c>
      <c r="I2636" s="7" t="s">
        <v>1245</v>
      </c>
      <c r="K2636" s="7" t="s">
        <v>198</v>
      </c>
      <c r="L2636" s="11">
        <v>5.84</v>
      </c>
      <c r="M2636" s="11">
        <v>297.3</v>
      </c>
      <c r="N2636" s="9">
        <f t="shared" si="92"/>
        <v>5.84</v>
      </c>
    </row>
    <row r="2637" spans="1:14" ht="12.75" hidden="1" customHeight="1" x14ac:dyDescent="0.2">
      <c r="A2637">
        <v>65020</v>
      </c>
      <c r="B2637" s="3" t="s">
        <v>1245</v>
      </c>
      <c r="C2637" s="7" t="s">
        <v>384</v>
      </c>
      <c r="D2637" s="7" t="s">
        <v>200</v>
      </c>
      <c r="F2637" s="7" t="s">
        <v>338</v>
      </c>
      <c r="G2637" s="7" t="s">
        <v>182</v>
      </c>
      <c r="H2637" s="7" t="s">
        <v>1369</v>
      </c>
      <c r="I2637" s="7" t="s">
        <v>1245</v>
      </c>
      <c r="K2637" s="7" t="s">
        <v>198</v>
      </c>
      <c r="L2637" s="11">
        <v>93.75</v>
      </c>
      <c r="M2637" s="11">
        <v>391.05</v>
      </c>
      <c r="N2637" s="9">
        <f t="shared" si="92"/>
        <v>93.75</v>
      </c>
    </row>
    <row r="2638" spans="1:14" ht="12.75" hidden="1" customHeight="1" x14ac:dyDescent="0.2">
      <c r="A2638">
        <v>65020</v>
      </c>
      <c r="B2638" s="3" t="s">
        <v>1245</v>
      </c>
      <c r="C2638" s="7" t="s">
        <v>942</v>
      </c>
      <c r="D2638" s="7" t="s">
        <v>200</v>
      </c>
      <c r="F2638" s="7" t="s">
        <v>338</v>
      </c>
      <c r="G2638" s="7" t="s">
        <v>182</v>
      </c>
      <c r="H2638" s="7" t="s">
        <v>1369</v>
      </c>
      <c r="I2638" s="7" t="s">
        <v>1245</v>
      </c>
      <c r="K2638" s="7" t="s">
        <v>198</v>
      </c>
      <c r="L2638" s="11">
        <v>5.25</v>
      </c>
      <c r="M2638" s="11">
        <v>478.76</v>
      </c>
      <c r="N2638" s="9">
        <f t="shared" si="92"/>
        <v>5.25</v>
      </c>
    </row>
    <row r="2639" spans="1:14" ht="12.75" hidden="1" customHeight="1" x14ac:dyDescent="0.2">
      <c r="A2639">
        <v>65020</v>
      </c>
      <c r="B2639" s="3" t="s">
        <v>1245</v>
      </c>
      <c r="C2639" s="7" t="s">
        <v>926</v>
      </c>
      <c r="D2639" s="7" t="s">
        <v>200</v>
      </c>
      <c r="F2639" s="7" t="s">
        <v>338</v>
      </c>
      <c r="G2639" s="7" t="s">
        <v>182</v>
      </c>
      <c r="H2639" s="7" t="s">
        <v>1369</v>
      </c>
      <c r="I2639" s="7" t="s">
        <v>1245</v>
      </c>
      <c r="K2639" s="7" t="s">
        <v>198</v>
      </c>
      <c r="L2639" s="11">
        <v>5.05</v>
      </c>
      <c r="M2639" s="11">
        <v>564.36</v>
      </c>
      <c r="N2639" s="9">
        <f t="shared" si="92"/>
        <v>5.05</v>
      </c>
    </row>
    <row r="2640" spans="1:14" ht="12.75" hidden="1" customHeight="1" x14ac:dyDescent="0.2">
      <c r="A2640">
        <v>65020</v>
      </c>
      <c r="B2640" s="3" t="s">
        <v>1245</v>
      </c>
      <c r="C2640" s="7" t="s">
        <v>926</v>
      </c>
      <c r="D2640" s="7" t="s">
        <v>200</v>
      </c>
      <c r="F2640" s="7" t="s">
        <v>338</v>
      </c>
      <c r="G2640" s="7" t="s">
        <v>182</v>
      </c>
      <c r="H2640" s="7" t="s">
        <v>1369</v>
      </c>
      <c r="I2640" s="7" t="s">
        <v>1245</v>
      </c>
      <c r="K2640" s="7" t="s">
        <v>198</v>
      </c>
      <c r="L2640" s="11">
        <v>11.3</v>
      </c>
      <c r="M2640" s="11">
        <v>575.66</v>
      </c>
      <c r="N2640" s="9">
        <f t="shared" si="92"/>
        <v>11.3</v>
      </c>
    </row>
    <row r="2641" spans="1:14" ht="12.75" hidden="1" customHeight="1" x14ac:dyDescent="0.2">
      <c r="A2641">
        <v>65020</v>
      </c>
      <c r="B2641" s="3" t="s">
        <v>1245</v>
      </c>
      <c r="C2641" s="7" t="s">
        <v>897</v>
      </c>
      <c r="D2641" s="7" t="s">
        <v>200</v>
      </c>
      <c r="F2641" s="7" t="s">
        <v>338</v>
      </c>
      <c r="G2641" s="7" t="s">
        <v>182</v>
      </c>
      <c r="H2641" s="7" t="s">
        <v>1369</v>
      </c>
      <c r="I2641" s="7" t="s">
        <v>1245</v>
      </c>
      <c r="K2641" s="7" t="s">
        <v>198</v>
      </c>
      <c r="L2641" s="11">
        <v>10.95</v>
      </c>
      <c r="M2641" s="11">
        <v>652.4</v>
      </c>
      <c r="N2641" s="9">
        <f t="shared" si="92"/>
        <v>10.95</v>
      </c>
    </row>
    <row r="2642" spans="1:14" ht="12.75" hidden="1" customHeight="1" x14ac:dyDescent="0.2">
      <c r="A2642">
        <v>65020</v>
      </c>
      <c r="B2642" s="3" t="s">
        <v>1245</v>
      </c>
      <c r="C2642" s="7" t="s">
        <v>305</v>
      </c>
      <c r="D2642" s="7" t="s">
        <v>200</v>
      </c>
      <c r="F2642" s="7" t="s">
        <v>338</v>
      </c>
      <c r="G2642" s="7" t="s">
        <v>182</v>
      </c>
      <c r="H2642" s="7" t="s">
        <v>1369</v>
      </c>
      <c r="I2642" s="7" t="s">
        <v>1245</v>
      </c>
      <c r="K2642" s="7" t="s">
        <v>198</v>
      </c>
      <c r="L2642" s="11">
        <v>98</v>
      </c>
      <c r="M2642" s="11">
        <v>908.3</v>
      </c>
      <c r="N2642" s="9">
        <f t="shared" si="92"/>
        <v>98</v>
      </c>
    </row>
    <row r="2643" spans="1:14" ht="12.75" hidden="1" customHeight="1" x14ac:dyDescent="0.2">
      <c r="A2643">
        <v>65020</v>
      </c>
      <c r="B2643" s="3" t="s">
        <v>1245</v>
      </c>
      <c r="C2643" s="7" t="s">
        <v>305</v>
      </c>
      <c r="D2643" s="7" t="s">
        <v>200</v>
      </c>
      <c r="F2643" s="7" t="s">
        <v>338</v>
      </c>
      <c r="G2643" s="7" t="s">
        <v>182</v>
      </c>
      <c r="H2643" s="7" t="s">
        <v>1369</v>
      </c>
      <c r="I2643" s="7" t="s">
        <v>1245</v>
      </c>
      <c r="K2643" s="7" t="s">
        <v>198</v>
      </c>
      <c r="L2643" s="11">
        <v>5.84</v>
      </c>
      <c r="M2643" s="11">
        <v>914.14</v>
      </c>
      <c r="N2643" s="9">
        <f t="shared" si="92"/>
        <v>5.84</v>
      </c>
    </row>
    <row r="2644" spans="1:14" ht="12.75" hidden="1" customHeight="1" x14ac:dyDescent="0.2">
      <c r="A2644">
        <v>65020</v>
      </c>
      <c r="B2644" s="3" t="s">
        <v>1245</v>
      </c>
      <c r="C2644" s="7" t="s">
        <v>814</v>
      </c>
      <c r="D2644" s="7" t="s">
        <v>200</v>
      </c>
      <c r="F2644" s="7" t="s">
        <v>338</v>
      </c>
      <c r="G2644" s="7" t="s">
        <v>182</v>
      </c>
      <c r="H2644" s="7" t="s">
        <v>1369</v>
      </c>
      <c r="I2644" s="7" t="s">
        <v>1245</v>
      </c>
      <c r="K2644" s="7" t="s">
        <v>198</v>
      </c>
      <c r="L2644" s="11">
        <v>5.25</v>
      </c>
      <c r="M2644" s="11">
        <v>932.45</v>
      </c>
      <c r="N2644" s="9">
        <f t="shared" si="92"/>
        <v>5.25</v>
      </c>
    </row>
    <row r="2645" spans="1:14" ht="12.75" hidden="1" customHeight="1" x14ac:dyDescent="0.2">
      <c r="A2645">
        <v>65020</v>
      </c>
      <c r="B2645" s="3" t="s">
        <v>1245</v>
      </c>
      <c r="C2645" s="7" t="s">
        <v>284</v>
      </c>
      <c r="D2645" s="7" t="s">
        <v>200</v>
      </c>
      <c r="F2645" s="7" t="s">
        <v>338</v>
      </c>
      <c r="G2645" s="7" t="s">
        <v>182</v>
      </c>
      <c r="H2645" s="7" t="s">
        <v>1369</v>
      </c>
      <c r="I2645" s="7" t="s">
        <v>1245</v>
      </c>
      <c r="K2645" s="7" t="s">
        <v>198</v>
      </c>
      <c r="L2645" s="11">
        <v>5.05</v>
      </c>
      <c r="M2645" s="11">
        <v>972.98</v>
      </c>
      <c r="N2645" s="9">
        <f t="shared" si="92"/>
        <v>5.05</v>
      </c>
    </row>
    <row r="2646" spans="1:14" ht="12.75" hidden="1" customHeight="1" x14ac:dyDescent="0.2">
      <c r="A2646">
        <v>65020</v>
      </c>
      <c r="B2646" s="3" t="s">
        <v>1245</v>
      </c>
      <c r="C2646" s="7" t="s">
        <v>196</v>
      </c>
      <c r="D2646" s="7" t="s">
        <v>200</v>
      </c>
      <c r="F2646" s="7" t="s">
        <v>338</v>
      </c>
      <c r="G2646" s="7" t="s">
        <v>182</v>
      </c>
      <c r="H2646" s="7" t="s">
        <v>1369</v>
      </c>
      <c r="I2646" s="7" t="s">
        <v>1245</v>
      </c>
      <c r="K2646" s="7" t="s">
        <v>198</v>
      </c>
      <c r="L2646" s="11">
        <v>5.7</v>
      </c>
      <c r="M2646" s="11">
        <v>998.62</v>
      </c>
      <c r="N2646" s="9">
        <f t="shared" si="92"/>
        <v>5.7</v>
      </c>
    </row>
    <row r="2647" spans="1:14" ht="12.75" hidden="1" customHeight="1" x14ac:dyDescent="0.2">
      <c r="A2647">
        <v>65020</v>
      </c>
      <c r="B2647" s="3" t="s">
        <v>1245</v>
      </c>
      <c r="C2647" s="7" t="s">
        <v>788</v>
      </c>
      <c r="D2647" s="7" t="s">
        <v>200</v>
      </c>
      <c r="F2647" s="7" t="s">
        <v>338</v>
      </c>
      <c r="G2647" s="7" t="s">
        <v>182</v>
      </c>
      <c r="H2647" s="7" t="s">
        <v>1369</v>
      </c>
      <c r="I2647" s="7" t="s">
        <v>1245</v>
      </c>
      <c r="K2647" s="7" t="s">
        <v>198</v>
      </c>
      <c r="L2647" s="11">
        <v>5.7</v>
      </c>
      <c r="M2647" s="11">
        <v>1027.01</v>
      </c>
      <c r="N2647" s="9">
        <f t="shared" si="92"/>
        <v>5.7</v>
      </c>
    </row>
    <row r="2648" spans="1:14" ht="12.75" hidden="1" customHeight="1" x14ac:dyDescent="0.2">
      <c r="A2648">
        <v>65020</v>
      </c>
      <c r="B2648" s="3" t="s">
        <v>1245</v>
      </c>
      <c r="C2648" s="7" t="s">
        <v>270</v>
      </c>
      <c r="D2648" s="7" t="s">
        <v>200</v>
      </c>
      <c r="F2648" s="7" t="s">
        <v>338</v>
      </c>
      <c r="G2648" s="7" t="s">
        <v>182</v>
      </c>
      <c r="H2648" s="7" t="s">
        <v>1369</v>
      </c>
      <c r="I2648" s="7" t="s">
        <v>1245</v>
      </c>
      <c r="K2648" s="7" t="s">
        <v>198</v>
      </c>
      <c r="L2648" s="11">
        <v>5.7</v>
      </c>
      <c r="M2648" s="11">
        <v>1075.24</v>
      </c>
      <c r="N2648" s="9">
        <f t="shared" si="92"/>
        <v>5.7</v>
      </c>
    </row>
    <row r="2649" spans="1:14" ht="12.75" hidden="1" customHeight="1" x14ac:dyDescent="0.2">
      <c r="A2649">
        <v>65020</v>
      </c>
      <c r="B2649" s="3" t="s">
        <v>1245</v>
      </c>
      <c r="C2649" s="7" t="s">
        <v>257</v>
      </c>
      <c r="D2649" s="7" t="s">
        <v>200</v>
      </c>
      <c r="F2649" s="7" t="s">
        <v>338</v>
      </c>
      <c r="G2649" s="7" t="s">
        <v>182</v>
      </c>
      <c r="H2649" s="7" t="s">
        <v>1369</v>
      </c>
      <c r="I2649" s="7" t="s">
        <v>1245</v>
      </c>
      <c r="K2649" s="7" t="s">
        <v>198</v>
      </c>
      <c r="L2649" s="11">
        <v>36.54</v>
      </c>
      <c r="M2649" s="11">
        <v>1197.57</v>
      </c>
      <c r="N2649" s="9">
        <f t="shared" si="92"/>
        <v>36.54</v>
      </c>
    </row>
    <row r="2650" spans="1:14" ht="12.75" hidden="1" customHeight="1" x14ac:dyDescent="0.2">
      <c r="A2650">
        <v>65020</v>
      </c>
      <c r="B2650" s="3" t="s">
        <v>1245</v>
      </c>
      <c r="C2650" s="7" t="s">
        <v>442</v>
      </c>
      <c r="D2650" s="7" t="s">
        <v>221</v>
      </c>
      <c r="F2650" s="7" t="s">
        <v>338</v>
      </c>
      <c r="G2650" s="7" t="s">
        <v>182</v>
      </c>
      <c r="H2650" s="7" t="s">
        <v>1369</v>
      </c>
      <c r="I2650" s="7" t="s">
        <v>1245</v>
      </c>
      <c r="K2650" s="7" t="s">
        <v>198</v>
      </c>
      <c r="L2650" s="11">
        <v>5.7</v>
      </c>
      <c r="M2650" s="11">
        <v>1529.25</v>
      </c>
      <c r="N2650" s="9">
        <f t="shared" si="92"/>
        <v>5.7</v>
      </c>
    </row>
    <row r="2651" spans="1:14" ht="12.75" hidden="1" customHeight="1" x14ac:dyDescent="0.2">
      <c r="A2651">
        <v>65020</v>
      </c>
      <c r="B2651" s="3" t="s">
        <v>1245</v>
      </c>
      <c r="C2651" s="7" t="s">
        <v>676</v>
      </c>
      <c r="D2651" s="7" t="s">
        <v>221</v>
      </c>
      <c r="F2651" s="7" t="s">
        <v>338</v>
      </c>
      <c r="G2651" s="7" t="s">
        <v>182</v>
      </c>
      <c r="H2651" s="7" t="s">
        <v>1369</v>
      </c>
      <c r="I2651" s="7" t="s">
        <v>1245</v>
      </c>
      <c r="K2651" s="7" t="s">
        <v>198</v>
      </c>
      <c r="L2651" s="11">
        <v>7.55</v>
      </c>
      <c r="M2651" s="11">
        <v>1559.43</v>
      </c>
      <c r="N2651" s="9">
        <f t="shared" si="92"/>
        <v>7.55</v>
      </c>
    </row>
    <row r="2652" spans="1:14" ht="12.75" hidden="1" customHeight="1" x14ac:dyDescent="0.2">
      <c r="A2652">
        <v>65020</v>
      </c>
      <c r="B2652" s="3" t="s">
        <v>1245</v>
      </c>
      <c r="C2652" s="7" t="s">
        <v>650</v>
      </c>
      <c r="D2652" s="7" t="s">
        <v>221</v>
      </c>
      <c r="F2652" s="7" t="s">
        <v>871</v>
      </c>
      <c r="G2652" s="7" t="s">
        <v>182</v>
      </c>
      <c r="H2652" s="7" t="s">
        <v>1369</v>
      </c>
      <c r="I2652" s="7" t="s">
        <v>1245</v>
      </c>
      <c r="K2652" s="7" t="s">
        <v>198</v>
      </c>
      <c r="L2652" s="11">
        <v>49</v>
      </c>
      <c r="M2652" s="11">
        <v>1615.28</v>
      </c>
      <c r="N2652" s="9">
        <f t="shared" si="92"/>
        <v>49</v>
      </c>
    </row>
    <row r="2653" spans="1:14" ht="12.75" hidden="1" customHeight="1" x14ac:dyDescent="0.2">
      <c r="A2653">
        <v>65020</v>
      </c>
      <c r="B2653" s="3" t="s">
        <v>1245</v>
      </c>
      <c r="C2653" s="7" t="s">
        <v>214</v>
      </c>
      <c r="D2653" s="7" t="s">
        <v>221</v>
      </c>
      <c r="F2653" s="7" t="s">
        <v>338</v>
      </c>
      <c r="G2653" s="7" t="s">
        <v>182</v>
      </c>
      <c r="H2653" s="7" t="s">
        <v>1369</v>
      </c>
      <c r="I2653" s="7" t="s">
        <v>1245</v>
      </c>
      <c r="K2653" s="7" t="s">
        <v>198</v>
      </c>
      <c r="L2653" s="11">
        <v>5.7</v>
      </c>
      <c r="M2653" s="11">
        <v>1705.76</v>
      </c>
      <c r="N2653" s="9">
        <f t="shared" si="92"/>
        <v>5.7</v>
      </c>
    </row>
    <row r="2654" spans="1:14" ht="12.75" hidden="1" customHeight="1" x14ac:dyDescent="0.2">
      <c r="A2654">
        <v>65020</v>
      </c>
      <c r="B2654" s="3" t="s">
        <v>1245</v>
      </c>
      <c r="C2654" s="7" t="s">
        <v>434</v>
      </c>
      <c r="D2654" s="7" t="s">
        <v>221</v>
      </c>
      <c r="F2654" s="7" t="s">
        <v>338</v>
      </c>
      <c r="G2654" s="7" t="s">
        <v>182</v>
      </c>
      <c r="H2654" s="7" t="s">
        <v>1369</v>
      </c>
      <c r="I2654" s="7" t="s">
        <v>1245</v>
      </c>
      <c r="K2654" s="7" t="s">
        <v>198</v>
      </c>
      <c r="L2654" s="11">
        <v>5.7</v>
      </c>
      <c r="M2654" s="11">
        <v>1718.45</v>
      </c>
      <c r="N2654" s="9">
        <f t="shared" si="92"/>
        <v>5.7</v>
      </c>
    </row>
    <row r="2655" spans="1:14" ht="12.75" hidden="1" customHeight="1" x14ac:dyDescent="0.2">
      <c r="A2655">
        <v>65020</v>
      </c>
      <c r="B2655" s="3" t="s">
        <v>1245</v>
      </c>
      <c r="C2655" s="7" t="s">
        <v>434</v>
      </c>
      <c r="D2655" s="7" t="s">
        <v>221</v>
      </c>
      <c r="F2655" s="7" t="s">
        <v>338</v>
      </c>
      <c r="G2655" s="7" t="s">
        <v>182</v>
      </c>
      <c r="H2655" s="7" t="s">
        <v>1369</v>
      </c>
      <c r="I2655" s="7" t="s">
        <v>1245</v>
      </c>
      <c r="K2655" s="7" t="s">
        <v>198</v>
      </c>
      <c r="L2655" s="11">
        <v>5.7</v>
      </c>
      <c r="M2655" s="11">
        <v>1724.15</v>
      </c>
      <c r="N2655" s="9">
        <f t="shared" si="92"/>
        <v>5.7</v>
      </c>
    </row>
    <row r="2656" spans="1:14" ht="12.75" hidden="1" customHeight="1" x14ac:dyDescent="0.2">
      <c r="A2656">
        <v>65020</v>
      </c>
      <c r="B2656" s="3" t="s">
        <v>1245</v>
      </c>
      <c r="C2656" s="7" t="s">
        <v>210</v>
      </c>
      <c r="D2656" s="7" t="s">
        <v>221</v>
      </c>
      <c r="F2656" s="7" t="s">
        <v>338</v>
      </c>
      <c r="G2656" s="7" t="s">
        <v>182</v>
      </c>
      <c r="H2656" s="7" t="s">
        <v>1369</v>
      </c>
      <c r="I2656" s="7" t="s">
        <v>1245</v>
      </c>
      <c r="K2656" s="7" t="s">
        <v>198</v>
      </c>
      <c r="L2656" s="11">
        <v>23.8</v>
      </c>
      <c r="M2656" s="11">
        <v>1747.95</v>
      </c>
      <c r="N2656" s="9">
        <f t="shared" si="92"/>
        <v>23.8</v>
      </c>
    </row>
    <row r="2657" spans="1:14" ht="12.75" hidden="1" customHeight="1" x14ac:dyDescent="0.2">
      <c r="A2657">
        <v>65020</v>
      </c>
      <c r="B2657" s="3" t="s">
        <v>1245</v>
      </c>
      <c r="C2657" s="7" t="s">
        <v>1556</v>
      </c>
      <c r="D2657" s="7" t="s">
        <v>221</v>
      </c>
      <c r="F2657" s="7" t="s">
        <v>338</v>
      </c>
      <c r="G2657" s="7" t="s">
        <v>182</v>
      </c>
      <c r="H2657" s="7" t="s">
        <v>1369</v>
      </c>
      <c r="I2657" s="7" t="s">
        <v>1245</v>
      </c>
      <c r="K2657" s="39" t="s">
        <v>198</v>
      </c>
      <c r="L2657" s="40">
        <v>5.7</v>
      </c>
      <c r="M2657" s="40">
        <v>1655.69</v>
      </c>
      <c r="N2657" s="40">
        <f t="shared" ref="N2657:N2692" si="93">+L2657</f>
        <v>5.7</v>
      </c>
    </row>
    <row r="2658" spans="1:14" ht="12.75" hidden="1" customHeight="1" x14ac:dyDescent="0.2">
      <c r="A2658">
        <v>65020</v>
      </c>
      <c r="B2658" s="3" t="s">
        <v>1245</v>
      </c>
      <c r="C2658" s="7" t="s">
        <v>1737</v>
      </c>
      <c r="D2658" s="7" t="s">
        <v>221</v>
      </c>
      <c r="F2658" s="7" t="s">
        <v>338</v>
      </c>
      <c r="G2658" s="7" t="s">
        <v>182</v>
      </c>
      <c r="H2658" s="7" t="s">
        <v>1369</v>
      </c>
      <c r="I2658" s="7" t="s">
        <v>1245</v>
      </c>
      <c r="K2658" s="39" t="s">
        <v>198</v>
      </c>
      <c r="L2658" s="40">
        <v>5.7</v>
      </c>
      <c r="M2658" s="40">
        <v>1661.39</v>
      </c>
      <c r="N2658" s="40">
        <f t="shared" si="93"/>
        <v>5.7</v>
      </c>
    </row>
    <row r="2659" spans="1:14" ht="12.75" hidden="1" customHeight="1" x14ac:dyDescent="0.2">
      <c r="A2659">
        <v>65020</v>
      </c>
      <c r="B2659" s="3" t="s">
        <v>1245</v>
      </c>
      <c r="C2659" s="7" t="s">
        <v>1686</v>
      </c>
      <c r="D2659" s="7" t="s">
        <v>221</v>
      </c>
      <c r="F2659" s="7" t="s">
        <v>338</v>
      </c>
      <c r="G2659" s="7" t="s">
        <v>182</v>
      </c>
      <c r="H2659" s="7" t="s">
        <v>1369</v>
      </c>
      <c r="I2659" s="7" t="s">
        <v>1245</v>
      </c>
      <c r="K2659" s="39" t="s">
        <v>198</v>
      </c>
      <c r="L2659" s="40">
        <v>49</v>
      </c>
      <c r="M2659" s="40">
        <v>1766.24</v>
      </c>
      <c r="N2659" s="40">
        <f t="shared" si="93"/>
        <v>49</v>
      </c>
    </row>
    <row r="2660" spans="1:14" ht="12.75" hidden="1" customHeight="1" x14ac:dyDescent="0.2">
      <c r="A2660">
        <v>65020</v>
      </c>
      <c r="B2660" s="3" t="s">
        <v>1245</v>
      </c>
      <c r="C2660" s="7" t="s">
        <v>1649</v>
      </c>
      <c r="D2660" s="7" t="s">
        <v>221</v>
      </c>
      <c r="F2660" s="7" t="s">
        <v>338</v>
      </c>
      <c r="G2660" s="7" t="s">
        <v>182</v>
      </c>
      <c r="H2660" s="7" t="s">
        <v>1369</v>
      </c>
      <c r="I2660" s="7" t="s">
        <v>1245</v>
      </c>
      <c r="K2660" s="39" t="s">
        <v>198</v>
      </c>
      <c r="L2660" s="40">
        <v>5.7</v>
      </c>
      <c r="M2660" s="40">
        <v>1771.94</v>
      </c>
      <c r="N2660" s="40">
        <f t="shared" si="93"/>
        <v>5.7</v>
      </c>
    </row>
    <row r="2661" spans="1:14" ht="12.75" hidden="1" customHeight="1" x14ac:dyDescent="0.2">
      <c r="A2661">
        <v>65020</v>
      </c>
      <c r="B2661" s="3" t="s">
        <v>1245</v>
      </c>
      <c r="C2661" s="7" t="s">
        <v>1562</v>
      </c>
      <c r="D2661" s="7" t="s">
        <v>221</v>
      </c>
      <c r="F2661" s="7" t="s">
        <v>871</v>
      </c>
      <c r="G2661" s="7" t="s">
        <v>182</v>
      </c>
      <c r="H2661" s="7" t="s">
        <v>1369</v>
      </c>
      <c r="I2661" s="7" t="s">
        <v>1245</v>
      </c>
      <c r="K2661" s="39" t="s">
        <v>198</v>
      </c>
      <c r="L2661" s="40">
        <v>32.75</v>
      </c>
      <c r="M2661" s="40">
        <v>1814.49</v>
      </c>
      <c r="N2661" s="40">
        <f t="shared" si="93"/>
        <v>32.75</v>
      </c>
    </row>
    <row r="2662" spans="1:14" ht="12.75" hidden="1" customHeight="1" x14ac:dyDescent="0.2">
      <c r="A2662">
        <v>65020</v>
      </c>
      <c r="B2662" s="3" t="s">
        <v>1245</v>
      </c>
      <c r="C2662" s="7" t="s">
        <v>1793</v>
      </c>
      <c r="D2662" s="7" t="s">
        <v>221</v>
      </c>
      <c r="F2662" s="7" t="s">
        <v>338</v>
      </c>
      <c r="G2662" s="7" t="s">
        <v>182</v>
      </c>
      <c r="H2662" s="7" t="s">
        <v>1369</v>
      </c>
      <c r="I2662" s="7" t="s">
        <v>1245</v>
      </c>
      <c r="K2662" s="39" t="s">
        <v>198</v>
      </c>
      <c r="L2662" s="40">
        <v>36.200000000000003</v>
      </c>
      <c r="M2662" s="40">
        <v>1850.69</v>
      </c>
      <c r="N2662" s="40">
        <f t="shared" si="93"/>
        <v>36.200000000000003</v>
      </c>
    </row>
    <row r="2663" spans="1:14" ht="12.75" hidden="1" customHeight="1" x14ac:dyDescent="0.2">
      <c r="A2663">
        <v>65020</v>
      </c>
      <c r="B2663" s="3" t="s">
        <v>1245</v>
      </c>
      <c r="C2663" s="7" t="s">
        <v>1793</v>
      </c>
      <c r="D2663" s="7" t="s">
        <v>221</v>
      </c>
      <c r="F2663" s="7" t="s">
        <v>338</v>
      </c>
      <c r="G2663" s="7" t="s">
        <v>182</v>
      </c>
      <c r="H2663" s="7" t="s">
        <v>1369</v>
      </c>
      <c r="I2663" s="7" t="s">
        <v>1245</v>
      </c>
      <c r="K2663" s="39" t="s">
        <v>198</v>
      </c>
      <c r="L2663" s="40">
        <v>15.25</v>
      </c>
      <c r="M2663" s="40">
        <v>1865.94</v>
      </c>
      <c r="N2663" s="40">
        <f t="shared" si="93"/>
        <v>15.25</v>
      </c>
    </row>
    <row r="2664" spans="1:14" ht="12.75" hidden="1" customHeight="1" x14ac:dyDescent="0.2">
      <c r="A2664">
        <v>65020</v>
      </c>
      <c r="B2664" s="3" t="s">
        <v>1245</v>
      </c>
      <c r="C2664" s="7" t="s">
        <v>1567</v>
      </c>
      <c r="D2664" s="7" t="s">
        <v>221</v>
      </c>
      <c r="F2664" s="7" t="s">
        <v>338</v>
      </c>
      <c r="G2664" s="7" t="s">
        <v>182</v>
      </c>
      <c r="H2664" s="7" t="s">
        <v>1369</v>
      </c>
      <c r="I2664" s="7" t="s">
        <v>1245</v>
      </c>
      <c r="K2664" s="39" t="s">
        <v>198</v>
      </c>
      <c r="L2664" s="40">
        <v>83.7</v>
      </c>
      <c r="M2664" s="40">
        <v>1949.64</v>
      </c>
      <c r="N2664" s="40">
        <f t="shared" si="93"/>
        <v>83.7</v>
      </c>
    </row>
    <row r="2665" spans="1:14" ht="12.75" hidden="1" customHeight="1" x14ac:dyDescent="0.2">
      <c r="A2665">
        <v>65020</v>
      </c>
      <c r="B2665" s="3" t="s">
        <v>1245</v>
      </c>
      <c r="C2665" s="7" t="s">
        <v>1571</v>
      </c>
      <c r="D2665" s="7" t="s">
        <v>221</v>
      </c>
      <c r="F2665" s="7" t="s">
        <v>871</v>
      </c>
      <c r="G2665" s="7" t="s">
        <v>182</v>
      </c>
      <c r="H2665" s="7" t="s">
        <v>1369</v>
      </c>
      <c r="I2665" s="7" t="s">
        <v>1245</v>
      </c>
      <c r="K2665" s="39" t="s">
        <v>198</v>
      </c>
      <c r="L2665" s="40">
        <v>65.349999999999994</v>
      </c>
      <c r="M2665" s="40">
        <v>2021.98</v>
      </c>
      <c r="N2665" s="40">
        <f t="shared" si="93"/>
        <v>65.349999999999994</v>
      </c>
    </row>
    <row r="2666" spans="1:14" ht="12.75" hidden="1" customHeight="1" x14ac:dyDescent="0.2">
      <c r="A2666">
        <v>65020</v>
      </c>
      <c r="B2666" s="3" t="s">
        <v>1245</v>
      </c>
      <c r="C2666" s="7" t="s">
        <v>1652</v>
      </c>
      <c r="D2666" s="7" t="s">
        <v>221</v>
      </c>
      <c r="F2666" s="7" t="s">
        <v>338</v>
      </c>
      <c r="G2666" s="7" t="s">
        <v>182</v>
      </c>
      <c r="H2666" s="7" t="s">
        <v>1369</v>
      </c>
      <c r="I2666" s="7" t="s">
        <v>1245</v>
      </c>
      <c r="K2666" s="39" t="s">
        <v>198</v>
      </c>
      <c r="L2666" s="40">
        <v>5.05</v>
      </c>
      <c r="M2666" s="40">
        <v>2027.03</v>
      </c>
      <c r="N2666" s="40">
        <f t="shared" si="93"/>
        <v>5.05</v>
      </c>
    </row>
    <row r="2667" spans="1:14" ht="12.75" hidden="1" customHeight="1" x14ac:dyDescent="0.2">
      <c r="A2667">
        <v>65020</v>
      </c>
      <c r="B2667" s="3" t="s">
        <v>1245</v>
      </c>
      <c r="C2667" s="7" t="s">
        <v>1576</v>
      </c>
      <c r="D2667" s="7" t="s">
        <v>221</v>
      </c>
      <c r="F2667" s="7" t="s">
        <v>338</v>
      </c>
      <c r="G2667" s="7" t="s">
        <v>182</v>
      </c>
      <c r="H2667" s="7" t="s">
        <v>1369</v>
      </c>
      <c r="I2667" s="7" t="s">
        <v>1245</v>
      </c>
      <c r="K2667" s="39" t="s">
        <v>198</v>
      </c>
      <c r="L2667" s="40">
        <v>5.7</v>
      </c>
      <c r="M2667" s="40">
        <v>2047.6</v>
      </c>
      <c r="N2667" s="40">
        <f t="shared" si="93"/>
        <v>5.7</v>
      </c>
    </row>
    <row r="2668" spans="1:14" ht="12.75" hidden="1" customHeight="1" x14ac:dyDescent="0.2">
      <c r="A2668">
        <v>65020</v>
      </c>
      <c r="B2668" s="3" t="s">
        <v>1245</v>
      </c>
      <c r="C2668" s="7" t="s">
        <v>1553</v>
      </c>
      <c r="D2668" s="7" t="s">
        <v>221</v>
      </c>
      <c r="F2668" s="7" t="s">
        <v>338</v>
      </c>
      <c r="G2668" s="7" t="s">
        <v>182</v>
      </c>
      <c r="H2668" s="7" t="s">
        <v>1369</v>
      </c>
      <c r="I2668" s="7" t="s">
        <v>1245</v>
      </c>
      <c r="K2668" s="39" t="s">
        <v>198</v>
      </c>
      <c r="L2668" s="40">
        <v>5.05</v>
      </c>
      <c r="M2668" s="40">
        <v>2063.9</v>
      </c>
      <c r="N2668" s="40">
        <f t="shared" si="93"/>
        <v>5.05</v>
      </c>
    </row>
    <row r="2669" spans="1:14" ht="12.75" hidden="1" customHeight="1" x14ac:dyDescent="0.2">
      <c r="A2669">
        <v>65020</v>
      </c>
      <c r="B2669" s="3" t="s">
        <v>1245</v>
      </c>
      <c r="C2669" s="7" t="s">
        <v>1553</v>
      </c>
      <c r="D2669" s="7" t="s">
        <v>221</v>
      </c>
      <c r="F2669" s="7" t="s">
        <v>338</v>
      </c>
      <c r="G2669" s="7" t="s">
        <v>182</v>
      </c>
      <c r="H2669" s="7" t="s">
        <v>1369</v>
      </c>
      <c r="I2669" s="7" t="s">
        <v>1245</v>
      </c>
      <c r="K2669" s="39" t="s">
        <v>198</v>
      </c>
      <c r="L2669" s="40">
        <v>5.05</v>
      </c>
      <c r="M2669" s="40">
        <v>2068.9499999999998</v>
      </c>
      <c r="N2669" s="40">
        <f t="shared" si="93"/>
        <v>5.05</v>
      </c>
    </row>
    <row r="2670" spans="1:14" ht="12.75" hidden="1" customHeight="1" x14ac:dyDescent="0.2">
      <c r="A2670">
        <v>65020</v>
      </c>
      <c r="B2670" s="3" t="s">
        <v>1245</v>
      </c>
      <c r="C2670" s="7" t="s">
        <v>1585</v>
      </c>
      <c r="D2670" s="7" t="s">
        <v>221</v>
      </c>
      <c r="F2670" s="7" t="s">
        <v>338</v>
      </c>
      <c r="G2670" s="7" t="s">
        <v>182</v>
      </c>
      <c r="H2670" s="7" t="s">
        <v>1369</v>
      </c>
      <c r="I2670" s="7" t="s">
        <v>1245</v>
      </c>
      <c r="K2670" s="39" t="s">
        <v>198</v>
      </c>
      <c r="L2670" s="40">
        <v>18.23</v>
      </c>
      <c r="M2670" s="40">
        <v>2087.1799999999998</v>
      </c>
      <c r="N2670" s="40">
        <f t="shared" si="93"/>
        <v>18.23</v>
      </c>
    </row>
    <row r="2671" spans="1:14" ht="12.75" hidden="1" customHeight="1" x14ac:dyDescent="0.2">
      <c r="A2671">
        <v>65020</v>
      </c>
      <c r="B2671" s="3" t="s">
        <v>1245</v>
      </c>
      <c r="C2671" s="7" t="s">
        <v>1555</v>
      </c>
      <c r="D2671" s="7" t="s">
        <v>200</v>
      </c>
      <c r="E2671" s="7">
        <v>509</v>
      </c>
      <c r="F2671" s="7" t="s">
        <v>209</v>
      </c>
      <c r="G2671" s="7" t="s">
        <v>182</v>
      </c>
      <c r="H2671" s="7" t="s">
        <v>1369</v>
      </c>
      <c r="I2671" s="7" t="s">
        <v>1245</v>
      </c>
      <c r="J2671" s="39" t="s">
        <v>1794</v>
      </c>
      <c r="K2671" s="39" t="s">
        <v>198</v>
      </c>
      <c r="L2671" s="40">
        <v>120.84</v>
      </c>
      <c r="M2671" s="40">
        <v>2373.02</v>
      </c>
      <c r="N2671" s="40">
        <f t="shared" si="93"/>
        <v>120.84</v>
      </c>
    </row>
    <row r="2672" spans="1:14" ht="12.75" hidden="1" customHeight="1" x14ac:dyDescent="0.2">
      <c r="A2672">
        <v>65020</v>
      </c>
      <c r="B2672" s="3" t="s">
        <v>1245</v>
      </c>
      <c r="C2672" s="7" t="s">
        <v>1796</v>
      </c>
      <c r="D2672" s="7" t="s">
        <v>221</v>
      </c>
      <c r="F2672" s="7" t="s">
        <v>338</v>
      </c>
      <c r="G2672" s="7" t="s">
        <v>182</v>
      </c>
      <c r="H2672" s="7" t="s">
        <v>1369</v>
      </c>
      <c r="I2672" s="7" t="s">
        <v>1245</v>
      </c>
      <c r="K2672" s="39" t="s">
        <v>198</v>
      </c>
      <c r="L2672" s="40">
        <v>7.4</v>
      </c>
      <c r="M2672" s="40">
        <v>2496.27</v>
      </c>
      <c r="N2672" s="40">
        <f t="shared" si="93"/>
        <v>7.4</v>
      </c>
    </row>
    <row r="2673" spans="1:14" ht="12.75" hidden="1" customHeight="1" x14ac:dyDescent="0.2">
      <c r="A2673">
        <v>65020</v>
      </c>
      <c r="B2673" s="3" t="s">
        <v>1245</v>
      </c>
      <c r="C2673" s="7" t="s">
        <v>1797</v>
      </c>
      <c r="D2673" s="7" t="s">
        <v>221</v>
      </c>
      <c r="F2673" s="7" t="s">
        <v>338</v>
      </c>
      <c r="G2673" s="7" t="s">
        <v>182</v>
      </c>
      <c r="H2673" s="7" t="s">
        <v>1369</v>
      </c>
      <c r="I2673" s="7" t="s">
        <v>1245</v>
      </c>
      <c r="K2673" s="39" t="s">
        <v>198</v>
      </c>
      <c r="L2673" s="40">
        <v>9.9700000000000006</v>
      </c>
      <c r="M2673" s="40">
        <v>2516.27</v>
      </c>
      <c r="N2673" s="40">
        <f t="shared" si="93"/>
        <v>9.9700000000000006</v>
      </c>
    </row>
    <row r="2674" spans="1:14" ht="12.75" hidden="1" customHeight="1" x14ac:dyDescent="0.2">
      <c r="A2674">
        <v>65020</v>
      </c>
      <c r="B2674" s="3" t="s">
        <v>1245</v>
      </c>
      <c r="C2674" s="7" t="s">
        <v>1775</v>
      </c>
      <c r="D2674" s="7" t="s">
        <v>221</v>
      </c>
      <c r="F2674" s="7" t="s">
        <v>338</v>
      </c>
      <c r="G2674" s="7" t="s">
        <v>182</v>
      </c>
      <c r="H2674" s="7" t="s">
        <v>1369</v>
      </c>
      <c r="I2674" s="7" t="s">
        <v>1245</v>
      </c>
      <c r="K2674" s="39" t="s">
        <v>198</v>
      </c>
      <c r="L2674" s="40">
        <v>102.6</v>
      </c>
      <c r="M2674" s="40">
        <v>2662.91</v>
      </c>
      <c r="N2674" s="40">
        <f t="shared" si="93"/>
        <v>102.6</v>
      </c>
    </row>
    <row r="2675" spans="1:14" ht="12.75" hidden="1" customHeight="1" x14ac:dyDescent="0.2">
      <c r="A2675">
        <v>65020</v>
      </c>
      <c r="B2675" s="3" t="s">
        <v>1245</v>
      </c>
      <c r="C2675" s="7" t="s">
        <v>1775</v>
      </c>
      <c r="D2675" s="7" t="s">
        <v>221</v>
      </c>
      <c r="F2675" s="7" t="s">
        <v>338</v>
      </c>
      <c r="G2675" s="7" t="s">
        <v>182</v>
      </c>
      <c r="H2675" s="7" t="s">
        <v>1369</v>
      </c>
      <c r="I2675" s="7" t="s">
        <v>1245</v>
      </c>
      <c r="K2675" s="39" t="s">
        <v>198</v>
      </c>
      <c r="L2675" s="40">
        <v>28.5</v>
      </c>
      <c r="M2675" s="40">
        <v>2691.41</v>
      </c>
      <c r="N2675" s="40">
        <f t="shared" si="93"/>
        <v>28.5</v>
      </c>
    </row>
    <row r="2676" spans="1:14" ht="12.75" hidden="1" customHeight="1" x14ac:dyDescent="0.2">
      <c r="A2676">
        <v>65020</v>
      </c>
      <c r="B2676" s="3" t="s">
        <v>1245</v>
      </c>
      <c r="C2676" s="7" t="s">
        <v>1695</v>
      </c>
      <c r="D2676" s="7" t="s">
        <v>221</v>
      </c>
      <c r="F2676" s="7" t="s">
        <v>338</v>
      </c>
      <c r="G2676" s="7" t="s">
        <v>182</v>
      </c>
      <c r="H2676" s="7" t="s">
        <v>1369</v>
      </c>
      <c r="I2676" s="7" t="s">
        <v>1245</v>
      </c>
      <c r="K2676" s="39" t="s">
        <v>198</v>
      </c>
      <c r="L2676" s="40">
        <v>108.28</v>
      </c>
      <c r="M2676" s="40">
        <v>2799.69</v>
      </c>
      <c r="N2676" s="40">
        <f t="shared" si="93"/>
        <v>108.28</v>
      </c>
    </row>
    <row r="2677" spans="1:14" ht="12.75" hidden="1" customHeight="1" x14ac:dyDescent="0.2">
      <c r="A2677">
        <v>65020</v>
      </c>
      <c r="B2677" s="3" t="s">
        <v>1245</v>
      </c>
      <c r="C2677" s="7" t="s">
        <v>1759</v>
      </c>
      <c r="D2677" s="7" t="s">
        <v>221</v>
      </c>
      <c r="F2677" s="7" t="s">
        <v>338</v>
      </c>
      <c r="G2677" s="7" t="s">
        <v>182</v>
      </c>
      <c r="H2677" s="7" t="s">
        <v>1369</v>
      </c>
      <c r="I2677" s="7" t="s">
        <v>1245</v>
      </c>
      <c r="K2677" s="39" t="s">
        <v>198</v>
      </c>
      <c r="L2677" s="40">
        <v>5.05</v>
      </c>
      <c r="M2677" s="40">
        <v>2804.74</v>
      </c>
      <c r="N2677" s="40">
        <f t="shared" si="93"/>
        <v>5.05</v>
      </c>
    </row>
    <row r="2678" spans="1:14" ht="12.75" hidden="1" customHeight="1" x14ac:dyDescent="0.2">
      <c r="A2678">
        <v>65020</v>
      </c>
      <c r="B2678" s="3" t="s">
        <v>1245</v>
      </c>
      <c r="C2678" s="7" t="s">
        <v>1759</v>
      </c>
      <c r="D2678" s="7" t="s">
        <v>221</v>
      </c>
      <c r="F2678" s="7" t="s">
        <v>338</v>
      </c>
      <c r="G2678" s="7" t="s">
        <v>182</v>
      </c>
      <c r="H2678" s="7" t="s">
        <v>1369</v>
      </c>
      <c r="I2678" s="7" t="s">
        <v>1245</v>
      </c>
      <c r="K2678" s="39" t="s">
        <v>198</v>
      </c>
      <c r="L2678" s="40">
        <v>10.1</v>
      </c>
      <c r="M2678" s="40">
        <v>2814.84</v>
      </c>
      <c r="N2678" s="40">
        <f t="shared" si="93"/>
        <v>10.1</v>
      </c>
    </row>
    <row r="2679" spans="1:14" ht="12.75" hidden="1" customHeight="1" x14ac:dyDescent="0.2">
      <c r="A2679">
        <v>65020</v>
      </c>
      <c r="B2679" s="3" t="s">
        <v>1245</v>
      </c>
      <c r="C2679" s="7" t="s">
        <v>1603</v>
      </c>
      <c r="D2679" s="7" t="s">
        <v>221</v>
      </c>
      <c r="F2679" s="7" t="s">
        <v>338</v>
      </c>
      <c r="G2679" s="7" t="s">
        <v>182</v>
      </c>
      <c r="H2679" s="7" t="s">
        <v>1369</v>
      </c>
      <c r="I2679" s="7" t="s">
        <v>1245</v>
      </c>
      <c r="K2679" s="39" t="s">
        <v>198</v>
      </c>
      <c r="L2679" s="40">
        <v>5.05</v>
      </c>
      <c r="M2679" s="40">
        <v>2901.95</v>
      </c>
      <c r="N2679" s="40">
        <f t="shared" si="93"/>
        <v>5.05</v>
      </c>
    </row>
    <row r="2680" spans="1:14" ht="12.75" hidden="1" customHeight="1" x14ac:dyDescent="0.2">
      <c r="A2680">
        <v>65020</v>
      </c>
      <c r="B2680" s="3" t="s">
        <v>1245</v>
      </c>
      <c r="C2680" s="7" t="s">
        <v>1784</v>
      </c>
      <c r="D2680" s="7" t="s">
        <v>221</v>
      </c>
      <c r="F2680" s="7" t="s">
        <v>338</v>
      </c>
      <c r="G2680" s="7" t="s">
        <v>182</v>
      </c>
      <c r="H2680" s="7" t="s">
        <v>1369</v>
      </c>
      <c r="I2680" s="7" t="s">
        <v>1245</v>
      </c>
      <c r="K2680" s="39" t="s">
        <v>198</v>
      </c>
      <c r="L2680" s="40">
        <v>11.3</v>
      </c>
      <c r="M2680" s="40">
        <v>2913.25</v>
      </c>
      <c r="N2680" s="40">
        <f t="shared" si="93"/>
        <v>11.3</v>
      </c>
    </row>
    <row r="2681" spans="1:14" ht="12.75" hidden="1" customHeight="1" x14ac:dyDescent="0.2">
      <c r="A2681">
        <v>65020</v>
      </c>
      <c r="B2681" s="3" t="s">
        <v>1245</v>
      </c>
      <c r="C2681" s="7" t="s">
        <v>1784</v>
      </c>
      <c r="D2681" s="7" t="s">
        <v>221</v>
      </c>
      <c r="F2681" s="7" t="s">
        <v>338</v>
      </c>
      <c r="G2681" s="7" t="s">
        <v>182</v>
      </c>
      <c r="H2681" s="7" t="s">
        <v>1369</v>
      </c>
      <c r="I2681" s="7" t="s">
        <v>1245</v>
      </c>
      <c r="K2681" s="39" t="s">
        <v>198</v>
      </c>
      <c r="L2681" s="40">
        <v>5.05</v>
      </c>
      <c r="M2681" s="40">
        <v>2918.3</v>
      </c>
      <c r="N2681" s="40">
        <f t="shared" si="93"/>
        <v>5.05</v>
      </c>
    </row>
    <row r="2682" spans="1:14" ht="12.75" hidden="1" customHeight="1" x14ac:dyDescent="0.2">
      <c r="A2682">
        <v>65020</v>
      </c>
      <c r="B2682" s="3" t="s">
        <v>1245</v>
      </c>
      <c r="C2682" s="7" t="s">
        <v>1607</v>
      </c>
      <c r="D2682" s="7" t="s">
        <v>221</v>
      </c>
      <c r="F2682" s="7" t="s">
        <v>338</v>
      </c>
      <c r="G2682" s="7" t="s">
        <v>182</v>
      </c>
      <c r="H2682" s="7" t="s">
        <v>1369</v>
      </c>
      <c r="I2682" s="7" t="s">
        <v>1245</v>
      </c>
      <c r="K2682" s="39" t="s">
        <v>198</v>
      </c>
      <c r="L2682" s="40">
        <v>10.15</v>
      </c>
      <c r="M2682" s="40">
        <v>2928.45</v>
      </c>
      <c r="N2682" s="40">
        <f t="shared" si="93"/>
        <v>10.15</v>
      </c>
    </row>
    <row r="2683" spans="1:14" ht="12.75" hidden="1" customHeight="1" x14ac:dyDescent="0.2">
      <c r="A2683">
        <v>65020</v>
      </c>
      <c r="B2683" s="3" t="s">
        <v>1245</v>
      </c>
      <c r="C2683" s="7" t="s">
        <v>1608</v>
      </c>
      <c r="D2683" s="7" t="s">
        <v>221</v>
      </c>
      <c r="F2683" s="7" t="s">
        <v>338</v>
      </c>
      <c r="G2683" s="7" t="s">
        <v>182</v>
      </c>
      <c r="H2683" s="7" t="s">
        <v>1369</v>
      </c>
      <c r="I2683" s="7" t="s">
        <v>1245</v>
      </c>
      <c r="K2683" s="39" t="s">
        <v>198</v>
      </c>
      <c r="L2683" s="40">
        <v>4.0599999999999996</v>
      </c>
      <c r="M2683" s="40">
        <v>2932.51</v>
      </c>
      <c r="N2683" s="40">
        <f t="shared" si="93"/>
        <v>4.0599999999999996</v>
      </c>
    </row>
    <row r="2684" spans="1:14" ht="12.75" hidden="1" customHeight="1" x14ac:dyDescent="0.2">
      <c r="A2684">
        <v>65020</v>
      </c>
      <c r="B2684" s="3" t="s">
        <v>1245</v>
      </c>
      <c r="C2684" s="7" t="s">
        <v>1543</v>
      </c>
      <c r="D2684" s="7" t="s">
        <v>200</v>
      </c>
      <c r="E2684" s="7">
        <v>528</v>
      </c>
      <c r="F2684" s="7" t="s">
        <v>209</v>
      </c>
      <c r="G2684" s="7" t="s">
        <v>182</v>
      </c>
      <c r="H2684" s="7" t="s">
        <v>1369</v>
      </c>
      <c r="I2684" s="7" t="s">
        <v>1245</v>
      </c>
      <c r="J2684" s="39" t="s">
        <v>1799</v>
      </c>
      <c r="K2684" s="39" t="s">
        <v>198</v>
      </c>
      <c r="L2684" s="40">
        <v>204.72</v>
      </c>
      <c r="M2684" s="40">
        <v>3204.23</v>
      </c>
      <c r="N2684" s="40">
        <f t="shared" si="93"/>
        <v>204.72</v>
      </c>
    </row>
    <row r="2685" spans="1:14" ht="12.75" hidden="1" customHeight="1" x14ac:dyDescent="0.2">
      <c r="A2685">
        <v>65020</v>
      </c>
      <c r="B2685" s="3" t="s">
        <v>1245</v>
      </c>
      <c r="C2685" s="7" t="s">
        <v>1612</v>
      </c>
      <c r="D2685" s="7" t="s">
        <v>221</v>
      </c>
      <c r="F2685" s="7" t="s">
        <v>338</v>
      </c>
      <c r="G2685" s="7" t="s">
        <v>182</v>
      </c>
      <c r="H2685" s="7" t="s">
        <v>1369</v>
      </c>
      <c r="I2685" s="7" t="s">
        <v>1245</v>
      </c>
      <c r="K2685" s="39" t="s">
        <v>198</v>
      </c>
      <c r="L2685" s="40">
        <v>49</v>
      </c>
      <c r="M2685" s="40">
        <v>3253.23</v>
      </c>
      <c r="N2685" s="40">
        <f t="shared" si="93"/>
        <v>49</v>
      </c>
    </row>
    <row r="2686" spans="1:14" ht="12.75" hidden="1" customHeight="1" x14ac:dyDescent="0.2">
      <c r="A2686">
        <v>65020</v>
      </c>
      <c r="B2686" s="3" t="s">
        <v>1245</v>
      </c>
      <c r="C2686" s="7" t="s">
        <v>1786</v>
      </c>
      <c r="D2686" s="7" t="s">
        <v>221</v>
      </c>
      <c r="F2686" s="7" t="s">
        <v>338</v>
      </c>
      <c r="G2686" s="7" t="s">
        <v>182</v>
      </c>
      <c r="H2686" s="7" t="s">
        <v>1369</v>
      </c>
      <c r="I2686" s="7" t="s">
        <v>1245</v>
      </c>
      <c r="K2686" s="39" t="s">
        <v>198</v>
      </c>
      <c r="L2686" s="40">
        <v>5.05</v>
      </c>
      <c r="M2686" s="40">
        <v>3265.27</v>
      </c>
      <c r="N2686" s="40">
        <f t="shared" si="93"/>
        <v>5.05</v>
      </c>
    </row>
    <row r="2687" spans="1:14" ht="12.75" hidden="1" customHeight="1" x14ac:dyDescent="0.2">
      <c r="A2687">
        <v>65020</v>
      </c>
      <c r="B2687" s="3" t="s">
        <v>1245</v>
      </c>
      <c r="C2687" s="7" t="s">
        <v>1786</v>
      </c>
      <c r="D2687" s="7" t="s">
        <v>221</v>
      </c>
      <c r="F2687" s="7" t="s">
        <v>338</v>
      </c>
      <c r="G2687" s="7" t="s">
        <v>182</v>
      </c>
      <c r="H2687" s="7" t="s">
        <v>1369</v>
      </c>
      <c r="I2687" s="7" t="s">
        <v>1245</v>
      </c>
      <c r="K2687" s="39" t="s">
        <v>198</v>
      </c>
      <c r="L2687" s="40">
        <v>5.7</v>
      </c>
      <c r="M2687" s="40">
        <v>3270.97</v>
      </c>
      <c r="N2687" s="40">
        <f t="shared" si="93"/>
        <v>5.7</v>
      </c>
    </row>
    <row r="2688" spans="1:14" ht="12.75" hidden="1" customHeight="1" x14ac:dyDescent="0.2">
      <c r="A2688">
        <v>65020</v>
      </c>
      <c r="B2688" s="3" t="s">
        <v>1245</v>
      </c>
      <c r="C2688" s="7" t="s">
        <v>1703</v>
      </c>
      <c r="D2688" s="7" t="s">
        <v>221</v>
      </c>
      <c r="F2688" s="7" t="s">
        <v>338</v>
      </c>
      <c r="G2688" s="7" t="s">
        <v>182</v>
      </c>
      <c r="H2688" s="7" t="s">
        <v>1369</v>
      </c>
      <c r="I2688" s="7" t="s">
        <v>1245</v>
      </c>
      <c r="K2688" s="39" t="s">
        <v>198</v>
      </c>
      <c r="L2688" s="40">
        <v>6.16</v>
      </c>
      <c r="M2688" s="40">
        <v>3292.88</v>
      </c>
      <c r="N2688" s="40">
        <f t="shared" si="93"/>
        <v>6.16</v>
      </c>
    </row>
    <row r="2689" spans="1:14" ht="12.75" hidden="1" customHeight="1" x14ac:dyDescent="0.2">
      <c r="A2689">
        <v>65020</v>
      </c>
      <c r="B2689" s="3" t="s">
        <v>1245</v>
      </c>
      <c r="C2689" s="7" t="s">
        <v>1722</v>
      </c>
      <c r="D2689" s="7" t="s">
        <v>221</v>
      </c>
      <c r="F2689" s="7" t="s">
        <v>338</v>
      </c>
      <c r="G2689" s="7" t="s">
        <v>182</v>
      </c>
      <c r="H2689" s="7" t="s">
        <v>1369</v>
      </c>
      <c r="I2689" s="7" t="s">
        <v>1245</v>
      </c>
      <c r="K2689" s="39" t="s">
        <v>198</v>
      </c>
      <c r="L2689" s="40">
        <v>5.05</v>
      </c>
      <c r="M2689" s="40">
        <v>3489.86</v>
      </c>
      <c r="N2689" s="40">
        <f t="shared" si="93"/>
        <v>5.05</v>
      </c>
    </row>
    <row r="2690" spans="1:14" ht="12.75" hidden="1" customHeight="1" x14ac:dyDescent="0.2">
      <c r="A2690">
        <v>65020</v>
      </c>
      <c r="B2690" s="3" t="s">
        <v>1245</v>
      </c>
      <c r="C2690" s="7" t="s">
        <v>1722</v>
      </c>
      <c r="D2690" s="7" t="s">
        <v>221</v>
      </c>
      <c r="F2690" s="7" t="s">
        <v>338</v>
      </c>
      <c r="G2690" s="7" t="s">
        <v>182</v>
      </c>
      <c r="H2690" s="7" t="s">
        <v>1369</v>
      </c>
      <c r="I2690" s="7" t="s">
        <v>1245</v>
      </c>
      <c r="K2690" s="39" t="s">
        <v>198</v>
      </c>
      <c r="L2690" s="40">
        <v>5.05</v>
      </c>
      <c r="M2690" s="40">
        <v>3494.91</v>
      </c>
      <c r="N2690" s="40">
        <f t="shared" si="93"/>
        <v>5.05</v>
      </c>
    </row>
    <row r="2691" spans="1:14" ht="12.75" hidden="1" customHeight="1" x14ac:dyDescent="0.2">
      <c r="A2691">
        <v>65020</v>
      </c>
      <c r="B2691" s="3" t="s">
        <v>1245</v>
      </c>
      <c r="C2691" s="7" t="s">
        <v>1664</v>
      </c>
      <c r="D2691" s="7" t="s">
        <v>221</v>
      </c>
      <c r="F2691" s="7" t="s">
        <v>338</v>
      </c>
      <c r="G2691" s="7" t="s">
        <v>182</v>
      </c>
      <c r="H2691" s="7" t="s">
        <v>1369</v>
      </c>
      <c r="I2691" s="7" t="s">
        <v>1245</v>
      </c>
      <c r="K2691" s="39" t="s">
        <v>198</v>
      </c>
      <c r="L2691" s="40">
        <v>13.15</v>
      </c>
      <c r="M2691" s="40">
        <v>3508.06</v>
      </c>
      <c r="N2691" s="40">
        <f t="shared" si="93"/>
        <v>13.15</v>
      </c>
    </row>
    <row r="2692" spans="1:14" ht="12.75" hidden="1" customHeight="1" x14ac:dyDescent="0.2">
      <c r="A2692">
        <v>65020</v>
      </c>
      <c r="B2692" s="3" t="s">
        <v>1245</v>
      </c>
      <c r="C2692" s="7" t="s">
        <v>1664</v>
      </c>
      <c r="D2692" s="7" t="s">
        <v>221</v>
      </c>
      <c r="F2692" s="7" t="s">
        <v>338</v>
      </c>
      <c r="G2692" s="7" t="s">
        <v>182</v>
      </c>
      <c r="H2692" s="7" t="s">
        <v>1369</v>
      </c>
      <c r="I2692" s="7" t="s">
        <v>1245</v>
      </c>
      <c r="K2692" s="39" t="s">
        <v>198</v>
      </c>
      <c r="L2692" s="40">
        <v>5.05</v>
      </c>
      <c r="M2692" s="40">
        <v>3513.11</v>
      </c>
      <c r="N2692" s="40">
        <f t="shared" si="93"/>
        <v>5.05</v>
      </c>
    </row>
    <row r="2693" spans="1:14" ht="12.75" hidden="1" customHeight="1" x14ac:dyDescent="0.2">
      <c r="A2693">
        <v>65025</v>
      </c>
      <c r="B2693" s="3" t="s">
        <v>1246</v>
      </c>
      <c r="C2693" s="7" t="s">
        <v>379</v>
      </c>
      <c r="D2693" s="7" t="s">
        <v>200</v>
      </c>
      <c r="E2693" s="7">
        <v>1</v>
      </c>
      <c r="F2693" s="7" t="s">
        <v>446</v>
      </c>
      <c r="G2693" s="7" t="s">
        <v>182</v>
      </c>
      <c r="H2693" s="7" t="s">
        <v>1361</v>
      </c>
      <c r="I2693" s="7" t="s">
        <v>1246</v>
      </c>
      <c r="K2693" s="7" t="s">
        <v>1041</v>
      </c>
      <c r="L2693" s="11">
        <v>17</v>
      </c>
      <c r="M2693" s="11">
        <v>234.2</v>
      </c>
      <c r="N2693" s="9">
        <f t="shared" ref="N2693:N2700" si="94">IF(A2693&lt;60000,-L2693,+L2693)</f>
        <v>17</v>
      </c>
    </row>
    <row r="2694" spans="1:14" ht="12.75" hidden="1" customHeight="1" x14ac:dyDescent="0.2">
      <c r="A2694">
        <v>65025</v>
      </c>
      <c r="B2694" s="3" t="s">
        <v>1246</v>
      </c>
      <c r="C2694" s="7" t="s">
        <v>334</v>
      </c>
      <c r="D2694" s="7" t="s">
        <v>200</v>
      </c>
      <c r="E2694" s="7" t="s">
        <v>447</v>
      </c>
      <c r="F2694" s="7" t="s">
        <v>446</v>
      </c>
      <c r="G2694" s="7" t="s">
        <v>182</v>
      </c>
      <c r="H2694" s="7" t="s">
        <v>1361</v>
      </c>
      <c r="I2694" s="7" t="s">
        <v>1246</v>
      </c>
      <c r="K2694" s="7" t="s">
        <v>445</v>
      </c>
      <c r="L2694" s="11">
        <v>20.95</v>
      </c>
      <c r="M2694" s="11">
        <v>556.66999999999996</v>
      </c>
      <c r="N2694" s="9">
        <f t="shared" si="94"/>
        <v>20.95</v>
      </c>
    </row>
    <row r="2695" spans="1:14" ht="12.75" hidden="1" customHeight="1" x14ac:dyDescent="0.2">
      <c r="A2695">
        <v>65025</v>
      </c>
      <c r="B2695" s="3" t="s">
        <v>1246</v>
      </c>
      <c r="C2695" s="7" t="s">
        <v>406</v>
      </c>
      <c r="D2695" s="7" t="s">
        <v>200</v>
      </c>
      <c r="F2695" s="7" t="s">
        <v>446</v>
      </c>
      <c r="G2695" s="7" t="s">
        <v>182</v>
      </c>
      <c r="H2695" s="7" t="s">
        <v>1361</v>
      </c>
      <c r="I2695" s="7" t="s">
        <v>1246</v>
      </c>
      <c r="K2695" s="7" t="s">
        <v>198</v>
      </c>
      <c r="L2695" s="11">
        <v>29.95</v>
      </c>
      <c r="M2695" s="11">
        <v>676.62</v>
      </c>
      <c r="N2695" s="9">
        <f t="shared" si="94"/>
        <v>29.95</v>
      </c>
    </row>
    <row r="2696" spans="1:14" ht="12.75" hidden="1" customHeight="1" x14ac:dyDescent="0.2">
      <c r="A2696">
        <v>65025</v>
      </c>
      <c r="B2696" s="3" t="s">
        <v>1246</v>
      </c>
      <c r="C2696" s="7" t="s">
        <v>417</v>
      </c>
      <c r="D2696" s="7" t="s">
        <v>200</v>
      </c>
      <c r="E2696" s="7" t="s">
        <v>447</v>
      </c>
      <c r="F2696" s="7" t="s">
        <v>446</v>
      </c>
      <c r="G2696" s="7" t="s">
        <v>182</v>
      </c>
      <c r="H2696" s="7" t="s">
        <v>1361</v>
      </c>
      <c r="I2696" s="7" t="s">
        <v>1246</v>
      </c>
      <c r="K2696" s="7" t="s">
        <v>445</v>
      </c>
      <c r="L2696" s="11">
        <v>20.95</v>
      </c>
      <c r="M2696" s="11">
        <v>859.57</v>
      </c>
      <c r="N2696" s="9">
        <f t="shared" si="94"/>
        <v>20.95</v>
      </c>
    </row>
    <row r="2697" spans="1:14" ht="12.75" hidden="1" customHeight="1" x14ac:dyDescent="0.2">
      <c r="A2697">
        <v>65025</v>
      </c>
      <c r="B2697" s="3" t="s">
        <v>1246</v>
      </c>
      <c r="C2697" s="7" t="s">
        <v>194</v>
      </c>
      <c r="D2697" s="7" t="s">
        <v>221</v>
      </c>
      <c r="F2697" s="7" t="s">
        <v>446</v>
      </c>
      <c r="G2697" s="7" t="s">
        <v>182</v>
      </c>
      <c r="H2697" s="7" t="s">
        <v>1361</v>
      </c>
      <c r="I2697" s="7" t="s">
        <v>1246</v>
      </c>
      <c r="K2697" s="7" t="s">
        <v>198</v>
      </c>
      <c r="L2697" s="11">
        <v>29.95</v>
      </c>
      <c r="M2697" s="11">
        <v>1007.28</v>
      </c>
      <c r="N2697" s="9">
        <f t="shared" si="94"/>
        <v>29.95</v>
      </c>
    </row>
    <row r="2698" spans="1:14" ht="12.75" hidden="1" customHeight="1" x14ac:dyDescent="0.2">
      <c r="A2698">
        <v>65025</v>
      </c>
      <c r="B2698" s="3" t="s">
        <v>1246</v>
      </c>
      <c r="C2698" s="7" t="s">
        <v>249</v>
      </c>
      <c r="D2698" s="7" t="s">
        <v>200</v>
      </c>
      <c r="E2698" s="7">
        <v>262</v>
      </c>
      <c r="F2698" s="7" t="s">
        <v>446</v>
      </c>
      <c r="G2698" s="7" t="s">
        <v>182</v>
      </c>
      <c r="H2698" s="7" t="s">
        <v>1361</v>
      </c>
      <c r="I2698" s="7" t="s">
        <v>1246</v>
      </c>
      <c r="K2698" s="7" t="s">
        <v>445</v>
      </c>
      <c r="L2698" s="11">
        <v>20.95</v>
      </c>
      <c r="M2698" s="11">
        <v>1058.23</v>
      </c>
      <c r="N2698" s="9">
        <f t="shared" si="94"/>
        <v>20.95</v>
      </c>
    </row>
    <row r="2699" spans="1:14" ht="12.75" hidden="1" customHeight="1" x14ac:dyDescent="0.2">
      <c r="A2699">
        <v>65025</v>
      </c>
      <c r="B2699" s="3" t="s">
        <v>1246</v>
      </c>
      <c r="C2699" s="7" t="s">
        <v>222</v>
      </c>
      <c r="D2699" s="7" t="s">
        <v>200</v>
      </c>
      <c r="E2699" s="7" t="s">
        <v>447</v>
      </c>
      <c r="F2699" s="7" t="s">
        <v>446</v>
      </c>
      <c r="G2699" s="7" t="s">
        <v>182</v>
      </c>
      <c r="H2699" s="7" t="s">
        <v>1361</v>
      </c>
      <c r="I2699" s="7" t="s">
        <v>1246</v>
      </c>
      <c r="K2699" s="7" t="s">
        <v>445</v>
      </c>
      <c r="L2699" s="11">
        <v>20.95</v>
      </c>
      <c r="M2699" s="11">
        <v>1342.96</v>
      </c>
      <c r="N2699" s="9">
        <f t="shared" si="94"/>
        <v>20.95</v>
      </c>
    </row>
    <row r="2700" spans="1:14" ht="12.75" hidden="1" customHeight="1" x14ac:dyDescent="0.2">
      <c r="A2700">
        <v>65025</v>
      </c>
      <c r="B2700" s="3" t="s">
        <v>1246</v>
      </c>
      <c r="C2700" s="7" t="s">
        <v>222</v>
      </c>
      <c r="D2700" s="7" t="s">
        <v>221</v>
      </c>
      <c r="F2700" s="7" t="s">
        <v>446</v>
      </c>
      <c r="G2700" s="7" t="s">
        <v>182</v>
      </c>
      <c r="H2700" s="7" t="s">
        <v>1361</v>
      </c>
      <c r="I2700" s="7" t="s">
        <v>1246</v>
      </c>
      <c r="K2700" s="7" t="s">
        <v>198</v>
      </c>
      <c r="L2700" s="11">
        <v>29.95</v>
      </c>
      <c r="M2700" s="11">
        <v>1491.91</v>
      </c>
      <c r="N2700" s="9">
        <f t="shared" si="94"/>
        <v>29.95</v>
      </c>
    </row>
    <row r="2701" spans="1:14" ht="12.75" hidden="1" customHeight="1" x14ac:dyDescent="0.2">
      <c r="A2701">
        <v>65025</v>
      </c>
      <c r="B2701" s="3" t="s">
        <v>1246</v>
      </c>
      <c r="C2701" s="7" t="s">
        <v>1737</v>
      </c>
      <c r="D2701" s="7" t="s">
        <v>200</v>
      </c>
      <c r="F2701" s="7" t="s">
        <v>446</v>
      </c>
      <c r="G2701" s="7" t="s">
        <v>182</v>
      </c>
      <c r="H2701" s="7" t="s">
        <v>1361</v>
      </c>
      <c r="I2701" s="7" t="s">
        <v>1246</v>
      </c>
      <c r="K2701" s="39" t="s">
        <v>445</v>
      </c>
      <c r="L2701" s="40">
        <v>20.95</v>
      </c>
      <c r="M2701" s="40">
        <v>1858.47</v>
      </c>
      <c r="N2701" s="40">
        <f t="shared" ref="N2701:N2706" si="95">+L2701</f>
        <v>20.95</v>
      </c>
    </row>
    <row r="2702" spans="1:14" ht="12.75" hidden="1" customHeight="1" x14ac:dyDescent="0.2">
      <c r="A2702">
        <v>65025</v>
      </c>
      <c r="B2702" s="3" t="s">
        <v>1246</v>
      </c>
      <c r="C2702" s="7" t="s">
        <v>1803</v>
      </c>
      <c r="D2702" s="7" t="s">
        <v>221</v>
      </c>
      <c r="F2702" s="7" t="s">
        <v>446</v>
      </c>
      <c r="G2702" s="7" t="s">
        <v>182</v>
      </c>
      <c r="H2702" s="7" t="s">
        <v>1361</v>
      </c>
      <c r="I2702" s="7" t="s">
        <v>1246</v>
      </c>
      <c r="K2702" s="39" t="s">
        <v>198</v>
      </c>
      <c r="L2702" s="40">
        <v>29.95</v>
      </c>
      <c r="M2702" s="40">
        <v>1931.17</v>
      </c>
      <c r="N2702" s="40">
        <f t="shared" si="95"/>
        <v>29.95</v>
      </c>
    </row>
    <row r="2703" spans="1:14" ht="12.75" hidden="1" customHeight="1" x14ac:dyDescent="0.2">
      <c r="A2703">
        <v>65025</v>
      </c>
      <c r="B2703" s="3" t="s">
        <v>1246</v>
      </c>
      <c r="C2703" s="7" t="s">
        <v>1583</v>
      </c>
      <c r="D2703" s="7" t="s">
        <v>200</v>
      </c>
      <c r="E2703" s="7" t="s">
        <v>447</v>
      </c>
      <c r="F2703" s="7" t="s">
        <v>446</v>
      </c>
      <c r="G2703" s="7" t="s">
        <v>182</v>
      </c>
      <c r="H2703" s="7" t="s">
        <v>1361</v>
      </c>
      <c r="I2703" s="7" t="s">
        <v>1246</v>
      </c>
      <c r="K2703" s="39" t="s">
        <v>445</v>
      </c>
      <c r="L2703" s="40">
        <v>20.95</v>
      </c>
      <c r="M2703" s="40">
        <v>2100.12</v>
      </c>
      <c r="N2703" s="40">
        <f t="shared" si="95"/>
        <v>20.95</v>
      </c>
    </row>
    <row r="2704" spans="1:14" ht="12.75" hidden="1" customHeight="1" x14ac:dyDescent="0.2">
      <c r="A2704">
        <v>65025</v>
      </c>
      <c r="B2704" s="3" t="s">
        <v>1246</v>
      </c>
      <c r="C2704" s="7" t="s">
        <v>1617</v>
      </c>
      <c r="D2704" s="7" t="s">
        <v>200</v>
      </c>
      <c r="E2704" s="7" t="s">
        <v>447</v>
      </c>
      <c r="F2704" s="7" t="s">
        <v>446</v>
      </c>
      <c r="G2704" s="7" t="s">
        <v>182</v>
      </c>
      <c r="H2704" s="7" t="s">
        <v>1362</v>
      </c>
      <c r="I2704" s="7" t="s">
        <v>1246</v>
      </c>
      <c r="K2704" s="39" t="s">
        <v>445</v>
      </c>
      <c r="L2704" s="40">
        <v>20.95</v>
      </c>
      <c r="M2704" s="40">
        <v>2331.15</v>
      </c>
      <c r="N2704" s="40">
        <f t="shared" si="95"/>
        <v>20.95</v>
      </c>
    </row>
    <row r="2705" spans="1:14" ht="12.75" hidden="1" customHeight="1" x14ac:dyDescent="0.2">
      <c r="A2705">
        <v>65025</v>
      </c>
      <c r="B2705" s="3" t="s">
        <v>1246</v>
      </c>
      <c r="C2705" s="7" t="s">
        <v>1619</v>
      </c>
      <c r="D2705" s="7" t="s">
        <v>221</v>
      </c>
      <c r="F2705" s="7" t="s">
        <v>446</v>
      </c>
      <c r="G2705" s="7" t="s">
        <v>182</v>
      </c>
      <c r="H2705" s="7" t="s">
        <v>1361</v>
      </c>
      <c r="I2705" s="7" t="s">
        <v>1246</v>
      </c>
      <c r="K2705" s="39" t="s">
        <v>198</v>
      </c>
      <c r="L2705" s="40">
        <v>29.95</v>
      </c>
      <c r="M2705" s="40">
        <v>2376.1</v>
      </c>
      <c r="N2705" s="40">
        <f t="shared" si="95"/>
        <v>29.95</v>
      </c>
    </row>
    <row r="2706" spans="1:14" ht="12.75" hidden="1" customHeight="1" x14ac:dyDescent="0.2">
      <c r="A2706">
        <v>65025</v>
      </c>
      <c r="B2706" s="3" t="s">
        <v>1246</v>
      </c>
      <c r="C2706" s="7" t="s">
        <v>1709</v>
      </c>
      <c r="D2706" s="7" t="s">
        <v>200</v>
      </c>
      <c r="E2706" s="7" t="s">
        <v>447</v>
      </c>
      <c r="F2706" s="7" t="s">
        <v>446</v>
      </c>
      <c r="G2706" s="7" t="s">
        <v>182</v>
      </c>
      <c r="H2706" s="7" t="s">
        <v>1361</v>
      </c>
      <c r="I2706" s="7" t="s">
        <v>1246</v>
      </c>
      <c r="K2706" s="39" t="s">
        <v>445</v>
      </c>
      <c r="L2706" s="40">
        <v>20.95</v>
      </c>
      <c r="M2706" s="40">
        <v>2560.0500000000002</v>
      </c>
      <c r="N2706" s="40">
        <f t="shared" si="95"/>
        <v>20.95</v>
      </c>
    </row>
    <row r="2707" spans="1:14" ht="12.75" hidden="1" customHeight="1" x14ac:dyDescent="0.2">
      <c r="A2707">
        <v>65030</v>
      </c>
      <c r="B2707" s="3" t="s">
        <v>1247</v>
      </c>
      <c r="C2707" s="7" t="s">
        <v>393</v>
      </c>
      <c r="D2707" s="7" t="s">
        <v>200</v>
      </c>
      <c r="F2707" s="7" t="s">
        <v>1037</v>
      </c>
      <c r="G2707" s="7" t="s">
        <v>182</v>
      </c>
      <c r="H2707" s="7" t="s">
        <v>1369</v>
      </c>
      <c r="I2707" s="7" t="s">
        <v>1247</v>
      </c>
      <c r="K2707" s="7" t="s">
        <v>198</v>
      </c>
      <c r="L2707" s="11">
        <v>139.55000000000001</v>
      </c>
      <c r="M2707" s="11">
        <v>154.55000000000001</v>
      </c>
      <c r="N2707" s="9">
        <f t="shared" ref="N2707:N2713" si="96">IF(A2707&lt;60000,-L2707,+L2707)</f>
        <v>139.55000000000001</v>
      </c>
    </row>
    <row r="2708" spans="1:14" ht="12.75" hidden="1" customHeight="1" x14ac:dyDescent="0.2">
      <c r="A2708">
        <v>65030</v>
      </c>
      <c r="B2708" s="3" t="s">
        <v>1247</v>
      </c>
      <c r="C2708" s="7" t="s">
        <v>384</v>
      </c>
      <c r="D2708" s="7" t="s">
        <v>200</v>
      </c>
      <c r="F2708" s="7" t="s">
        <v>1036</v>
      </c>
      <c r="G2708" s="7" t="s">
        <v>182</v>
      </c>
      <c r="H2708" s="7" t="s">
        <v>1369</v>
      </c>
      <c r="I2708" s="7" t="s">
        <v>1247</v>
      </c>
      <c r="K2708" s="7" t="s">
        <v>198</v>
      </c>
      <c r="L2708" s="11">
        <v>16.48</v>
      </c>
      <c r="M2708" s="11">
        <v>171.03</v>
      </c>
      <c r="N2708" s="9">
        <f t="shared" si="96"/>
        <v>16.48</v>
      </c>
    </row>
    <row r="2709" spans="1:14" ht="12.75" hidden="1" customHeight="1" x14ac:dyDescent="0.2">
      <c r="A2709">
        <v>65030</v>
      </c>
      <c r="B2709" s="3" t="s">
        <v>1247</v>
      </c>
      <c r="C2709" s="7" t="s">
        <v>367</v>
      </c>
      <c r="D2709" s="7" t="s">
        <v>200</v>
      </c>
      <c r="E2709" s="7">
        <v>415</v>
      </c>
      <c r="F2709" s="7" t="s">
        <v>279</v>
      </c>
      <c r="G2709" s="7" t="s">
        <v>182</v>
      </c>
      <c r="H2709" s="7" t="s">
        <v>1369</v>
      </c>
      <c r="I2709" s="7" t="s">
        <v>1247</v>
      </c>
      <c r="J2709" s="7" t="s">
        <v>1035</v>
      </c>
      <c r="K2709" s="7" t="s">
        <v>198</v>
      </c>
      <c r="L2709" s="11">
        <v>75</v>
      </c>
      <c r="M2709" s="11">
        <v>246.03</v>
      </c>
      <c r="N2709" s="9">
        <f t="shared" si="96"/>
        <v>75</v>
      </c>
    </row>
    <row r="2710" spans="1:14" ht="12.75" hidden="1" customHeight="1" x14ac:dyDescent="0.2">
      <c r="A2710">
        <v>65030</v>
      </c>
      <c r="B2710" s="3" t="s">
        <v>1247</v>
      </c>
      <c r="C2710" s="7" t="s">
        <v>319</v>
      </c>
      <c r="D2710" s="7" t="s">
        <v>200</v>
      </c>
      <c r="E2710" s="7">
        <v>428</v>
      </c>
      <c r="F2710" s="7" t="s">
        <v>286</v>
      </c>
      <c r="G2710" s="7" t="s">
        <v>182</v>
      </c>
      <c r="H2710" s="7" t="s">
        <v>1369</v>
      </c>
      <c r="I2710" s="7" t="s">
        <v>1247</v>
      </c>
      <c r="J2710" s="7" t="s">
        <v>1034</v>
      </c>
      <c r="K2710" s="7" t="s">
        <v>198</v>
      </c>
      <c r="L2710" s="11">
        <v>200</v>
      </c>
      <c r="M2710" s="11">
        <v>446.03</v>
      </c>
      <c r="N2710" s="9">
        <f t="shared" si="96"/>
        <v>200</v>
      </c>
    </row>
    <row r="2711" spans="1:14" ht="12.75" hidden="1" customHeight="1" x14ac:dyDescent="0.2">
      <c r="A2711">
        <v>65030</v>
      </c>
      <c r="B2711" s="3" t="s">
        <v>1247</v>
      </c>
      <c r="C2711" s="7" t="s">
        <v>287</v>
      </c>
      <c r="D2711" s="7" t="s">
        <v>200</v>
      </c>
      <c r="E2711" s="7">
        <v>437</v>
      </c>
      <c r="F2711" s="7" t="s">
        <v>286</v>
      </c>
      <c r="G2711" s="7" t="s">
        <v>182</v>
      </c>
      <c r="H2711" s="7" t="s">
        <v>1369</v>
      </c>
      <c r="I2711" s="7" t="s">
        <v>1247</v>
      </c>
      <c r="J2711" s="7" t="s">
        <v>1033</v>
      </c>
      <c r="K2711" s="7" t="s">
        <v>198</v>
      </c>
      <c r="L2711" s="11">
        <v>752</v>
      </c>
      <c r="M2711" s="11">
        <v>1571.78</v>
      </c>
      <c r="N2711" s="9">
        <f t="shared" si="96"/>
        <v>752</v>
      </c>
    </row>
    <row r="2712" spans="1:14" ht="12.75" hidden="1" customHeight="1" x14ac:dyDescent="0.2">
      <c r="A2712">
        <v>65030</v>
      </c>
      <c r="B2712" s="3" t="s">
        <v>1247</v>
      </c>
      <c r="C2712" s="7" t="s">
        <v>266</v>
      </c>
      <c r="D2712" s="7" t="s">
        <v>200</v>
      </c>
      <c r="E2712" s="7">
        <v>447</v>
      </c>
      <c r="F2712" s="7" t="s">
        <v>286</v>
      </c>
      <c r="G2712" s="7" t="s">
        <v>182</v>
      </c>
      <c r="H2712" s="7" t="s">
        <v>1369</v>
      </c>
      <c r="I2712" s="7" t="s">
        <v>1247</v>
      </c>
      <c r="J2712" s="7" t="s">
        <v>1032</v>
      </c>
      <c r="K2712" s="7" t="s">
        <v>198</v>
      </c>
      <c r="L2712" s="11">
        <v>50</v>
      </c>
      <c r="M2712" s="11">
        <v>1629.78</v>
      </c>
      <c r="N2712" s="9">
        <f t="shared" si="96"/>
        <v>50</v>
      </c>
    </row>
    <row r="2713" spans="1:14" ht="12.75" hidden="1" customHeight="1" x14ac:dyDescent="0.2">
      <c r="A2713">
        <v>65030</v>
      </c>
      <c r="B2713" s="3" t="s">
        <v>1247</v>
      </c>
      <c r="C2713" s="7" t="s">
        <v>698</v>
      </c>
      <c r="D2713" s="7" t="s">
        <v>200</v>
      </c>
      <c r="E2713" s="7">
        <v>460</v>
      </c>
      <c r="F2713" s="7" t="s">
        <v>286</v>
      </c>
      <c r="G2713" s="7" t="s">
        <v>182</v>
      </c>
      <c r="H2713" s="7" t="s">
        <v>1369</v>
      </c>
      <c r="I2713" s="7" t="s">
        <v>1247</v>
      </c>
      <c r="J2713" s="7" t="s">
        <v>1031</v>
      </c>
      <c r="K2713" s="7" t="s">
        <v>198</v>
      </c>
      <c r="L2713" s="11">
        <v>200</v>
      </c>
      <c r="M2713" s="11">
        <v>2016.38</v>
      </c>
      <c r="N2713" s="9">
        <f t="shared" si="96"/>
        <v>200</v>
      </c>
    </row>
    <row r="2714" spans="1:14" ht="12.75" hidden="1" customHeight="1" x14ac:dyDescent="0.2">
      <c r="A2714">
        <v>65030</v>
      </c>
      <c r="B2714" s="3" t="s">
        <v>1247</v>
      </c>
      <c r="C2714" s="7" t="s">
        <v>1559</v>
      </c>
      <c r="D2714" s="7" t="s">
        <v>200</v>
      </c>
      <c r="E2714" s="7">
        <v>487</v>
      </c>
      <c r="F2714" s="7" t="s">
        <v>286</v>
      </c>
      <c r="G2714" s="7" t="s">
        <v>182</v>
      </c>
      <c r="H2714" s="7" t="s">
        <v>1369</v>
      </c>
      <c r="I2714" s="7" t="s">
        <v>1247</v>
      </c>
      <c r="J2714" s="39" t="s">
        <v>1806</v>
      </c>
      <c r="K2714" s="39" t="s">
        <v>198</v>
      </c>
      <c r="L2714" s="40">
        <v>100</v>
      </c>
      <c r="M2714" s="40">
        <v>2356.77</v>
      </c>
      <c r="N2714" s="40">
        <f t="shared" ref="N2714:N2722" si="97">+L2714</f>
        <v>100</v>
      </c>
    </row>
    <row r="2715" spans="1:14" ht="12.75" hidden="1" customHeight="1" x14ac:dyDescent="0.2">
      <c r="A2715">
        <v>65030</v>
      </c>
      <c r="B2715" s="3" t="s">
        <v>1247</v>
      </c>
      <c r="C2715" s="7" t="s">
        <v>1567</v>
      </c>
      <c r="D2715" s="7" t="s">
        <v>200</v>
      </c>
      <c r="E2715" s="7">
        <v>495</v>
      </c>
      <c r="F2715" s="7" t="s">
        <v>1807</v>
      </c>
      <c r="G2715" s="7" t="s">
        <v>182</v>
      </c>
      <c r="H2715" s="7" t="s">
        <v>1369</v>
      </c>
      <c r="I2715" s="7" t="s">
        <v>1247</v>
      </c>
      <c r="J2715" s="39" t="s">
        <v>1808</v>
      </c>
      <c r="K2715" s="39" t="s">
        <v>198</v>
      </c>
      <c r="L2715" s="40">
        <v>349.01</v>
      </c>
      <c r="M2715" s="40">
        <v>2769.91</v>
      </c>
      <c r="N2715" s="40">
        <f t="shared" si="97"/>
        <v>349.01</v>
      </c>
    </row>
    <row r="2716" spans="1:14" ht="12.75" hidden="1" customHeight="1" x14ac:dyDescent="0.2">
      <c r="A2716">
        <v>65030</v>
      </c>
      <c r="B2716" s="3" t="s">
        <v>1247</v>
      </c>
      <c r="C2716" s="7" t="s">
        <v>1555</v>
      </c>
      <c r="D2716" s="7" t="s">
        <v>200</v>
      </c>
      <c r="E2716" s="7">
        <v>510</v>
      </c>
      <c r="F2716" s="7" t="s">
        <v>286</v>
      </c>
      <c r="G2716" s="7" t="s">
        <v>182</v>
      </c>
      <c r="H2716" s="7" t="s">
        <v>1362</v>
      </c>
      <c r="I2716" s="7" t="s">
        <v>1247</v>
      </c>
      <c r="J2716" s="39" t="s">
        <v>1809</v>
      </c>
      <c r="K2716" s="39" t="s">
        <v>198</v>
      </c>
      <c r="L2716" s="40">
        <v>1940.85</v>
      </c>
      <c r="M2716" s="40">
        <v>5070.79</v>
      </c>
      <c r="N2716" s="40">
        <f t="shared" si="97"/>
        <v>1940.85</v>
      </c>
    </row>
    <row r="2717" spans="1:14" ht="12.75" hidden="1" customHeight="1" x14ac:dyDescent="0.2">
      <c r="A2717">
        <v>65030</v>
      </c>
      <c r="B2717" s="3" t="s">
        <v>1247</v>
      </c>
      <c r="C2717" s="7" t="s">
        <v>1744</v>
      </c>
      <c r="D2717" s="7" t="s">
        <v>200</v>
      </c>
      <c r="E2717" s="7">
        <v>519</v>
      </c>
      <c r="F2717" s="7" t="s">
        <v>286</v>
      </c>
      <c r="G2717" s="7" t="s">
        <v>182</v>
      </c>
      <c r="H2717" s="7" t="s">
        <v>1369</v>
      </c>
      <c r="I2717" s="7" t="s">
        <v>1247</v>
      </c>
      <c r="J2717" s="39" t="s">
        <v>1810</v>
      </c>
      <c r="K2717" s="39" t="s">
        <v>198</v>
      </c>
      <c r="L2717" s="40">
        <v>100</v>
      </c>
      <c r="M2717" s="40">
        <v>5338.35</v>
      </c>
      <c r="N2717" s="40">
        <f t="shared" si="97"/>
        <v>100</v>
      </c>
    </row>
    <row r="2718" spans="1:14" ht="12.75" hidden="1" customHeight="1" x14ac:dyDescent="0.2">
      <c r="A2718">
        <v>65030</v>
      </c>
      <c r="B2718" s="3" t="s">
        <v>1247</v>
      </c>
      <c r="C2718" s="7" t="s">
        <v>1798</v>
      </c>
      <c r="D2718" s="7" t="s">
        <v>221</v>
      </c>
      <c r="F2718" s="7" t="s">
        <v>275</v>
      </c>
      <c r="G2718" s="7" t="s">
        <v>182</v>
      </c>
      <c r="H2718" s="7" t="s">
        <v>1369</v>
      </c>
      <c r="I2718" s="7" t="s">
        <v>1247</v>
      </c>
      <c r="K2718" s="39" t="s">
        <v>198</v>
      </c>
      <c r="L2718" s="40">
        <v>269.64999999999998</v>
      </c>
      <c r="M2718" s="40">
        <v>5608</v>
      </c>
      <c r="N2718" s="40">
        <f t="shared" si="97"/>
        <v>269.64999999999998</v>
      </c>
    </row>
    <row r="2719" spans="1:14" ht="12.75" hidden="1" customHeight="1" x14ac:dyDescent="0.2">
      <c r="A2719">
        <v>65030</v>
      </c>
      <c r="B2719" s="3" t="s">
        <v>1247</v>
      </c>
      <c r="C2719" s="7" t="s">
        <v>1695</v>
      </c>
      <c r="D2719" s="7" t="s">
        <v>242</v>
      </c>
      <c r="F2719" s="7" t="s">
        <v>275</v>
      </c>
      <c r="G2719" s="7" t="s">
        <v>182</v>
      </c>
      <c r="H2719" s="7" t="s">
        <v>1369</v>
      </c>
      <c r="I2719" s="7" t="s">
        <v>1247</v>
      </c>
      <c r="K2719" s="39" t="s">
        <v>198</v>
      </c>
      <c r="L2719" s="40">
        <v>-269.64999999999998</v>
      </c>
      <c r="M2719" s="40">
        <v>5377.81</v>
      </c>
      <c r="N2719" s="40">
        <f t="shared" si="97"/>
        <v>-269.64999999999998</v>
      </c>
    </row>
    <row r="2720" spans="1:14" ht="12.75" hidden="1" customHeight="1" x14ac:dyDescent="0.2">
      <c r="A2720">
        <v>65030</v>
      </c>
      <c r="B2720" s="3" t="s">
        <v>1247</v>
      </c>
      <c r="C2720" s="7" t="s">
        <v>1695</v>
      </c>
      <c r="D2720" s="7" t="s">
        <v>221</v>
      </c>
      <c r="F2720" s="7" t="s">
        <v>275</v>
      </c>
      <c r="G2720" s="7" t="s">
        <v>182</v>
      </c>
      <c r="H2720" s="7" t="s">
        <v>1369</v>
      </c>
      <c r="I2720" s="7" t="s">
        <v>1247</v>
      </c>
      <c r="K2720" s="39" t="s">
        <v>198</v>
      </c>
      <c r="L2720" s="40">
        <v>221.43</v>
      </c>
      <c r="M2720" s="40">
        <v>5599.24</v>
      </c>
      <c r="N2720" s="40">
        <f t="shared" si="97"/>
        <v>221.43</v>
      </c>
    </row>
    <row r="2721" spans="1:14" ht="12.75" hidden="1" customHeight="1" x14ac:dyDescent="0.2">
      <c r="A2721">
        <v>65030</v>
      </c>
      <c r="B2721" s="3" t="s">
        <v>1247</v>
      </c>
      <c r="C2721" s="7" t="s">
        <v>1543</v>
      </c>
      <c r="D2721" s="7" t="s">
        <v>200</v>
      </c>
      <c r="E2721" s="7">
        <v>524</v>
      </c>
      <c r="F2721" s="7" t="s">
        <v>286</v>
      </c>
      <c r="G2721" s="7" t="s">
        <v>182</v>
      </c>
      <c r="H2721" s="7" t="s">
        <v>1369</v>
      </c>
      <c r="I2721" s="7" t="s">
        <v>1247</v>
      </c>
      <c r="J2721" s="39" t="s">
        <v>1813</v>
      </c>
      <c r="K2721" s="39" t="s">
        <v>198</v>
      </c>
      <c r="L2721" s="40">
        <v>246</v>
      </c>
      <c r="M2721" s="40">
        <v>7358.16</v>
      </c>
      <c r="N2721" s="40">
        <f t="shared" si="97"/>
        <v>246</v>
      </c>
    </row>
    <row r="2722" spans="1:14" ht="12.75" hidden="1" customHeight="1" x14ac:dyDescent="0.2">
      <c r="A2722">
        <v>65030</v>
      </c>
      <c r="B2722" s="3" t="s">
        <v>1247</v>
      </c>
      <c r="C2722" s="7" t="s">
        <v>1635</v>
      </c>
      <c r="D2722" s="7" t="s">
        <v>200</v>
      </c>
      <c r="E2722" s="7">
        <v>555</v>
      </c>
      <c r="F2722" s="7" t="s">
        <v>286</v>
      </c>
      <c r="G2722" s="7" t="s">
        <v>182</v>
      </c>
      <c r="H2722" s="7" t="s">
        <v>1369</v>
      </c>
      <c r="I2722" s="7" t="s">
        <v>1247</v>
      </c>
      <c r="J2722" s="39" t="s">
        <v>1815</v>
      </c>
      <c r="K2722" s="39" t="s">
        <v>198</v>
      </c>
      <c r="L2722" s="40">
        <v>50</v>
      </c>
      <c r="M2722" s="40">
        <v>12193.69</v>
      </c>
      <c r="N2722" s="40">
        <f t="shared" si="97"/>
        <v>50</v>
      </c>
    </row>
    <row r="2723" spans="1:14" ht="12.75" hidden="1" customHeight="1" x14ac:dyDescent="0.2">
      <c r="A2723">
        <v>65035</v>
      </c>
      <c r="B2723" s="3" t="s">
        <v>1248</v>
      </c>
      <c r="C2723" s="7" t="s">
        <v>698</v>
      </c>
      <c r="D2723" s="7" t="s">
        <v>221</v>
      </c>
      <c r="F2723" s="7" t="s">
        <v>1029</v>
      </c>
      <c r="G2723" s="7" t="s">
        <v>182</v>
      </c>
      <c r="H2723" s="7" t="s">
        <v>1369</v>
      </c>
      <c r="I2723" s="7" t="s">
        <v>1248</v>
      </c>
      <c r="K2723" s="7" t="s">
        <v>198</v>
      </c>
      <c r="L2723" s="11">
        <v>12.62</v>
      </c>
      <c r="M2723" s="11">
        <v>12.62</v>
      </c>
      <c r="N2723" s="9">
        <f>IF(A2723&lt;60000,-L2723,+L2723)</f>
        <v>12.62</v>
      </c>
    </row>
    <row r="2724" spans="1:14" ht="12.75" hidden="1" customHeight="1" x14ac:dyDescent="0.2">
      <c r="A2724">
        <v>65036</v>
      </c>
      <c r="B2724" s="3" t="s">
        <v>1249</v>
      </c>
      <c r="C2724" s="7" t="s">
        <v>384</v>
      </c>
      <c r="D2724" s="7" t="s">
        <v>200</v>
      </c>
      <c r="F2724" s="7" t="s">
        <v>871</v>
      </c>
      <c r="G2724" s="7" t="s">
        <v>182</v>
      </c>
      <c r="H2724" s="7" t="s">
        <v>1362</v>
      </c>
      <c r="I2724" s="7" t="s">
        <v>1249</v>
      </c>
      <c r="K2724" s="7" t="s">
        <v>198</v>
      </c>
      <c r="L2724" s="11">
        <v>24.2</v>
      </c>
      <c r="M2724" s="11">
        <v>24.2</v>
      </c>
      <c r="N2724" s="9">
        <f>IF(A2724&lt;60000,-L2724,+L2724)</f>
        <v>24.2</v>
      </c>
    </row>
    <row r="2725" spans="1:14" ht="12.75" hidden="1" customHeight="1" x14ac:dyDescent="0.2">
      <c r="A2725">
        <v>65036</v>
      </c>
      <c r="B2725" s="3" t="s">
        <v>1249</v>
      </c>
      <c r="C2725" s="7" t="s">
        <v>356</v>
      </c>
      <c r="D2725" s="7" t="s">
        <v>200</v>
      </c>
      <c r="F2725" s="7" t="s">
        <v>871</v>
      </c>
      <c r="G2725" s="7" t="s">
        <v>182</v>
      </c>
      <c r="H2725" s="7" t="s">
        <v>1362</v>
      </c>
      <c r="I2725" s="7" t="s">
        <v>1249</v>
      </c>
      <c r="K2725" s="7" t="s">
        <v>198</v>
      </c>
      <c r="L2725" s="11">
        <v>125</v>
      </c>
      <c r="M2725" s="11">
        <v>876.54</v>
      </c>
      <c r="N2725" s="9">
        <f>IF(A2725&lt;60000,-L2725,+L2725)</f>
        <v>125</v>
      </c>
    </row>
    <row r="2726" spans="1:14" ht="12.75" hidden="1" customHeight="1" x14ac:dyDescent="0.2">
      <c r="A2726">
        <v>65036</v>
      </c>
      <c r="B2726" s="3" t="s">
        <v>1249</v>
      </c>
      <c r="C2726" s="7" t="s">
        <v>210</v>
      </c>
      <c r="D2726" s="7" t="s">
        <v>221</v>
      </c>
      <c r="F2726" s="7" t="s">
        <v>1010</v>
      </c>
      <c r="G2726" s="7" t="s">
        <v>182</v>
      </c>
      <c r="H2726" s="7" t="s">
        <v>1362</v>
      </c>
      <c r="I2726" s="7" t="s">
        <v>1249</v>
      </c>
      <c r="K2726" s="7" t="s">
        <v>198</v>
      </c>
      <c r="L2726" s="11">
        <v>25.71</v>
      </c>
      <c r="M2726" s="11">
        <v>5109.1899999999996</v>
      </c>
      <c r="N2726" s="9">
        <f>IF(A2726&lt;60000,-L2726,+L2726)</f>
        <v>25.71</v>
      </c>
    </row>
    <row r="2727" spans="1:14" ht="12.75" hidden="1" customHeight="1" x14ac:dyDescent="0.2">
      <c r="A2727">
        <v>65036</v>
      </c>
      <c r="B2727" s="3" t="s">
        <v>1249</v>
      </c>
      <c r="C2727" s="7" t="s">
        <v>1553</v>
      </c>
      <c r="D2727" s="7" t="s">
        <v>200</v>
      </c>
      <c r="E2727" s="7">
        <v>502</v>
      </c>
      <c r="F2727" s="7" t="s">
        <v>1820</v>
      </c>
      <c r="G2727" s="7" t="s">
        <v>182</v>
      </c>
      <c r="H2727" s="7" t="s">
        <v>1362</v>
      </c>
      <c r="I2727" s="7" t="s">
        <v>1249</v>
      </c>
      <c r="K2727" s="39" t="s">
        <v>198</v>
      </c>
      <c r="L2727" s="40">
        <v>200</v>
      </c>
      <c r="M2727" s="40">
        <v>5675.86</v>
      </c>
      <c r="N2727" s="40">
        <f t="shared" ref="N2727:N2736" si="98">+L2727</f>
        <v>200</v>
      </c>
    </row>
    <row r="2728" spans="1:14" ht="12.75" hidden="1" customHeight="1" x14ac:dyDescent="0.2">
      <c r="A2728">
        <v>65036</v>
      </c>
      <c r="B2728" s="3" t="s">
        <v>1249</v>
      </c>
      <c r="C2728" s="7" t="s">
        <v>1821</v>
      </c>
      <c r="D2728" s="7" t="s">
        <v>221</v>
      </c>
      <c r="F2728" s="7" t="s">
        <v>1822</v>
      </c>
      <c r="G2728" s="7" t="s">
        <v>182</v>
      </c>
      <c r="H2728" s="7" t="s">
        <v>1362</v>
      </c>
      <c r="I2728" s="7" t="s">
        <v>1249</v>
      </c>
      <c r="K2728" s="39" t="s">
        <v>198</v>
      </c>
      <c r="L2728" s="40">
        <v>2.19</v>
      </c>
      <c r="M2728" s="40">
        <v>5678.05</v>
      </c>
      <c r="N2728" s="40">
        <f t="shared" si="98"/>
        <v>2.19</v>
      </c>
    </row>
    <row r="2729" spans="1:14" ht="12.75" hidden="1" customHeight="1" x14ac:dyDescent="0.2">
      <c r="A2729">
        <v>65036</v>
      </c>
      <c r="B2729" s="3" t="s">
        <v>1249</v>
      </c>
      <c r="C2729" s="7" t="s">
        <v>1821</v>
      </c>
      <c r="D2729" s="7" t="s">
        <v>221</v>
      </c>
      <c r="F2729" s="7" t="s">
        <v>1822</v>
      </c>
      <c r="G2729" s="7" t="s">
        <v>182</v>
      </c>
      <c r="H2729" s="7" t="s">
        <v>1362</v>
      </c>
      <c r="I2729" s="7" t="s">
        <v>1249</v>
      </c>
      <c r="K2729" s="39" t="s">
        <v>198</v>
      </c>
      <c r="L2729" s="40">
        <v>116.08</v>
      </c>
      <c r="M2729" s="40">
        <v>5794.13</v>
      </c>
      <c r="N2729" s="40">
        <f t="shared" si="98"/>
        <v>116.08</v>
      </c>
    </row>
    <row r="2730" spans="1:14" ht="12.75" hidden="1" customHeight="1" x14ac:dyDescent="0.2">
      <c r="A2730">
        <v>65036</v>
      </c>
      <c r="B2730" s="3" t="s">
        <v>1249</v>
      </c>
      <c r="C2730" s="7" t="s">
        <v>1821</v>
      </c>
      <c r="D2730" s="7" t="s">
        <v>221</v>
      </c>
      <c r="F2730" s="7" t="s">
        <v>1823</v>
      </c>
      <c r="G2730" s="7" t="s">
        <v>182</v>
      </c>
      <c r="H2730" s="7" t="s">
        <v>1362</v>
      </c>
      <c r="I2730" s="7" t="s">
        <v>1249</v>
      </c>
      <c r="K2730" s="39" t="s">
        <v>198</v>
      </c>
      <c r="L2730" s="40">
        <v>158.29</v>
      </c>
      <c r="M2730" s="40">
        <v>5952.42</v>
      </c>
      <c r="N2730" s="40">
        <f t="shared" si="98"/>
        <v>158.29</v>
      </c>
    </row>
    <row r="2731" spans="1:14" ht="12.75" hidden="1" customHeight="1" x14ac:dyDescent="0.2">
      <c r="A2731">
        <v>65036</v>
      </c>
      <c r="B2731" s="3" t="s">
        <v>1249</v>
      </c>
      <c r="C2731" s="7" t="s">
        <v>1555</v>
      </c>
      <c r="D2731" s="7" t="s">
        <v>200</v>
      </c>
      <c r="E2731" s="7">
        <v>503</v>
      </c>
      <c r="F2731" s="7" t="s">
        <v>1762</v>
      </c>
      <c r="G2731" s="7" t="s">
        <v>182</v>
      </c>
      <c r="H2731" s="7" t="s">
        <v>1362</v>
      </c>
      <c r="I2731" s="7" t="s">
        <v>1249</v>
      </c>
      <c r="J2731" s="39" t="s">
        <v>1824</v>
      </c>
      <c r="K2731" s="39" t="s">
        <v>198</v>
      </c>
      <c r="L2731" s="40">
        <v>122.18</v>
      </c>
      <c r="M2731" s="40">
        <v>6074.6</v>
      </c>
      <c r="N2731" s="40">
        <f t="shared" si="98"/>
        <v>122.18</v>
      </c>
    </row>
    <row r="2732" spans="1:14" ht="12.75" hidden="1" customHeight="1" x14ac:dyDescent="0.2">
      <c r="A2732">
        <v>65036</v>
      </c>
      <c r="B2732" s="3" t="s">
        <v>1249</v>
      </c>
      <c r="C2732" s="7" t="s">
        <v>1796</v>
      </c>
      <c r="D2732" s="7" t="s">
        <v>221</v>
      </c>
      <c r="F2732" s="7" t="s">
        <v>1823</v>
      </c>
      <c r="G2732" s="7" t="s">
        <v>182</v>
      </c>
      <c r="H2732" s="7" t="s">
        <v>1362</v>
      </c>
      <c r="I2732" s="7" t="s">
        <v>1249</v>
      </c>
      <c r="K2732" s="39" t="s">
        <v>198</v>
      </c>
      <c r="L2732" s="40">
        <v>42.61</v>
      </c>
      <c r="M2732" s="40">
        <v>6129.81</v>
      </c>
      <c r="N2732" s="40">
        <f t="shared" si="98"/>
        <v>42.61</v>
      </c>
    </row>
    <row r="2733" spans="1:14" ht="12.75" hidden="1" customHeight="1" x14ac:dyDescent="0.2">
      <c r="A2733">
        <v>65036</v>
      </c>
      <c r="B2733" s="3" t="s">
        <v>1249</v>
      </c>
      <c r="C2733" s="7" t="s">
        <v>1593</v>
      </c>
      <c r="D2733" s="7" t="s">
        <v>221</v>
      </c>
      <c r="F2733" s="7" t="s">
        <v>1827</v>
      </c>
      <c r="G2733" s="7" t="s">
        <v>182</v>
      </c>
      <c r="H2733" s="7" t="s">
        <v>1362</v>
      </c>
      <c r="I2733" s="7" t="s">
        <v>1249</v>
      </c>
      <c r="K2733" s="39" t="s">
        <v>198</v>
      </c>
      <c r="L2733" s="40">
        <v>99.2</v>
      </c>
      <c r="M2733" s="40">
        <v>6457.91</v>
      </c>
      <c r="N2733" s="40">
        <f t="shared" si="98"/>
        <v>99.2</v>
      </c>
    </row>
    <row r="2734" spans="1:14" ht="12.75" hidden="1" customHeight="1" x14ac:dyDescent="0.2">
      <c r="A2734">
        <v>65036</v>
      </c>
      <c r="B2734" s="3" t="s">
        <v>1249</v>
      </c>
      <c r="C2734" s="7" t="s">
        <v>1607</v>
      </c>
      <c r="D2734" s="7" t="s">
        <v>221</v>
      </c>
      <c r="F2734" s="7" t="s">
        <v>1830</v>
      </c>
      <c r="G2734" s="7" t="s">
        <v>182</v>
      </c>
      <c r="H2734" s="7" t="s">
        <v>1362</v>
      </c>
      <c r="I2734" s="7" t="s">
        <v>1249</v>
      </c>
      <c r="K2734" s="39" t="s">
        <v>198</v>
      </c>
      <c r="L2734" s="40">
        <v>48.97</v>
      </c>
      <c r="M2734" s="40">
        <v>6673.22</v>
      </c>
      <c r="N2734" s="40">
        <f t="shared" si="98"/>
        <v>48.97</v>
      </c>
    </row>
    <row r="2735" spans="1:14" ht="12.75" hidden="1" customHeight="1" x14ac:dyDescent="0.2">
      <c r="A2735">
        <v>65036</v>
      </c>
      <c r="B2735" s="3" t="s">
        <v>1249</v>
      </c>
      <c r="C2735" s="7" t="s">
        <v>1646</v>
      </c>
      <c r="D2735" s="7" t="s">
        <v>200</v>
      </c>
      <c r="E2735" s="7">
        <v>565</v>
      </c>
      <c r="F2735" s="7" t="s">
        <v>865</v>
      </c>
      <c r="G2735" s="7" t="s">
        <v>182</v>
      </c>
      <c r="H2735" s="7" t="s">
        <v>1362</v>
      </c>
      <c r="I2735" s="7" t="s">
        <v>1249</v>
      </c>
      <c r="K2735" s="39" t="s">
        <v>198</v>
      </c>
      <c r="L2735" s="40">
        <v>0</v>
      </c>
      <c r="M2735" s="40">
        <v>7071.85</v>
      </c>
      <c r="N2735" s="40">
        <f t="shared" si="98"/>
        <v>0</v>
      </c>
    </row>
    <row r="2736" spans="1:14" ht="12.75" hidden="1" customHeight="1" x14ac:dyDescent="0.2">
      <c r="A2736">
        <v>65036</v>
      </c>
      <c r="B2736" s="3" t="s">
        <v>1249</v>
      </c>
      <c r="C2736" s="7" t="s">
        <v>1647</v>
      </c>
      <c r="D2736" s="7" t="s">
        <v>221</v>
      </c>
      <c r="F2736" s="7" t="s">
        <v>425</v>
      </c>
      <c r="G2736" s="7" t="s">
        <v>182</v>
      </c>
      <c r="H2736" s="7" t="s">
        <v>1362</v>
      </c>
      <c r="I2736" s="7" t="s">
        <v>1249</v>
      </c>
      <c r="K2736" s="39" t="s">
        <v>198</v>
      </c>
      <c r="L2736" s="40">
        <v>1</v>
      </c>
      <c r="M2736" s="40">
        <v>7072.85</v>
      </c>
      <c r="N2736" s="40">
        <f t="shared" si="98"/>
        <v>1</v>
      </c>
    </row>
    <row r="2737" spans="1:14" ht="12.75" hidden="1" customHeight="1" x14ac:dyDescent="0.2">
      <c r="A2737">
        <v>65040</v>
      </c>
      <c r="B2737" s="3" t="s">
        <v>1250</v>
      </c>
      <c r="C2737" s="7" t="s">
        <v>388</v>
      </c>
      <c r="D2737" s="7" t="s">
        <v>200</v>
      </c>
      <c r="F2737" s="7" t="s">
        <v>234</v>
      </c>
      <c r="G2737" s="7" t="s">
        <v>182</v>
      </c>
      <c r="H2737" s="7" t="s">
        <v>1361</v>
      </c>
      <c r="I2737" s="7" t="s">
        <v>1250</v>
      </c>
      <c r="K2737" s="7" t="s">
        <v>198</v>
      </c>
      <c r="L2737" s="11">
        <v>279.04000000000002</v>
      </c>
      <c r="M2737" s="11">
        <v>279.04000000000002</v>
      </c>
      <c r="N2737" s="9">
        <f t="shared" ref="N2737:N2748" si="99">IF(A2737&lt;60000,-L2737,+L2737)</f>
        <v>279.04000000000002</v>
      </c>
    </row>
    <row r="2738" spans="1:14" ht="12.75" hidden="1" customHeight="1" x14ac:dyDescent="0.2">
      <c r="A2738">
        <v>65040</v>
      </c>
      <c r="B2738" s="3" t="s">
        <v>1250</v>
      </c>
      <c r="C2738" s="7" t="s">
        <v>393</v>
      </c>
      <c r="D2738" s="7" t="s">
        <v>200</v>
      </c>
      <c r="F2738" s="7" t="s">
        <v>234</v>
      </c>
      <c r="G2738" s="7" t="s">
        <v>182</v>
      </c>
      <c r="H2738" s="7" t="s">
        <v>1361</v>
      </c>
      <c r="I2738" s="7" t="s">
        <v>1250</v>
      </c>
      <c r="K2738" s="7" t="s">
        <v>198</v>
      </c>
      <c r="L2738" s="11">
        <v>290.48</v>
      </c>
      <c r="M2738" s="11">
        <v>569.52</v>
      </c>
      <c r="N2738" s="9">
        <f t="shared" si="99"/>
        <v>290.48</v>
      </c>
    </row>
    <row r="2739" spans="1:14" ht="12.75" hidden="1" customHeight="1" x14ac:dyDescent="0.2">
      <c r="A2739">
        <v>65040</v>
      </c>
      <c r="B2739" s="3" t="s">
        <v>1250</v>
      </c>
      <c r="C2739" s="7" t="s">
        <v>361</v>
      </c>
      <c r="D2739" s="7" t="s">
        <v>200</v>
      </c>
      <c r="F2739" s="7" t="s">
        <v>234</v>
      </c>
      <c r="G2739" s="7" t="s">
        <v>182</v>
      </c>
      <c r="H2739" s="7" t="s">
        <v>1361</v>
      </c>
      <c r="I2739" s="7" t="s">
        <v>1250</v>
      </c>
      <c r="K2739" s="7" t="s">
        <v>198</v>
      </c>
      <c r="L2739" s="11">
        <v>31.47</v>
      </c>
      <c r="M2739" s="11">
        <v>726.81</v>
      </c>
      <c r="N2739" s="9">
        <f t="shared" si="99"/>
        <v>31.47</v>
      </c>
    </row>
    <row r="2740" spans="1:14" ht="12.75" hidden="1" customHeight="1" x14ac:dyDescent="0.2">
      <c r="A2740">
        <v>65040</v>
      </c>
      <c r="B2740" s="3" t="s">
        <v>1250</v>
      </c>
      <c r="C2740" s="7" t="s">
        <v>843</v>
      </c>
      <c r="D2740" s="7" t="s">
        <v>200</v>
      </c>
      <c r="F2740" s="7" t="s">
        <v>234</v>
      </c>
      <c r="G2740" s="7" t="s">
        <v>182</v>
      </c>
      <c r="H2740" s="7" t="s">
        <v>1361</v>
      </c>
      <c r="I2740" s="7" t="s">
        <v>1250</v>
      </c>
      <c r="K2740" s="7" t="s">
        <v>198</v>
      </c>
      <c r="L2740" s="11">
        <v>41.47</v>
      </c>
      <c r="M2740" s="11">
        <v>991.99</v>
      </c>
      <c r="N2740" s="9">
        <f t="shared" si="99"/>
        <v>41.47</v>
      </c>
    </row>
    <row r="2741" spans="1:14" ht="12.75" hidden="1" customHeight="1" x14ac:dyDescent="0.2">
      <c r="A2741">
        <v>65040</v>
      </c>
      <c r="B2741" s="3" t="s">
        <v>1250</v>
      </c>
      <c r="C2741" s="7" t="s">
        <v>302</v>
      </c>
      <c r="D2741" s="7" t="s">
        <v>200</v>
      </c>
      <c r="F2741" s="7" t="s">
        <v>234</v>
      </c>
      <c r="G2741" s="7" t="s">
        <v>182</v>
      </c>
      <c r="H2741" s="7" t="s">
        <v>1361</v>
      </c>
      <c r="I2741" s="7" t="s">
        <v>1250</v>
      </c>
      <c r="K2741" s="7" t="s">
        <v>198</v>
      </c>
      <c r="L2741" s="11">
        <v>36.479999999999997</v>
      </c>
      <c r="M2741" s="11">
        <v>1110.6199999999999</v>
      </c>
      <c r="N2741" s="9">
        <f t="shared" si="99"/>
        <v>36.479999999999997</v>
      </c>
    </row>
    <row r="2742" spans="1:14" ht="12.75" hidden="1" customHeight="1" x14ac:dyDescent="0.2">
      <c r="A2742">
        <v>65040</v>
      </c>
      <c r="B2742" s="3" t="s">
        <v>1250</v>
      </c>
      <c r="C2742" s="7" t="s">
        <v>812</v>
      </c>
      <c r="D2742" s="7" t="s">
        <v>200</v>
      </c>
      <c r="F2742" s="7" t="s">
        <v>234</v>
      </c>
      <c r="G2742" s="7" t="s">
        <v>182</v>
      </c>
      <c r="H2742" s="7" t="s">
        <v>1361</v>
      </c>
      <c r="I2742" s="7" t="s">
        <v>1250</v>
      </c>
      <c r="K2742" s="7" t="s">
        <v>198</v>
      </c>
      <c r="L2742" s="11">
        <v>173.04</v>
      </c>
      <c r="M2742" s="11">
        <v>1323.68</v>
      </c>
      <c r="N2742" s="9">
        <f t="shared" si="99"/>
        <v>173.04</v>
      </c>
    </row>
    <row r="2743" spans="1:14" ht="12.75" hidden="1" customHeight="1" x14ac:dyDescent="0.2">
      <c r="A2743">
        <v>65040</v>
      </c>
      <c r="B2743" s="3" t="s">
        <v>1250</v>
      </c>
      <c r="C2743" s="7" t="s">
        <v>196</v>
      </c>
      <c r="D2743" s="7" t="s">
        <v>200</v>
      </c>
      <c r="F2743" s="7" t="s">
        <v>234</v>
      </c>
      <c r="G2743" s="7" t="s">
        <v>182</v>
      </c>
      <c r="H2743" s="7" t="s">
        <v>1361</v>
      </c>
      <c r="I2743" s="7" t="s">
        <v>1250</v>
      </c>
      <c r="K2743" s="7" t="s">
        <v>198</v>
      </c>
      <c r="L2743" s="11">
        <v>30.98</v>
      </c>
      <c r="M2743" s="11">
        <v>1354.66</v>
      </c>
      <c r="N2743" s="9">
        <f t="shared" si="99"/>
        <v>30.98</v>
      </c>
    </row>
    <row r="2744" spans="1:14" ht="12.75" hidden="1" customHeight="1" x14ac:dyDescent="0.2">
      <c r="A2744">
        <v>65040</v>
      </c>
      <c r="B2744" s="3" t="s">
        <v>1250</v>
      </c>
      <c r="C2744" s="7" t="s">
        <v>698</v>
      </c>
      <c r="D2744" s="7" t="s">
        <v>221</v>
      </c>
      <c r="F2744" s="7" t="s">
        <v>234</v>
      </c>
      <c r="G2744" s="7" t="s">
        <v>182</v>
      </c>
      <c r="H2744" s="7" t="s">
        <v>1361</v>
      </c>
      <c r="I2744" s="7" t="s">
        <v>1250</v>
      </c>
      <c r="K2744" s="7" t="s">
        <v>198</v>
      </c>
      <c r="L2744" s="11">
        <v>35.06</v>
      </c>
      <c r="M2744" s="11">
        <v>1473.55</v>
      </c>
      <c r="N2744" s="9">
        <f t="shared" si="99"/>
        <v>35.06</v>
      </c>
    </row>
    <row r="2745" spans="1:14" ht="12.75" hidden="1" customHeight="1" x14ac:dyDescent="0.2">
      <c r="A2745">
        <v>65040</v>
      </c>
      <c r="B2745" s="3" t="s">
        <v>1250</v>
      </c>
      <c r="C2745" s="7" t="s">
        <v>698</v>
      </c>
      <c r="D2745" s="7" t="s">
        <v>221</v>
      </c>
      <c r="F2745" s="7" t="s">
        <v>1008</v>
      </c>
      <c r="G2745" s="7" t="s">
        <v>182</v>
      </c>
      <c r="H2745" s="7" t="s">
        <v>1361</v>
      </c>
      <c r="I2745" s="7" t="s">
        <v>1250</v>
      </c>
      <c r="K2745" s="7" t="s">
        <v>198</v>
      </c>
      <c r="L2745" s="11">
        <v>100</v>
      </c>
      <c r="M2745" s="11">
        <v>1573.55</v>
      </c>
      <c r="N2745" s="9">
        <f t="shared" si="99"/>
        <v>100</v>
      </c>
    </row>
    <row r="2746" spans="1:14" ht="12.75" hidden="1" customHeight="1" x14ac:dyDescent="0.2">
      <c r="A2746">
        <v>65040</v>
      </c>
      <c r="B2746" s="3" t="s">
        <v>1250</v>
      </c>
      <c r="C2746" s="7" t="s">
        <v>659</v>
      </c>
      <c r="D2746" s="7" t="s">
        <v>221</v>
      </c>
      <c r="F2746" s="7" t="s">
        <v>234</v>
      </c>
      <c r="G2746" s="7" t="s">
        <v>182</v>
      </c>
      <c r="H2746" s="7" t="s">
        <v>1361</v>
      </c>
      <c r="I2746" s="7" t="s">
        <v>1250</v>
      </c>
      <c r="K2746" s="7" t="s">
        <v>198</v>
      </c>
      <c r="L2746" s="11">
        <v>67.3</v>
      </c>
      <c r="M2746" s="11">
        <v>1640.85</v>
      </c>
      <c r="N2746" s="9">
        <f t="shared" si="99"/>
        <v>67.3</v>
      </c>
    </row>
    <row r="2747" spans="1:14" ht="12.75" hidden="1" customHeight="1" x14ac:dyDescent="0.2">
      <c r="A2747">
        <v>65040</v>
      </c>
      <c r="B2747" s="3" t="s">
        <v>1250</v>
      </c>
      <c r="C2747" s="7" t="s">
        <v>214</v>
      </c>
      <c r="D2747" s="7" t="s">
        <v>221</v>
      </c>
      <c r="F2747" s="7" t="s">
        <v>1005</v>
      </c>
      <c r="G2747" s="7" t="s">
        <v>182</v>
      </c>
      <c r="H2747" s="7" t="s">
        <v>1361</v>
      </c>
      <c r="I2747" s="7" t="s">
        <v>1250</v>
      </c>
      <c r="K2747" s="7" t="s">
        <v>198</v>
      </c>
      <c r="L2747" s="11">
        <v>52.42</v>
      </c>
      <c r="M2747" s="11">
        <v>1733.76</v>
      </c>
      <c r="N2747" s="9">
        <f t="shared" si="99"/>
        <v>52.42</v>
      </c>
    </row>
    <row r="2748" spans="1:14" ht="12.75" hidden="1" customHeight="1" x14ac:dyDescent="0.2">
      <c r="A2748">
        <v>65040</v>
      </c>
      <c r="B2748" s="3" t="s">
        <v>1250</v>
      </c>
      <c r="C2748" s="7" t="s">
        <v>611</v>
      </c>
      <c r="D2748" s="7" t="s">
        <v>221</v>
      </c>
      <c r="F2748" s="7" t="s">
        <v>234</v>
      </c>
      <c r="G2748" s="7" t="s">
        <v>182</v>
      </c>
      <c r="H2748" s="7" t="s">
        <v>1361</v>
      </c>
      <c r="I2748" s="7" t="s">
        <v>1250</v>
      </c>
      <c r="K2748" s="7" t="s">
        <v>198</v>
      </c>
      <c r="L2748" s="11">
        <v>84.98</v>
      </c>
      <c r="M2748" s="11">
        <v>2068.7399999999998</v>
      </c>
      <c r="N2748" s="9">
        <f t="shared" si="99"/>
        <v>84.98</v>
      </c>
    </row>
    <row r="2749" spans="1:14" ht="12.75" hidden="1" customHeight="1" x14ac:dyDescent="0.2">
      <c r="A2749">
        <v>65040</v>
      </c>
      <c r="B2749" s="3" t="s">
        <v>1836</v>
      </c>
      <c r="C2749" s="7" t="s">
        <v>1569</v>
      </c>
      <c r="D2749" s="7" t="s">
        <v>221</v>
      </c>
      <c r="F2749" s="7" t="s">
        <v>234</v>
      </c>
      <c r="G2749" s="7" t="s">
        <v>182</v>
      </c>
      <c r="H2749" s="7" t="s">
        <v>1361</v>
      </c>
      <c r="I2749" s="7" t="s">
        <v>1250</v>
      </c>
      <c r="K2749" s="39" t="s">
        <v>198</v>
      </c>
      <c r="L2749" s="40">
        <v>13.99</v>
      </c>
      <c r="M2749" s="40">
        <v>2183.63</v>
      </c>
      <c r="N2749" s="40">
        <f t="shared" ref="N2749:N2759" si="100">+L2749</f>
        <v>13.99</v>
      </c>
    </row>
    <row r="2750" spans="1:14" ht="12.75" hidden="1" customHeight="1" x14ac:dyDescent="0.2">
      <c r="A2750">
        <v>65040</v>
      </c>
      <c r="B2750" s="3" t="s">
        <v>1836</v>
      </c>
      <c r="C2750" s="7" t="s">
        <v>1571</v>
      </c>
      <c r="D2750" s="7" t="s">
        <v>221</v>
      </c>
      <c r="F2750" s="7" t="s">
        <v>234</v>
      </c>
      <c r="G2750" s="7" t="s">
        <v>182</v>
      </c>
      <c r="H2750" s="7" t="s">
        <v>1361</v>
      </c>
      <c r="I2750" s="7" t="s">
        <v>1250</v>
      </c>
      <c r="K2750" s="39" t="s">
        <v>198</v>
      </c>
      <c r="L2750" s="40">
        <v>3.99</v>
      </c>
      <c r="M2750" s="40">
        <v>2187.62</v>
      </c>
      <c r="N2750" s="40">
        <f t="shared" si="100"/>
        <v>3.99</v>
      </c>
    </row>
    <row r="2751" spans="1:14" ht="12.75" hidden="1" customHeight="1" x14ac:dyDescent="0.2">
      <c r="A2751">
        <v>65040</v>
      </c>
      <c r="B2751" s="3" t="s">
        <v>1836</v>
      </c>
      <c r="C2751" s="7" t="s">
        <v>1574</v>
      </c>
      <c r="D2751" s="7" t="s">
        <v>221</v>
      </c>
      <c r="F2751" s="7" t="s">
        <v>234</v>
      </c>
      <c r="G2751" s="7" t="s">
        <v>182</v>
      </c>
      <c r="H2751" s="7" t="s">
        <v>1361</v>
      </c>
      <c r="I2751" s="7" t="s">
        <v>1250</v>
      </c>
      <c r="K2751" s="39" t="s">
        <v>198</v>
      </c>
      <c r="L2751" s="40">
        <v>69.31</v>
      </c>
      <c r="M2751" s="40">
        <v>2256.9299999999998</v>
      </c>
      <c r="N2751" s="40">
        <f t="shared" si="100"/>
        <v>69.31</v>
      </c>
    </row>
    <row r="2752" spans="1:14" ht="12.75" hidden="1" customHeight="1" x14ac:dyDescent="0.2">
      <c r="A2752">
        <v>65040</v>
      </c>
      <c r="B2752" s="3" t="s">
        <v>1836</v>
      </c>
      <c r="C2752" s="7" t="s">
        <v>1574</v>
      </c>
      <c r="D2752" s="7" t="s">
        <v>221</v>
      </c>
      <c r="F2752" s="7" t="s">
        <v>234</v>
      </c>
      <c r="G2752" s="7" t="s">
        <v>182</v>
      </c>
      <c r="H2752" s="7" t="s">
        <v>1361</v>
      </c>
      <c r="I2752" s="7" t="s">
        <v>1250</v>
      </c>
      <c r="K2752" s="39" t="s">
        <v>198</v>
      </c>
      <c r="L2752" s="40">
        <v>15.97</v>
      </c>
      <c r="M2752" s="40">
        <v>2272.9</v>
      </c>
      <c r="N2752" s="40">
        <f t="shared" si="100"/>
        <v>15.97</v>
      </c>
    </row>
    <row r="2753" spans="1:14" ht="12.75" hidden="1" customHeight="1" x14ac:dyDescent="0.2">
      <c r="A2753">
        <v>65040</v>
      </c>
      <c r="B2753" s="3" t="s">
        <v>1836</v>
      </c>
      <c r="C2753" s="7" t="s">
        <v>1589</v>
      </c>
      <c r="D2753" s="7" t="s">
        <v>221</v>
      </c>
      <c r="F2753" s="7" t="s">
        <v>234</v>
      </c>
      <c r="G2753" s="7" t="s">
        <v>182</v>
      </c>
      <c r="H2753" s="7" t="s">
        <v>1361</v>
      </c>
      <c r="I2753" s="7" t="s">
        <v>1250</v>
      </c>
      <c r="K2753" s="39" t="s">
        <v>198</v>
      </c>
      <c r="L2753" s="40">
        <v>93.99</v>
      </c>
      <c r="M2753" s="40">
        <v>2366.89</v>
      </c>
      <c r="N2753" s="40">
        <f t="shared" si="100"/>
        <v>93.99</v>
      </c>
    </row>
    <row r="2754" spans="1:14" ht="12.75" hidden="1" customHeight="1" x14ac:dyDescent="0.2">
      <c r="A2754">
        <v>65040</v>
      </c>
      <c r="B2754" s="3" t="s">
        <v>1836</v>
      </c>
      <c r="C2754" s="7" t="s">
        <v>1786</v>
      </c>
      <c r="D2754" s="7" t="s">
        <v>221</v>
      </c>
      <c r="F2754" s="7" t="s">
        <v>234</v>
      </c>
      <c r="G2754" s="7" t="s">
        <v>182</v>
      </c>
      <c r="H2754" s="7" t="s">
        <v>1361</v>
      </c>
      <c r="I2754" s="7" t="s">
        <v>1250</v>
      </c>
      <c r="K2754" s="39" t="s">
        <v>198</v>
      </c>
      <c r="L2754" s="40">
        <v>18.079999999999998</v>
      </c>
      <c r="M2754" s="40">
        <v>2417.73</v>
      </c>
      <c r="N2754" s="40">
        <f t="shared" si="100"/>
        <v>18.079999999999998</v>
      </c>
    </row>
    <row r="2755" spans="1:14" ht="12.75" hidden="1" customHeight="1" x14ac:dyDescent="0.2">
      <c r="A2755">
        <v>65040</v>
      </c>
      <c r="B2755" s="3" t="s">
        <v>1836</v>
      </c>
      <c r="C2755" s="7" t="s">
        <v>1786</v>
      </c>
      <c r="D2755" s="7" t="s">
        <v>221</v>
      </c>
      <c r="F2755" s="7" t="s">
        <v>234</v>
      </c>
      <c r="G2755" s="7" t="s">
        <v>182</v>
      </c>
      <c r="H2755" s="7" t="s">
        <v>1361</v>
      </c>
      <c r="I2755" s="7" t="s">
        <v>1250</v>
      </c>
      <c r="K2755" s="39" t="s">
        <v>198</v>
      </c>
      <c r="L2755" s="40">
        <v>110.89</v>
      </c>
      <c r="M2755" s="40">
        <v>2528.62</v>
      </c>
      <c r="N2755" s="40">
        <f t="shared" si="100"/>
        <v>110.89</v>
      </c>
    </row>
    <row r="2756" spans="1:14" ht="12.75" hidden="1" customHeight="1" x14ac:dyDescent="0.2">
      <c r="A2756">
        <v>65040</v>
      </c>
      <c r="B2756" s="3" t="s">
        <v>1836</v>
      </c>
      <c r="C2756" s="7" t="s">
        <v>1790</v>
      </c>
      <c r="D2756" s="7" t="s">
        <v>221</v>
      </c>
      <c r="F2756" s="7" t="s">
        <v>234</v>
      </c>
      <c r="G2756" s="7" t="s">
        <v>182</v>
      </c>
      <c r="H2756" s="7" t="s">
        <v>1361</v>
      </c>
      <c r="I2756" s="7" t="s">
        <v>1250</v>
      </c>
      <c r="K2756" s="39" t="s">
        <v>198</v>
      </c>
      <c r="L2756" s="40">
        <v>17.989999999999998</v>
      </c>
      <c r="M2756" s="40">
        <v>2623.71</v>
      </c>
      <c r="N2756" s="40">
        <f t="shared" si="100"/>
        <v>17.989999999999998</v>
      </c>
    </row>
    <row r="2757" spans="1:14" ht="12.75" hidden="1" customHeight="1" x14ac:dyDescent="0.2">
      <c r="A2757">
        <v>65040</v>
      </c>
      <c r="B2757" s="3" t="s">
        <v>1836</v>
      </c>
      <c r="C2757" s="7" t="s">
        <v>1790</v>
      </c>
      <c r="D2757" s="7" t="s">
        <v>221</v>
      </c>
      <c r="F2757" s="7" t="s">
        <v>234</v>
      </c>
      <c r="G2757" s="7" t="s">
        <v>182</v>
      </c>
      <c r="H2757" s="7" t="s">
        <v>1361</v>
      </c>
      <c r="I2757" s="7" t="s">
        <v>1250</v>
      </c>
      <c r="K2757" s="39" t="s">
        <v>198</v>
      </c>
      <c r="L2757" s="40">
        <v>416.01</v>
      </c>
      <c r="M2757" s="40">
        <v>3039.72</v>
      </c>
      <c r="N2757" s="40">
        <f t="shared" si="100"/>
        <v>416.01</v>
      </c>
    </row>
    <row r="2758" spans="1:14" ht="12.75" hidden="1" customHeight="1" x14ac:dyDescent="0.2">
      <c r="A2758">
        <v>65040</v>
      </c>
      <c r="B2758" s="3" t="s">
        <v>1836</v>
      </c>
      <c r="C2758" s="7" t="s">
        <v>1647</v>
      </c>
      <c r="D2758" s="7" t="s">
        <v>221</v>
      </c>
      <c r="F2758" s="7" t="s">
        <v>234</v>
      </c>
      <c r="G2758" s="7" t="s">
        <v>182</v>
      </c>
      <c r="H2758" s="7" t="s">
        <v>1361</v>
      </c>
      <c r="I2758" s="7" t="s">
        <v>1250</v>
      </c>
      <c r="K2758" s="39" t="s">
        <v>198</v>
      </c>
      <c r="L2758" s="40">
        <v>93.99</v>
      </c>
      <c r="M2758" s="40">
        <v>3133.71</v>
      </c>
      <c r="N2758" s="40">
        <f t="shared" si="100"/>
        <v>93.99</v>
      </c>
    </row>
    <row r="2759" spans="1:14" ht="12.75" hidden="1" customHeight="1" x14ac:dyDescent="0.2">
      <c r="A2759">
        <v>65045</v>
      </c>
      <c r="B2759" s="3" t="s">
        <v>1840</v>
      </c>
      <c r="C2759" s="7" t="s">
        <v>1646</v>
      </c>
      <c r="D2759" s="7" t="s">
        <v>200</v>
      </c>
      <c r="E2759" s="7">
        <v>562</v>
      </c>
      <c r="F2759" s="7" t="s">
        <v>1842</v>
      </c>
      <c r="G2759" s="7" t="s">
        <v>182</v>
      </c>
      <c r="H2759" s="7" t="s">
        <v>1362</v>
      </c>
      <c r="I2759" s="7" t="s">
        <v>1251</v>
      </c>
      <c r="J2759" s="39" t="s">
        <v>1843</v>
      </c>
      <c r="K2759" s="39" t="s">
        <v>198</v>
      </c>
      <c r="L2759" s="40">
        <v>75</v>
      </c>
      <c r="M2759" s="40">
        <v>6770.35</v>
      </c>
      <c r="N2759" s="40">
        <f t="shared" si="100"/>
        <v>75</v>
      </c>
    </row>
    <row r="2760" spans="1:14" ht="12.75" hidden="1" customHeight="1" x14ac:dyDescent="0.2">
      <c r="A2760">
        <v>65050</v>
      </c>
      <c r="B2760" s="3" t="s">
        <v>1252</v>
      </c>
      <c r="C2760" s="7" t="s">
        <v>535</v>
      </c>
      <c r="D2760" s="7" t="s">
        <v>200</v>
      </c>
      <c r="E2760" s="7">
        <v>400</v>
      </c>
      <c r="F2760" s="7" t="s">
        <v>192</v>
      </c>
      <c r="G2760" s="7" t="s">
        <v>182</v>
      </c>
      <c r="H2760" s="7" t="s">
        <v>1361</v>
      </c>
      <c r="I2760" s="7" t="s">
        <v>1252</v>
      </c>
      <c r="J2760" s="7" t="s">
        <v>1001</v>
      </c>
      <c r="K2760" s="7" t="s">
        <v>198</v>
      </c>
      <c r="L2760" s="11">
        <v>106.06</v>
      </c>
      <c r="M2760" s="11">
        <v>106.06</v>
      </c>
      <c r="N2760" s="9">
        <f t="shared" ref="N2760:N2784" si="101">IF(A2760&lt;60000,-L2760,+L2760)</f>
        <v>106.06</v>
      </c>
    </row>
    <row r="2761" spans="1:14" ht="12.75" hidden="1" customHeight="1" x14ac:dyDescent="0.2">
      <c r="A2761">
        <v>65061</v>
      </c>
      <c r="B2761" s="3" t="s">
        <v>1253</v>
      </c>
      <c r="C2761" s="7" t="s">
        <v>391</v>
      </c>
      <c r="D2761" s="7" t="s">
        <v>183</v>
      </c>
      <c r="E2761" s="7" t="s">
        <v>390</v>
      </c>
      <c r="G2761" s="7" t="s">
        <v>182</v>
      </c>
      <c r="H2761" s="7" t="s">
        <v>1362</v>
      </c>
      <c r="I2761" s="7" t="s">
        <v>1253</v>
      </c>
      <c r="J2761" s="7" t="s">
        <v>389</v>
      </c>
      <c r="K2761" s="7" t="s">
        <v>180</v>
      </c>
      <c r="L2761" s="11">
        <v>-9797.98</v>
      </c>
      <c r="M2761" s="11">
        <v>-9797.98</v>
      </c>
      <c r="N2761" s="9">
        <f t="shared" si="101"/>
        <v>-9797.98</v>
      </c>
    </row>
    <row r="2762" spans="1:14" ht="12.75" hidden="1" customHeight="1" x14ac:dyDescent="0.2">
      <c r="A2762">
        <v>65061</v>
      </c>
      <c r="B2762" s="3" t="s">
        <v>1253</v>
      </c>
      <c r="C2762" s="7" t="s">
        <v>965</v>
      </c>
      <c r="D2762" s="7" t="s">
        <v>200</v>
      </c>
      <c r="F2762" s="7" t="s">
        <v>967</v>
      </c>
      <c r="G2762" s="7" t="s">
        <v>182</v>
      </c>
      <c r="H2762" s="7" t="s">
        <v>1362</v>
      </c>
      <c r="I2762" s="7" t="s">
        <v>1253</v>
      </c>
      <c r="K2762" s="7" t="s">
        <v>198</v>
      </c>
      <c r="L2762" s="11">
        <v>61.25</v>
      </c>
      <c r="M2762" s="11">
        <v>3881.02</v>
      </c>
      <c r="N2762" s="9">
        <f t="shared" si="101"/>
        <v>61.25</v>
      </c>
    </row>
    <row r="2763" spans="1:14" ht="12.75" hidden="1" customHeight="1" x14ac:dyDescent="0.2">
      <c r="A2763">
        <v>65061</v>
      </c>
      <c r="B2763" s="3" t="s">
        <v>1253</v>
      </c>
      <c r="C2763" s="7" t="s">
        <v>965</v>
      </c>
      <c r="D2763" s="7" t="s">
        <v>200</v>
      </c>
      <c r="F2763" s="7" t="s">
        <v>624</v>
      </c>
      <c r="G2763" s="7" t="s">
        <v>182</v>
      </c>
      <c r="H2763" s="7" t="s">
        <v>1362</v>
      </c>
      <c r="I2763" s="7" t="s">
        <v>1253</v>
      </c>
      <c r="K2763" s="7" t="s">
        <v>198</v>
      </c>
      <c r="L2763" s="11">
        <v>306.02</v>
      </c>
      <c r="M2763" s="11">
        <v>4187.04</v>
      </c>
      <c r="N2763" s="9">
        <f t="shared" si="101"/>
        <v>306.02</v>
      </c>
    </row>
    <row r="2764" spans="1:14" ht="12.75" hidden="1" customHeight="1" x14ac:dyDescent="0.2">
      <c r="A2764">
        <v>65061</v>
      </c>
      <c r="B2764" s="3" t="s">
        <v>1253</v>
      </c>
      <c r="C2764" s="7" t="s">
        <v>962</v>
      </c>
      <c r="D2764" s="7" t="s">
        <v>200</v>
      </c>
      <c r="F2764" s="7" t="s">
        <v>964</v>
      </c>
      <c r="G2764" s="7" t="s">
        <v>182</v>
      </c>
      <c r="H2764" s="7" t="s">
        <v>1362</v>
      </c>
      <c r="I2764" s="7" t="s">
        <v>1253</v>
      </c>
      <c r="K2764" s="7" t="s">
        <v>198</v>
      </c>
      <c r="L2764" s="11">
        <v>849</v>
      </c>
      <c r="M2764" s="11">
        <v>5540.94</v>
      </c>
      <c r="N2764" s="9">
        <f t="shared" si="101"/>
        <v>849</v>
      </c>
    </row>
    <row r="2765" spans="1:14" ht="12.75" hidden="1" customHeight="1" x14ac:dyDescent="0.2">
      <c r="A2765">
        <v>65061</v>
      </c>
      <c r="B2765" s="3" t="s">
        <v>1253</v>
      </c>
      <c r="C2765" s="7" t="s">
        <v>384</v>
      </c>
      <c r="D2765" s="7" t="s">
        <v>200</v>
      </c>
      <c r="F2765" s="7" t="s">
        <v>958</v>
      </c>
      <c r="G2765" s="7" t="s">
        <v>182</v>
      </c>
      <c r="H2765" s="7" t="s">
        <v>1362</v>
      </c>
      <c r="I2765" s="7" t="s">
        <v>1253</v>
      </c>
      <c r="K2765" s="7" t="s">
        <v>198</v>
      </c>
      <c r="L2765" s="11">
        <v>12.29</v>
      </c>
      <c r="M2765" s="11">
        <v>12215.85</v>
      </c>
      <c r="N2765" s="9">
        <f t="shared" si="101"/>
        <v>12.29</v>
      </c>
    </row>
    <row r="2766" spans="1:14" ht="12.75" hidden="1" customHeight="1" x14ac:dyDescent="0.2">
      <c r="A2766">
        <v>65061</v>
      </c>
      <c r="B2766" s="3" t="s">
        <v>1253</v>
      </c>
      <c r="C2766" s="7" t="s">
        <v>384</v>
      </c>
      <c r="D2766" s="7" t="s">
        <v>200</v>
      </c>
      <c r="F2766" s="7" t="s">
        <v>546</v>
      </c>
      <c r="G2766" s="7" t="s">
        <v>182</v>
      </c>
      <c r="H2766" s="7" t="s">
        <v>1362</v>
      </c>
      <c r="I2766" s="7" t="s">
        <v>1253</v>
      </c>
      <c r="K2766" s="7" t="s">
        <v>198</v>
      </c>
      <c r="L2766" s="11">
        <v>22.88</v>
      </c>
      <c r="M2766" s="11">
        <v>12238.73</v>
      </c>
      <c r="N2766" s="9">
        <f t="shared" si="101"/>
        <v>22.88</v>
      </c>
    </row>
    <row r="2767" spans="1:14" ht="12.75" hidden="1" customHeight="1" x14ac:dyDescent="0.2">
      <c r="A2767">
        <v>65061</v>
      </c>
      <c r="B2767" s="3" t="s">
        <v>1253</v>
      </c>
      <c r="C2767" s="7" t="s">
        <v>384</v>
      </c>
      <c r="D2767" s="7" t="s">
        <v>200</v>
      </c>
      <c r="F2767" s="7" t="s">
        <v>955</v>
      </c>
      <c r="G2767" s="7" t="s">
        <v>182</v>
      </c>
      <c r="H2767" s="7" t="s">
        <v>1362</v>
      </c>
      <c r="I2767" s="7" t="s">
        <v>1253</v>
      </c>
      <c r="K2767" s="7" t="s">
        <v>198</v>
      </c>
      <c r="L2767" s="11">
        <v>128.52000000000001</v>
      </c>
      <c r="M2767" s="11">
        <v>12374.69</v>
      </c>
      <c r="N2767" s="9">
        <f t="shared" si="101"/>
        <v>128.52000000000001</v>
      </c>
    </row>
    <row r="2768" spans="1:14" ht="12.75" hidden="1" customHeight="1" x14ac:dyDescent="0.2">
      <c r="A2768">
        <v>65061</v>
      </c>
      <c r="B2768" s="3" t="s">
        <v>1253</v>
      </c>
      <c r="C2768" s="7" t="s">
        <v>952</v>
      </c>
      <c r="D2768" s="7" t="s">
        <v>200</v>
      </c>
      <c r="F2768" s="7" t="s">
        <v>549</v>
      </c>
      <c r="G2768" s="7" t="s">
        <v>182</v>
      </c>
      <c r="H2768" s="7" t="s">
        <v>1362</v>
      </c>
      <c r="I2768" s="7" t="s">
        <v>1253</v>
      </c>
      <c r="K2768" s="7" t="s">
        <v>198</v>
      </c>
      <c r="L2768" s="11">
        <v>343.59</v>
      </c>
      <c r="M2768" s="11">
        <v>15448.73</v>
      </c>
      <c r="N2768" s="9">
        <f t="shared" si="101"/>
        <v>343.59</v>
      </c>
    </row>
    <row r="2769" spans="1:14" ht="12.75" hidden="1" customHeight="1" x14ac:dyDescent="0.2">
      <c r="A2769">
        <v>65061</v>
      </c>
      <c r="B2769" s="3" t="s">
        <v>1253</v>
      </c>
      <c r="C2769" s="7" t="s">
        <v>302</v>
      </c>
      <c r="D2769" s="7" t="s">
        <v>200</v>
      </c>
      <c r="E2769" s="7">
        <v>430</v>
      </c>
      <c r="F2769" s="7" t="s">
        <v>834</v>
      </c>
      <c r="G2769" s="7" t="s">
        <v>182</v>
      </c>
      <c r="H2769" s="7" t="s">
        <v>1362</v>
      </c>
      <c r="I2769" s="7" t="s">
        <v>1253</v>
      </c>
      <c r="J2769" s="7" t="s">
        <v>833</v>
      </c>
      <c r="K2769" s="7" t="s">
        <v>198</v>
      </c>
      <c r="L2769" s="11">
        <v>175</v>
      </c>
      <c r="M2769" s="11">
        <v>78391.13</v>
      </c>
      <c r="N2769" s="9">
        <f t="shared" si="101"/>
        <v>175</v>
      </c>
    </row>
    <row r="2770" spans="1:14" ht="12.75" hidden="1" customHeight="1" x14ac:dyDescent="0.2">
      <c r="A2770">
        <v>65061</v>
      </c>
      <c r="B2770" s="3" t="s">
        <v>1253</v>
      </c>
      <c r="C2770" s="7" t="s">
        <v>193</v>
      </c>
      <c r="D2770" s="7" t="s">
        <v>221</v>
      </c>
      <c r="F2770" s="7" t="s">
        <v>234</v>
      </c>
      <c r="G2770" s="7" t="s">
        <v>182</v>
      </c>
      <c r="H2770" s="7" t="s">
        <v>1362</v>
      </c>
      <c r="I2770" s="7" t="s">
        <v>1253</v>
      </c>
      <c r="K2770" s="7" t="s">
        <v>198</v>
      </c>
      <c r="L2770" s="11">
        <v>73.91</v>
      </c>
      <c r="M2770" s="11">
        <v>136843.54</v>
      </c>
      <c r="N2770" s="9">
        <f t="shared" si="101"/>
        <v>73.91</v>
      </c>
    </row>
    <row r="2771" spans="1:14" ht="12.75" hidden="1" customHeight="1" x14ac:dyDescent="0.2">
      <c r="A2771">
        <v>65061</v>
      </c>
      <c r="B2771" s="3" t="s">
        <v>1253</v>
      </c>
      <c r="C2771" s="7" t="s">
        <v>645</v>
      </c>
      <c r="D2771" s="7" t="s">
        <v>221</v>
      </c>
      <c r="F2771" s="7" t="s">
        <v>647</v>
      </c>
      <c r="G2771" s="7" t="s">
        <v>182</v>
      </c>
      <c r="H2771" s="7" t="s">
        <v>1362</v>
      </c>
      <c r="I2771" s="7" t="s">
        <v>1253</v>
      </c>
      <c r="K2771" s="7" t="s">
        <v>198</v>
      </c>
      <c r="L2771" s="11">
        <v>168.89</v>
      </c>
      <c r="M2771" s="11">
        <v>165978.51999999999</v>
      </c>
      <c r="N2771" s="9">
        <f t="shared" si="101"/>
        <v>168.89</v>
      </c>
    </row>
    <row r="2772" spans="1:14" ht="12.75" hidden="1" customHeight="1" x14ac:dyDescent="0.2">
      <c r="A2772">
        <v>65061</v>
      </c>
      <c r="B2772" s="3" t="s">
        <v>1253</v>
      </c>
      <c r="C2772" s="7" t="s">
        <v>645</v>
      </c>
      <c r="D2772" s="7" t="s">
        <v>221</v>
      </c>
      <c r="F2772" s="7" t="s">
        <v>548</v>
      </c>
      <c r="G2772" s="7" t="s">
        <v>182</v>
      </c>
      <c r="H2772" s="7" t="s">
        <v>1362</v>
      </c>
      <c r="I2772" s="7" t="s">
        <v>1253</v>
      </c>
      <c r="K2772" s="7" t="s">
        <v>198</v>
      </c>
      <c r="L2772" s="11">
        <v>33.36</v>
      </c>
      <c r="M2772" s="11">
        <v>167601.49</v>
      </c>
      <c r="N2772" s="9">
        <f t="shared" si="101"/>
        <v>33.36</v>
      </c>
    </row>
    <row r="2773" spans="1:14" ht="12.75" hidden="1" customHeight="1" x14ac:dyDescent="0.2">
      <c r="A2773">
        <v>65061</v>
      </c>
      <c r="B2773" s="3" t="s">
        <v>1253</v>
      </c>
      <c r="C2773" s="7" t="s">
        <v>427</v>
      </c>
      <c r="D2773" s="7" t="s">
        <v>221</v>
      </c>
      <c r="F2773" s="7" t="s">
        <v>265</v>
      </c>
      <c r="G2773" s="7" t="s">
        <v>182</v>
      </c>
      <c r="H2773" s="7" t="s">
        <v>1362</v>
      </c>
      <c r="I2773" s="7" t="s">
        <v>1253</v>
      </c>
      <c r="K2773" s="7" t="s">
        <v>198</v>
      </c>
      <c r="L2773" s="11">
        <v>57.89</v>
      </c>
      <c r="M2773" s="11">
        <v>174706.6</v>
      </c>
      <c r="N2773" s="9">
        <f t="shared" si="101"/>
        <v>57.89</v>
      </c>
    </row>
    <row r="2774" spans="1:14" ht="12.75" hidden="1" customHeight="1" x14ac:dyDescent="0.2">
      <c r="A2774">
        <v>65061</v>
      </c>
      <c r="B2774" s="3" t="s">
        <v>1253</v>
      </c>
      <c r="C2774" s="7" t="s">
        <v>427</v>
      </c>
      <c r="D2774" s="7" t="s">
        <v>221</v>
      </c>
      <c r="F2774" s="7" t="s">
        <v>265</v>
      </c>
      <c r="G2774" s="7" t="s">
        <v>182</v>
      </c>
      <c r="H2774" s="7" t="s">
        <v>1362</v>
      </c>
      <c r="I2774" s="7" t="s">
        <v>1253</v>
      </c>
      <c r="K2774" s="7" t="s">
        <v>198</v>
      </c>
      <c r="L2774" s="11">
        <v>19.170000000000002</v>
      </c>
      <c r="M2774" s="11">
        <v>174725.77</v>
      </c>
      <c r="N2774" s="9">
        <f t="shared" si="101"/>
        <v>19.170000000000002</v>
      </c>
    </row>
    <row r="2775" spans="1:14" ht="12.75" hidden="1" customHeight="1" x14ac:dyDescent="0.2">
      <c r="A2775">
        <v>65061</v>
      </c>
      <c r="B2775" s="3" t="s">
        <v>1253</v>
      </c>
      <c r="C2775" s="7" t="s">
        <v>427</v>
      </c>
      <c r="D2775" s="7" t="s">
        <v>221</v>
      </c>
      <c r="F2775" s="7" t="s">
        <v>265</v>
      </c>
      <c r="G2775" s="7" t="s">
        <v>182</v>
      </c>
      <c r="H2775" s="7" t="s">
        <v>1362</v>
      </c>
      <c r="I2775" s="7" t="s">
        <v>1253</v>
      </c>
      <c r="K2775" s="7" t="s">
        <v>198</v>
      </c>
      <c r="L2775" s="11">
        <v>37.56</v>
      </c>
      <c r="M2775" s="11">
        <v>174763.33</v>
      </c>
      <c r="N2775" s="9">
        <f t="shared" si="101"/>
        <v>37.56</v>
      </c>
    </row>
    <row r="2776" spans="1:14" ht="12.75" hidden="1" customHeight="1" x14ac:dyDescent="0.2">
      <c r="A2776">
        <v>65061</v>
      </c>
      <c r="B2776" s="3" t="s">
        <v>1253</v>
      </c>
      <c r="C2776" s="7" t="s">
        <v>617</v>
      </c>
      <c r="D2776" s="7" t="s">
        <v>221</v>
      </c>
      <c r="F2776" s="7" t="s">
        <v>265</v>
      </c>
      <c r="G2776" s="7" t="s">
        <v>182</v>
      </c>
      <c r="H2776" s="7" t="s">
        <v>1362</v>
      </c>
      <c r="I2776" s="7" t="s">
        <v>1253</v>
      </c>
      <c r="K2776" s="7" t="s">
        <v>198</v>
      </c>
      <c r="L2776" s="11">
        <v>86.08</v>
      </c>
      <c r="M2776" s="11">
        <v>175422.53</v>
      </c>
      <c r="N2776" s="9">
        <f t="shared" si="101"/>
        <v>86.08</v>
      </c>
    </row>
    <row r="2777" spans="1:14" ht="12.75" hidden="1" customHeight="1" x14ac:dyDescent="0.2">
      <c r="A2777">
        <v>65061</v>
      </c>
      <c r="B2777" s="3" t="s">
        <v>1253</v>
      </c>
      <c r="C2777" s="7" t="s">
        <v>617</v>
      </c>
      <c r="D2777" s="7" t="s">
        <v>221</v>
      </c>
      <c r="F2777" s="7" t="s">
        <v>265</v>
      </c>
      <c r="G2777" s="7" t="s">
        <v>182</v>
      </c>
      <c r="H2777" s="7" t="s">
        <v>1362</v>
      </c>
      <c r="I2777" s="7" t="s">
        <v>1253</v>
      </c>
      <c r="K2777" s="7" t="s">
        <v>198</v>
      </c>
      <c r="L2777" s="11">
        <v>201.21</v>
      </c>
      <c r="M2777" s="11">
        <v>177501.47</v>
      </c>
      <c r="N2777" s="9">
        <f t="shared" si="101"/>
        <v>201.21</v>
      </c>
    </row>
    <row r="2778" spans="1:14" ht="12.75" hidden="1" customHeight="1" x14ac:dyDescent="0.2">
      <c r="A2778">
        <v>65061</v>
      </c>
      <c r="B2778" s="3" t="s">
        <v>1253</v>
      </c>
      <c r="C2778" s="7" t="s">
        <v>617</v>
      </c>
      <c r="D2778" s="7" t="s">
        <v>221</v>
      </c>
      <c r="F2778" s="7" t="s">
        <v>265</v>
      </c>
      <c r="G2778" s="7" t="s">
        <v>182</v>
      </c>
      <c r="H2778" s="7" t="s">
        <v>1362</v>
      </c>
      <c r="I2778" s="7" t="s">
        <v>1253</v>
      </c>
      <c r="K2778" s="7" t="s">
        <v>198</v>
      </c>
      <c r="L2778" s="11">
        <v>36.57</v>
      </c>
      <c r="M2778" s="11">
        <v>177538.04</v>
      </c>
      <c r="N2778" s="9">
        <f t="shared" si="101"/>
        <v>36.57</v>
      </c>
    </row>
    <row r="2779" spans="1:14" ht="12.75" hidden="1" customHeight="1" x14ac:dyDescent="0.2">
      <c r="A2779">
        <v>65061</v>
      </c>
      <c r="B2779" s="3" t="s">
        <v>1253</v>
      </c>
      <c r="C2779" s="7" t="s">
        <v>617</v>
      </c>
      <c r="D2779" s="7" t="s">
        <v>221</v>
      </c>
      <c r="F2779" s="7" t="s">
        <v>621</v>
      </c>
      <c r="G2779" s="7" t="s">
        <v>182</v>
      </c>
      <c r="H2779" s="7" t="s">
        <v>1362</v>
      </c>
      <c r="I2779" s="7" t="s">
        <v>1253</v>
      </c>
      <c r="K2779" s="7" t="s">
        <v>198</v>
      </c>
      <c r="L2779" s="11">
        <v>166.45</v>
      </c>
      <c r="M2779" s="11">
        <v>178572.35</v>
      </c>
      <c r="N2779" s="9">
        <f t="shared" si="101"/>
        <v>166.45</v>
      </c>
    </row>
    <row r="2780" spans="1:14" ht="12.75" hidden="1" customHeight="1" x14ac:dyDescent="0.2">
      <c r="A2780">
        <v>65061</v>
      </c>
      <c r="B2780" s="3" t="s">
        <v>1253</v>
      </c>
      <c r="C2780" s="7" t="s">
        <v>585</v>
      </c>
      <c r="D2780" s="7" t="s">
        <v>221</v>
      </c>
      <c r="F2780" s="7" t="s">
        <v>597</v>
      </c>
      <c r="G2780" s="7" t="s">
        <v>182</v>
      </c>
      <c r="H2780" s="7" t="s">
        <v>1362</v>
      </c>
      <c r="I2780" s="7" t="s">
        <v>1253</v>
      </c>
      <c r="K2780" s="7" t="s">
        <v>198</v>
      </c>
      <c r="L2780" s="11">
        <v>15.2</v>
      </c>
      <c r="M2780" s="11">
        <v>181454.1</v>
      </c>
      <c r="N2780" s="9">
        <f t="shared" si="101"/>
        <v>15.2</v>
      </c>
    </row>
    <row r="2781" spans="1:14" ht="12.75" hidden="1" customHeight="1" x14ac:dyDescent="0.2">
      <c r="A2781">
        <v>65061</v>
      </c>
      <c r="B2781" s="3" t="s">
        <v>1253</v>
      </c>
      <c r="C2781" s="7" t="s">
        <v>576</v>
      </c>
      <c r="D2781" s="7" t="s">
        <v>200</v>
      </c>
      <c r="E2781" s="7">
        <v>482</v>
      </c>
      <c r="F2781" s="7" t="s">
        <v>583</v>
      </c>
      <c r="G2781" s="7" t="s">
        <v>182</v>
      </c>
      <c r="H2781" s="7" t="s">
        <v>1362</v>
      </c>
      <c r="I2781" s="7" t="s">
        <v>1253</v>
      </c>
      <c r="J2781" s="7" t="s">
        <v>582</v>
      </c>
      <c r="K2781" s="7" t="s">
        <v>198</v>
      </c>
      <c r="L2781" s="11">
        <v>1000</v>
      </c>
      <c r="M2781" s="11">
        <v>184829.91</v>
      </c>
      <c r="N2781" s="9">
        <f t="shared" si="101"/>
        <v>1000</v>
      </c>
    </row>
    <row r="2782" spans="1:14" ht="12.75" hidden="1" customHeight="1" x14ac:dyDescent="0.2">
      <c r="A2782">
        <v>65061</v>
      </c>
      <c r="B2782" s="3" t="s">
        <v>1253</v>
      </c>
      <c r="C2782" s="7" t="s">
        <v>576</v>
      </c>
      <c r="D2782" s="7" t="s">
        <v>221</v>
      </c>
      <c r="F2782" s="7" t="s">
        <v>581</v>
      </c>
      <c r="G2782" s="7" t="s">
        <v>182</v>
      </c>
      <c r="H2782" s="7" t="s">
        <v>1362</v>
      </c>
      <c r="I2782" s="7" t="s">
        <v>1253</v>
      </c>
      <c r="K2782" s="7" t="s">
        <v>198</v>
      </c>
      <c r="L2782" s="11">
        <v>19.59</v>
      </c>
      <c r="M2782" s="11">
        <v>184762.45</v>
      </c>
      <c r="N2782" s="9">
        <f t="shared" si="101"/>
        <v>19.59</v>
      </c>
    </row>
    <row r="2783" spans="1:14" ht="12.75" hidden="1" customHeight="1" x14ac:dyDescent="0.2">
      <c r="A2783">
        <v>65061</v>
      </c>
      <c r="B2783" s="3" t="s">
        <v>1253</v>
      </c>
      <c r="C2783" s="7" t="s">
        <v>207</v>
      </c>
      <c r="D2783" s="7" t="s">
        <v>221</v>
      </c>
      <c r="F2783" s="7" t="s">
        <v>566</v>
      </c>
      <c r="G2783" s="7" t="s">
        <v>182</v>
      </c>
      <c r="H2783" s="7" t="s">
        <v>1362</v>
      </c>
      <c r="I2783" s="7" t="s">
        <v>1253</v>
      </c>
      <c r="K2783" s="7" t="s">
        <v>198</v>
      </c>
      <c r="L2783" s="11">
        <v>537.74</v>
      </c>
      <c r="M2783" s="11">
        <v>190702.27</v>
      </c>
      <c r="N2783" s="9">
        <f t="shared" si="101"/>
        <v>537.74</v>
      </c>
    </row>
    <row r="2784" spans="1:14" ht="12.75" hidden="1" customHeight="1" x14ac:dyDescent="0.2">
      <c r="A2784">
        <v>65061</v>
      </c>
      <c r="B2784" s="3" t="s">
        <v>1253</v>
      </c>
      <c r="C2784" s="7" t="s">
        <v>204</v>
      </c>
      <c r="D2784" s="7" t="s">
        <v>221</v>
      </c>
      <c r="F2784" s="7" t="s">
        <v>549</v>
      </c>
      <c r="G2784" s="7" t="s">
        <v>182</v>
      </c>
      <c r="H2784" s="7" t="s">
        <v>1362</v>
      </c>
      <c r="I2784" s="7" t="s">
        <v>1253</v>
      </c>
      <c r="K2784" s="7" t="s">
        <v>198</v>
      </c>
      <c r="L2784" s="11">
        <v>824.16</v>
      </c>
      <c r="M2784" s="11">
        <v>194897.07</v>
      </c>
      <c r="N2784" s="9">
        <f t="shared" si="101"/>
        <v>824.16</v>
      </c>
    </row>
    <row r="2785" spans="1:14" hidden="1" x14ac:dyDescent="0.2">
      <c r="A2785">
        <v>65061</v>
      </c>
      <c r="B2785" s="3" t="s">
        <v>1844</v>
      </c>
      <c r="C2785" s="7" t="s">
        <v>1555</v>
      </c>
      <c r="D2785" s="7" t="s">
        <v>200</v>
      </c>
      <c r="E2785" s="7">
        <v>515</v>
      </c>
      <c r="G2785" s="7" t="s">
        <v>182</v>
      </c>
      <c r="H2785" s="7" t="s">
        <v>1362</v>
      </c>
      <c r="I2785" s="7" t="s">
        <v>1253</v>
      </c>
      <c r="K2785" s="39" t="s">
        <v>198</v>
      </c>
      <c r="L2785" s="40">
        <v>0</v>
      </c>
      <c r="M2785" s="40">
        <v>239114.11</v>
      </c>
      <c r="N2785" s="40">
        <f t="shared" ref="N2785:N2791" si="102">+L2785</f>
        <v>0</v>
      </c>
    </row>
    <row r="2786" spans="1:14" hidden="1" x14ac:dyDescent="0.2">
      <c r="A2786">
        <v>65061</v>
      </c>
      <c r="B2786" s="3" t="s">
        <v>1844</v>
      </c>
      <c r="C2786" s="7" t="s">
        <v>1624</v>
      </c>
      <c r="D2786" s="7" t="s">
        <v>221</v>
      </c>
      <c r="F2786" s="7" t="s">
        <v>630</v>
      </c>
      <c r="G2786" s="7" t="s">
        <v>182</v>
      </c>
      <c r="H2786" s="7" t="s">
        <v>1362</v>
      </c>
      <c r="I2786" s="7" t="s">
        <v>1253</v>
      </c>
      <c r="K2786" s="39" t="s">
        <v>198</v>
      </c>
      <c r="L2786" s="40">
        <v>1004.96</v>
      </c>
      <c r="M2786" s="40">
        <v>285582.73</v>
      </c>
      <c r="N2786" s="40">
        <f t="shared" si="102"/>
        <v>1004.96</v>
      </c>
    </row>
    <row r="2787" spans="1:14" hidden="1" x14ac:dyDescent="0.2">
      <c r="A2787">
        <v>65061</v>
      </c>
      <c r="B2787" s="3" t="s">
        <v>1844</v>
      </c>
      <c r="C2787" s="7" t="s">
        <v>1638</v>
      </c>
      <c r="D2787" s="7" t="s">
        <v>221</v>
      </c>
      <c r="F2787" s="7" t="s">
        <v>564</v>
      </c>
      <c r="G2787" s="7" t="s">
        <v>182</v>
      </c>
      <c r="H2787" s="7" t="s">
        <v>1362</v>
      </c>
      <c r="I2787" s="7" t="s">
        <v>1253</v>
      </c>
      <c r="K2787" s="39" t="s">
        <v>565</v>
      </c>
      <c r="L2787" s="40">
        <v>116.56</v>
      </c>
      <c r="M2787" s="40">
        <v>296462.2</v>
      </c>
      <c r="N2787" s="40">
        <f t="shared" si="102"/>
        <v>116.56</v>
      </c>
    </row>
    <row r="2788" spans="1:14" hidden="1" x14ac:dyDescent="0.2">
      <c r="A2788">
        <v>65062</v>
      </c>
      <c r="B2788" s="3" t="s">
        <v>1254</v>
      </c>
      <c r="C2788" s="7" t="s">
        <v>1680</v>
      </c>
      <c r="D2788" s="7" t="s">
        <v>183</v>
      </c>
      <c r="E2788" s="7">
        <v>753</v>
      </c>
      <c r="G2788" s="7" t="s">
        <v>182</v>
      </c>
      <c r="H2788" s="7" t="s">
        <v>1362</v>
      </c>
      <c r="I2788" s="7" t="s">
        <v>1254</v>
      </c>
      <c r="J2788" s="39" t="s">
        <v>1681</v>
      </c>
      <c r="K2788" s="39" t="s">
        <v>180</v>
      </c>
      <c r="L2788" s="40">
        <v>800</v>
      </c>
      <c r="M2788" s="40">
        <v>48116.95</v>
      </c>
      <c r="N2788" s="40">
        <f t="shared" si="102"/>
        <v>800</v>
      </c>
    </row>
    <row r="2789" spans="1:14" hidden="1" x14ac:dyDescent="0.2">
      <c r="A2789">
        <v>65062</v>
      </c>
      <c r="B2789" s="3" t="s">
        <v>1254</v>
      </c>
      <c r="C2789" s="7" t="s">
        <v>1638</v>
      </c>
      <c r="D2789" s="7" t="s">
        <v>183</v>
      </c>
      <c r="E2789" s="7">
        <v>736</v>
      </c>
      <c r="G2789" s="7" t="s">
        <v>182</v>
      </c>
      <c r="H2789" s="7" t="s">
        <v>1362</v>
      </c>
      <c r="I2789" s="7" t="s">
        <v>1254</v>
      </c>
      <c r="J2789" s="39" t="s">
        <v>1683</v>
      </c>
      <c r="K2789" s="39" t="s">
        <v>180</v>
      </c>
      <c r="L2789" s="40">
        <v>100</v>
      </c>
      <c r="M2789" s="40">
        <v>48216.95</v>
      </c>
      <c r="N2789" s="40">
        <f t="shared" si="102"/>
        <v>100</v>
      </c>
    </row>
    <row r="2790" spans="1:14" hidden="1" x14ac:dyDescent="0.2">
      <c r="A2790">
        <v>65062</v>
      </c>
      <c r="B2790" s="3" t="s">
        <v>1254</v>
      </c>
      <c r="C2790" s="7" t="s">
        <v>1638</v>
      </c>
      <c r="D2790" s="7" t="s">
        <v>183</v>
      </c>
      <c r="E2790" s="7">
        <v>735</v>
      </c>
      <c r="G2790" s="7" t="s">
        <v>182</v>
      </c>
      <c r="H2790" s="7" t="s">
        <v>1362</v>
      </c>
      <c r="I2790" s="7" t="s">
        <v>1254</v>
      </c>
      <c r="J2790" s="39" t="s">
        <v>1684</v>
      </c>
      <c r="K2790" s="39" t="s">
        <v>180</v>
      </c>
      <c r="L2790" s="40">
        <v>1600</v>
      </c>
      <c r="M2790" s="40">
        <v>49816.95</v>
      </c>
      <c r="N2790" s="40">
        <f t="shared" si="102"/>
        <v>1600</v>
      </c>
    </row>
    <row r="2791" spans="1:14" hidden="1" x14ac:dyDescent="0.2">
      <c r="A2791">
        <v>65062</v>
      </c>
      <c r="B2791" s="3" t="s">
        <v>1254</v>
      </c>
      <c r="C2791" s="7" t="s">
        <v>1647</v>
      </c>
      <c r="D2791" s="7" t="s">
        <v>183</v>
      </c>
      <c r="E2791" s="7">
        <v>751</v>
      </c>
      <c r="G2791" s="7" t="s">
        <v>182</v>
      </c>
      <c r="H2791" s="7" t="s">
        <v>1362</v>
      </c>
      <c r="I2791" s="7" t="s">
        <v>1254</v>
      </c>
      <c r="J2791" s="39" t="s">
        <v>1660</v>
      </c>
      <c r="K2791" s="39" t="s">
        <v>180</v>
      </c>
      <c r="L2791" s="40">
        <v>757</v>
      </c>
      <c r="M2791" s="40">
        <v>38887.5</v>
      </c>
      <c r="N2791" s="40">
        <f t="shared" si="102"/>
        <v>757</v>
      </c>
    </row>
    <row r="2792" spans="1:14" hidden="1" x14ac:dyDescent="0.2">
      <c r="A2792">
        <v>65063</v>
      </c>
      <c r="B2792" s="3" t="s">
        <v>1255</v>
      </c>
      <c r="C2792" s="7" t="s">
        <v>479</v>
      </c>
      <c r="D2792" s="7" t="s">
        <v>183</v>
      </c>
      <c r="E2792" s="7">
        <v>497</v>
      </c>
      <c r="G2792" s="7" t="s">
        <v>182</v>
      </c>
      <c r="H2792" s="7" t="s">
        <v>1362</v>
      </c>
      <c r="I2792" s="7" t="s">
        <v>1255</v>
      </c>
      <c r="J2792" s="7" t="s">
        <v>478</v>
      </c>
      <c r="K2792" s="7" t="s">
        <v>180</v>
      </c>
      <c r="L2792" s="11">
        <v>1000</v>
      </c>
      <c r="M2792" s="11">
        <v>7277</v>
      </c>
      <c r="N2792" s="9">
        <f t="shared" ref="N2792:N2799" si="103">IF(A2792&lt;60000,-L2792,+L2792)</f>
        <v>1000</v>
      </c>
    </row>
    <row r="2793" spans="1:14" hidden="1" x14ac:dyDescent="0.2">
      <c r="A2793">
        <v>65070</v>
      </c>
      <c r="B2793" s="3" t="s">
        <v>1256</v>
      </c>
      <c r="C2793" s="7" t="s">
        <v>449</v>
      </c>
      <c r="D2793" s="7" t="s">
        <v>200</v>
      </c>
      <c r="E2793" s="7" t="s">
        <v>447</v>
      </c>
      <c r="F2793" s="7" t="s">
        <v>446</v>
      </c>
      <c r="G2793" s="7" t="s">
        <v>182</v>
      </c>
      <c r="H2793" s="7" t="s">
        <v>1361</v>
      </c>
      <c r="I2793" s="7" t="s">
        <v>1259</v>
      </c>
      <c r="K2793" s="7" t="s">
        <v>445</v>
      </c>
      <c r="L2793" s="11">
        <v>20.95</v>
      </c>
      <c r="M2793" s="11">
        <v>20.95</v>
      </c>
      <c r="N2793" s="9">
        <f t="shared" si="103"/>
        <v>20.95</v>
      </c>
    </row>
    <row r="2794" spans="1:14" hidden="1" x14ac:dyDescent="0.2">
      <c r="A2794">
        <v>65070</v>
      </c>
      <c r="B2794" s="3" t="s">
        <v>1256</v>
      </c>
      <c r="C2794" s="7" t="s">
        <v>448</v>
      </c>
      <c r="D2794" s="7" t="s">
        <v>200</v>
      </c>
      <c r="F2794" s="7" t="s">
        <v>446</v>
      </c>
      <c r="G2794" s="7" t="s">
        <v>182</v>
      </c>
      <c r="H2794" s="7" t="s">
        <v>1361</v>
      </c>
      <c r="I2794" s="7" t="s">
        <v>1259</v>
      </c>
      <c r="K2794" s="7" t="s">
        <v>198</v>
      </c>
      <c r="L2794" s="11">
        <v>29.95</v>
      </c>
      <c r="M2794" s="11">
        <v>50.9</v>
      </c>
      <c r="N2794" s="9">
        <f t="shared" si="103"/>
        <v>29.95</v>
      </c>
    </row>
    <row r="2795" spans="1:14" hidden="1" x14ac:dyDescent="0.2">
      <c r="A2795">
        <v>65070</v>
      </c>
      <c r="B2795" s="3" t="s">
        <v>1256</v>
      </c>
      <c r="C2795" s="7" t="s">
        <v>372</v>
      </c>
      <c r="D2795" s="7" t="s">
        <v>200</v>
      </c>
      <c r="E2795" s="7" t="s">
        <v>447</v>
      </c>
      <c r="F2795" s="7" t="s">
        <v>446</v>
      </c>
      <c r="G2795" s="7" t="s">
        <v>182</v>
      </c>
      <c r="H2795" s="7" t="s">
        <v>1361</v>
      </c>
      <c r="I2795" s="7" t="s">
        <v>1259</v>
      </c>
      <c r="K2795" s="7" t="s">
        <v>445</v>
      </c>
      <c r="L2795" s="11">
        <v>20.95</v>
      </c>
      <c r="M2795" s="11">
        <v>71.849999999999994</v>
      </c>
      <c r="N2795" s="9">
        <f t="shared" si="103"/>
        <v>20.95</v>
      </c>
    </row>
    <row r="2796" spans="1:14" hidden="1" x14ac:dyDescent="0.2">
      <c r="A2796">
        <v>65075</v>
      </c>
      <c r="B2796" s="3" t="s">
        <v>1364</v>
      </c>
      <c r="C2796" s="7" t="s">
        <v>372</v>
      </c>
      <c r="D2796" s="7" t="s">
        <v>200</v>
      </c>
      <c r="F2796" s="7" t="s">
        <v>444</v>
      </c>
      <c r="G2796" s="7" t="s">
        <v>182</v>
      </c>
      <c r="H2796" s="7" t="s">
        <v>1362</v>
      </c>
      <c r="I2796" s="7" t="s">
        <v>1364</v>
      </c>
      <c r="K2796" s="7" t="s">
        <v>198</v>
      </c>
      <c r="L2796" s="11">
        <v>3.24</v>
      </c>
      <c r="M2796" s="11">
        <v>3.24</v>
      </c>
      <c r="N2796" s="9">
        <f t="shared" si="103"/>
        <v>3.24</v>
      </c>
    </row>
    <row r="2797" spans="1:14" hidden="1" x14ac:dyDescent="0.2">
      <c r="A2797">
        <v>65075</v>
      </c>
      <c r="B2797" s="3" t="s">
        <v>1364</v>
      </c>
      <c r="C2797" s="7" t="s">
        <v>430</v>
      </c>
      <c r="D2797" s="7" t="s">
        <v>221</v>
      </c>
      <c r="F2797" s="7" t="s">
        <v>199</v>
      </c>
      <c r="G2797" s="7" t="s">
        <v>182</v>
      </c>
      <c r="H2797" s="7" t="s">
        <v>1362</v>
      </c>
      <c r="I2797" s="7" t="s">
        <v>1364</v>
      </c>
      <c r="K2797" s="7" t="s">
        <v>198</v>
      </c>
      <c r="L2797" s="11">
        <v>420.18</v>
      </c>
      <c r="M2797" s="11">
        <v>923.42</v>
      </c>
      <c r="N2797" s="9">
        <f t="shared" si="103"/>
        <v>420.18</v>
      </c>
    </row>
    <row r="2798" spans="1:14" hidden="1" x14ac:dyDescent="0.2">
      <c r="A2798">
        <v>65075</v>
      </c>
      <c r="B2798" s="3" t="s">
        <v>1364</v>
      </c>
      <c r="C2798" s="7" t="s">
        <v>442</v>
      </c>
      <c r="D2798" s="7" t="s">
        <v>221</v>
      </c>
      <c r="F2798" s="7" t="s">
        <v>199</v>
      </c>
      <c r="G2798" s="7" t="s">
        <v>182</v>
      </c>
      <c r="H2798" s="7" t="s">
        <v>1362</v>
      </c>
      <c r="I2798" s="7" t="s">
        <v>1364</v>
      </c>
      <c r="K2798" s="7" t="s">
        <v>198</v>
      </c>
      <c r="L2798" s="11">
        <v>138.04</v>
      </c>
      <c r="M2798" s="11">
        <v>1061.46</v>
      </c>
      <c r="N2798" s="9">
        <f t="shared" si="103"/>
        <v>138.04</v>
      </c>
    </row>
    <row r="2799" spans="1:14" hidden="1" x14ac:dyDescent="0.2">
      <c r="A2799">
        <v>65075</v>
      </c>
      <c r="B2799" s="3" t="s">
        <v>1364</v>
      </c>
      <c r="C2799" s="7" t="s">
        <v>442</v>
      </c>
      <c r="D2799" s="7" t="s">
        <v>221</v>
      </c>
      <c r="F2799" s="7" t="s">
        <v>199</v>
      </c>
      <c r="G2799" s="7" t="s">
        <v>182</v>
      </c>
      <c r="H2799" s="7" t="s">
        <v>1362</v>
      </c>
      <c r="I2799" s="7" t="s">
        <v>1364</v>
      </c>
      <c r="K2799" s="7" t="s">
        <v>198</v>
      </c>
      <c r="L2799" s="11">
        <v>10</v>
      </c>
      <c r="M2799" s="11">
        <v>1071.46</v>
      </c>
      <c r="N2799" s="9">
        <f t="shared" si="103"/>
        <v>10</v>
      </c>
    </row>
    <row r="2800" spans="1:14" hidden="1" x14ac:dyDescent="0.2">
      <c r="A2800">
        <v>65075</v>
      </c>
      <c r="B2800" s="3" t="s">
        <v>1364</v>
      </c>
      <c r="C2800" s="7" t="s">
        <v>1555</v>
      </c>
      <c r="D2800" s="7" t="s">
        <v>200</v>
      </c>
      <c r="E2800" s="7">
        <v>513</v>
      </c>
      <c r="F2800" s="7" t="s">
        <v>1992</v>
      </c>
      <c r="G2800" s="7" t="s">
        <v>182</v>
      </c>
      <c r="H2800" s="7" t="s">
        <v>1362</v>
      </c>
      <c r="I2800" s="7" t="s">
        <v>1364</v>
      </c>
      <c r="K2800" s="39" t="s">
        <v>198</v>
      </c>
      <c r="L2800" s="40">
        <v>75</v>
      </c>
      <c r="M2800" s="40">
        <v>1143.22</v>
      </c>
      <c r="N2800" s="40">
        <f>+L2800</f>
        <v>75</v>
      </c>
    </row>
    <row r="2801" spans="1:14" hidden="1" x14ac:dyDescent="0.2">
      <c r="A2801">
        <v>65080</v>
      </c>
      <c r="B2801" s="3" t="s">
        <v>1257</v>
      </c>
      <c r="C2801" s="7" t="s">
        <v>430</v>
      </c>
      <c r="D2801" s="7" t="s">
        <v>221</v>
      </c>
      <c r="F2801" s="7" t="s">
        <v>438</v>
      </c>
      <c r="G2801" s="7" t="s">
        <v>182</v>
      </c>
      <c r="H2801" s="7" t="s">
        <v>1361</v>
      </c>
      <c r="I2801" s="7" t="s">
        <v>1244</v>
      </c>
      <c r="K2801" s="7" t="s">
        <v>198</v>
      </c>
      <c r="L2801" s="11">
        <v>35.380000000000003</v>
      </c>
      <c r="M2801" s="11">
        <v>138.88</v>
      </c>
      <c r="N2801" s="9">
        <f>IF(A2801&lt;60000,-L2801,+L2801)</f>
        <v>35.380000000000003</v>
      </c>
    </row>
    <row r="2802" spans="1:14" hidden="1" x14ac:dyDescent="0.2">
      <c r="A2802">
        <v>65090</v>
      </c>
      <c r="B2802" s="3" t="s">
        <v>1993</v>
      </c>
      <c r="C2802" s="7" t="s">
        <v>1589</v>
      </c>
      <c r="D2802" s="7" t="s">
        <v>221</v>
      </c>
      <c r="F2802" s="7" t="s">
        <v>1994</v>
      </c>
      <c r="G2802" s="7" t="s">
        <v>182</v>
      </c>
      <c r="H2802" s="7" t="s">
        <v>1369</v>
      </c>
      <c r="I2802" s="7" t="s">
        <v>1258</v>
      </c>
      <c r="K2802" s="39" t="s">
        <v>198</v>
      </c>
      <c r="L2802" s="40">
        <v>77</v>
      </c>
      <c r="M2802" s="40">
        <v>1140.6199999999999</v>
      </c>
      <c r="N2802" s="40">
        <f>+L2802</f>
        <v>77</v>
      </c>
    </row>
    <row r="2803" spans="1:14" hidden="1" x14ac:dyDescent="0.2">
      <c r="A2803">
        <v>65095</v>
      </c>
      <c r="B2803" s="3" t="s">
        <v>1259</v>
      </c>
      <c r="C2803" s="7" t="s">
        <v>432</v>
      </c>
      <c r="D2803" s="7" t="s">
        <v>183</v>
      </c>
      <c r="E2803" s="7">
        <v>349</v>
      </c>
      <c r="G2803" s="7" t="s">
        <v>182</v>
      </c>
      <c r="H2803" s="7" t="s">
        <v>1361</v>
      </c>
      <c r="I2803" s="7" t="s">
        <v>1259</v>
      </c>
      <c r="J2803" s="7" t="s">
        <v>425</v>
      </c>
      <c r="K2803" s="7" t="s">
        <v>180</v>
      </c>
      <c r="L2803" s="11">
        <v>2.96</v>
      </c>
      <c r="M2803" s="11">
        <v>2.96</v>
      </c>
      <c r="N2803" s="9">
        <f t="shared" ref="N2803:N2822" si="104">IF(A2803&lt;60000,-L2803,+L2803)</f>
        <v>2.96</v>
      </c>
    </row>
    <row r="2804" spans="1:14" hidden="1" x14ac:dyDescent="0.2">
      <c r="A2804">
        <v>65095</v>
      </c>
      <c r="B2804" s="3" t="s">
        <v>1259</v>
      </c>
      <c r="C2804" s="7" t="s">
        <v>432</v>
      </c>
      <c r="D2804" s="7" t="s">
        <v>183</v>
      </c>
      <c r="E2804" s="7">
        <v>347</v>
      </c>
      <c r="G2804" s="7" t="s">
        <v>182</v>
      </c>
      <c r="H2804" s="7" t="s">
        <v>1361</v>
      </c>
      <c r="I2804" s="7" t="s">
        <v>1259</v>
      </c>
      <c r="K2804" s="7" t="s">
        <v>180</v>
      </c>
      <c r="L2804" s="11">
        <v>7.6</v>
      </c>
      <c r="M2804" s="11">
        <v>10.56</v>
      </c>
      <c r="N2804" s="9">
        <f t="shared" si="104"/>
        <v>7.6</v>
      </c>
    </row>
    <row r="2805" spans="1:14" hidden="1" x14ac:dyDescent="0.2">
      <c r="A2805">
        <v>65095</v>
      </c>
      <c r="B2805" s="3" t="s">
        <v>1259</v>
      </c>
      <c r="C2805" s="7" t="s">
        <v>432</v>
      </c>
      <c r="D2805" s="7" t="s">
        <v>183</v>
      </c>
      <c r="E2805" s="7">
        <v>351</v>
      </c>
      <c r="G2805" s="7" t="s">
        <v>182</v>
      </c>
      <c r="H2805" s="7" t="s">
        <v>1361</v>
      </c>
      <c r="I2805" s="7" t="s">
        <v>1259</v>
      </c>
      <c r="K2805" s="7" t="s">
        <v>180</v>
      </c>
      <c r="L2805" s="11">
        <v>18.55</v>
      </c>
      <c r="M2805" s="11">
        <v>29.11</v>
      </c>
      <c r="N2805" s="9">
        <f t="shared" si="104"/>
        <v>18.55</v>
      </c>
    </row>
    <row r="2806" spans="1:14" hidden="1" x14ac:dyDescent="0.2">
      <c r="A2806">
        <v>65095</v>
      </c>
      <c r="B2806" s="3" t="s">
        <v>1259</v>
      </c>
      <c r="C2806" s="7" t="s">
        <v>381</v>
      </c>
      <c r="D2806" s="7" t="s">
        <v>183</v>
      </c>
      <c r="E2806" s="7">
        <v>401</v>
      </c>
      <c r="G2806" s="7" t="s">
        <v>182</v>
      </c>
      <c r="H2806" s="7" t="s">
        <v>1361</v>
      </c>
      <c r="I2806" s="7" t="s">
        <v>1259</v>
      </c>
      <c r="J2806" s="7" t="s">
        <v>425</v>
      </c>
      <c r="K2806" s="7" t="s">
        <v>180</v>
      </c>
      <c r="L2806" s="11">
        <v>16.100000000000001</v>
      </c>
      <c r="M2806" s="11">
        <v>45.21</v>
      </c>
      <c r="N2806" s="9">
        <f t="shared" si="104"/>
        <v>16.100000000000001</v>
      </c>
    </row>
    <row r="2807" spans="1:14" hidden="1" x14ac:dyDescent="0.2">
      <c r="A2807">
        <v>65095</v>
      </c>
      <c r="B2807" s="3" t="s">
        <v>1259</v>
      </c>
      <c r="C2807" s="7" t="s">
        <v>353</v>
      </c>
      <c r="D2807" s="7" t="s">
        <v>183</v>
      </c>
      <c r="E2807" s="7">
        <v>419</v>
      </c>
      <c r="G2807" s="7" t="s">
        <v>182</v>
      </c>
      <c r="H2807" s="7" t="s">
        <v>1361</v>
      </c>
      <c r="I2807" s="7" t="s">
        <v>1259</v>
      </c>
      <c r="J2807" s="7" t="s">
        <v>425</v>
      </c>
      <c r="K2807" s="7" t="s">
        <v>180</v>
      </c>
      <c r="L2807" s="11">
        <v>41.76</v>
      </c>
      <c r="M2807" s="11">
        <v>86.97</v>
      </c>
      <c r="N2807" s="9">
        <f t="shared" si="104"/>
        <v>41.76</v>
      </c>
    </row>
    <row r="2808" spans="1:14" hidden="1" x14ac:dyDescent="0.2">
      <c r="A2808">
        <v>65095</v>
      </c>
      <c r="B2808" s="3" t="s">
        <v>1259</v>
      </c>
      <c r="C2808" s="7" t="s">
        <v>315</v>
      </c>
      <c r="D2808" s="7" t="s">
        <v>183</v>
      </c>
      <c r="E2808" s="7">
        <v>446</v>
      </c>
      <c r="G2808" s="7" t="s">
        <v>182</v>
      </c>
      <c r="H2808" s="7" t="s">
        <v>1361</v>
      </c>
      <c r="I2808" s="7" t="s">
        <v>1259</v>
      </c>
      <c r="J2808" s="7" t="s">
        <v>425</v>
      </c>
      <c r="K2808" s="7" t="s">
        <v>180</v>
      </c>
      <c r="L2808" s="11">
        <v>16.739999999999998</v>
      </c>
      <c r="M2808" s="11">
        <v>103.71</v>
      </c>
      <c r="N2808" s="9">
        <f t="shared" si="104"/>
        <v>16.739999999999998</v>
      </c>
    </row>
    <row r="2809" spans="1:14" hidden="1" x14ac:dyDescent="0.2">
      <c r="A2809">
        <v>65095</v>
      </c>
      <c r="B2809" s="3" t="s">
        <v>1259</v>
      </c>
      <c r="C2809" s="7" t="s">
        <v>308</v>
      </c>
      <c r="D2809" s="7" t="s">
        <v>183</v>
      </c>
      <c r="E2809" s="7">
        <v>466</v>
      </c>
      <c r="G2809" s="7" t="s">
        <v>182</v>
      </c>
      <c r="H2809" s="7" t="s">
        <v>1361</v>
      </c>
      <c r="I2809" s="7" t="s">
        <v>1259</v>
      </c>
      <c r="J2809" s="7" t="s">
        <v>425</v>
      </c>
      <c r="K2809" s="7" t="s">
        <v>180</v>
      </c>
      <c r="L2809" s="11">
        <v>28.06</v>
      </c>
      <c r="M2809" s="11">
        <v>131.77000000000001</v>
      </c>
      <c r="N2809" s="9">
        <f t="shared" si="104"/>
        <v>28.06</v>
      </c>
    </row>
    <row r="2810" spans="1:14" hidden="1" x14ac:dyDescent="0.2">
      <c r="A2810">
        <v>65095</v>
      </c>
      <c r="B2810" s="3" t="s">
        <v>1259</v>
      </c>
      <c r="C2810" s="7" t="s">
        <v>298</v>
      </c>
      <c r="D2810" s="7" t="s">
        <v>183</v>
      </c>
      <c r="E2810" s="7">
        <v>475</v>
      </c>
      <c r="G2810" s="7" t="s">
        <v>182</v>
      </c>
      <c r="H2810" s="7" t="s">
        <v>1361</v>
      </c>
      <c r="I2810" s="7" t="s">
        <v>1259</v>
      </c>
      <c r="K2810" s="7" t="s">
        <v>180</v>
      </c>
      <c r="L2810" s="11">
        <v>37.33</v>
      </c>
      <c r="M2810" s="11">
        <v>169.1</v>
      </c>
      <c r="N2810" s="9">
        <f t="shared" si="104"/>
        <v>37.33</v>
      </c>
    </row>
    <row r="2811" spans="1:14" hidden="1" x14ac:dyDescent="0.2">
      <c r="A2811">
        <v>65095</v>
      </c>
      <c r="B2811" s="3" t="s">
        <v>1259</v>
      </c>
      <c r="C2811" s="7" t="s">
        <v>290</v>
      </c>
      <c r="D2811" s="7" t="s">
        <v>183</v>
      </c>
      <c r="E2811" s="7">
        <v>481</v>
      </c>
      <c r="G2811" s="7" t="s">
        <v>182</v>
      </c>
      <c r="H2811" s="7" t="s">
        <v>1361</v>
      </c>
      <c r="I2811" s="7" t="s">
        <v>1259</v>
      </c>
      <c r="J2811" s="7" t="s">
        <v>425</v>
      </c>
      <c r="K2811" s="7" t="s">
        <v>180</v>
      </c>
      <c r="L2811" s="11">
        <v>18.48</v>
      </c>
      <c r="M2811" s="11">
        <v>187.58</v>
      </c>
      <c r="N2811" s="9">
        <f t="shared" si="104"/>
        <v>18.48</v>
      </c>
    </row>
    <row r="2812" spans="1:14" hidden="1" x14ac:dyDescent="0.2">
      <c r="A2812">
        <v>65095</v>
      </c>
      <c r="B2812" s="3" t="s">
        <v>1259</v>
      </c>
      <c r="C2812" s="7" t="s">
        <v>290</v>
      </c>
      <c r="D2812" s="7" t="s">
        <v>183</v>
      </c>
      <c r="E2812" s="7">
        <v>479</v>
      </c>
      <c r="G2812" s="7" t="s">
        <v>182</v>
      </c>
      <c r="H2812" s="7" t="s">
        <v>1361</v>
      </c>
      <c r="I2812" s="7" t="s">
        <v>1259</v>
      </c>
      <c r="J2812" s="7" t="s">
        <v>425</v>
      </c>
      <c r="K2812" s="7" t="s">
        <v>180</v>
      </c>
      <c r="L2812" s="11">
        <v>42.82</v>
      </c>
      <c r="M2812" s="11">
        <v>230.4</v>
      </c>
      <c r="N2812" s="9">
        <f t="shared" si="104"/>
        <v>42.82</v>
      </c>
    </row>
    <row r="2813" spans="1:14" hidden="1" x14ac:dyDescent="0.2">
      <c r="A2813">
        <v>65095</v>
      </c>
      <c r="B2813" s="3" t="s">
        <v>1259</v>
      </c>
      <c r="C2813" s="7" t="s">
        <v>290</v>
      </c>
      <c r="D2813" s="7" t="s">
        <v>183</v>
      </c>
      <c r="E2813" s="7">
        <v>483</v>
      </c>
      <c r="G2813" s="7" t="s">
        <v>182</v>
      </c>
      <c r="H2813" s="7" t="s">
        <v>1361</v>
      </c>
      <c r="I2813" s="7" t="s">
        <v>1259</v>
      </c>
      <c r="J2813" s="7" t="s">
        <v>425</v>
      </c>
      <c r="K2813" s="7" t="s">
        <v>180</v>
      </c>
      <c r="L2813" s="11">
        <v>33.9</v>
      </c>
      <c r="M2813" s="11">
        <v>264.3</v>
      </c>
      <c r="N2813" s="9">
        <f t="shared" si="104"/>
        <v>33.9</v>
      </c>
    </row>
    <row r="2814" spans="1:14" hidden="1" x14ac:dyDescent="0.2">
      <c r="A2814">
        <v>65095</v>
      </c>
      <c r="B2814" s="3" t="s">
        <v>1259</v>
      </c>
      <c r="C2814" s="7" t="s">
        <v>290</v>
      </c>
      <c r="D2814" s="7" t="s">
        <v>183</v>
      </c>
      <c r="E2814" s="7">
        <v>485</v>
      </c>
      <c r="G2814" s="7" t="s">
        <v>182</v>
      </c>
      <c r="H2814" s="7" t="s">
        <v>1361</v>
      </c>
      <c r="I2814" s="7" t="s">
        <v>1259</v>
      </c>
      <c r="J2814" s="7" t="s">
        <v>425</v>
      </c>
      <c r="K2814" s="7" t="s">
        <v>180</v>
      </c>
      <c r="L2814" s="11">
        <v>48.22</v>
      </c>
      <c r="M2814" s="11">
        <v>312.52</v>
      </c>
      <c r="N2814" s="9">
        <f t="shared" si="104"/>
        <v>48.22</v>
      </c>
    </row>
    <row r="2815" spans="1:14" hidden="1" x14ac:dyDescent="0.2">
      <c r="A2815">
        <v>65095</v>
      </c>
      <c r="B2815" s="3" t="s">
        <v>1259</v>
      </c>
      <c r="C2815" s="7" t="s">
        <v>282</v>
      </c>
      <c r="D2815" s="7" t="s">
        <v>183</v>
      </c>
      <c r="E2815" s="7">
        <v>500</v>
      </c>
      <c r="G2815" s="7" t="s">
        <v>182</v>
      </c>
      <c r="H2815" s="7" t="s">
        <v>1361</v>
      </c>
      <c r="I2815" s="7" t="s">
        <v>1259</v>
      </c>
      <c r="K2815" s="7" t="s">
        <v>180</v>
      </c>
      <c r="L2815" s="11">
        <v>44.39</v>
      </c>
      <c r="M2815" s="11">
        <v>356.91</v>
      </c>
      <c r="N2815" s="9">
        <f t="shared" si="104"/>
        <v>44.39</v>
      </c>
    </row>
    <row r="2816" spans="1:14" hidden="1" x14ac:dyDescent="0.2">
      <c r="A2816">
        <v>65095</v>
      </c>
      <c r="B2816" s="3" t="s">
        <v>1259</v>
      </c>
      <c r="C2816" s="7" t="s">
        <v>201</v>
      </c>
      <c r="D2816" s="7" t="s">
        <v>183</v>
      </c>
      <c r="E2816" s="7">
        <v>508</v>
      </c>
      <c r="G2816" s="7" t="s">
        <v>182</v>
      </c>
      <c r="H2816" s="7" t="s">
        <v>1361</v>
      </c>
      <c r="I2816" s="7" t="s">
        <v>1259</v>
      </c>
      <c r="J2816" s="7" t="s">
        <v>428</v>
      </c>
      <c r="K2816" s="7" t="s">
        <v>180</v>
      </c>
      <c r="L2816" s="11">
        <v>31.89</v>
      </c>
      <c r="M2816" s="11">
        <v>388.8</v>
      </c>
      <c r="N2816" s="9">
        <f t="shared" si="104"/>
        <v>31.89</v>
      </c>
    </row>
    <row r="2817" spans="1:14" hidden="1" x14ac:dyDescent="0.2">
      <c r="A2817">
        <v>65095</v>
      </c>
      <c r="B2817" s="3" t="s">
        <v>1259</v>
      </c>
      <c r="C2817" s="7" t="s">
        <v>431</v>
      </c>
      <c r="D2817" s="7" t="s">
        <v>183</v>
      </c>
      <c r="E2817" s="7">
        <v>524</v>
      </c>
      <c r="G2817" s="7" t="s">
        <v>182</v>
      </c>
      <c r="H2817" s="7" t="s">
        <v>1361</v>
      </c>
      <c r="I2817" s="7" t="s">
        <v>1259</v>
      </c>
      <c r="J2817" s="7" t="s">
        <v>425</v>
      </c>
      <c r="K2817" s="7" t="s">
        <v>180</v>
      </c>
      <c r="L2817" s="11">
        <v>34.15</v>
      </c>
      <c r="M2817" s="11">
        <v>422.95</v>
      </c>
      <c r="N2817" s="9">
        <f t="shared" si="104"/>
        <v>34.15</v>
      </c>
    </row>
    <row r="2818" spans="1:14" hidden="1" x14ac:dyDescent="0.2">
      <c r="A2818">
        <v>65095</v>
      </c>
      <c r="B2818" s="3" t="s">
        <v>1259</v>
      </c>
      <c r="C2818" s="7" t="s">
        <v>430</v>
      </c>
      <c r="D2818" s="7" t="s">
        <v>183</v>
      </c>
      <c r="E2818" s="7">
        <v>536</v>
      </c>
      <c r="G2818" s="7" t="s">
        <v>182</v>
      </c>
      <c r="H2818" s="7" t="s">
        <v>1361</v>
      </c>
      <c r="I2818" s="7" t="s">
        <v>1259</v>
      </c>
      <c r="J2818" s="7" t="s">
        <v>425</v>
      </c>
      <c r="K2818" s="7" t="s">
        <v>180</v>
      </c>
      <c r="L2818" s="11">
        <v>11.9</v>
      </c>
      <c r="M2818" s="11">
        <v>434.85</v>
      </c>
      <c r="N2818" s="9">
        <f t="shared" si="104"/>
        <v>11.9</v>
      </c>
    </row>
    <row r="2819" spans="1:14" hidden="1" x14ac:dyDescent="0.2">
      <c r="A2819">
        <v>65095</v>
      </c>
      <c r="B2819" s="3" t="s">
        <v>1259</v>
      </c>
      <c r="C2819" s="7" t="s">
        <v>429</v>
      </c>
      <c r="D2819" s="7" t="s">
        <v>183</v>
      </c>
      <c r="E2819" s="7">
        <v>564</v>
      </c>
      <c r="G2819" s="7" t="s">
        <v>182</v>
      </c>
      <c r="H2819" s="7" t="s">
        <v>1361</v>
      </c>
      <c r="I2819" s="7" t="s">
        <v>1259</v>
      </c>
      <c r="J2819" s="7" t="s">
        <v>428</v>
      </c>
      <c r="K2819" s="7" t="s">
        <v>180</v>
      </c>
      <c r="L2819" s="11">
        <v>74.3</v>
      </c>
      <c r="M2819" s="11">
        <v>509.15</v>
      </c>
      <c r="N2819" s="9">
        <f t="shared" si="104"/>
        <v>74.3</v>
      </c>
    </row>
    <row r="2820" spans="1:14" hidden="1" x14ac:dyDescent="0.2">
      <c r="A2820">
        <v>65095</v>
      </c>
      <c r="B2820" s="3" t="s">
        <v>1259</v>
      </c>
      <c r="C2820" s="7" t="s">
        <v>427</v>
      </c>
      <c r="D2820" s="7" t="s">
        <v>183</v>
      </c>
      <c r="E2820" s="7">
        <v>580</v>
      </c>
      <c r="G2820" s="7" t="s">
        <v>182</v>
      </c>
      <c r="H2820" s="7" t="s">
        <v>1361</v>
      </c>
      <c r="I2820" s="7" t="s">
        <v>1259</v>
      </c>
      <c r="J2820" s="7" t="s">
        <v>425</v>
      </c>
      <c r="K2820" s="7" t="s">
        <v>180</v>
      </c>
      <c r="L2820" s="11">
        <v>91.91</v>
      </c>
      <c r="M2820" s="11">
        <v>601.05999999999995</v>
      </c>
      <c r="N2820" s="9">
        <f t="shared" si="104"/>
        <v>91.91</v>
      </c>
    </row>
    <row r="2821" spans="1:14" hidden="1" x14ac:dyDescent="0.2">
      <c r="A2821">
        <v>65095</v>
      </c>
      <c r="B2821" s="3" t="s">
        <v>1259</v>
      </c>
      <c r="C2821" s="7" t="s">
        <v>426</v>
      </c>
      <c r="D2821" s="7" t="s">
        <v>183</v>
      </c>
      <c r="E2821" s="7">
        <v>591</v>
      </c>
      <c r="G2821" s="7" t="s">
        <v>182</v>
      </c>
      <c r="H2821" s="7" t="s">
        <v>1361</v>
      </c>
      <c r="I2821" s="7" t="s">
        <v>1259</v>
      </c>
      <c r="J2821" s="7" t="s">
        <v>425</v>
      </c>
      <c r="K2821" s="7" t="s">
        <v>180</v>
      </c>
      <c r="L2821" s="11">
        <v>50.4</v>
      </c>
      <c r="M2821" s="11">
        <v>651.46</v>
      </c>
      <c r="N2821" s="9">
        <f t="shared" si="104"/>
        <v>50.4</v>
      </c>
    </row>
    <row r="2822" spans="1:14" hidden="1" x14ac:dyDescent="0.2">
      <c r="A2822">
        <v>65095</v>
      </c>
      <c r="B2822" s="3" t="s">
        <v>1259</v>
      </c>
      <c r="C2822" s="7" t="s">
        <v>426</v>
      </c>
      <c r="D2822" s="7" t="s">
        <v>183</v>
      </c>
      <c r="E2822" s="7">
        <v>593</v>
      </c>
      <c r="G2822" s="7" t="s">
        <v>182</v>
      </c>
      <c r="H2822" s="7" t="s">
        <v>1361</v>
      </c>
      <c r="I2822" s="7" t="s">
        <v>1259</v>
      </c>
      <c r="J2822" s="7" t="s">
        <v>425</v>
      </c>
      <c r="K2822" s="7" t="s">
        <v>180</v>
      </c>
      <c r="L2822" s="11">
        <v>18.190000000000001</v>
      </c>
      <c r="M2822" s="11">
        <v>669.65</v>
      </c>
      <c r="N2822" s="9">
        <f t="shared" si="104"/>
        <v>18.190000000000001</v>
      </c>
    </row>
    <row r="2823" spans="1:14" hidden="1" x14ac:dyDescent="0.2">
      <c r="A2823">
        <v>65095</v>
      </c>
      <c r="B2823" s="3" t="s">
        <v>1259</v>
      </c>
      <c r="C2823" s="7" t="s">
        <v>1571</v>
      </c>
      <c r="D2823" s="7" t="s">
        <v>183</v>
      </c>
      <c r="E2823" s="7">
        <v>627</v>
      </c>
      <c r="G2823" s="7" t="s">
        <v>182</v>
      </c>
      <c r="H2823" s="43" t="s">
        <v>1361</v>
      </c>
      <c r="I2823" s="7" t="s">
        <v>1259</v>
      </c>
      <c r="J2823" s="39" t="s">
        <v>425</v>
      </c>
      <c r="K2823" s="39" t="s">
        <v>180</v>
      </c>
      <c r="L2823" s="40">
        <v>17.75</v>
      </c>
      <c r="M2823" s="40">
        <v>700.42</v>
      </c>
      <c r="N2823" s="40">
        <f t="shared" ref="N2823:N2835" si="105">+L2823</f>
        <v>17.75</v>
      </c>
    </row>
    <row r="2824" spans="1:14" hidden="1" x14ac:dyDescent="0.2">
      <c r="A2824">
        <v>65095</v>
      </c>
      <c r="B2824" s="3" t="s">
        <v>1259</v>
      </c>
      <c r="C2824" s="7" t="s">
        <v>1571</v>
      </c>
      <c r="D2824" s="7" t="s">
        <v>183</v>
      </c>
      <c r="E2824" s="7">
        <v>625</v>
      </c>
      <c r="G2824" s="7" t="s">
        <v>182</v>
      </c>
      <c r="H2824" s="43" t="s">
        <v>1361</v>
      </c>
      <c r="I2824" s="7" t="s">
        <v>1259</v>
      </c>
      <c r="J2824" s="39" t="s">
        <v>425</v>
      </c>
      <c r="K2824" s="39" t="s">
        <v>180</v>
      </c>
      <c r="L2824" s="40">
        <v>11.12</v>
      </c>
      <c r="M2824" s="40">
        <v>711.54</v>
      </c>
      <c r="N2824" s="40">
        <f t="shared" si="105"/>
        <v>11.12</v>
      </c>
    </row>
    <row r="2825" spans="1:14" hidden="1" x14ac:dyDescent="0.2">
      <c r="A2825">
        <v>65095</v>
      </c>
      <c r="B2825" s="3" t="s">
        <v>1259</v>
      </c>
      <c r="C2825" s="7" t="s">
        <v>1574</v>
      </c>
      <c r="D2825" s="7" t="s">
        <v>183</v>
      </c>
      <c r="E2825" s="7">
        <v>636</v>
      </c>
      <c r="G2825" s="7" t="s">
        <v>182</v>
      </c>
      <c r="H2825" s="43" t="s">
        <v>1361</v>
      </c>
      <c r="I2825" s="7" t="s">
        <v>1259</v>
      </c>
      <c r="J2825" s="39" t="s">
        <v>425</v>
      </c>
      <c r="K2825" s="39" t="s">
        <v>180</v>
      </c>
      <c r="L2825" s="40">
        <v>27.95</v>
      </c>
      <c r="M2825" s="40">
        <v>739.49</v>
      </c>
      <c r="N2825" s="40">
        <f t="shared" si="105"/>
        <v>27.95</v>
      </c>
    </row>
    <row r="2826" spans="1:14" hidden="1" x14ac:dyDescent="0.2">
      <c r="A2826">
        <v>65095</v>
      </c>
      <c r="B2826" s="3" t="s">
        <v>1259</v>
      </c>
      <c r="C2826" s="7" t="s">
        <v>1593</v>
      </c>
      <c r="D2826" s="7" t="s">
        <v>183</v>
      </c>
      <c r="E2826" s="7">
        <v>659</v>
      </c>
      <c r="G2826" s="7" t="s">
        <v>182</v>
      </c>
      <c r="H2826" s="43" t="s">
        <v>1361</v>
      </c>
      <c r="I2826" s="7" t="s">
        <v>1259</v>
      </c>
      <c r="K2826" s="39" t="s">
        <v>180</v>
      </c>
      <c r="L2826" s="40">
        <v>12.59</v>
      </c>
      <c r="M2826" s="40">
        <v>838.55</v>
      </c>
      <c r="N2826" s="40">
        <f t="shared" si="105"/>
        <v>12.59</v>
      </c>
    </row>
    <row r="2827" spans="1:14" hidden="1" x14ac:dyDescent="0.2">
      <c r="A2827">
        <v>65095</v>
      </c>
      <c r="B2827" s="3" t="s">
        <v>1259</v>
      </c>
      <c r="C2827" s="7" t="s">
        <v>1543</v>
      </c>
      <c r="D2827" s="7" t="s">
        <v>183</v>
      </c>
      <c r="E2827" s="7">
        <v>670</v>
      </c>
      <c r="G2827" s="7" t="s">
        <v>182</v>
      </c>
      <c r="H2827" s="43" t="s">
        <v>1361</v>
      </c>
      <c r="I2827" s="7" t="s">
        <v>1259</v>
      </c>
      <c r="J2827" s="39" t="s">
        <v>1999</v>
      </c>
      <c r="K2827" s="39" t="s">
        <v>180</v>
      </c>
      <c r="L2827" s="40">
        <v>3.05</v>
      </c>
      <c r="M2827" s="40">
        <v>961</v>
      </c>
      <c r="N2827" s="40">
        <f t="shared" si="105"/>
        <v>3.05</v>
      </c>
    </row>
    <row r="2828" spans="1:14" hidden="1" x14ac:dyDescent="0.2">
      <c r="A2828">
        <v>65095</v>
      </c>
      <c r="B2828" s="3" t="s">
        <v>1259</v>
      </c>
      <c r="C2828" s="7" t="s">
        <v>1543</v>
      </c>
      <c r="D2828" s="7" t="s">
        <v>183</v>
      </c>
      <c r="E2828" s="7">
        <v>670</v>
      </c>
      <c r="G2828" s="7" t="s">
        <v>182</v>
      </c>
      <c r="H2828" s="43" t="s">
        <v>1361</v>
      </c>
      <c r="I2828" s="7" t="s">
        <v>1259</v>
      </c>
      <c r="J2828" s="39" t="s">
        <v>2000</v>
      </c>
      <c r="K2828" s="39" t="s">
        <v>180</v>
      </c>
      <c r="L2828" s="40">
        <v>5.84</v>
      </c>
      <c r="M2828" s="40">
        <v>966.84</v>
      </c>
      <c r="N2828" s="40">
        <f t="shared" si="105"/>
        <v>5.84</v>
      </c>
    </row>
    <row r="2829" spans="1:14" hidden="1" x14ac:dyDescent="0.2">
      <c r="A2829">
        <v>65095</v>
      </c>
      <c r="B2829" s="3" t="s">
        <v>1259</v>
      </c>
      <c r="C2829" s="7" t="s">
        <v>1543</v>
      </c>
      <c r="D2829" s="7" t="s">
        <v>183</v>
      </c>
      <c r="E2829" s="7">
        <v>672</v>
      </c>
      <c r="G2829" s="7" t="s">
        <v>182</v>
      </c>
      <c r="H2829" s="43" t="s">
        <v>1361</v>
      </c>
      <c r="I2829" s="7" t="s">
        <v>1259</v>
      </c>
      <c r="J2829" s="39" t="s">
        <v>2002</v>
      </c>
      <c r="K2829" s="39" t="s">
        <v>180</v>
      </c>
      <c r="L2829" s="40">
        <v>0.52</v>
      </c>
      <c r="M2829" s="40">
        <v>969.86</v>
      </c>
      <c r="N2829" s="40">
        <f t="shared" si="105"/>
        <v>0.52</v>
      </c>
    </row>
    <row r="2830" spans="1:14" hidden="1" x14ac:dyDescent="0.2">
      <c r="A2830">
        <v>65095</v>
      </c>
      <c r="B2830" s="3" t="s">
        <v>1259</v>
      </c>
      <c r="C2830" s="7" t="s">
        <v>1617</v>
      </c>
      <c r="D2830" s="7" t="s">
        <v>183</v>
      </c>
      <c r="E2830" s="7">
        <v>689</v>
      </c>
      <c r="G2830" s="7" t="s">
        <v>182</v>
      </c>
      <c r="H2830" s="43" t="s">
        <v>1361</v>
      </c>
      <c r="I2830" s="7" t="s">
        <v>1259</v>
      </c>
      <c r="J2830" s="39" t="s">
        <v>2004</v>
      </c>
      <c r="K2830" s="39" t="s">
        <v>180</v>
      </c>
      <c r="L2830" s="40">
        <v>5.95</v>
      </c>
      <c r="M2830" s="40">
        <v>994.96</v>
      </c>
      <c r="N2830" s="40">
        <f t="shared" si="105"/>
        <v>5.95</v>
      </c>
    </row>
    <row r="2831" spans="1:14" hidden="1" x14ac:dyDescent="0.2">
      <c r="A2831">
        <v>65095</v>
      </c>
      <c r="B2831" s="3" t="s">
        <v>1259</v>
      </c>
      <c r="C2831" s="7" t="s">
        <v>1617</v>
      </c>
      <c r="D2831" s="7" t="s">
        <v>183</v>
      </c>
      <c r="E2831" s="7">
        <v>689</v>
      </c>
      <c r="G2831" s="7" t="s">
        <v>182</v>
      </c>
      <c r="H2831" s="43" t="s">
        <v>1361</v>
      </c>
      <c r="I2831" s="7" t="s">
        <v>1259</v>
      </c>
      <c r="K2831" s="39" t="s">
        <v>180</v>
      </c>
      <c r="L2831" s="40">
        <v>5</v>
      </c>
      <c r="M2831" s="40">
        <v>1014.51</v>
      </c>
      <c r="N2831" s="40">
        <f t="shared" si="105"/>
        <v>5</v>
      </c>
    </row>
    <row r="2832" spans="1:14" hidden="1" x14ac:dyDescent="0.2">
      <c r="A2832">
        <v>65095</v>
      </c>
      <c r="B2832" s="3" t="s">
        <v>1259</v>
      </c>
      <c r="C2832" s="7" t="s">
        <v>1629</v>
      </c>
      <c r="D2832" s="7" t="s">
        <v>183</v>
      </c>
      <c r="E2832" s="7">
        <v>716</v>
      </c>
      <c r="G2832" s="7" t="s">
        <v>182</v>
      </c>
      <c r="H2832" s="43" t="s">
        <v>1361</v>
      </c>
      <c r="I2832" s="7" t="s">
        <v>1259</v>
      </c>
      <c r="J2832" s="39" t="s">
        <v>2006</v>
      </c>
      <c r="K2832" s="39" t="s">
        <v>180</v>
      </c>
      <c r="L2832" s="40">
        <v>6.81</v>
      </c>
      <c r="M2832" s="40">
        <v>1046.93</v>
      </c>
      <c r="N2832" s="40">
        <f t="shared" si="105"/>
        <v>6.81</v>
      </c>
    </row>
    <row r="2833" spans="1:14" hidden="1" x14ac:dyDescent="0.2">
      <c r="A2833">
        <v>65095</v>
      </c>
      <c r="B2833" s="3" t="s">
        <v>1259</v>
      </c>
      <c r="C2833" s="7" t="s">
        <v>1631</v>
      </c>
      <c r="D2833" s="7" t="s">
        <v>183</v>
      </c>
      <c r="E2833" s="7">
        <v>724</v>
      </c>
      <c r="G2833" s="7" t="s">
        <v>182</v>
      </c>
      <c r="H2833" s="43" t="s">
        <v>1361</v>
      </c>
      <c r="I2833" s="7" t="s">
        <v>1259</v>
      </c>
      <c r="J2833" s="39" t="s">
        <v>2007</v>
      </c>
      <c r="K2833" s="39" t="s">
        <v>180</v>
      </c>
      <c r="L2833" s="40">
        <v>1.4</v>
      </c>
      <c r="M2833" s="40">
        <v>1072.52</v>
      </c>
      <c r="N2833" s="40">
        <f t="shared" si="105"/>
        <v>1.4</v>
      </c>
    </row>
    <row r="2834" spans="1:14" hidden="1" x14ac:dyDescent="0.2">
      <c r="A2834">
        <v>65095</v>
      </c>
      <c r="B2834" s="3" t="s">
        <v>1259</v>
      </c>
      <c r="C2834" s="7" t="s">
        <v>1631</v>
      </c>
      <c r="D2834" s="7" t="s">
        <v>183</v>
      </c>
      <c r="E2834" s="7">
        <v>724</v>
      </c>
      <c r="G2834" s="7" t="s">
        <v>182</v>
      </c>
      <c r="H2834" s="43" t="s">
        <v>1361</v>
      </c>
      <c r="I2834" s="7" t="s">
        <v>1259</v>
      </c>
      <c r="K2834" s="39" t="s">
        <v>180</v>
      </c>
      <c r="L2834" s="40">
        <v>0.32</v>
      </c>
      <c r="M2834" s="40">
        <v>1075.72</v>
      </c>
      <c r="N2834" s="40">
        <f t="shared" si="105"/>
        <v>0.32</v>
      </c>
    </row>
    <row r="2835" spans="1:14" hidden="1" x14ac:dyDescent="0.2">
      <c r="A2835">
        <v>65095</v>
      </c>
      <c r="B2835" s="3" t="s">
        <v>1259</v>
      </c>
      <c r="C2835" s="7" t="s">
        <v>1646</v>
      </c>
      <c r="D2835" s="7" t="s">
        <v>183</v>
      </c>
      <c r="E2835" s="7">
        <v>746</v>
      </c>
      <c r="G2835" s="7" t="s">
        <v>182</v>
      </c>
      <c r="H2835" s="43" t="s">
        <v>1361</v>
      </c>
      <c r="I2835" s="7" t="s">
        <v>1259</v>
      </c>
      <c r="J2835" s="39" t="s">
        <v>425</v>
      </c>
      <c r="K2835" s="39" t="s">
        <v>180</v>
      </c>
      <c r="L2835" s="40">
        <v>46.5</v>
      </c>
      <c r="M2835" s="40">
        <v>1154.8800000000001</v>
      </c>
      <c r="N2835" s="40">
        <f t="shared" si="105"/>
        <v>46.5</v>
      </c>
    </row>
    <row r="2836" spans="1:14" hidden="1" x14ac:dyDescent="0.2">
      <c r="A2836">
        <v>65110</v>
      </c>
      <c r="B2836" s="3" t="s">
        <v>1261</v>
      </c>
      <c r="C2836" s="7" t="s">
        <v>287</v>
      </c>
      <c r="D2836" s="7" t="s">
        <v>200</v>
      </c>
      <c r="E2836" s="7">
        <v>439</v>
      </c>
      <c r="F2836" s="7" t="s">
        <v>279</v>
      </c>
      <c r="G2836" s="7" t="s">
        <v>182</v>
      </c>
      <c r="H2836" s="7" t="s">
        <v>1361</v>
      </c>
      <c r="I2836" s="7" t="s">
        <v>1258</v>
      </c>
      <c r="J2836" s="7" t="s">
        <v>419</v>
      </c>
      <c r="K2836" s="7" t="s">
        <v>198</v>
      </c>
      <c r="L2836" s="11">
        <v>125</v>
      </c>
      <c r="M2836" s="11">
        <v>125</v>
      </c>
      <c r="N2836" s="9">
        <f>IF(A2836&lt;60000,-L2836,+L2836)</f>
        <v>125</v>
      </c>
    </row>
    <row r="2837" spans="1:14" hidden="1" x14ac:dyDescent="0.2">
      <c r="A2837">
        <v>65110</v>
      </c>
      <c r="B2837" s="3" t="s">
        <v>1261</v>
      </c>
      <c r="C2837" s="7" t="s">
        <v>1562</v>
      </c>
      <c r="D2837" s="7" t="s">
        <v>221</v>
      </c>
      <c r="F2837" s="7" t="s">
        <v>2009</v>
      </c>
      <c r="G2837" s="7" t="s">
        <v>182</v>
      </c>
      <c r="H2837" s="7" t="s">
        <v>1361</v>
      </c>
      <c r="I2837" s="7" t="s">
        <v>1258</v>
      </c>
      <c r="K2837" s="39" t="s">
        <v>198</v>
      </c>
      <c r="L2837" s="40">
        <v>25</v>
      </c>
      <c r="M2837" s="40">
        <v>150</v>
      </c>
      <c r="N2837" s="40">
        <f>+L2837</f>
        <v>25</v>
      </c>
    </row>
    <row r="2838" spans="1:14" hidden="1" x14ac:dyDescent="0.2">
      <c r="A2838">
        <v>65110</v>
      </c>
      <c r="B2838" s="3" t="s">
        <v>1261</v>
      </c>
      <c r="C2838" s="7" t="s">
        <v>1570</v>
      </c>
      <c r="D2838" s="7" t="s">
        <v>221</v>
      </c>
      <c r="F2838" s="7" t="s">
        <v>2009</v>
      </c>
      <c r="G2838" s="7" t="s">
        <v>182</v>
      </c>
      <c r="H2838" s="7" t="s">
        <v>1361</v>
      </c>
      <c r="I2838" s="7" t="s">
        <v>1258</v>
      </c>
      <c r="K2838" s="39" t="s">
        <v>198</v>
      </c>
      <c r="L2838" s="40">
        <v>75</v>
      </c>
      <c r="M2838" s="40">
        <v>225</v>
      </c>
      <c r="N2838" s="40">
        <f>+L2838</f>
        <v>75</v>
      </c>
    </row>
    <row r="2839" spans="1:14" hidden="1" x14ac:dyDescent="0.2">
      <c r="A2839">
        <v>65120</v>
      </c>
      <c r="B2839" s="3" t="s">
        <v>1260</v>
      </c>
      <c r="C2839" s="7" t="s">
        <v>388</v>
      </c>
      <c r="D2839" s="7" t="s">
        <v>200</v>
      </c>
      <c r="E2839" s="7">
        <v>398</v>
      </c>
      <c r="F2839" s="7" t="s">
        <v>421</v>
      </c>
      <c r="G2839" s="7" t="s">
        <v>182</v>
      </c>
      <c r="H2839" s="7" t="s">
        <v>1361</v>
      </c>
      <c r="I2839" s="7" t="s">
        <v>1260</v>
      </c>
      <c r="J2839" s="7" t="s">
        <v>424</v>
      </c>
      <c r="K2839" s="7" t="s">
        <v>198</v>
      </c>
      <c r="L2839" s="11">
        <v>595.5</v>
      </c>
      <c r="M2839" s="11">
        <v>595.5</v>
      </c>
      <c r="N2839" s="9">
        <f t="shared" ref="N2839:N2845" si="106">IF(A2839&lt;60000,-L2839,+L2839)</f>
        <v>595.5</v>
      </c>
    </row>
    <row r="2840" spans="1:14" hidden="1" x14ac:dyDescent="0.2">
      <c r="A2840">
        <v>65120</v>
      </c>
      <c r="B2840" s="3" t="s">
        <v>1260</v>
      </c>
      <c r="C2840" s="7" t="s">
        <v>374</v>
      </c>
      <c r="D2840" s="7" t="s">
        <v>200</v>
      </c>
      <c r="E2840" s="7">
        <v>409</v>
      </c>
      <c r="F2840" s="7" t="s">
        <v>421</v>
      </c>
      <c r="G2840" s="7" t="s">
        <v>182</v>
      </c>
      <c r="H2840" s="7" t="s">
        <v>1361</v>
      </c>
      <c r="I2840" s="7" t="s">
        <v>1260</v>
      </c>
      <c r="J2840" s="7" t="s">
        <v>420</v>
      </c>
      <c r="K2840" s="7" t="s">
        <v>198</v>
      </c>
      <c r="L2840" s="11">
        <v>1319.89</v>
      </c>
      <c r="M2840" s="11">
        <v>1915.39</v>
      </c>
      <c r="N2840" s="9">
        <f t="shared" si="106"/>
        <v>1319.89</v>
      </c>
    </row>
    <row r="2841" spans="1:14" ht="12.75" hidden="1" customHeight="1" x14ac:dyDescent="0.2">
      <c r="A2841">
        <v>65120</v>
      </c>
      <c r="B2841" s="3" t="s">
        <v>1260</v>
      </c>
      <c r="C2841" s="7" t="s">
        <v>319</v>
      </c>
      <c r="D2841" s="7" t="s">
        <v>200</v>
      </c>
      <c r="E2841" s="7">
        <v>422</v>
      </c>
      <c r="F2841" s="7" t="s">
        <v>421</v>
      </c>
      <c r="G2841" s="7" t="s">
        <v>182</v>
      </c>
      <c r="H2841" s="7" t="s">
        <v>1362</v>
      </c>
      <c r="I2841" s="7" t="s">
        <v>1260</v>
      </c>
      <c r="J2841" s="7" t="s">
        <v>420</v>
      </c>
      <c r="K2841" s="7" t="s">
        <v>198</v>
      </c>
      <c r="L2841" s="11">
        <v>617.76</v>
      </c>
      <c r="M2841" s="11">
        <v>2533.15</v>
      </c>
      <c r="N2841" s="9">
        <f t="shared" si="106"/>
        <v>617.76</v>
      </c>
    </row>
    <row r="2842" spans="1:14" ht="12.75" hidden="1" customHeight="1" x14ac:dyDescent="0.2">
      <c r="A2842">
        <v>65120</v>
      </c>
      <c r="B2842" s="3" t="s">
        <v>1260</v>
      </c>
      <c r="C2842" s="7" t="s">
        <v>287</v>
      </c>
      <c r="D2842" s="7" t="s">
        <v>200</v>
      </c>
      <c r="E2842" s="7">
        <v>434</v>
      </c>
      <c r="F2842" s="7" t="s">
        <v>421</v>
      </c>
      <c r="G2842" s="7" t="s">
        <v>182</v>
      </c>
      <c r="H2842" s="7" t="s">
        <v>1362</v>
      </c>
      <c r="I2842" s="7" t="s">
        <v>1260</v>
      </c>
      <c r="J2842" s="7" t="s">
        <v>420</v>
      </c>
      <c r="K2842" s="7" t="s">
        <v>198</v>
      </c>
      <c r="L2842" s="11">
        <v>653.54</v>
      </c>
      <c r="M2842" s="11">
        <v>3186.69</v>
      </c>
      <c r="N2842" s="9">
        <f t="shared" si="106"/>
        <v>653.54</v>
      </c>
    </row>
    <row r="2843" spans="1:14" ht="12.75" hidden="1" customHeight="1" x14ac:dyDescent="0.2">
      <c r="A2843">
        <v>65120</v>
      </c>
      <c r="B2843" s="3" t="s">
        <v>1260</v>
      </c>
      <c r="C2843" s="7" t="s">
        <v>233</v>
      </c>
      <c r="D2843" s="7" t="s">
        <v>200</v>
      </c>
      <c r="E2843" s="7">
        <v>455</v>
      </c>
      <c r="F2843" s="7" t="s">
        <v>421</v>
      </c>
      <c r="G2843" s="7" t="s">
        <v>182</v>
      </c>
      <c r="H2843" s="7" t="s">
        <v>1362</v>
      </c>
      <c r="I2843" s="7" t="s">
        <v>1260</v>
      </c>
      <c r="J2843" s="7" t="s">
        <v>420</v>
      </c>
      <c r="K2843" s="7" t="s">
        <v>198</v>
      </c>
      <c r="L2843" s="11">
        <v>670.16</v>
      </c>
      <c r="M2843" s="11">
        <v>3856.85</v>
      </c>
      <c r="N2843" s="9">
        <f t="shared" si="106"/>
        <v>670.16</v>
      </c>
    </row>
    <row r="2844" spans="1:14" ht="12.75" hidden="1" customHeight="1" x14ac:dyDescent="0.2">
      <c r="A2844">
        <v>65120</v>
      </c>
      <c r="B2844" s="3" t="s">
        <v>1260</v>
      </c>
      <c r="C2844" s="7" t="s">
        <v>218</v>
      </c>
      <c r="D2844" s="7" t="s">
        <v>200</v>
      </c>
      <c r="E2844" s="7">
        <v>470</v>
      </c>
      <c r="F2844" s="7" t="s">
        <v>423</v>
      </c>
      <c r="G2844" s="7" t="s">
        <v>182</v>
      </c>
      <c r="H2844" s="7" t="s">
        <v>1369</v>
      </c>
      <c r="I2844" s="7" t="s">
        <v>1260</v>
      </c>
      <c r="J2844" s="7" t="s">
        <v>422</v>
      </c>
      <c r="K2844" s="7" t="s">
        <v>198</v>
      </c>
      <c r="L2844" s="11">
        <v>472</v>
      </c>
      <c r="M2844" s="11">
        <v>4328.8500000000004</v>
      </c>
      <c r="N2844" s="9">
        <f t="shared" si="106"/>
        <v>472</v>
      </c>
    </row>
    <row r="2845" spans="1:14" ht="12.75" hidden="1" customHeight="1" x14ac:dyDescent="0.2">
      <c r="A2845">
        <v>65120</v>
      </c>
      <c r="B2845" s="3" t="s">
        <v>1260</v>
      </c>
      <c r="C2845" s="7" t="s">
        <v>214</v>
      </c>
      <c r="D2845" s="7" t="s">
        <v>200</v>
      </c>
      <c r="E2845" s="7">
        <v>479</v>
      </c>
      <c r="F2845" s="7" t="s">
        <v>421</v>
      </c>
      <c r="G2845" s="7" t="s">
        <v>182</v>
      </c>
      <c r="H2845" s="7" t="s">
        <v>1369</v>
      </c>
      <c r="I2845" s="7" t="s">
        <v>1260</v>
      </c>
      <c r="J2845" s="7" t="s">
        <v>420</v>
      </c>
      <c r="K2845" s="7" t="s">
        <v>198</v>
      </c>
      <c r="L2845" s="11">
        <v>670.18</v>
      </c>
      <c r="M2845" s="11">
        <v>4999.03</v>
      </c>
      <c r="N2845" s="9">
        <f t="shared" si="106"/>
        <v>670.18</v>
      </c>
    </row>
    <row r="2846" spans="1:14" ht="12.75" hidden="1" customHeight="1" x14ac:dyDescent="0.2">
      <c r="A2846">
        <v>65120</v>
      </c>
      <c r="B2846" s="3" t="s">
        <v>1260</v>
      </c>
      <c r="C2846" s="7" t="s">
        <v>1565</v>
      </c>
      <c r="D2846" s="7" t="s">
        <v>200</v>
      </c>
      <c r="E2846" s="7">
        <v>493</v>
      </c>
      <c r="F2846" s="7" t="s">
        <v>421</v>
      </c>
      <c r="G2846" s="7" t="s">
        <v>182</v>
      </c>
      <c r="H2846" s="7" t="s">
        <v>1369</v>
      </c>
      <c r="I2846" s="7" t="s">
        <v>1260</v>
      </c>
      <c r="J2846" s="39" t="s">
        <v>420</v>
      </c>
      <c r="K2846" s="39" t="s">
        <v>198</v>
      </c>
      <c r="L2846" s="40">
        <v>670.18</v>
      </c>
      <c r="M2846" s="40">
        <v>5669.21</v>
      </c>
      <c r="N2846" s="40">
        <f>+L2846</f>
        <v>670.18</v>
      </c>
    </row>
    <row r="2847" spans="1:14" ht="12.75" hidden="1" customHeight="1" x14ac:dyDescent="0.2">
      <c r="A2847">
        <v>65120</v>
      </c>
      <c r="B2847" s="3" t="s">
        <v>1260</v>
      </c>
      <c r="C2847" s="7" t="s">
        <v>1555</v>
      </c>
      <c r="D2847" s="7" t="s">
        <v>200</v>
      </c>
      <c r="E2847" s="7">
        <v>511</v>
      </c>
      <c r="F2847" s="7" t="s">
        <v>421</v>
      </c>
      <c r="G2847" s="7" t="s">
        <v>182</v>
      </c>
      <c r="H2847" s="7" t="s">
        <v>1361</v>
      </c>
      <c r="I2847" s="7" t="s">
        <v>1260</v>
      </c>
      <c r="J2847" s="39" t="s">
        <v>420</v>
      </c>
      <c r="K2847" s="39" t="s">
        <v>198</v>
      </c>
      <c r="L2847" s="40">
        <v>670.18</v>
      </c>
      <c r="M2847" s="40">
        <v>6339.39</v>
      </c>
      <c r="N2847" s="40">
        <f>+L2847</f>
        <v>670.18</v>
      </c>
    </row>
    <row r="2848" spans="1:14" ht="12.75" hidden="1" customHeight="1" x14ac:dyDescent="0.2">
      <c r="A2848">
        <v>65120</v>
      </c>
      <c r="B2848" s="3" t="s">
        <v>1260</v>
      </c>
      <c r="C2848" s="7" t="s">
        <v>1543</v>
      </c>
      <c r="D2848" s="7" t="s">
        <v>200</v>
      </c>
      <c r="E2848" s="7">
        <v>531</v>
      </c>
      <c r="F2848" s="7" t="s">
        <v>421</v>
      </c>
      <c r="G2848" s="7" t="s">
        <v>182</v>
      </c>
      <c r="H2848" s="7" t="s">
        <v>1362</v>
      </c>
      <c r="I2848" s="7" t="s">
        <v>1260</v>
      </c>
      <c r="J2848" s="39" t="s">
        <v>420</v>
      </c>
      <c r="K2848" s="39" t="s">
        <v>198</v>
      </c>
      <c r="L2848" s="40">
        <v>670.18</v>
      </c>
      <c r="M2848" s="40">
        <v>7009.57</v>
      </c>
      <c r="N2848" s="40">
        <f>+L2848</f>
        <v>670.18</v>
      </c>
    </row>
    <row r="2849" spans="1:14" ht="12.75" hidden="1" customHeight="1" x14ac:dyDescent="0.2">
      <c r="A2849">
        <v>65120</v>
      </c>
      <c r="B2849" s="3" t="s">
        <v>1260</v>
      </c>
      <c r="C2849" s="7" t="s">
        <v>1635</v>
      </c>
      <c r="D2849" s="7" t="s">
        <v>200</v>
      </c>
      <c r="E2849" s="7">
        <v>552</v>
      </c>
      <c r="F2849" s="7" t="s">
        <v>421</v>
      </c>
      <c r="G2849" s="7" t="s">
        <v>182</v>
      </c>
      <c r="H2849" s="7" t="s">
        <v>1362</v>
      </c>
      <c r="I2849" s="7" t="s">
        <v>1260</v>
      </c>
      <c r="J2849" s="39" t="s">
        <v>420</v>
      </c>
      <c r="K2849" s="39" t="s">
        <v>198</v>
      </c>
      <c r="L2849" s="40">
        <v>670.18</v>
      </c>
      <c r="M2849" s="40">
        <v>7679.75</v>
      </c>
      <c r="N2849" s="40">
        <f>+L2849</f>
        <v>670.18</v>
      </c>
    </row>
    <row r="2850" spans="1:14" ht="12.75" hidden="1" customHeight="1" x14ac:dyDescent="0.2">
      <c r="A2850">
        <v>66400</v>
      </c>
      <c r="B2850" s="3" t="s">
        <v>1262</v>
      </c>
      <c r="C2850" s="7" t="s">
        <v>392</v>
      </c>
      <c r="D2850" s="7" t="s">
        <v>200</v>
      </c>
      <c r="F2850" s="7" t="s">
        <v>416</v>
      </c>
      <c r="G2850" s="7" t="s">
        <v>182</v>
      </c>
      <c r="H2850" s="7" t="s">
        <v>1362</v>
      </c>
      <c r="I2850" s="7" t="s">
        <v>1262</v>
      </c>
      <c r="K2850" s="7" t="s">
        <v>198</v>
      </c>
      <c r="L2850" s="11">
        <v>428.74</v>
      </c>
      <c r="M2850" s="11">
        <v>428.74</v>
      </c>
      <c r="N2850" s="9">
        <f t="shared" ref="N2850:N2855" si="107">IF(A2850&lt;60000,-L2850,+L2850)</f>
        <v>428.74</v>
      </c>
    </row>
    <row r="2851" spans="1:14" ht="12.75" hidden="1" customHeight="1" x14ac:dyDescent="0.2">
      <c r="A2851">
        <v>66400</v>
      </c>
      <c r="B2851" s="3" t="s">
        <v>1262</v>
      </c>
      <c r="C2851" s="7" t="s">
        <v>418</v>
      </c>
      <c r="D2851" s="7" t="s">
        <v>200</v>
      </c>
      <c r="F2851" s="7" t="s">
        <v>416</v>
      </c>
      <c r="G2851" s="7" t="s">
        <v>182</v>
      </c>
      <c r="H2851" s="7" t="s">
        <v>1369</v>
      </c>
      <c r="I2851" s="7" t="s">
        <v>1262</v>
      </c>
      <c r="K2851" s="7" t="s">
        <v>198</v>
      </c>
      <c r="L2851" s="11">
        <v>428.74</v>
      </c>
      <c r="M2851" s="11">
        <v>857.48</v>
      </c>
      <c r="N2851" s="9">
        <f t="shared" si="107"/>
        <v>428.74</v>
      </c>
    </row>
    <row r="2852" spans="1:14" ht="12.75" hidden="1" customHeight="1" x14ac:dyDescent="0.2">
      <c r="A2852">
        <v>66400</v>
      </c>
      <c r="B2852" s="3" t="s">
        <v>1262</v>
      </c>
      <c r="C2852" s="7" t="s">
        <v>327</v>
      </c>
      <c r="D2852" s="7" t="s">
        <v>200</v>
      </c>
      <c r="F2852" s="7" t="s">
        <v>416</v>
      </c>
      <c r="G2852" s="7" t="s">
        <v>182</v>
      </c>
      <c r="H2852" s="7" t="s">
        <v>1361</v>
      </c>
      <c r="I2852" s="7" t="s">
        <v>1262</v>
      </c>
      <c r="K2852" s="7" t="s">
        <v>198</v>
      </c>
      <c r="L2852" s="11">
        <v>428.74</v>
      </c>
      <c r="M2852" s="11">
        <v>1286.22</v>
      </c>
      <c r="N2852" s="9">
        <f t="shared" si="107"/>
        <v>428.74</v>
      </c>
    </row>
    <row r="2853" spans="1:14" ht="12.75" hidden="1" customHeight="1" x14ac:dyDescent="0.2">
      <c r="A2853">
        <v>66400</v>
      </c>
      <c r="B2853" s="3" t="s">
        <v>1262</v>
      </c>
      <c r="C2853" s="7" t="s">
        <v>282</v>
      </c>
      <c r="D2853" s="7" t="s">
        <v>200</v>
      </c>
      <c r="F2853" s="7" t="s">
        <v>416</v>
      </c>
      <c r="G2853" s="7" t="s">
        <v>182</v>
      </c>
      <c r="H2853" s="7" t="s">
        <v>1362</v>
      </c>
      <c r="I2853" s="7" t="s">
        <v>1262</v>
      </c>
      <c r="K2853" s="7" t="s">
        <v>198</v>
      </c>
      <c r="L2853" s="11">
        <v>428.74</v>
      </c>
      <c r="M2853" s="11">
        <v>1714.96</v>
      </c>
      <c r="N2853" s="9">
        <f t="shared" si="107"/>
        <v>428.74</v>
      </c>
    </row>
    <row r="2854" spans="1:14" ht="12.75" hidden="1" customHeight="1" x14ac:dyDescent="0.2">
      <c r="A2854">
        <v>66400</v>
      </c>
      <c r="B2854" s="3" t="s">
        <v>1262</v>
      </c>
      <c r="C2854" s="7" t="s">
        <v>417</v>
      </c>
      <c r="D2854" s="7" t="s">
        <v>200</v>
      </c>
      <c r="F2854" s="7" t="s">
        <v>416</v>
      </c>
      <c r="G2854" s="7" t="s">
        <v>182</v>
      </c>
      <c r="H2854" s="7" t="s">
        <v>1369</v>
      </c>
      <c r="I2854" s="7" t="s">
        <v>1262</v>
      </c>
      <c r="K2854" s="7" t="s">
        <v>198</v>
      </c>
      <c r="L2854" s="11">
        <v>462.95</v>
      </c>
      <c r="M2854" s="11">
        <v>2177.91</v>
      </c>
      <c r="N2854" s="9">
        <f t="shared" si="107"/>
        <v>462.95</v>
      </c>
    </row>
    <row r="2855" spans="1:14" ht="12.75" hidden="1" customHeight="1" x14ac:dyDescent="0.2">
      <c r="A2855">
        <v>66400</v>
      </c>
      <c r="B2855" s="3" t="s">
        <v>1262</v>
      </c>
      <c r="C2855" s="7" t="s">
        <v>218</v>
      </c>
      <c r="D2855" s="7" t="s">
        <v>221</v>
      </c>
      <c r="F2855" s="7" t="s">
        <v>416</v>
      </c>
      <c r="G2855" s="7" t="s">
        <v>182</v>
      </c>
      <c r="H2855" s="7" t="s">
        <v>1361</v>
      </c>
      <c r="I2855" s="7" t="s">
        <v>1262</v>
      </c>
      <c r="K2855" s="7" t="s">
        <v>198</v>
      </c>
      <c r="L2855" s="11">
        <v>561.26</v>
      </c>
      <c r="M2855" s="11">
        <v>2739.17</v>
      </c>
      <c r="N2855" s="9">
        <f t="shared" si="107"/>
        <v>561.26</v>
      </c>
    </row>
    <row r="2856" spans="1:14" ht="12.75" hidden="1" customHeight="1" x14ac:dyDescent="0.2">
      <c r="A2856">
        <v>66400</v>
      </c>
      <c r="B2856" s="3" t="s">
        <v>1262</v>
      </c>
      <c r="C2856" s="7" t="s">
        <v>1567</v>
      </c>
      <c r="D2856" s="7" t="s">
        <v>221</v>
      </c>
      <c r="F2856" s="7" t="s">
        <v>2012</v>
      </c>
      <c r="G2856" s="7" t="s">
        <v>182</v>
      </c>
      <c r="H2856" s="7" t="s">
        <v>1361</v>
      </c>
      <c r="I2856" s="7" t="s">
        <v>1262</v>
      </c>
      <c r="K2856" s="39" t="s">
        <v>198</v>
      </c>
      <c r="L2856" s="40">
        <v>561.26</v>
      </c>
      <c r="M2856" s="40">
        <v>3300.43</v>
      </c>
      <c r="N2856" s="40">
        <f>+L2856</f>
        <v>561.26</v>
      </c>
    </row>
    <row r="2857" spans="1:14" ht="12.75" hidden="1" customHeight="1" x14ac:dyDescent="0.2">
      <c r="A2857">
        <v>66400</v>
      </c>
      <c r="B2857" s="3" t="s">
        <v>1262</v>
      </c>
      <c r="C2857" s="7" t="s">
        <v>1742</v>
      </c>
      <c r="D2857" s="7" t="s">
        <v>221</v>
      </c>
      <c r="F2857" s="7" t="s">
        <v>2012</v>
      </c>
      <c r="G2857" s="7" t="s">
        <v>182</v>
      </c>
      <c r="H2857" s="7" t="s">
        <v>1369</v>
      </c>
      <c r="I2857" s="7" t="s">
        <v>1262</v>
      </c>
      <c r="K2857" s="39" t="s">
        <v>198</v>
      </c>
      <c r="L2857" s="40">
        <v>561.26</v>
      </c>
      <c r="M2857" s="40">
        <v>3861.69</v>
      </c>
      <c r="N2857" s="40">
        <f>+L2857</f>
        <v>561.26</v>
      </c>
    </row>
    <row r="2858" spans="1:14" ht="12.75" hidden="1" customHeight="1" x14ac:dyDescent="0.2">
      <c r="A2858">
        <v>66400</v>
      </c>
      <c r="B2858" s="3" t="s">
        <v>1262</v>
      </c>
      <c r="C2858" s="7" t="s">
        <v>1746</v>
      </c>
      <c r="D2858" s="7" t="s">
        <v>221</v>
      </c>
      <c r="F2858" s="7" t="s">
        <v>2012</v>
      </c>
      <c r="G2858" s="7" t="s">
        <v>182</v>
      </c>
      <c r="H2858" s="7" t="s">
        <v>1362</v>
      </c>
      <c r="I2858" s="7" t="s">
        <v>1262</v>
      </c>
      <c r="K2858" s="39" t="s">
        <v>198</v>
      </c>
      <c r="L2858" s="40">
        <v>561.26</v>
      </c>
      <c r="M2858" s="40">
        <v>4422.95</v>
      </c>
      <c r="N2858" s="40">
        <f>+L2858</f>
        <v>561.26</v>
      </c>
    </row>
    <row r="2859" spans="1:14" ht="12.75" hidden="1" customHeight="1" x14ac:dyDescent="0.2">
      <c r="A2859">
        <v>66600</v>
      </c>
      <c r="B2859" s="3" t="s">
        <v>1263</v>
      </c>
      <c r="C2859" s="7" t="s">
        <v>393</v>
      </c>
      <c r="D2859" s="7" t="s">
        <v>242</v>
      </c>
      <c r="G2859" s="7" t="s">
        <v>182</v>
      </c>
      <c r="H2859" s="7" t="s">
        <v>1361</v>
      </c>
      <c r="I2859" s="7" t="s">
        <v>1263</v>
      </c>
      <c r="J2859" s="7" t="s">
        <v>414</v>
      </c>
      <c r="K2859" s="7" t="s">
        <v>198</v>
      </c>
      <c r="L2859" s="11">
        <v>-256.36</v>
      </c>
      <c r="M2859" s="11">
        <v>-256.36</v>
      </c>
      <c r="N2859" s="9">
        <f>IF(A2859&lt;60000,-L2859,+L2859)</f>
        <v>-256.36</v>
      </c>
    </row>
    <row r="2860" spans="1:14" ht="12.75" hidden="1" customHeight="1" x14ac:dyDescent="0.2">
      <c r="A2860">
        <v>66600</v>
      </c>
      <c r="B2860" s="3" t="s">
        <v>1263</v>
      </c>
      <c r="C2860" s="7" t="s">
        <v>415</v>
      </c>
      <c r="D2860" s="7" t="s">
        <v>242</v>
      </c>
      <c r="G2860" s="7" t="s">
        <v>182</v>
      </c>
      <c r="H2860" s="7" t="s">
        <v>1361</v>
      </c>
      <c r="I2860" s="7" t="s">
        <v>1263</v>
      </c>
      <c r="J2860" s="7" t="s">
        <v>414</v>
      </c>
      <c r="K2860" s="7" t="s">
        <v>198</v>
      </c>
      <c r="L2860" s="11">
        <v>-153.83000000000001</v>
      </c>
      <c r="M2860" s="11">
        <v>-410.19</v>
      </c>
      <c r="N2860" s="9">
        <f>IF(A2860&lt;60000,-L2860,+L2860)</f>
        <v>-153.83000000000001</v>
      </c>
    </row>
    <row r="2861" spans="1:14" ht="12.75" hidden="1" customHeight="1" x14ac:dyDescent="0.2">
      <c r="A2861">
        <v>66600</v>
      </c>
      <c r="B2861" s="3" t="s">
        <v>1263</v>
      </c>
      <c r="C2861" s="7" t="s">
        <v>267</v>
      </c>
      <c r="D2861" s="7" t="s">
        <v>200</v>
      </c>
      <c r="E2861" s="7">
        <v>446</v>
      </c>
      <c r="F2861" s="7" t="s">
        <v>413</v>
      </c>
      <c r="G2861" s="7" t="s">
        <v>182</v>
      </c>
      <c r="H2861" s="7" t="s">
        <v>1361</v>
      </c>
      <c r="I2861" s="7" t="s">
        <v>1263</v>
      </c>
      <c r="J2861" s="7" t="s">
        <v>412</v>
      </c>
      <c r="K2861" s="7" t="s">
        <v>198</v>
      </c>
      <c r="L2861" s="11">
        <v>250</v>
      </c>
      <c r="M2861" s="11">
        <v>-160.19</v>
      </c>
      <c r="N2861" s="9">
        <f>IF(A2861&lt;60000,-L2861,+L2861)</f>
        <v>250</v>
      </c>
    </row>
    <row r="2862" spans="1:14" ht="12.75" hidden="1" customHeight="1" x14ac:dyDescent="0.2">
      <c r="A2862">
        <v>66600</v>
      </c>
      <c r="B2862" s="3" t="s">
        <v>1263</v>
      </c>
      <c r="C2862" s="7" t="s">
        <v>1567</v>
      </c>
      <c r="D2862" s="7" t="s">
        <v>200</v>
      </c>
      <c r="E2862" s="7">
        <v>496</v>
      </c>
      <c r="F2862" s="7" t="s">
        <v>2013</v>
      </c>
      <c r="G2862" s="7" t="s">
        <v>182</v>
      </c>
      <c r="H2862" s="7" t="s">
        <v>1361</v>
      </c>
      <c r="I2862" s="7" t="s">
        <v>1263</v>
      </c>
      <c r="J2862" s="39" t="s">
        <v>2014</v>
      </c>
      <c r="K2862" s="39" t="s">
        <v>198</v>
      </c>
      <c r="L2862" s="40">
        <v>369</v>
      </c>
      <c r="M2862" s="40">
        <v>208.81</v>
      </c>
      <c r="N2862" s="40">
        <f t="shared" ref="N2862:N2870" si="108">+L2862</f>
        <v>369</v>
      </c>
    </row>
    <row r="2863" spans="1:14" ht="12.75" hidden="1" customHeight="1" x14ac:dyDescent="0.2">
      <c r="A2863">
        <v>66600</v>
      </c>
      <c r="B2863" s="3" t="s">
        <v>1263</v>
      </c>
      <c r="C2863" s="7" t="s">
        <v>1818</v>
      </c>
      <c r="D2863" s="7" t="s">
        <v>200</v>
      </c>
      <c r="E2863" s="7">
        <v>498</v>
      </c>
      <c r="F2863" s="7" t="s">
        <v>2015</v>
      </c>
      <c r="G2863" s="7" t="s">
        <v>182</v>
      </c>
      <c r="H2863" s="7" t="s">
        <v>1369</v>
      </c>
      <c r="I2863" s="7" t="s">
        <v>1263</v>
      </c>
      <c r="J2863" s="39" t="s">
        <v>1112</v>
      </c>
      <c r="K2863" s="39" t="s">
        <v>198</v>
      </c>
      <c r="L2863" s="40">
        <v>243</v>
      </c>
      <c r="M2863" s="40">
        <v>451.81</v>
      </c>
      <c r="N2863" s="40">
        <f t="shared" si="108"/>
        <v>243</v>
      </c>
    </row>
    <row r="2864" spans="1:14" ht="12.75" hidden="1" customHeight="1" x14ac:dyDescent="0.2">
      <c r="A2864">
        <v>66600</v>
      </c>
      <c r="B2864" s="3" t="s">
        <v>1263</v>
      </c>
      <c r="C2864" s="7" t="s">
        <v>1555</v>
      </c>
      <c r="D2864" s="7" t="s">
        <v>200</v>
      </c>
      <c r="E2864" s="7">
        <v>512</v>
      </c>
      <c r="F2864" s="7" t="s">
        <v>2015</v>
      </c>
      <c r="G2864" s="7" t="s">
        <v>182</v>
      </c>
      <c r="H2864" s="7" t="s">
        <v>1362</v>
      </c>
      <c r="I2864" s="7" t="s">
        <v>1263</v>
      </c>
      <c r="J2864" s="39" t="s">
        <v>1112</v>
      </c>
      <c r="K2864" s="39" t="s">
        <v>198</v>
      </c>
      <c r="L2864" s="40">
        <v>79.11</v>
      </c>
      <c r="M2864" s="40">
        <v>530.91999999999996</v>
      </c>
      <c r="N2864" s="40">
        <f t="shared" si="108"/>
        <v>79.11</v>
      </c>
    </row>
    <row r="2865" spans="1:14" ht="12.75" hidden="1" customHeight="1" x14ac:dyDescent="0.2">
      <c r="A2865">
        <v>66600</v>
      </c>
      <c r="B2865" s="3" t="s">
        <v>1263</v>
      </c>
      <c r="C2865" s="7" t="s">
        <v>1744</v>
      </c>
      <c r="D2865" s="7" t="s">
        <v>200</v>
      </c>
      <c r="E2865" s="7">
        <v>518</v>
      </c>
      <c r="F2865" s="7" t="s">
        <v>2015</v>
      </c>
      <c r="G2865" s="7" t="s">
        <v>182</v>
      </c>
      <c r="H2865" s="7" t="s">
        <v>1361</v>
      </c>
      <c r="I2865" s="7" t="s">
        <v>1263</v>
      </c>
      <c r="J2865" s="39" t="s">
        <v>1112</v>
      </c>
      <c r="K2865" s="39" t="s">
        <v>198</v>
      </c>
      <c r="L2865" s="40">
        <v>7</v>
      </c>
      <c r="M2865" s="40">
        <v>537.91999999999996</v>
      </c>
      <c r="N2865" s="40">
        <f t="shared" si="108"/>
        <v>7</v>
      </c>
    </row>
    <row r="2866" spans="1:14" ht="12.75" hidden="1" customHeight="1" x14ac:dyDescent="0.2">
      <c r="A2866">
        <v>66600</v>
      </c>
      <c r="B2866" s="3" t="s">
        <v>1263</v>
      </c>
      <c r="C2866" s="7" t="s">
        <v>1658</v>
      </c>
      <c r="D2866" s="7" t="s">
        <v>221</v>
      </c>
      <c r="F2866" s="7" t="s">
        <v>2016</v>
      </c>
      <c r="G2866" s="7" t="s">
        <v>182</v>
      </c>
      <c r="H2866" s="7" t="s">
        <v>1369</v>
      </c>
      <c r="I2866" s="7" t="s">
        <v>1263</v>
      </c>
      <c r="K2866" s="39" t="s">
        <v>198</v>
      </c>
      <c r="L2866" s="40">
        <v>291</v>
      </c>
      <c r="M2866" s="40">
        <v>828.92</v>
      </c>
      <c r="N2866" s="40">
        <f t="shared" si="108"/>
        <v>291</v>
      </c>
    </row>
    <row r="2867" spans="1:14" ht="12.75" hidden="1" customHeight="1" x14ac:dyDescent="0.2">
      <c r="A2867">
        <v>66600</v>
      </c>
      <c r="B2867" s="3" t="s">
        <v>1263</v>
      </c>
      <c r="C2867" s="7" t="s">
        <v>1678</v>
      </c>
      <c r="D2867" s="7" t="s">
        <v>200</v>
      </c>
      <c r="E2867" s="7">
        <v>547</v>
      </c>
      <c r="F2867" s="7" t="s">
        <v>2016</v>
      </c>
      <c r="G2867" s="7" t="s">
        <v>182</v>
      </c>
      <c r="H2867" s="7" t="s">
        <v>1362</v>
      </c>
      <c r="I2867" s="7" t="s">
        <v>1263</v>
      </c>
      <c r="K2867" s="39" t="s">
        <v>198</v>
      </c>
      <c r="L2867" s="40">
        <v>16</v>
      </c>
      <c r="M2867" s="40">
        <v>844.92</v>
      </c>
      <c r="N2867" s="40">
        <f t="shared" si="108"/>
        <v>16</v>
      </c>
    </row>
    <row r="2868" spans="1:14" ht="12.75" hidden="1" customHeight="1" x14ac:dyDescent="0.2">
      <c r="A2868">
        <v>66600</v>
      </c>
      <c r="B2868" s="3" t="s">
        <v>1263</v>
      </c>
      <c r="C2868" s="7" t="s">
        <v>1619</v>
      </c>
      <c r="D2868" s="7" t="s">
        <v>200</v>
      </c>
      <c r="E2868" s="7">
        <v>545</v>
      </c>
      <c r="F2868" s="7" t="s">
        <v>2017</v>
      </c>
      <c r="G2868" s="7" t="s">
        <v>182</v>
      </c>
      <c r="H2868" s="7" t="s">
        <v>1361</v>
      </c>
      <c r="I2868" s="7" t="s">
        <v>1263</v>
      </c>
      <c r="J2868" s="39" t="s">
        <v>2018</v>
      </c>
      <c r="K2868" s="39" t="s">
        <v>198</v>
      </c>
      <c r="L2868" s="40">
        <v>421</v>
      </c>
      <c r="M2868" s="40">
        <v>1265.92</v>
      </c>
      <c r="N2868" s="40">
        <f t="shared" si="108"/>
        <v>421</v>
      </c>
    </row>
    <row r="2869" spans="1:14" ht="12.75" hidden="1" customHeight="1" x14ac:dyDescent="0.2">
      <c r="A2869">
        <v>66600</v>
      </c>
      <c r="B2869" s="3" t="s">
        <v>1263</v>
      </c>
      <c r="C2869" s="7" t="s">
        <v>1629</v>
      </c>
      <c r="D2869" s="7" t="s">
        <v>200</v>
      </c>
      <c r="E2869" s="7">
        <v>549</v>
      </c>
      <c r="F2869" s="7" t="s">
        <v>2019</v>
      </c>
      <c r="G2869" s="7" t="s">
        <v>182</v>
      </c>
      <c r="H2869" s="7" t="s">
        <v>1369</v>
      </c>
      <c r="I2869" s="7" t="s">
        <v>1263</v>
      </c>
      <c r="J2869" s="39" t="s">
        <v>2020</v>
      </c>
      <c r="K2869" s="39" t="s">
        <v>198</v>
      </c>
      <c r="L2869" s="40">
        <v>421</v>
      </c>
      <c r="M2869" s="40">
        <v>1686.92</v>
      </c>
      <c r="N2869" s="40">
        <f t="shared" si="108"/>
        <v>421</v>
      </c>
    </row>
    <row r="2870" spans="1:14" ht="12.75" hidden="1" customHeight="1" x14ac:dyDescent="0.2">
      <c r="A2870">
        <v>66600</v>
      </c>
      <c r="B2870" s="3" t="s">
        <v>1263</v>
      </c>
      <c r="C2870" s="7" t="s">
        <v>1640</v>
      </c>
      <c r="D2870" s="7" t="s">
        <v>200</v>
      </c>
      <c r="E2870" s="7">
        <v>559</v>
      </c>
      <c r="F2870" s="7" t="s">
        <v>2013</v>
      </c>
      <c r="G2870" s="7" t="s">
        <v>182</v>
      </c>
      <c r="H2870" s="7" t="s">
        <v>1362</v>
      </c>
      <c r="I2870" s="7" t="s">
        <v>1263</v>
      </c>
      <c r="J2870" s="39" t="s">
        <v>2014</v>
      </c>
      <c r="K2870" s="39" t="s">
        <v>198</v>
      </c>
      <c r="L2870" s="40">
        <v>64</v>
      </c>
      <c r="M2870" s="40">
        <v>1750.92</v>
      </c>
      <c r="N2870" s="40">
        <f t="shared" si="108"/>
        <v>64</v>
      </c>
    </row>
    <row r="2871" spans="1:14" ht="12.75" hidden="1" customHeight="1" x14ac:dyDescent="0.2">
      <c r="A2871">
        <v>66800</v>
      </c>
      <c r="B2871" s="3" t="s">
        <v>1365</v>
      </c>
      <c r="C2871" s="7" t="s">
        <v>391</v>
      </c>
      <c r="D2871" s="7" t="s">
        <v>190</v>
      </c>
      <c r="E2871" s="7" t="s">
        <v>189</v>
      </c>
      <c r="F2871" s="7" t="s">
        <v>397</v>
      </c>
      <c r="G2871" s="7" t="s">
        <v>182</v>
      </c>
      <c r="H2871" s="7" t="s">
        <v>1361</v>
      </c>
      <c r="I2871" s="7" t="s">
        <v>1366</v>
      </c>
      <c r="J2871" s="7" t="s">
        <v>411</v>
      </c>
      <c r="K2871" s="7" t="s">
        <v>186</v>
      </c>
      <c r="L2871" s="11">
        <v>49.73</v>
      </c>
      <c r="M2871" s="11">
        <v>49.73</v>
      </c>
      <c r="N2871" s="9">
        <f t="shared" ref="N2871:N2896" si="109">IF(A2871&lt;60000,-L2871,+L2871)</f>
        <v>49.73</v>
      </c>
    </row>
    <row r="2872" spans="1:14" ht="12.75" hidden="1" customHeight="1" x14ac:dyDescent="0.2">
      <c r="A2872">
        <v>66800</v>
      </c>
      <c r="B2872" s="3" t="s">
        <v>1365</v>
      </c>
      <c r="C2872" s="7" t="s">
        <v>391</v>
      </c>
      <c r="D2872" s="7" t="s">
        <v>190</v>
      </c>
      <c r="E2872" s="7" t="s">
        <v>189</v>
      </c>
      <c r="F2872" s="7" t="s">
        <v>192</v>
      </c>
      <c r="G2872" s="7" t="s">
        <v>182</v>
      </c>
      <c r="H2872" s="7" t="s">
        <v>1369</v>
      </c>
      <c r="I2872" s="7" t="s">
        <v>1366</v>
      </c>
      <c r="J2872" s="7" t="s">
        <v>411</v>
      </c>
      <c r="K2872" s="7" t="s">
        <v>186</v>
      </c>
      <c r="L2872" s="11">
        <v>114.75</v>
      </c>
      <c r="M2872" s="11">
        <v>248.11</v>
      </c>
      <c r="N2872" s="9">
        <f t="shared" si="109"/>
        <v>114.75</v>
      </c>
    </row>
    <row r="2873" spans="1:14" ht="12.75" hidden="1" customHeight="1" x14ac:dyDescent="0.2">
      <c r="A2873">
        <v>66800</v>
      </c>
      <c r="B2873" s="3" t="s">
        <v>1365</v>
      </c>
      <c r="C2873" s="7" t="s">
        <v>393</v>
      </c>
      <c r="D2873" s="7" t="s">
        <v>190</v>
      </c>
      <c r="E2873" s="7" t="s">
        <v>189</v>
      </c>
      <c r="F2873" s="7" t="s">
        <v>192</v>
      </c>
      <c r="G2873" s="7" t="s">
        <v>182</v>
      </c>
      <c r="H2873" s="7" t="s">
        <v>1369</v>
      </c>
      <c r="I2873" s="7" t="s">
        <v>1366</v>
      </c>
      <c r="J2873" s="7" t="s">
        <v>411</v>
      </c>
      <c r="K2873" s="7" t="s">
        <v>186</v>
      </c>
      <c r="L2873" s="11">
        <v>153</v>
      </c>
      <c r="M2873" s="11">
        <v>401.11</v>
      </c>
      <c r="N2873" s="9">
        <f t="shared" si="109"/>
        <v>153</v>
      </c>
    </row>
    <row r="2874" spans="1:14" ht="12.75" hidden="1" customHeight="1" x14ac:dyDescent="0.2">
      <c r="A2874">
        <v>66800</v>
      </c>
      <c r="B2874" s="3" t="s">
        <v>1365</v>
      </c>
      <c r="C2874" s="7" t="s">
        <v>393</v>
      </c>
      <c r="D2874" s="7" t="s">
        <v>190</v>
      </c>
      <c r="E2874" s="7" t="s">
        <v>189</v>
      </c>
      <c r="F2874" s="7" t="s">
        <v>397</v>
      </c>
      <c r="G2874" s="7" t="s">
        <v>182</v>
      </c>
      <c r="H2874" s="7" t="s">
        <v>1361</v>
      </c>
      <c r="I2874" s="7" t="s">
        <v>1366</v>
      </c>
      <c r="J2874" s="7" t="s">
        <v>411</v>
      </c>
      <c r="K2874" s="7" t="s">
        <v>186</v>
      </c>
      <c r="L2874" s="11">
        <v>82.87</v>
      </c>
      <c r="M2874" s="11">
        <v>483.98</v>
      </c>
      <c r="N2874" s="9">
        <f t="shared" si="109"/>
        <v>82.87</v>
      </c>
    </row>
    <row r="2875" spans="1:14" ht="12.75" hidden="1" customHeight="1" x14ac:dyDescent="0.2">
      <c r="A2875">
        <v>66800</v>
      </c>
      <c r="B2875" s="3" t="s">
        <v>1365</v>
      </c>
      <c r="C2875" s="7" t="s">
        <v>392</v>
      </c>
      <c r="D2875" s="7" t="s">
        <v>190</v>
      </c>
      <c r="E2875" s="7" t="s">
        <v>189</v>
      </c>
      <c r="F2875" s="7" t="s">
        <v>192</v>
      </c>
      <c r="G2875" s="7" t="s">
        <v>182</v>
      </c>
      <c r="H2875" s="7" t="s">
        <v>1369</v>
      </c>
      <c r="I2875" s="7" t="s">
        <v>1366</v>
      </c>
      <c r="J2875" s="7" t="s">
        <v>411</v>
      </c>
      <c r="K2875" s="7" t="s">
        <v>186</v>
      </c>
      <c r="L2875" s="11">
        <v>765</v>
      </c>
      <c r="M2875" s="11">
        <v>1332.6</v>
      </c>
      <c r="N2875" s="9">
        <f t="shared" si="109"/>
        <v>765</v>
      </c>
    </row>
    <row r="2876" spans="1:14" ht="12.75" hidden="1" customHeight="1" x14ac:dyDescent="0.2">
      <c r="A2876">
        <v>66800</v>
      </c>
      <c r="B2876" s="3" t="s">
        <v>1365</v>
      </c>
      <c r="C2876" s="7" t="s">
        <v>392</v>
      </c>
      <c r="D2876" s="7" t="s">
        <v>190</v>
      </c>
      <c r="E2876" s="7" t="s">
        <v>189</v>
      </c>
      <c r="F2876" s="7" t="s">
        <v>397</v>
      </c>
      <c r="G2876" s="7" t="s">
        <v>182</v>
      </c>
      <c r="H2876" s="7" t="s">
        <v>1361</v>
      </c>
      <c r="I2876" s="7" t="s">
        <v>1366</v>
      </c>
      <c r="J2876" s="7" t="s">
        <v>411</v>
      </c>
      <c r="K2876" s="7" t="s">
        <v>186</v>
      </c>
      <c r="L2876" s="11">
        <v>76.5</v>
      </c>
      <c r="M2876" s="11">
        <v>1409.1</v>
      </c>
      <c r="N2876" s="9">
        <f t="shared" si="109"/>
        <v>76.5</v>
      </c>
    </row>
    <row r="2877" spans="1:14" ht="12.75" hidden="1" customHeight="1" x14ac:dyDescent="0.2">
      <c r="A2877">
        <v>66800</v>
      </c>
      <c r="B2877" s="3" t="s">
        <v>1365</v>
      </c>
      <c r="C2877" s="7" t="s">
        <v>410</v>
      </c>
      <c r="D2877" s="7" t="s">
        <v>190</v>
      </c>
      <c r="E2877" s="7" t="s">
        <v>189</v>
      </c>
      <c r="F2877" s="7" t="s">
        <v>192</v>
      </c>
      <c r="G2877" s="7" t="s">
        <v>182</v>
      </c>
      <c r="H2877" s="7" t="s">
        <v>1362</v>
      </c>
      <c r="I2877" s="7" t="s">
        <v>1366</v>
      </c>
      <c r="J2877" s="7" t="s">
        <v>411</v>
      </c>
      <c r="K2877" s="7" t="s">
        <v>186</v>
      </c>
      <c r="L2877" s="11">
        <v>153</v>
      </c>
      <c r="M2877" s="11">
        <v>1562.1</v>
      </c>
      <c r="N2877" s="9">
        <f t="shared" si="109"/>
        <v>153</v>
      </c>
    </row>
    <row r="2878" spans="1:14" ht="12.75" hidden="1" customHeight="1" x14ac:dyDescent="0.2">
      <c r="A2878">
        <v>66800</v>
      </c>
      <c r="B2878" s="3" t="s">
        <v>1365</v>
      </c>
      <c r="C2878" s="7" t="s">
        <v>410</v>
      </c>
      <c r="D2878" s="7" t="s">
        <v>190</v>
      </c>
      <c r="E2878" s="7" t="s">
        <v>189</v>
      </c>
      <c r="F2878" s="7" t="s">
        <v>397</v>
      </c>
      <c r="G2878" s="7" t="s">
        <v>182</v>
      </c>
      <c r="H2878" s="7" t="s">
        <v>1361</v>
      </c>
      <c r="I2878" s="7" t="s">
        <v>1366</v>
      </c>
      <c r="J2878" s="7" t="s">
        <v>411</v>
      </c>
      <c r="K2878" s="7" t="s">
        <v>186</v>
      </c>
      <c r="L2878" s="11">
        <v>82.87</v>
      </c>
      <c r="M2878" s="11">
        <v>1644.97</v>
      </c>
      <c r="N2878" s="9">
        <f t="shared" si="109"/>
        <v>82.87</v>
      </c>
    </row>
    <row r="2879" spans="1:14" ht="12.75" hidden="1" customHeight="1" x14ac:dyDescent="0.2">
      <c r="A2879">
        <v>66800</v>
      </c>
      <c r="B2879" s="3" t="s">
        <v>1365</v>
      </c>
      <c r="C2879" s="7" t="s">
        <v>409</v>
      </c>
      <c r="D2879" s="7" t="s">
        <v>190</v>
      </c>
      <c r="E2879" s="7" t="s">
        <v>189</v>
      </c>
      <c r="F2879" s="7" t="s">
        <v>192</v>
      </c>
      <c r="G2879" s="7" t="s">
        <v>182</v>
      </c>
      <c r="H2879" s="7" t="s">
        <v>1362</v>
      </c>
      <c r="I2879" s="7" t="s">
        <v>1366</v>
      </c>
      <c r="J2879" s="7" t="s">
        <v>411</v>
      </c>
      <c r="K2879" s="7" t="s">
        <v>186</v>
      </c>
      <c r="L2879" s="11">
        <v>153</v>
      </c>
      <c r="M2879" s="11">
        <v>1965.22</v>
      </c>
      <c r="N2879" s="9">
        <f t="shared" si="109"/>
        <v>153</v>
      </c>
    </row>
    <row r="2880" spans="1:14" ht="12.75" hidden="1" customHeight="1" x14ac:dyDescent="0.2">
      <c r="A2880">
        <v>66800</v>
      </c>
      <c r="B2880" s="3" t="s">
        <v>1365</v>
      </c>
      <c r="C2880" s="7" t="s">
        <v>409</v>
      </c>
      <c r="D2880" s="7" t="s">
        <v>190</v>
      </c>
      <c r="E2880" s="7" t="s">
        <v>189</v>
      </c>
      <c r="F2880" s="7" t="s">
        <v>397</v>
      </c>
      <c r="G2880" s="7" t="s">
        <v>182</v>
      </c>
      <c r="H2880" s="7" t="s">
        <v>1361</v>
      </c>
      <c r="I2880" s="7" t="s">
        <v>1366</v>
      </c>
      <c r="J2880" s="7" t="s">
        <v>411</v>
      </c>
      <c r="K2880" s="7" t="s">
        <v>186</v>
      </c>
      <c r="L2880" s="11">
        <v>82.88</v>
      </c>
      <c r="M2880" s="11">
        <v>2048.1</v>
      </c>
      <c r="N2880" s="9">
        <f t="shared" si="109"/>
        <v>82.88</v>
      </c>
    </row>
    <row r="2881" spans="1:14" ht="12.75" hidden="1" customHeight="1" x14ac:dyDescent="0.2">
      <c r="A2881">
        <v>66800</v>
      </c>
      <c r="B2881" s="3" t="s">
        <v>1365</v>
      </c>
      <c r="C2881" s="7" t="s">
        <v>408</v>
      </c>
      <c r="D2881" s="7" t="s">
        <v>190</v>
      </c>
      <c r="E2881" s="7" t="s">
        <v>189</v>
      </c>
      <c r="F2881" s="7" t="s">
        <v>192</v>
      </c>
      <c r="G2881" s="7" t="s">
        <v>182</v>
      </c>
      <c r="H2881" s="7" t="s">
        <v>1362</v>
      </c>
      <c r="I2881" s="7" t="s">
        <v>1366</v>
      </c>
      <c r="J2881" s="7" t="s">
        <v>411</v>
      </c>
      <c r="K2881" s="7" t="s">
        <v>186</v>
      </c>
      <c r="L2881" s="11">
        <v>153</v>
      </c>
      <c r="M2881" s="11">
        <v>2284.73</v>
      </c>
      <c r="N2881" s="9">
        <f t="shared" si="109"/>
        <v>153</v>
      </c>
    </row>
    <row r="2882" spans="1:14" ht="12.75" hidden="1" customHeight="1" x14ac:dyDescent="0.2">
      <c r="A2882">
        <v>66800</v>
      </c>
      <c r="B2882" s="3" t="s">
        <v>1365</v>
      </c>
      <c r="C2882" s="7" t="s">
        <v>408</v>
      </c>
      <c r="D2882" s="7" t="s">
        <v>190</v>
      </c>
      <c r="E2882" s="7" t="s">
        <v>189</v>
      </c>
      <c r="F2882" s="7" t="s">
        <v>397</v>
      </c>
      <c r="G2882" s="7" t="s">
        <v>182</v>
      </c>
      <c r="H2882" s="7" t="s">
        <v>1361</v>
      </c>
      <c r="I2882" s="7" t="s">
        <v>1366</v>
      </c>
      <c r="J2882" s="7" t="s">
        <v>411</v>
      </c>
      <c r="K2882" s="7" t="s">
        <v>186</v>
      </c>
      <c r="L2882" s="11">
        <v>82.88</v>
      </c>
      <c r="M2882" s="11">
        <v>2367.61</v>
      </c>
      <c r="N2882" s="9">
        <f t="shared" si="109"/>
        <v>82.88</v>
      </c>
    </row>
    <row r="2883" spans="1:14" ht="12.75" hidden="1" customHeight="1" x14ac:dyDescent="0.2">
      <c r="A2883">
        <v>66800</v>
      </c>
      <c r="B2883" s="3" t="s">
        <v>1365</v>
      </c>
      <c r="C2883" s="7" t="s">
        <v>407</v>
      </c>
      <c r="D2883" s="7" t="s">
        <v>190</v>
      </c>
      <c r="E2883" s="7" t="s">
        <v>189</v>
      </c>
      <c r="F2883" s="7" t="s">
        <v>397</v>
      </c>
      <c r="G2883" s="7" t="s">
        <v>182</v>
      </c>
      <c r="H2883" s="7" t="s">
        <v>1361</v>
      </c>
      <c r="I2883" s="7" t="s">
        <v>1366</v>
      </c>
      <c r="J2883" s="7" t="s">
        <v>411</v>
      </c>
      <c r="K2883" s="7" t="s">
        <v>186</v>
      </c>
      <c r="L2883" s="11">
        <v>82.87</v>
      </c>
      <c r="M2883" s="11">
        <v>2450.48</v>
      </c>
      <c r="N2883" s="9">
        <f t="shared" si="109"/>
        <v>82.87</v>
      </c>
    </row>
    <row r="2884" spans="1:14" ht="12.75" hidden="1" customHeight="1" x14ac:dyDescent="0.2">
      <c r="A2884">
        <v>66800</v>
      </c>
      <c r="B2884" s="3" t="s">
        <v>1365</v>
      </c>
      <c r="C2884" s="7" t="s">
        <v>407</v>
      </c>
      <c r="D2884" s="7" t="s">
        <v>190</v>
      </c>
      <c r="E2884" s="7" t="s">
        <v>189</v>
      </c>
      <c r="F2884" s="7" t="s">
        <v>192</v>
      </c>
      <c r="G2884" s="7" t="s">
        <v>182</v>
      </c>
      <c r="H2884" s="7" t="s">
        <v>1362</v>
      </c>
      <c r="I2884" s="7" t="s">
        <v>1366</v>
      </c>
      <c r="J2884" s="7" t="s">
        <v>411</v>
      </c>
      <c r="K2884" s="7" t="s">
        <v>186</v>
      </c>
      <c r="L2884" s="11">
        <v>153</v>
      </c>
      <c r="M2884" s="11">
        <v>2603.48</v>
      </c>
      <c r="N2884" s="9">
        <f t="shared" si="109"/>
        <v>153</v>
      </c>
    </row>
    <row r="2885" spans="1:14" ht="12.75" hidden="1" customHeight="1" x14ac:dyDescent="0.2">
      <c r="A2885">
        <v>66800</v>
      </c>
      <c r="B2885" s="3" t="s">
        <v>1365</v>
      </c>
      <c r="C2885" s="7" t="s">
        <v>406</v>
      </c>
      <c r="D2885" s="7" t="s">
        <v>190</v>
      </c>
      <c r="E2885" s="7" t="s">
        <v>189</v>
      </c>
      <c r="F2885" s="7" t="s">
        <v>192</v>
      </c>
      <c r="G2885" s="7" t="s">
        <v>182</v>
      </c>
      <c r="H2885" s="7" t="s">
        <v>1362</v>
      </c>
      <c r="I2885" s="7" t="s">
        <v>1366</v>
      </c>
      <c r="J2885" s="7" t="s">
        <v>411</v>
      </c>
      <c r="K2885" s="7" t="s">
        <v>186</v>
      </c>
      <c r="L2885" s="11">
        <v>153</v>
      </c>
      <c r="M2885" s="11">
        <v>2840.1</v>
      </c>
      <c r="N2885" s="9">
        <f t="shared" si="109"/>
        <v>153</v>
      </c>
    </row>
    <row r="2886" spans="1:14" ht="12.75" hidden="1" customHeight="1" x14ac:dyDescent="0.2">
      <c r="A2886">
        <v>66800</v>
      </c>
      <c r="B2886" s="3" t="s">
        <v>1365</v>
      </c>
      <c r="C2886" s="7" t="s">
        <v>406</v>
      </c>
      <c r="D2886" s="7" t="s">
        <v>190</v>
      </c>
      <c r="E2886" s="7" t="s">
        <v>189</v>
      </c>
      <c r="F2886" s="7" t="s">
        <v>397</v>
      </c>
      <c r="G2886" s="7" t="s">
        <v>182</v>
      </c>
      <c r="H2886" s="7" t="s">
        <v>1361</v>
      </c>
      <c r="I2886" s="7" t="s">
        <v>1366</v>
      </c>
      <c r="J2886" s="7" t="s">
        <v>411</v>
      </c>
      <c r="K2886" s="7" t="s">
        <v>186</v>
      </c>
      <c r="L2886" s="11">
        <v>82.87</v>
      </c>
      <c r="M2886" s="11">
        <v>3006.6</v>
      </c>
      <c r="N2886" s="9">
        <f t="shared" si="109"/>
        <v>82.87</v>
      </c>
    </row>
    <row r="2887" spans="1:14" ht="12.75" hidden="1" customHeight="1" x14ac:dyDescent="0.2">
      <c r="A2887">
        <v>66800</v>
      </c>
      <c r="B2887" s="3" t="s">
        <v>1365</v>
      </c>
      <c r="C2887" s="7" t="s">
        <v>196</v>
      </c>
      <c r="D2887" s="7" t="s">
        <v>190</v>
      </c>
      <c r="E2887" s="7" t="s">
        <v>189</v>
      </c>
      <c r="F2887" s="7" t="s">
        <v>192</v>
      </c>
      <c r="G2887" s="7" t="s">
        <v>182</v>
      </c>
      <c r="H2887" s="7" t="s">
        <v>1362</v>
      </c>
      <c r="I2887" s="7" t="s">
        <v>1366</v>
      </c>
      <c r="J2887" s="7" t="s">
        <v>411</v>
      </c>
      <c r="K2887" s="7" t="s">
        <v>186</v>
      </c>
      <c r="L2887" s="11">
        <v>153</v>
      </c>
      <c r="M2887" s="11">
        <v>3159.6</v>
      </c>
      <c r="N2887" s="9">
        <f t="shared" si="109"/>
        <v>153</v>
      </c>
    </row>
    <row r="2888" spans="1:14" ht="12.75" hidden="1" customHeight="1" x14ac:dyDescent="0.2">
      <c r="A2888">
        <v>66800</v>
      </c>
      <c r="B2888" s="3" t="s">
        <v>1365</v>
      </c>
      <c r="C2888" s="7" t="s">
        <v>196</v>
      </c>
      <c r="D2888" s="7" t="s">
        <v>190</v>
      </c>
      <c r="E2888" s="7" t="s">
        <v>189</v>
      </c>
      <c r="F2888" s="7" t="s">
        <v>397</v>
      </c>
      <c r="G2888" s="7" t="s">
        <v>182</v>
      </c>
      <c r="H2888" s="7" t="s">
        <v>1361</v>
      </c>
      <c r="I2888" s="7" t="s">
        <v>1366</v>
      </c>
      <c r="J2888" s="7" t="s">
        <v>411</v>
      </c>
      <c r="K2888" s="7" t="s">
        <v>186</v>
      </c>
      <c r="L2888" s="11">
        <v>82.88</v>
      </c>
      <c r="M2888" s="11">
        <v>3326.1</v>
      </c>
      <c r="N2888" s="9">
        <f t="shared" si="109"/>
        <v>82.88</v>
      </c>
    </row>
    <row r="2889" spans="1:14" ht="12.75" hidden="1" customHeight="1" x14ac:dyDescent="0.2">
      <c r="A2889">
        <v>66800</v>
      </c>
      <c r="B2889" s="3" t="s">
        <v>1365</v>
      </c>
      <c r="C2889" s="7" t="s">
        <v>194</v>
      </c>
      <c r="D2889" s="7" t="s">
        <v>190</v>
      </c>
      <c r="E2889" s="7" t="s">
        <v>189</v>
      </c>
      <c r="F2889" s="7" t="s">
        <v>397</v>
      </c>
      <c r="G2889" s="7" t="s">
        <v>182</v>
      </c>
      <c r="H2889" s="7" t="s">
        <v>1361</v>
      </c>
      <c r="I2889" s="7" t="s">
        <v>1366</v>
      </c>
      <c r="J2889" s="7" t="s">
        <v>411</v>
      </c>
      <c r="K2889" s="7" t="s">
        <v>186</v>
      </c>
      <c r="L2889" s="11">
        <v>82.87</v>
      </c>
      <c r="M2889" s="11">
        <v>3408.97</v>
      </c>
      <c r="N2889" s="9">
        <f t="shared" si="109"/>
        <v>82.87</v>
      </c>
    </row>
    <row r="2890" spans="1:14" ht="12.75" hidden="1" customHeight="1" x14ac:dyDescent="0.2">
      <c r="A2890">
        <v>66800</v>
      </c>
      <c r="B2890" s="3" t="s">
        <v>1365</v>
      </c>
      <c r="C2890" s="7" t="s">
        <v>194</v>
      </c>
      <c r="D2890" s="7" t="s">
        <v>190</v>
      </c>
      <c r="E2890" s="7" t="s">
        <v>189</v>
      </c>
      <c r="F2890" s="7" t="s">
        <v>192</v>
      </c>
      <c r="G2890" s="7" t="s">
        <v>182</v>
      </c>
      <c r="H2890" s="7" t="s">
        <v>1369</v>
      </c>
      <c r="I2890" s="7" t="s">
        <v>1366</v>
      </c>
      <c r="J2890" s="7" t="s">
        <v>411</v>
      </c>
      <c r="K2890" s="7" t="s">
        <v>186</v>
      </c>
      <c r="L2890" s="11">
        <v>153</v>
      </c>
      <c r="M2890" s="11">
        <v>3561.97</v>
      </c>
      <c r="N2890" s="9">
        <f t="shared" si="109"/>
        <v>153</v>
      </c>
    </row>
    <row r="2891" spans="1:14" ht="12.75" hidden="1" customHeight="1" x14ac:dyDescent="0.2">
      <c r="A2891">
        <v>66800</v>
      </c>
      <c r="B2891" s="3" t="s">
        <v>1365</v>
      </c>
      <c r="C2891" s="7" t="s">
        <v>193</v>
      </c>
      <c r="D2891" s="7" t="s">
        <v>190</v>
      </c>
      <c r="E2891" s="7" t="s">
        <v>189</v>
      </c>
      <c r="F2891" s="7" t="s">
        <v>192</v>
      </c>
      <c r="G2891" s="7" t="s">
        <v>182</v>
      </c>
      <c r="H2891" s="7" t="s">
        <v>1369</v>
      </c>
      <c r="I2891" s="7" t="s">
        <v>1366</v>
      </c>
      <c r="J2891" s="7" t="s">
        <v>411</v>
      </c>
      <c r="K2891" s="7" t="s">
        <v>186</v>
      </c>
      <c r="L2891" s="11">
        <v>153</v>
      </c>
      <c r="M2891" s="11">
        <v>3798.6</v>
      </c>
      <c r="N2891" s="9">
        <f t="shared" si="109"/>
        <v>153</v>
      </c>
    </row>
    <row r="2892" spans="1:14" ht="12.75" hidden="1" customHeight="1" x14ac:dyDescent="0.2">
      <c r="A2892">
        <v>66800</v>
      </c>
      <c r="B2892" s="3" t="s">
        <v>1365</v>
      </c>
      <c r="C2892" s="7" t="s">
        <v>193</v>
      </c>
      <c r="D2892" s="7" t="s">
        <v>190</v>
      </c>
      <c r="E2892" s="7" t="s">
        <v>189</v>
      </c>
      <c r="F2892" s="7" t="s">
        <v>397</v>
      </c>
      <c r="G2892" s="7" t="s">
        <v>182</v>
      </c>
      <c r="H2892" s="7" t="s">
        <v>1361</v>
      </c>
      <c r="I2892" s="7" t="s">
        <v>1366</v>
      </c>
      <c r="J2892" s="7" t="s">
        <v>411</v>
      </c>
      <c r="K2892" s="7" t="s">
        <v>186</v>
      </c>
      <c r="L2892" s="11">
        <v>82.88</v>
      </c>
      <c r="M2892" s="11">
        <v>3881.48</v>
      </c>
      <c r="N2892" s="9">
        <f t="shared" si="109"/>
        <v>82.88</v>
      </c>
    </row>
    <row r="2893" spans="1:14" ht="12.75" hidden="1" customHeight="1" x14ac:dyDescent="0.2">
      <c r="A2893">
        <v>66800</v>
      </c>
      <c r="B2893" s="3" t="s">
        <v>1365</v>
      </c>
      <c r="C2893" s="7" t="s">
        <v>191</v>
      </c>
      <c r="D2893" s="7" t="s">
        <v>190</v>
      </c>
      <c r="E2893" s="7" t="s">
        <v>189</v>
      </c>
      <c r="F2893" s="7" t="s">
        <v>397</v>
      </c>
      <c r="G2893" s="7" t="s">
        <v>182</v>
      </c>
      <c r="H2893" s="7" t="s">
        <v>1361</v>
      </c>
      <c r="I2893" s="7" t="s">
        <v>1366</v>
      </c>
      <c r="J2893" s="7" t="s">
        <v>411</v>
      </c>
      <c r="K2893" s="7" t="s">
        <v>186</v>
      </c>
      <c r="L2893" s="11">
        <v>82.87</v>
      </c>
      <c r="M2893" s="11">
        <v>4030.47</v>
      </c>
      <c r="N2893" s="9">
        <f t="shared" si="109"/>
        <v>82.87</v>
      </c>
    </row>
    <row r="2894" spans="1:14" ht="12.75" hidden="1" customHeight="1" x14ac:dyDescent="0.2">
      <c r="A2894">
        <v>66800</v>
      </c>
      <c r="B2894" s="3" t="s">
        <v>1365</v>
      </c>
      <c r="C2894" s="7" t="s">
        <v>191</v>
      </c>
      <c r="D2894" s="7" t="s">
        <v>190</v>
      </c>
      <c r="E2894" s="7" t="s">
        <v>189</v>
      </c>
      <c r="F2894" s="7" t="s">
        <v>192</v>
      </c>
      <c r="G2894" s="7" t="s">
        <v>182</v>
      </c>
      <c r="H2894" s="7" t="s">
        <v>1369</v>
      </c>
      <c r="I2894" s="7" t="s">
        <v>1366</v>
      </c>
      <c r="J2894" s="7" t="s">
        <v>411</v>
      </c>
      <c r="K2894" s="7" t="s">
        <v>186</v>
      </c>
      <c r="L2894" s="11">
        <v>153</v>
      </c>
      <c r="M2894" s="11">
        <v>4240.8500000000004</v>
      </c>
      <c r="N2894" s="9">
        <f t="shared" si="109"/>
        <v>153</v>
      </c>
    </row>
    <row r="2895" spans="1:14" ht="12.75" hidden="1" customHeight="1" x14ac:dyDescent="0.2">
      <c r="A2895">
        <v>66800</v>
      </c>
      <c r="B2895" s="3" t="s">
        <v>1365</v>
      </c>
      <c r="C2895" s="7" t="s">
        <v>214</v>
      </c>
      <c r="D2895" s="7" t="s">
        <v>190</v>
      </c>
      <c r="E2895" s="7" t="s">
        <v>189</v>
      </c>
      <c r="F2895" s="7" t="s">
        <v>192</v>
      </c>
      <c r="G2895" s="7" t="s">
        <v>182</v>
      </c>
      <c r="H2895" s="7" t="s">
        <v>1369</v>
      </c>
      <c r="I2895" s="7" t="s">
        <v>1366</v>
      </c>
      <c r="J2895" s="7" t="s">
        <v>411</v>
      </c>
      <c r="K2895" s="7" t="s">
        <v>186</v>
      </c>
      <c r="L2895" s="11">
        <v>153</v>
      </c>
      <c r="M2895" s="11">
        <v>4451.22</v>
      </c>
      <c r="N2895" s="9">
        <f t="shared" si="109"/>
        <v>153</v>
      </c>
    </row>
    <row r="2896" spans="1:14" ht="12.75" hidden="1" customHeight="1" x14ac:dyDescent="0.2">
      <c r="A2896">
        <v>66800</v>
      </c>
      <c r="B2896" s="3" t="s">
        <v>1365</v>
      </c>
      <c r="C2896" s="7" t="s">
        <v>214</v>
      </c>
      <c r="D2896" s="7" t="s">
        <v>190</v>
      </c>
      <c r="E2896" s="7" t="s">
        <v>189</v>
      </c>
      <c r="F2896" s="7" t="s">
        <v>397</v>
      </c>
      <c r="G2896" s="7" t="s">
        <v>182</v>
      </c>
      <c r="H2896" s="7" t="s">
        <v>1361</v>
      </c>
      <c r="I2896" s="7" t="s">
        <v>1366</v>
      </c>
      <c r="J2896" s="7" t="s">
        <v>411</v>
      </c>
      <c r="K2896" s="7" t="s">
        <v>186</v>
      </c>
      <c r="L2896" s="11">
        <v>82.88</v>
      </c>
      <c r="M2896" s="11">
        <v>4534.1000000000004</v>
      </c>
      <c r="N2896" s="9">
        <f t="shared" si="109"/>
        <v>82.88</v>
      </c>
    </row>
    <row r="2897" spans="1:14" ht="12.75" hidden="1" customHeight="1" x14ac:dyDescent="0.2">
      <c r="A2897">
        <v>66800</v>
      </c>
      <c r="B2897" s="3" t="s">
        <v>2021</v>
      </c>
      <c r="C2897" s="7" t="s">
        <v>1556</v>
      </c>
      <c r="D2897" s="7" t="s">
        <v>190</v>
      </c>
      <c r="E2897" s="7" t="s">
        <v>189</v>
      </c>
      <c r="F2897" s="7" t="s">
        <v>397</v>
      </c>
      <c r="G2897" s="7" t="s">
        <v>182</v>
      </c>
      <c r="H2897" s="7" t="s">
        <v>1361</v>
      </c>
      <c r="I2897" s="7" t="s">
        <v>1538</v>
      </c>
      <c r="J2897" s="39" t="s">
        <v>411</v>
      </c>
      <c r="K2897" s="39" t="s">
        <v>186</v>
      </c>
      <c r="L2897" s="40">
        <v>82.87</v>
      </c>
      <c r="M2897" s="40">
        <v>4616.97</v>
      </c>
      <c r="N2897" s="40">
        <f t="shared" ref="N2897:N2918" si="110">+L2897</f>
        <v>82.87</v>
      </c>
    </row>
    <row r="2898" spans="1:14" ht="12.75" hidden="1" customHeight="1" x14ac:dyDescent="0.2">
      <c r="A2898">
        <v>66800</v>
      </c>
      <c r="B2898" s="3" t="s">
        <v>2021</v>
      </c>
      <c r="C2898" s="7" t="s">
        <v>1556</v>
      </c>
      <c r="D2898" s="7" t="s">
        <v>190</v>
      </c>
      <c r="E2898" s="7" t="s">
        <v>189</v>
      </c>
      <c r="F2898" s="7" t="s">
        <v>192</v>
      </c>
      <c r="G2898" s="7" t="s">
        <v>182</v>
      </c>
      <c r="H2898" s="7" t="s">
        <v>1362</v>
      </c>
      <c r="I2898" s="7" t="s">
        <v>1538</v>
      </c>
      <c r="J2898" s="39" t="s">
        <v>411</v>
      </c>
      <c r="K2898" s="39" t="s">
        <v>186</v>
      </c>
      <c r="L2898" s="40">
        <v>153</v>
      </c>
      <c r="M2898" s="40">
        <v>4769.97</v>
      </c>
      <c r="N2898" s="40">
        <f t="shared" si="110"/>
        <v>153</v>
      </c>
    </row>
    <row r="2899" spans="1:14" ht="12.75" hidden="1" customHeight="1" x14ac:dyDescent="0.2">
      <c r="A2899">
        <v>66800</v>
      </c>
      <c r="B2899" s="3" t="s">
        <v>2021</v>
      </c>
      <c r="C2899" s="7" t="s">
        <v>1556</v>
      </c>
      <c r="D2899" s="7" t="s">
        <v>190</v>
      </c>
      <c r="E2899" s="7" t="s">
        <v>189</v>
      </c>
      <c r="F2899" s="7" t="s">
        <v>188</v>
      </c>
      <c r="G2899" s="7" t="s">
        <v>182</v>
      </c>
      <c r="H2899" s="7" t="s">
        <v>1369</v>
      </c>
      <c r="I2899" s="7" t="s">
        <v>1538</v>
      </c>
      <c r="J2899" s="39" t="s">
        <v>411</v>
      </c>
      <c r="K2899" s="39" t="s">
        <v>186</v>
      </c>
      <c r="L2899" s="40">
        <v>57.38</v>
      </c>
      <c r="M2899" s="40">
        <v>4827.3500000000004</v>
      </c>
      <c r="N2899" s="40">
        <f t="shared" si="110"/>
        <v>57.38</v>
      </c>
    </row>
    <row r="2900" spans="1:14" ht="12.75" hidden="1" customHeight="1" x14ac:dyDescent="0.2">
      <c r="A2900">
        <v>66800</v>
      </c>
      <c r="B2900" s="3" t="s">
        <v>2021</v>
      </c>
      <c r="C2900" s="7" t="s">
        <v>1793</v>
      </c>
      <c r="D2900" s="7" t="s">
        <v>190</v>
      </c>
      <c r="E2900" s="7" t="s">
        <v>189</v>
      </c>
      <c r="F2900" s="7" t="s">
        <v>397</v>
      </c>
      <c r="G2900" s="7" t="s">
        <v>182</v>
      </c>
      <c r="H2900" s="7" t="s">
        <v>1361</v>
      </c>
      <c r="I2900" s="7" t="s">
        <v>1538</v>
      </c>
      <c r="J2900" s="39" t="s">
        <v>411</v>
      </c>
      <c r="K2900" s="39" t="s">
        <v>186</v>
      </c>
      <c r="L2900" s="40">
        <v>82.87</v>
      </c>
      <c r="M2900" s="40">
        <v>4910.22</v>
      </c>
      <c r="N2900" s="40">
        <f t="shared" si="110"/>
        <v>82.87</v>
      </c>
    </row>
    <row r="2901" spans="1:14" ht="12.75" hidden="1" customHeight="1" x14ac:dyDescent="0.2">
      <c r="A2901">
        <v>66800</v>
      </c>
      <c r="B2901" s="3" t="s">
        <v>2021</v>
      </c>
      <c r="C2901" s="7" t="s">
        <v>1793</v>
      </c>
      <c r="D2901" s="7" t="s">
        <v>190</v>
      </c>
      <c r="E2901" s="7" t="s">
        <v>189</v>
      </c>
      <c r="F2901" s="7" t="s">
        <v>192</v>
      </c>
      <c r="G2901" s="7" t="s">
        <v>182</v>
      </c>
      <c r="H2901" s="7" t="s">
        <v>1362</v>
      </c>
      <c r="I2901" s="7" t="s">
        <v>1538</v>
      </c>
      <c r="J2901" s="39" t="s">
        <v>411</v>
      </c>
      <c r="K2901" s="39" t="s">
        <v>186</v>
      </c>
      <c r="L2901" s="40">
        <v>153</v>
      </c>
      <c r="M2901" s="40">
        <v>5063.22</v>
      </c>
      <c r="N2901" s="40">
        <f t="shared" si="110"/>
        <v>153</v>
      </c>
    </row>
    <row r="2902" spans="1:14" ht="12.75" hidden="1" customHeight="1" x14ac:dyDescent="0.2">
      <c r="A2902">
        <v>66800</v>
      </c>
      <c r="B2902" s="3" t="s">
        <v>2021</v>
      </c>
      <c r="C2902" s="7" t="s">
        <v>1793</v>
      </c>
      <c r="D2902" s="7" t="s">
        <v>190</v>
      </c>
      <c r="E2902" s="7" t="s">
        <v>189</v>
      </c>
      <c r="F2902" s="7" t="s">
        <v>188</v>
      </c>
      <c r="G2902" s="7" t="s">
        <v>182</v>
      </c>
      <c r="H2902" s="7" t="s">
        <v>1369</v>
      </c>
      <c r="I2902" s="7" t="s">
        <v>1538</v>
      </c>
      <c r="J2902" s="39" t="s">
        <v>411</v>
      </c>
      <c r="K2902" s="39" t="s">
        <v>186</v>
      </c>
      <c r="L2902" s="40">
        <v>57.37</v>
      </c>
      <c r="M2902" s="40">
        <v>5120.59</v>
      </c>
      <c r="N2902" s="40">
        <f t="shared" si="110"/>
        <v>57.37</v>
      </c>
    </row>
    <row r="2903" spans="1:14" ht="12.75" hidden="1" customHeight="1" x14ac:dyDescent="0.2">
      <c r="A2903">
        <v>66800</v>
      </c>
      <c r="B2903" s="3" t="s">
        <v>2021</v>
      </c>
      <c r="C2903" s="7" t="s">
        <v>1803</v>
      </c>
      <c r="D2903" s="7" t="s">
        <v>190</v>
      </c>
      <c r="E2903" s="7" t="s">
        <v>189</v>
      </c>
      <c r="F2903" s="7" t="s">
        <v>397</v>
      </c>
      <c r="G2903" s="7" t="s">
        <v>182</v>
      </c>
      <c r="H2903" s="7" t="s">
        <v>1361</v>
      </c>
      <c r="I2903" s="7" t="s">
        <v>1538</v>
      </c>
      <c r="J2903" s="39" t="s">
        <v>411</v>
      </c>
      <c r="K2903" s="39" t="s">
        <v>186</v>
      </c>
      <c r="L2903" s="40">
        <v>82.88</v>
      </c>
      <c r="M2903" s="40">
        <v>5203.47</v>
      </c>
      <c r="N2903" s="40">
        <f t="shared" si="110"/>
        <v>82.88</v>
      </c>
    </row>
    <row r="2904" spans="1:14" ht="12.75" hidden="1" customHeight="1" x14ac:dyDescent="0.2">
      <c r="A2904">
        <v>66800</v>
      </c>
      <c r="B2904" s="3" t="s">
        <v>2021</v>
      </c>
      <c r="C2904" s="7" t="s">
        <v>1803</v>
      </c>
      <c r="D2904" s="7" t="s">
        <v>190</v>
      </c>
      <c r="E2904" s="7" t="s">
        <v>189</v>
      </c>
      <c r="F2904" s="7" t="s">
        <v>192</v>
      </c>
      <c r="G2904" s="7" t="s">
        <v>182</v>
      </c>
      <c r="H2904" s="7" t="s">
        <v>1369</v>
      </c>
      <c r="I2904" s="7" t="s">
        <v>1538</v>
      </c>
      <c r="J2904" s="39" t="s">
        <v>411</v>
      </c>
      <c r="K2904" s="39" t="s">
        <v>186</v>
      </c>
      <c r="L2904" s="40">
        <v>153</v>
      </c>
      <c r="M2904" s="40">
        <v>5356.47</v>
      </c>
      <c r="N2904" s="40">
        <f t="shared" si="110"/>
        <v>153</v>
      </c>
    </row>
    <row r="2905" spans="1:14" ht="12.75" hidden="1" customHeight="1" x14ac:dyDescent="0.2">
      <c r="A2905">
        <v>66800</v>
      </c>
      <c r="B2905" s="3" t="s">
        <v>2021</v>
      </c>
      <c r="C2905" s="7" t="s">
        <v>1803</v>
      </c>
      <c r="D2905" s="7" t="s">
        <v>190</v>
      </c>
      <c r="E2905" s="7" t="s">
        <v>189</v>
      </c>
      <c r="F2905" s="7" t="s">
        <v>188</v>
      </c>
      <c r="G2905" s="7" t="s">
        <v>182</v>
      </c>
      <c r="H2905" s="7" t="s">
        <v>1369</v>
      </c>
      <c r="I2905" s="7" t="s">
        <v>1538</v>
      </c>
      <c r="J2905" s="39" t="s">
        <v>411</v>
      </c>
      <c r="K2905" s="39" t="s">
        <v>186</v>
      </c>
      <c r="L2905" s="40">
        <v>57.38</v>
      </c>
      <c r="M2905" s="40">
        <v>5413.85</v>
      </c>
      <c r="N2905" s="40">
        <f t="shared" si="110"/>
        <v>57.38</v>
      </c>
    </row>
    <row r="2906" spans="1:14" ht="12.75" hidden="1" customHeight="1" x14ac:dyDescent="0.2">
      <c r="A2906">
        <v>66800</v>
      </c>
      <c r="B2906" s="3" t="s">
        <v>2021</v>
      </c>
      <c r="C2906" s="7" t="s">
        <v>1796</v>
      </c>
      <c r="D2906" s="7" t="s">
        <v>190</v>
      </c>
      <c r="E2906" s="7" t="s">
        <v>189</v>
      </c>
      <c r="F2906" s="7" t="s">
        <v>192</v>
      </c>
      <c r="G2906" s="7" t="s">
        <v>182</v>
      </c>
      <c r="H2906" s="7" t="s">
        <v>1362</v>
      </c>
      <c r="I2906" s="7" t="s">
        <v>1538</v>
      </c>
      <c r="J2906" s="39" t="s">
        <v>411</v>
      </c>
      <c r="K2906" s="39" t="s">
        <v>186</v>
      </c>
      <c r="L2906" s="40">
        <v>153</v>
      </c>
      <c r="M2906" s="40">
        <v>5566.85</v>
      </c>
      <c r="N2906" s="40">
        <f t="shared" si="110"/>
        <v>153</v>
      </c>
    </row>
    <row r="2907" spans="1:14" ht="12.75" hidden="1" customHeight="1" x14ac:dyDescent="0.2">
      <c r="A2907">
        <v>66800</v>
      </c>
      <c r="B2907" s="3" t="s">
        <v>2021</v>
      </c>
      <c r="C2907" s="7" t="s">
        <v>1796</v>
      </c>
      <c r="D2907" s="7" t="s">
        <v>190</v>
      </c>
      <c r="E2907" s="7" t="s">
        <v>189</v>
      </c>
      <c r="F2907" s="7" t="s">
        <v>397</v>
      </c>
      <c r="G2907" s="7" t="s">
        <v>182</v>
      </c>
      <c r="H2907" s="7" t="s">
        <v>1361</v>
      </c>
      <c r="I2907" s="7" t="s">
        <v>1538</v>
      </c>
      <c r="J2907" s="39" t="s">
        <v>411</v>
      </c>
      <c r="K2907" s="39" t="s">
        <v>186</v>
      </c>
      <c r="L2907" s="40">
        <v>82.88</v>
      </c>
      <c r="M2907" s="40">
        <v>5649.73</v>
      </c>
      <c r="N2907" s="40">
        <f t="shared" si="110"/>
        <v>82.88</v>
      </c>
    </row>
    <row r="2908" spans="1:14" ht="12.75" hidden="1" customHeight="1" x14ac:dyDescent="0.2">
      <c r="A2908">
        <v>66800</v>
      </c>
      <c r="B2908" s="3" t="s">
        <v>2021</v>
      </c>
      <c r="C2908" s="7" t="s">
        <v>1658</v>
      </c>
      <c r="D2908" s="7" t="s">
        <v>190</v>
      </c>
      <c r="E2908" s="7" t="s">
        <v>189</v>
      </c>
      <c r="F2908" s="7" t="s">
        <v>397</v>
      </c>
      <c r="G2908" s="7" t="s">
        <v>182</v>
      </c>
      <c r="H2908" s="7" t="s">
        <v>1361</v>
      </c>
      <c r="I2908" s="7" t="s">
        <v>1538</v>
      </c>
      <c r="J2908" s="39" t="s">
        <v>411</v>
      </c>
      <c r="K2908" s="39" t="s">
        <v>186</v>
      </c>
      <c r="L2908" s="40">
        <v>82.87</v>
      </c>
      <c r="M2908" s="40">
        <v>5809.1</v>
      </c>
      <c r="N2908" s="40">
        <f t="shared" si="110"/>
        <v>82.87</v>
      </c>
    </row>
    <row r="2909" spans="1:14" ht="12.75" hidden="1" customHeight="1" x14ac:dyDescent="0.2">
      <c r="A2909">
        <v>66800</v>
      </c>
      <c r="B2909" s="3" t="s">
        <v>2021</v>
      </c>
      <c r="C2909" s="7" t="s">
        <v>1658</v>
      </c>
      <c r="D2909" s="7" t="s">
        <v>190</v>
      </c>
      <c r="E2909" s="7" t="s">
        <v>189</v>
      </c>
      <c r="F2909" s="7" t="s">
        <v>192</v>
      </c>
      <c r="G2909" s="7" t="s">
        <v>182</v>
      </c>
      <c r="H2909" s="7" t="s">
        <v>1362</v>
      </c>
      <c r="I2909" s="7" t="s">
        <v>1538</v>
      </c>
      <c r="J2909" s="39" t="s">
        <v>411</v>
      </c>
      <c r="K2909" s="39" t="s">
        <v>186</v>
      </c>
      <c r="L2909" s="40">
        <v>153</v>
      </c>
      <c r="M2909" s="40">
        <v>5962.1</v>
      </c>
      <c r="N2909" s="40">
        <f t="shared" si="110"/>
        <v>153</v>
      </c>
    </row>
    <row r="2910" spans="1:14" ht="12.75" hidden="1" customHeight="1" x14ac:dyDescent="0.2">
      <c r="A2910">
        <v>66800</v>
      </c>
      <c r="B2910" s="3" t="s">
        <v>2021</v>
      </c>
      <c r="C2910" s="7" t="s">
        <v>1543</v>
      </c>
      <c r="D2910" s="7" t="s">
        <v>190</v>
      </c>
      <c r="E2910" s="7" t="s">
        <v>189</v>
      </c>
      <c r="F2910" s="7" t="s">
        <v>192</v>
      </c>
      <c r="G2910" s="7" t="s">
        <v>182</v>
      </c>
      <c r="H2910" s="7" t="s">
        <v>1369</v>
      </c>
      <c r="I2910" s="7" t="s">
        <v>1538</v>
      </c>
      <c r="J2910" s="39" t="s">
        <v>411</v>
      </c>
      <c r="K2910" s="39" t="s">
        <v>186</v>
      </c>
      <c r="L2910" s="40">
        <v>153</v>
      </c>
      <c r="M2910" s="40">
        <v>6115.1</v>
      </c>
      <c r="N2910" s="40">
        <f t="shared" si="110"/>
        <v>153</v>
      </c>
    </row>
    <row r="2911" spans="1:14" ht="12.75" hidden="1" customHeight="1" x14ac:dyDescent="0.2">
      <c r="A2911">
        <v>66800</v>
      </c>
      <c r="B2911" s="3" t="s">
        <v>2021</v>
      </c>
      <c r="C2911" s="7" t="s">
        <v>1543</v>
      </c>
      <c r="D2911" s="7" t="s">
        <v>190</v>
      </c>
      <c r="E2911" s="7" t="s">
        <v>189</v>
      </c>
      <c r="F2911" s="7" t="s">
        <v>397</v>
      </c>
      <c r="G2911" s="7" t="s">
        <v>182</v>
      </c>
      <c r="H2911" s="7" t="s">
        <v>1361</v>
      </c>
      <c r="I2911" s="7" t="s">
        <v>1538</v>
      </c>
      <c r="J2911" s="39" t="s">
        <v>411</v>
      </c>
      <c r="K2911" s="39" t="s">
        <v>186</v>
      </c>
      <c r="L2911" s="40">
        <v>82.88</v>
      </c>
      <c r="M2911" s="40">
        <v>6274.48</v>
      </c>
      <c r="N2911" s="40">
        <f t="shared" si="110"/>
        <v>82.88</v>
      </c>
    </row>
    <row r="2912" spans="1:14" ht="12.75" hidden="1" customHeight="1" x14ac:dyDescent="0.2">
      <c r="A2912">
        <v>66800</v>
      </c>
      <c r="B2912" s="3" t="s">
        <v>2021</v>
      </c>
      <c r="C2912" s="7" t="s">
        <v>1619</v>
      </c>
      <c r="D2912" s="7" t="s">
        <v>190</v>
      </c>
      <c r="E2912" s="7" t="s">
        <v>189</v>
      </c>
      <c r="F2912" s="7" t="s">
        <v>192</v>
      </c>
      <c r="G2912" s="7" t="s">
        <v>182</v>
      </c>
      <c r="H2912" s="7" t="s">
        <v>1369</v>
      </c>
      <c r="I2912" s="7" t="s">
        <v>1538</v>
      </c>
      <c r="J2912" s="39" t="s">
        <v>411</v>
      </c>
      <c r="K2912" s="39" t="s">
        <v>186</v>
      </c>
      <c r="L2912" s="40">
        <v>153</v>
      </c>
      <c r="M2912" s="40">
        <v>6427.48</v>
      </c>
      <c r="N2912" s="40">
        <f t="shared" si="110"/>
        <v>153</v>
      </c>
    </row>
    <row r="2913" spans="1:14" ht="12.75" hidden="1" customHeight="1" x14ac:dyDescent="0.2">
      <c r="A2913">
        <v>66800</v>
      </c>
      <c r="B2913" s="3" t="s">
        <v>2021</v>
      </c>
      <c r="C2913" s="7" t="s">
        <v>1619</v>
      </c>
      <c r="D2913" s="7" t="s">
        <v>190</v>
      </c>
      <c r="E2913" s="7" t="s">
        <v>189</v>
      </c>
      <c r="F2913" s="7" t="s">
        <v>397</v>
      </c>
      <c r="G2913" s="7" t="s">
        <v>182</v>
      </c>
      <c r="H2913" s="7" t="s">
        <v>1361</v>
      </c>
      <c r="I2913" s="7" t="s">
        <v>1538</v>
      </c>
      <c r="J2913" s="39" t="s">
        <v>411</v>
      </c>
      <c r="K2913" s="39" t="s">
        <v>186</v>
      </c>
      <c r="L2913" s="40">
        <v>82.87</v>
      </c>
      <c r="M2913" s="40">
        <v>6510.35</v>
      </c>
      <c r="N2913" s="40">
        <f t="shared" si="110"/>
        <v>82.87</v>
      </c>
    </row>
    <row r="2914" spans="1:14" ht="12.75" hidden="1" customHeight="1" x14ac:dyDescent="0.2">
      <c r="A2914">
        <v>66800</v>
      </c>
      <c r="B2914" s="3" t="s">
        <v>2021</v>
      </c>
      <c r="C2914" s="7" t="s">
        <v>1635</v>
      </c>
      <c r="D2914" s="7" t="s">
        <v>190</v>
      </c>
      <c r="E2914" s="7" t="s">
        <v>189</v>
      </c>
      <c r="F2914" s="7" t="s">
        <v>397</v>
      </c>
      <c r="G2914" s="7" t="s">
        <v>182</v>
      </c>
      <c r="H2914" s="7" t="s">
        <v>1361</v>
      </c>
      <c r="I2914" s="7" t="s">
        <v>1538</v>
      </c>
      <c r="J2914" s="39" t="s">
        <v>411</v>
      </c>
      <c r="K2914" s="39" t="s">
        <v>186</v>
      </c>
      <c r="L2914" s="40">
        <v>82.87</v>
      </c>
      <c r="M2914" s="40">
        <v>6886.85</v>
      </c>
      <c r="N2914" s="40">
        <f t="shared" si="110"/>
        <v>82.87</v>
      </c>
    </row>
    <row r="2915" spans="1:14" ht="12.75" hidden="1" customHeight="1" x14ac:dyDescent="0.2">
      <c r="A2915">
        <v>66800</v>
      </c>
      <c r="B2915" s="3" t="s">
        <v>2021</v>
      </c>
      <c r="C2915" s="7" t="s">
        <v>1635</v>
      </c>
      <c r="D2915" s="7" t="s">
        <v>190</v>
      </c>
      <c r="E2915" s="7" t="s">
        <v>189</v>
      </c>
      <c r="F2915" s="7" t="s">
        <v>192</v>
      </c>
      <c r="G2915" s="7" t="s">
        <v>182</v>
      </c>
      <c r="H2915" s="7" t="s">
        <v>1362</v>
      </c>
      <c r="I2915" s="7" t="s">
        <v>1538</v>
      </c>
      <c r="J2915" s="39" t="s">
        <v>411</v>
      </c>
      <c r="K2915" s="39" t="s">
        <v>186</v>
      </c>
      <c r="L2915" s="40">
        <v>153</v>
      </c>
      <c r="M2915" s="40">
        <v>7039.85</v>
      </c>
      <c r="N2915" s="40">
        <f t="shared" si="110"/>
        <v>153</v>
      </c>
    </row>
    <row r="2916" spans="1:14" ht="12.75" hidden="1" customHeight="1" x14ac:dyDescent="0.2">
      <c r="A2916">
        <v>66800</v>
      </c>
      <c r="B2916" s="3" t="s">
        <v>2021</v>
      </c>
      <c r="C2916" s="7" t="s">
        <v>1664</v>
      </c>
      <c r="D2916" s="7" t="s">
        <v>190</v>
      </c>
      <c r="E2916" s="7" t="s">
        <v>189</v>
      </c>
      <c r="F2916" s="7" t="s">
        <v>2024</v>
      </c>
      <c r="G2916" s="7" t="s">
        <v>2133</v>
      </c>
      <c r="H2916" s="7" t="s">
        <v>1369</v>
      </c>
      <c r="I2916" s="7" t="s">
        <v>1538</v>
      </c>
      <c r="J2916" s="39" t="s">
        <v>411</v>
      </c>
      <c r="K2916" s="39" t="s">
        <v>186</v>
      </c>
      <c r="L2916" s="40">
        <v>44.13</v>
      </c>
      <c r="M2916" s="40">
        <v>7301.1</v>
      </c>
      <c r="N2916" s="40">
        <f t="shared" si="110"/>
        <v>44.13</v>
      </c>
    </row>
    <row r="2917" spans="1:14" ht="12.75" hidden="1" customHeight="1" x14ac:dyDescent="0.2">
      <c r="A2917">
        <v>66800</v>
      </c>
      <c r="B2917" s="3" t="s">
        <v>2021</v>
      </c>
      <c r="C2917" s="7" t="s">
        <v>1664</v>
      </c>
      <c r="D2917" s="7" t="s">
        <v>190</v>
      </c>
      <c r="E2917" s="7" t="s">
        <v>189</v>
      </c>
      <c r="F2917" s="7" t="s">
        <v>192</v>
      </c>
      <c r="G2917" s="7" t="s">
        <v>182</v>
      </c>
      <c r="H2917" s="7" t="s">
        <v>1362</v>
      </c>
      <c r="I2917" s="7" t="s">
        <v>1538</v>
      </c>
      <c r="J2917" s="39" t="s">
        <v>411</v>
      </c>
      <c r="K2917" s="39" t="s">
        <v>186</v>
      </c>
      <c r="L2917" s="40">
        <v>153</v>
      </c>
      <c r="M2917" s="40">
        <v>7454.1</v>
      </c>
      <c r="N2917" s="40">
        <f t="shared" si="110"/>
        <v>153</v>
      </c>
    </row>
    <row r="2918" spans="1:14" ht="12.75" hidden="1" customHeight="1" x14ac:dyDescent="0.2">
      <c r="A2918">
        <v>66800</v>
      </c>
      <c r="B2918" s="3" t="s">
        <v>2021</v>
      </c>
      <c r="C2918" s="7" t="s">
        <v>1664</v>
      </c>
      <c r="D2918" s="7" t="s">
        <v>190</v>
      </c>
      <c r="E2918" s="7" t="s">
        <v>189</v>
      </c>
      <c r="F2918" s="7" t="s">
        <v>397</v>
      </c>
      <c r="G2918" s="7" t="s">
        <v>182</v>
      </c>
      <c r="H2918" s="7" t="s">
        <v>1361</v>
      </c>
      <c r="I2918" s="7" t="s">
        <v>1538</v>
      </c>
      <c r="J2918" s="39" t="s">
        <v>411</v>
      </c>
      <c r="K2918" s="39" t="s">
        <v>186</v>
      </c>
      <c r="L2918" s="40">
        <v>82.88</v>
      </c>
      <c r="M2918" s="40">
        <v>7536.98</v>
      </c>
      <c r="N2918" s="40">
        <f t="shared" si="110"/>
        <v>82.88</v>
      </c>
    </row>
    <row r="2919" spans="1:14" ht="12.75" hidden="1" customHeight="1" x14ac:dyDescent="0.2">
      <c r="A2919">
        <v>66850</v>
      </c>
      <c r="B2919" s="3" t="s">
        <v>1264</v>
      </c>
      <c r="C2919" s="7" t="s">
        <v>391</v>
      </c>
      <c r="D2919" s="7" t="s">
        <v>190</v>
      </c>
      <c r="E2919" s="7" t="s">
        <v>189</v>
      </c>
      <c r="F2919" s="7" t="s">
        <v>397</v>
      </c>
      <c r="G2919" s="7" t="s">
        <v>182</v>
      </c>
      <c r="H2919" s="7" t="s">
        <v>1361</v>
      </c>
      <c r="I2919" s="7" t="s">
        <v>1366</v>
      </c>
      <c r="J2919" s="7" t="s">
        <v>187</v>
      </c>
      <c r="K2919" s="7" t="s">
        <v>186</v>
      </c>
      <c r="L2919" s="11">
        <v>650</v>
      </c>
      <c r="M2919" s="11">
        <v>650</v>
      </c>
      <c r="N2919" s="9">
        <f t="shared" ref="N2919:N2933" si="111">IF(A2919&lt;60000,-L2919,+L2919)</f>
        <v>650</v>
      </c>
    </row>
    <row r="2920" spans="1:14" ht="12.75" hidden="1" customHeight="1" x14ac:dyDescent="0.2">
      <c r="A2920">
        <v>66850</v>
      </c>
      <c r="B2920" s="3" t="s">
        <v>1264</v>
      </c>
      <c r="C2920" s="7" t="s">
        <v>393</v>
      </c>
      <c r="D2920" s="7" t="s">
        <v>190</v>
      </c>
      <c r="E2920" s="7" t="s">
        <v>189</v>
      </c>
      <c r="F2920" s="7" t="s">
        <v>397</v>
      </c>
      <c r="G2920" s="7" t="s">
        <v>182</v>
      </c>
      <c r="H2920" s="7" t="s">
        <v>1361</v>
      </c>
      <c r="I2920" s="7" t="s">
        <v>1366</v>
      </c>
      <c r="J2920" s="7" t="s">
        <v>187</v>
      </c>
      <c r="K2920" s="7" t="s">
        <v>186</v>
      </c>
      <c r="L2920" s="11">
        <v>1083.33</v>
      </c>
      <c r="M2920" s="11">
        <v>1733.33</v>
      </c>
      <c r="N2920" s="9">
        <f t="shared" si="111"/>
        <v>1083.33</v>
      </c>
    </row>
    <row r="2921" spans="1:14" ht="12.75" hidden="1" customHeight="1" x14ac:dyDescent="0.2">
      <c r="A2921">
        <v>66850</v>
      </c>
      <c r="B2921" s="3" t="s">
        <v>1264</v>
      </c>
      <c r="C2921" s="7" t="s">
        <v>392</v>
      </c>
      <c r="D2921" s="7" t="s">
        <v>190</v>
      </c>
      <c r="E2921" s="7" t="s">
        <v>189</v>
      </c>
      <c r="F2921" s="7" t="s">
        <v>397</v>
      </c>
      <c r="G2921" s="7" t="s">
        <v>182</v>
      </c>
      <c r="H2921" s="7" t="s">
        <v>1361</v>
      </c>
      <c r="I2921" s="7" t="s">
        <v>1366</v>
      </c>
      <c r="J2921" s="7" t="s">
        <v>187</v>
      </c>
      <c r="K2921" s="7" t="s">
        <v>186</v>
      </c>
      <c r="L2921" s="11">
        <v>1000</v>
      </c>
      <c r="M2921" s="11">
        <v>2733.33</v>
      </c>
      <c r="N2921" s="9">
        <f t="shared" si="111"/>
        <v>1000</v>
      </c>
    </row>
    <row r="2922" spans="1:14" ht="12.75" hidden="1" customHeight="1" x14ac:dyDescent="0.2">
      <c r="A2922">
        <v>66850</v>
      </c>
      <c r="B2922" s="3" t="s">
        <v>1264</v>
      </c>
      <c r="C2922" s="7" t="s">
        <v>410</v>
      </c>
      <c r="D2922" s="7" t="s">
        <v>190</v>
      </c>
      <c r="E2922" s="7" t="s">
        <v>189</v>
      </c>
      <c r="F2922" s="7" t="s">
        <v>397</v>
      </c>
      <c r="G2922" s="7" t="s">
        <v>182</v>
      </c>
      <c r="H2922" s="7" t="s">
        <v>1361</v>
      </c>
      <c r="I2922" s="7" t="s">
        <v>1366</v>
      </c>
      <c r="J2922" s="7" t="s">
        <v>187</v>
      </c>
      <c r="K2922" s="7" t="s">
        <v>186</v>
      </c>
      <c r="L2922" s="11">
        <v>1083.33</v>
      </c>
      <c r="M2922" s="11">
        <v>3816.66</v>
      </c>
      <c r="N2922" s="9">
        <f t="shared" si="111"/>
        <v>1083.33</v>
      </c>
    </row>
    <row r="2923" spans="1:14" ht="12.75" hidden="1" customHeight="1" x14ac:dyDescent="0.2">
      <c r="A2923">
        <v>66850</v>
      </c>
      <c r="B2923" s="3" t="s">
        <v>1264</v>
      </c>
      <c r="C2923" s="7" t="s">
        <v>409</v>
      </c>
      <c r="D2923" s="7" t="s">
        <v>190</v>
      </c>
      <c r="E2923" s="7" t="s">
        <v>189</v>
      </c>
      <c r="F2923" s="7" t="s">
        <v>397</v>
      </c>
      <c r="G2923" s="7" t="s">
        <v>182</v>
      </c>
      <c r="H2923" s="7" t="s">
        <v>1361</v>
      </c>
      <c r="I2923" s="7" t="s">
        <v>1366</v>
      </c>
      <c r="J2923" s="7" t="s">
        <v>187</v>
      </c>
      <c r="K2923" s="7" t="s">
        <v>186</v>
      </c>
      <c r="L2923" s="11">
        <v>1083.33</v>
      </c>
      <c r="M2923" s="11">
        <v>4899.99</v>
      </c>
      <c r="N2923" s="9">
        <f t="shared" si="111"/>
        <v>1083.33</v>
      </c>
    </row>
    <row r="2924" spans="1:14" ht="12.75" hidden="1" customHeight="1" x14ac:dyDescent="0.2">
      <c r="A2924">
        <v>66850</v>
      </c>
      <c r="B2924" s="3" t="s">
        <v>1264</v>
      </c>
      <c r="C2924" s="7" t="s">
        <v>408</v>
      </c>
      <c r="D2924" s="7" t="s">
        <v>190</v>
      </c>
      <c r="E2924" s="7" t="s">
        <v>189</v>
      </c>
      <c r="F2924" s="7" t="s">
        <v>397</v>
      </c>
      <c r="G2924" s="7" t="s">
        <v>182</v>
      </c>
      <c r="H2924" s="7" t="s">
        <v>1361</v>
      </c>
      <c r="I2924" s="7" t="s">
        <v>1366</v>
      </c>
      <c r="J2924" s="7" t="s">
        <v>187</v>
      </c>
      <c r="K2924" s="7" t="s">
        <v>186</v>
      </c>
      <c r="L2924" s="11">
        <v>1083.33</v>
      </c>
      <c r="M2924" s="11">
        <v>5983.32</v>
      </c>
      <c r="N2924" s="9">
        <f t="shared" si="111"/>
        <v>1083.33</v>
      </c>
    </row>
    <row r="2925" spans="1:14" ht="12.75" hidden="1" customHeight="1" x14ac:dyDescent="0.2">
      <c r="A2925">
        <v>66850</v>
      </c>
      <c r="B2925" s="3" t="s">
        <v>1264</v>
      </c>
      <c r="C2925" s="7" t="s">
        <v>407</v>
      </c>
      <c r="D2925" s="7" t="s">
        <v>190</v>
      </c>
      <c r="E2925" s="7" t="s">
        <v>189</v>
      </c>
      <c r="F2925" s="7" t="s">
        <v>397</v>
      </c>
      <c r="G2925" s="7" t="s">
        <v>182</v>
      </c>
      <c r="H2925" s="7" t="s">
        <v>1361</v>
      </c>
      <c r="I2925" s="7" t="s">
        <v>1366</v>
      </c>
      <c r="J2925" s="7" t="s">
        <v>187</v>
      </c>
      <c r="K2925" s="7" t="s">
        <v>186</v>
      </c>
      <c r="L2925" s="11">
        <v>1083.33</v>
      </c>
      <c r="M2925" s="11">
        <v>7066.65</v>
      </c>
      <c r="N2925" s="9">
        <f t="shared" si="111"/>
        <v>1083.33</v>
      </c>
    </row>
    <row r="2926" spans="1:14" ht="12.75" hidden="1" customHeight="1" x14ac:dyDescent="0.2">
      <c r="A2926">
        <v>66850</v>
      </c>
      <c r="B2926" s="3" t="s">
        <v>1264</v>
      </c>
      <c r="C2926" s="7" t="s">
        <v>406</v>
      </c>
      <c r="D2926" s="7" t="s">
        <v>190</v>
      </c>
      <c r="E2926" s="7" t="s">
        <v>189</v>
      </c>
      <c r="F2926" s="7" t="s">
        <v>397</v>
      </c>
      <c r="G2926" s="7" t="s">
        <v>182</v>
      </c>
      <c r="H2926" s="7" t="s">
        <v>1361</v>
      </c>
      <c r="I2926" s="7" t="s">
        <v>1366</v>
      </c>
      <c r="J2926" s="7" t="s">
        <v>187</v>
      </c>
      <c r="K2926" s="7" t="s">
        <v>186</v>
      </c>
      <c r="L2926" s="11">
        <v>1083.33</v>
      </c>
      <c r="M2926" s="11">
        <v>8149.98</v>
      </c>
      <c r="N2926" s="9">
        <f t="shared" si="111"/>
        <v>1083.33</v>
      </c>
    </row>
    <row r="2927" spans="1:14" ht="12.75" hidden="1" customHeight="1" x14ac:dyDescent="0.2">
      <c r="A2927">
        <v>66850</v>
      </c>
      <c r="B2927" s="3" t="s">
        <v>1264</v>
      </c>
      <c r="C2927" s="7" t="s">
        <v>196</v>
      </c>
      <c r="D2927" s="7" t="s">
        <v>183</v>
      </c>
      <c r="E2927" s="7">
        <v>585</v>
      </c>
      <c r="F2927" s="43" t="s">
        <v>397</v>
      </c>
      <c r="G2927" s="7" t="s">
        <v>182</v>
      </c>
      <c r="H2927" s="7" t="s">
        <v>1361</v>
      </c>
      <c r="I2927" s="7" t="s">
        <v>1366</v>
      </c>
      <c r="J2927" s="7" t="s">
        <v>402</v>
      </c>
      <c r="K2927" s="7" t="s">
        <v>180</v>
      </c>
      <c r="L2927" s="11">
        <v>1083.33</v>
      </c>
      <c r="M2927" s="11">
        <v>9233.31</v>
      </c>
      <c r="N2927" s="9">
        <f t="shared" si="111"/>
        <v>1083.33</v>
      </c>
    </row>
    <row r="2928" spans="1:14" ht="12.75" hidden="1" customHeight="1" x14ac:dyDescent="0.2">
      <c r="A2928">
        <v>66850</v>
      </c>
      <c r="B2928" s="3" t="s">
        <v>1264</v>
      </c>
      <c r="C2928" s="7" t="s">
        <v>196</v>
      </c>
      <c r="D2928" s="7" t="s">
        <v>183</v>
      </c>
      <c r="E2928" s="7">
        <v>587</v>
      </c>
      <c r="F2928" s="43" t="s">
        <v>192</v>
      </c>
      <c r="G2928" s="7" t="s">
        <v>182</v>
      </c>
      <c r="H2928" s="7" t="s">
        <v>1369</v>
      </c>
      <c r="I2928" s="7" t="s">
        <v>1366</v>
      </c>
      <c r="J2928" s="7" t="s">
        <v>403</v>
      </c>
      <c r="K2928" s="7" t="s">
        <v>180</v>
      </c>
      <c r="L2928" s="11">
        <v>1333.33</v>
      </c>
      <c r="M2928" s="11">
        <v>10566.64</v>
      </c>
      <c r="N2928" s="9">
        <f t="shared" si="111"/>
        <v>1333.33</v>
      </c>
    </row>
    <row r="2929" spans="1:14" ht="12.75" hidden="1" customHeight="1" x14ac:dyDescent="0.2">
      <c r="A2929">
        <v>66850</v>
      </c>
      <c r="B2929" s="3" t="s">
        <v>1264</v>
      </c>
      <c r="C2929" s="7" t="s">
        <v>184</v>
      </c>
      <c r="D2929" s="7" t="s">
        <v>183</v>
      </c>
      <c r="E2929" s="7">
        <v>588</v>
      </c>
      <c r="F2929" s="43" t="s">
        <v>192</v>
      </c>
      <c r="G2929" s="7" t="s">
        <v>182</v>
      </c>
      <c r="H2929" s="7" t="s">
        <v>1361</v>
      </c>
      <c r="I2929" s="7" t="s">
        <v>1366</v>
      </c>
      <c r="J2929" s="7" t="s">
        <v>401</v>
      </c>
      <c r="K2929" s="7" t="s">
        <v>180</v>
      </c>
      <c r="L2929" s="11">
        <v>2000</v>
      </c>
      <c r="M2929" s="11">
        <v>12566.64</v>
      </c>
      <c r="N2929" s="9">
        <f t="shared" si="111"/>
        <v>2000</v>
      </c>
    </row>
    <row r="2930" spans="1:14" ht="12.75" hidden="1" customHeight="1" x14ac:dyDescent="0.2">
      <c r="A2930">
        <v>66850</v>
      </c>
      <c r="B2930" s="3" t="s">
        <v>1264</v>
      </c>
      <c r="C2930" s="7" t="s">
        <v>184</v>
      </c>
      <c r="D2930" s="7" t="s">
        <v>183</v>
      </c>
      <c r="E2930" s="7">
        <v>589</v>
      </c>
      <c r="F2930" s="43" t="s">
        <v>397</v>
      </c>
      <c r="G2930" s="7" t="s">
        <v>182</v>
      </c>
      <c r="H2930" s="7" t="s">
        <v>1361</v>
      </c>
      <c r="I2930" s="7" t="s">
        <v>1366</v>
      </c>
      <c r="J2930" s="7" t="s">
        <v>396</v>
      </c>
      <c r="K2930" s="7" t="s">
        <v>180</v>
      </c>
      <c r="L2930" s="11">
        <v>2166.66</v>
      </c>
      <c r="M2930" s="11">
        <v>14733.3</v>
      </c>
      <c r="N2930" s="9">
        <f t="shared" si="111"/>
        <v>2166.66</v>
      </c>
    </row>
    <row r="2931" spans="1:14" ht="12.75" hidden="1" customHeight="1" x14ac:dyDescent="0.2">
      <c r="A2931">
        <v>66850</v>
      </c>
      <c r="B2931" s="3" t="s">
        <v>1264</v>
      </c>
      <c r="C2931" s="7" t="s">
        <v>184</v>
      </c>
      <c r="D2931" s="7" t="s">
        <v>183</v>
      </c>
      <c r="E2931" s="7">
        <v>589</v>
      </c>
      <c r="F2931" s="43" t="s">
        <v>397</v>
      </c>
      <c r="G2931" s="7" t="s">
        <v>182</v>
      </c>
      <c r="H2931" s="7" t="s">
        <v>1361</v>
      </c>
      <c r="I2931" s="7" t="s">
        <v>1366</v>
      </c>
      <c r="J2931" s="7" t="s">
        <v>396</v>
      </c>
      <c r="K2931" s="7" t="s">
        <v>180</v>
      </c>
      <c r="L2931" s="11">
        <v>1083.33</v>
      </c>
      <c r="M2931" s="11">
        <v>15816.63</v>
      </c>
      <c r="N2931" s="9">
        <f t="shared" si="111"/>
        <v>1083.33</v>
      </c>
    </row>
    <row r="2932" spans="1:14" ht="12.75" hidden="1" customHeight="1" x14ac:dyDescent="0.2">
      <c r="A2932">
        <v>66850</v>
      </c>
      <c r="B2932" s="3" t="s">
        <v>1264</v>
      </c>
      <c r="C2932" s="7" t="s">
        <v>214</v>
      </c>
      <c r="D2932" s="7" t="s">
        <v>190</v>
      </c>
      <c r="E2932" s="7" t="s">
        <v>189</v>
      </c>
      <c r="F2932" s="7" t="s">
        <v>397</v>
      </c>
      <c r="G2932" s="7" t="s">
        <v>182</v>
      </c>
      <c r="H2932" s="7" t="s">
        <v>1361</v>
      </c>
      <c r="I2932" s="7" t="s">
        <v>1366</v>
      </c>
      <c r="J2932" s="7" t="s">
        <v>187</v>
      </c>
      <c r="K2932" s="7" t="s">
        <v>186</v>
      </c>
      <c r="L2932" s="11">
        <v>1083.33</v>
      </c>
      <c r="M2932" s="11">
        <v>16899.96</v>
      </c>
      <c r="N2932" s="9">
        <f t="shared" si="111"/>
        <v>1083.33</v>
      </c>
    </row>
    <row r="2933" spans="1:14" ht="12.75" hidden="1" customHeight="1" x14ac:dyDescent="0.2">
      <c r="A2933">
        <v>66850</v>
      </c>
      <c r="B2933" s="3" t="s">
        <v>1264</v>
      </c>
      <c r="C2933" s="7" t="s">
        <v>204</v>
      </c>
      <c r="D2933" s="7" t="s">
        <v>183</v>
      </c>
      <c r="E2933" s="7">
        <v>601</v>
      </c>
      <c r="F2933" s="43" t="s">
        <v>192</v>
      </c>
      <c r="G2933" s="7" t="s">
        <v>182</v>
      </c>
      <c r="H2933" s="7" t="s">
        <v>1361</v>
      </c>
      <c r="I2933" s="7" t="s">
        <v>1366</v>
      </c>
      <c r="J2933" s="7" t="s">
        <v>404</v>
      </c>
      <c r="K2933" s="7" t="s">
        <v>180</v>
      </c>
      <c r="L2933" s="11">
        <v>666.66</v>
      </c>
      <c r="M2933" s="11">
        <v>17566.62</v>
      </c>
      <c r="N2933" s="9">
        <f t="shared" si="111"/>
        <v>666.66</v>
      </c>
    </row>
    <row r="2934" spans="1:14" ht="12.75" hidden="1" customHeight="1" x14ac:dyDescent="0.2">
      <c r="A2934">
        <v>66850</v>
      </c>
      <c r="B2934" s="3" t="s">
        <v>1264</v>
      </c>
      <c r="C2934" s="7" t="s">
        <v>1556</v>
      </c>
      <c r="D2934" s="7" t="s">
        <v>190</v>
      </c>
      <c r="E2934" s="7" t="s">
        <v>189</v>
      </c>
      <c r="F2934" s="7" t="s">
        <v>397</v>
      </c>
      <c r="G2934" s="7" t="s">
        <v>182</v>
      </c>
      <c r="H2934" s="7" t="s">
        <v>1361</v>
      </c>
      <c r="I2934" s="7" t="s">
        <v>1538</v>
      </c>
      <c r="J2934" s="39" t="s">
        <v>187</v>
      </c>
      <c r="K2934" s="39" t="s">
        <v>186</v>
      </c>
      <c r="L2934" s="40">
        <v>1083.33</v>
      </c>
      <c r="M2934" s="40">
        <v>18649.95</v>
      </c>
      <c r="N2934" s="40">
        <f t="shared" ref="N2934:N2942" si="112">+L2934</f>
        <v>1083.33</v>
      </c>
    </row>
    <row r="2935" spans="1:14" ht="12.75" hidden="1" customHeight="1" x14ac:dyDescent="0.2">
      <c r="A2935">
        <v>66850</v>
      </c>
      <c r="B2935" s="3" t="s">
        <v>1264</v>
      </c>
      <c r="C2935" s="7" t="s">
        <v>1793</v>
      </c>
      <c r="D2935" s="7" t="s">
        <v>190</v>
      </c>
      <c r="E2935" s="7" t="s">
        <v>189</v>
      </c>
      <c r="F2935" s="7" t="s">
        <v>397</v>
      </c>
      <c r="G2935" s="7" t="s">
        <v>182</v>
      </c>
      <c r="H2935" s="7" t="s">
        <v>1361</v>
      </c>
      <c r="I2935" s="7" t="s">
        <v>1538</v>
      </c>
      <c r="J2935" s="39" t="s">
        <v>187</v>
      </c>
      <c r="K2935" s="39" t="s">
        <v>186</v>
      </c>
      <c r="L2935" s="40">
        <v>1083.33</v>
      </c>
      <c r="M2935" s="40">
        <v>19733.28</v>
      </c>
      <c r="N2935" s="40">
        <f t="shared" si="112"/>
        <v>1083.33</v>
      </c>
    </row>
    <row r="2936" spans="1:14" ht="12.75" hidden="1" customHeight="1" x14ac:dyDescent="0.2">
      <c r="A2936">
        <v>66850</v>
      </c>
      <c r="B2936" s="3" t="s">
        <v>1264</v>
      </c>
      <c r="C2936" s="7" t="s">
        <v>1803</v>
      </c>
      <c r="D2936" s="7" t="s">
        <v>190</v>
      </c>
      <c r="E2936" s="7" t="s">
        <v>189</v>
      </c>
      <c r="F2936" s="7" t="s">
        <v>397</v>
      </c>
      <c r="G2936" s="7" t="s">
        <v>182</v>
      </c>
      <c r="H2936" s="7" t="s">
        <v>1361</v>
      </c>
      <c r="I2936" s="7" t="s">
        <v>1538</v>
      </c>
      <c r="J2936" s="39" t="s">
        <v>187</v>
      </c>
      <c r="K2936" s="39" t="s">
        <v>186</v>
      </c>
      <c r="L2936" s="40">
        <v>1083.33</v>
      </c>
      <c r="M2936" s="40">
        <v>20816.61</v>
      </c>
      <c r="N2936" s="40">
        <f t="shared" si="112"/>
        <v>1083.33</v>
      </c>
    </row>
    <row r="2937" spans="1:14" ht="12.75" hidden="1" customHeight="1" x14ac:dyDescent="0.2">
      <c r="A2937">
        <v>66850</v>
      </c>
      <c r="B2937" s="3" t="s">
        <v>1264</v>
      </c>
      <c r="C2937" s="7" t="s">
        <v>1796</v>
      </c>
      <c r="D2937" s="7" t="s">
        <v>190</v>
      </c>
      <c r="E2937" s="7" t="s">
        <v>189</v>
      </c>
      <c r="F2937" s="7" t="s">
        <v>397</v>
      </c>
      <c r="G2937" s="7" t="s">
        <v>182</v>
      </c>
      <c r="H2937" s="7" t="s">
        <v>1361</v>
      </c>
      <c r="I2937" s="7" t="s">
        <v>1538</v>
      </c>
      <c r="J2937" s="39" t="s">
        <v>187</v>
      </c>
      <c r="K2937" s="39" t="s">
        <v>186</v>
      </c>
      <c r="L2937" s="40">
        <v>1083.33</v>
      </c>
      <c r="M2937" s="40">
        <v>21899.94</v>
      </c>
      <c r="N2937" s="40">
        <f t="shared" si="112"/>
        <v>1083.33</v>
      </c>
    </row>
    <row r="2938" spans="1:14" ht="12.75" hidden="1" customHeight="1" x14ac:dyDescent="0.2">
      <c r="A2938">
        <v>66850</v>
      </c>
      <c r="B2938" s="3" t="s">
        <v>1264</v>
      </c>
      <c r="C2938" s="7" t="s">
        <v>1658</v>
      </c>
      <c r="D2938" s="7" t="s">
        <v>190</v>
      </c>
      <c r="E2938" s="7" t="s">
        <v>189</v>
      </c>
      <c r="F2938" s="7" t="s">
        <v>397</v>
      </c>
      <c r="G2938" s="7" t="s">
        <v>182</v>
      </c>
      <c r="H2938" s="7" t="s">
        <v>1361</v>
      </c>
      <c r="I2938" s="7" t="s">
        <v>1538</v>
      </c>
      <c r="J2938" s="39" t="s">
        <v>187</v>
      </c>
      <c r="K2938" s="39" t="s">
        <v>186</v>
      </c>
      <c r="L2938" s="40">
        <v>1083.33</v>
      </c>
      <c r="M2938" s="40">
        <v>22983.27</v>
      </c>
      <c r="N2938" s="40">
        <f t="shared" si="112"/>
        <v>1083.33</v>
      </c>
    </row>
    <row r="2939" spans="1:14" ht="12.75" hidden="1" customHeight="1" x14ac:dyDescent="0.2">
      <c r="A2939">
        <v>66850</v>
      </c>
      <c r="B2939" s="3" t="s">
        <v>1264</v>
      </c>
      <c r="C2939" s="7" t="s">
        <v>1543</v>
      </c>
      <c r="D2939" s="7" t="s">
        <v>190</v>
      </c>
      <c r="E2939" s="7" t="s">
        <v>189</v>
      </c>
      <c r="F2939" s="7" t="s">
        <v>397</v>
      </c>
      <c r="G2939" s="7" t="s">
        <v>182</v>
      </c>
      <c r="H2939" s="7" t="s">
        <v>1361</v>
      </c>
      <c r="I2939" s="7" t="s">
        <v>1538</v>
      </c>
      <c r="J2939" s="39" t="s">
        <v>187</v>
      </c>
      <c r="K2939" s="39" t="s">
        <v>186</v>
      </c>
      <c r="L2939" s="40">
        <v>1083.33</v>
      </c>
      <c r="M2939" s="40">
        <v>24066.6</v>
      </c>
      <c r="N2939" s="40">
        <f t="shared" si="112"/>
        <v>1083.33</v>
      </c>
    </row>
    <row r="2940" spans="1:14" ht="12.75" hidden="1" customHeight="1" x14ac:dyDescent="0.2">
      <c r="A2940">
        <v>66850</v>
      </c>
      <c r="B2940" s="3" t="s">
        <v>1264</v>
      </c>
      <c r="C2940" s="7" t="s">
        <v>1619</v>
      </c>
      <c r="D2940" s="7" t="s">
        <v>190</v>
      </c>
      <c r="E2940" s="7" t="s">
        <v>189</v>
      </c>
      <c r="F2940" s="7" t="s">
        <v>397</v>
      </c>
      <c r="G2940" s="7" t="s">
        <v>182</v>
      </c>
      <c r="H2940" s="7" t="s">
        <v>1361</v>
      </c>
      <c r="I2940" s="7" t="s">
        <v>1538</v>
      </c>
      <c r="J2940" s="39" t="s">
        <v>187</v>
      </c>
      <c r="K2940" s="39" t="s">
        <v>186</v>
      </c>
      <c r="L2940" s="40">
        <v>1083.33</v>
      </c>
      <c r="M2940" s="40">
        <v>25149.93</v>
      </c>
      <c r="N2940" s="40">
        <f t="shared" si="112"/>
        <v>1083.33</v>
      </c>
    </row>
    <row r="2941" spans="1:14" ht="12.75" hidden="1" customHeight="1" x14ac:dyDescent="0.2">
      <c r="A2941">
        <v>66850</v>
      </c>
      <c r="B2941" s="3" t="s">
        <v>1264</v>
      </c>
      <c r="C2941" s="7" t="s">
        <v>1635</v>
      </c>
      <c r="D2941" s="7" t="s">
        <v>190</v>
      </c>
      <c r="E2941" s="7" t="s">
        <v>189</v>
      </c>
      <c r="F2941" s="7" t="s">
        <v>397</v>
      </c>
      <c r="G2941" s="7" t="s">
        <v>182</v>
      </c>
      <c r="H2941" s="7" t="s">
        <v>1361</v>
      </c>
      <c r="I2941" s="7" t="s">
        <v>1538</v>
      </c>
      <c r="J2941" s="39" t="s">
        <v>187</v>
      </c>
      <c r="K2941" s="39" t="s">
        <v>186</v>
      </c>
      <c r="L2941" s="40">
        <v>1083.33</v>
      </c>
      <c r="M2941" s="40">
        <v>26233.26</v>
      </c>
      <c r="N2941" s="40">
        <f t="shared" si="112"/>
        <v>1083.33</v>
      </c>
    </row>
    <row r="2942" spans="1:14" ht="12.75" hidden="1" customHeight="1" x14ac:dyDescent="0.2">
      <c r="A2942">
        <v>66850</v>
      </c>
      <c r="B2942" s="3" t="s">
        <v>1264</v>
      </c>
      <c r="C2942" s="7" t="s">
        <v>1664</v>
      </c>
      <c r="D2942" s="7" t="s">
        <v>190</v>
      </c>
      <c r="E2942" s="7" t="s">
        <v>189</v>
      </c>
      <c r="F2942" s="7" t="s">
        <v>397</v>
      </c>
      <c r="G2942" s="7" t="s">
        <v>182</v>
      </c>
      <c r="H2942" s="7" t="s">
        <v>1361</v>
      </c>
      <c r="I2942" s="7" t="s">
        <v>1538</v>
      </c>
      <c r="J2942" s="39" t="s">
        <v>187</v>
      </c>
      <c r="K2942" s="39" t="s">
        <v>186</v>
      </c>
      <c r="L2942" s="40">
        <v>1083.33</v>
      </c>
      <c r="M2942" s="40">
        <v>27316.59</v>
      </c>
      <c r="N2942" s="40">
        <f t="shared" si="112"/>
        <v>1083.33</v>
      </c>
    </row>
    <row r="2943" spans="1:14" ht="12.75" hidden="1" customHeight="1" x14ac:dyDescent="0.2">
      <c r="A2943">
        <v>66855</v>
      </c>
      <c r="B2943" s="3" t="s">
        <v>1265</v>
      </c>
      <c r="C2943" s="7" t="s">
        <v>410</v>
      </c>
      <c r="D2943" s="7" t="s">
        <v>190</v>
      </c>
      <c r="E2943" s="7" t="s">
        <v>189</v>
      </c>
      <c r="F2943" s="7" t="s">
        <v>192</v>
      </c>
      <c r="G2943" s="7" t="s">
        <v>182</v>
      </c>
      <c r="H2943" s="7" t="s">
        <v>1369</v>
      </c>
      <c r="I2943" s="7" t="s">
        <v>1366</v>
      </c>
      <c r="J2943" s="7" t="s">
        <v>187</v>
      </c>
      <c r="K2943" s="7" t="s">
        <v>186</v>
      </c>
      <c r="L2943" s="11">
        <v>2000</v>
      </c>
      <c r="M2943" s="11">
        <v>2000</v>
      </c>
      <c r="N2943" s="9">
        <f t="shared" ref="N2943:N2960" si="113">IF(A2943&lt;60000,-L2943,+L2943)</f>
        <v>2000</v>
      </c>
    </row>
    <row r="2944" spans="1:14" ht="12.75" hidden="1" customHeight="1" x14ac:dyDescent="0.2">
      <c r="A2944">
        <v>66855</v>
      </c>
      <c r="B2944" s="3" t="s">
        <v>1265</v>
      </c>
      <c r="C2944" s="7" t="s">
        <v>409</v>
      </c>
      <c r="D2944" s="7" t="s">
        <v>190</v>
      </c>
      <c r="E2944" s="7" t="s">
        <v>189</v>
      </c>
      <c r="F2944" s="7" t="s">
        <v>192</v>
      </c>
      <c r="G2944" s="7" t="s">
        <v>182</v>
      </c>
      <c r="H2944" s="7" t="s">
        <v>1369</v>
      </c>
      <c r="I2944" s="7" t="s">
        <v>1366</v>
      </c>
      <c r="J2944" s="7" t="s">
        <v>187</v>
      </c>
      <c r="K2944" s="7" t="s">
        <v>186</v>
      </c>
      <c r="L2944" s="11">
        <v>2000</v>
      </c>
      <c r="M2944" s="11">
        <v>4750</v>
      </c>
      <c r="N2944" s="9">
        <f t="shared" si="113"/>
        <v>2000</v>
      </c>
    </row>
    <row r="2945" spans="1:14" ht="12.75" hidden="1" customHeight="1" x14ac:dyDescent="0.2">
      <c r="A2945">
        <v>66855</v>
      </c>
      <c r="B2945" s="3" t="s">
        <v>1265</v>
      </c>
      <c r="C2945" s="7" t="s">
        <v>408</v>
      </c>
      <c r="D2945" s="7" t="s">
        <v>190</v>
      </c>
      <c r="E2945" s="7" t="s">
        <v>189</v>
      </c>
      <c r="F2945" s="7" t="s">
        <v>192</v>
      </c>
      <c r="G2945" s="7" t="s">
        <v>182</v>
      </c>
      <c r="H2945" s="7" t="s">
        <v>1361</v>
      </c>
      <c r="I2945" s="7" t="s">
        <v>1366</v>
      </c>
      <c r="J2945" s="7" t="s">
        <v>187</v>
      </c>
      <c r="K2945" s="7" t="s">
        <v>186</v>
      </c>
      <c r="L2945" s="11">
        <v>2000</v>
      </c>
      <c r="M2945" s="11">
        <v>7500</v>
      </c>
      <c r="N2945" s="9">
        <f t="shared" si="113"/>
        <v>2000</v>
      </c>
    </row>
    <row r="2946" spans="1:14" ht="12.75" hidden="1" customHeight="1" x14ac:dyDescent="0.2">
      <c r="A2946">
        <v>66855</v>
      </c>
      <c r="B2946" s="3" t="s">
        <v>1265</v>
      </c>
      <c r="C2946" s="7" t="s">
        <v>407</v>
      </c>
      <c r="D2946" s="7" t="s">
        <v>190</v>
      </c>
      <c r="E2946" s="7" t="s">
        <v>189</v>
      </c>
      <c r="F2946" s="7" t="s">
        <v>192</v>
      </c>
      <c r="G2946" s="7" t="s">
        <v>182</v>
      </c>
      <c r="H2946" s="7" t="s">
        <v>1362</v>
      </c>
      <c r="I2946" s="7" t="s">
        <v>1366</v>
      </c>
      <c r="J2946" s="7" t="s">
        <v>187</v>
      </c>
      <c r="K2946" s="7" t="s">
        <v>186</v>
      </c>
      <c r="L2946" s="11">
        <v>2000</v>
      </c>
      <c r="M2946" s="11">
        <v>11000</v>
      </c>
      <c r="N2946" s="9">
        <f t="shared" si="113"/>
        <v>2000</v>
      </c>
    </row>
    <row r="2947" spans="1:14" ht="12.75" hidden="1" customHeight="1" x14ac:dyDescent="0.2">
      <c r="A2947">
        <v>66855</v>
      </c>
      <c r="B2947" s="3" t="s">
        <v>1265</v>
      </c>
      <c r="C2947" s="7" t="s">
        <v>406</v>
      </c>
      <c r="D2947" s="7" t="s">
        <v>190</v>
      </c>
      <c r="E2947" s="7" t="s">
        <v>189</v>
      </c>
      <c r="F2947" s="7" t="s">
        <v>192</v>
      </c>
      <c r="G2947" s="7" t="s">
        <v>182</v>
      </c>
      <c r="H2947" s="7" t="s">
        <v>1362</v>
      </c>
      <c r="I2947" s="7" t="s">
        <v>1366</v>
      </c>
      <c r="J2947" s="7" t="s">
        <v>187</v>
      </c>
      <c r="K2947" s="7" t="s">
        <v>186</v>
      </c>
      <c r="L2947" s="11">
        <v>2000</v>
      </c>
      <c r="M2947" s="11">
        <v>13750</v>
      </c>
      <c r="N2947" s="9">
        <f t="shared" si="113"/>
        <v>2000</v>
      </c>
    </row>
    <row r="2948" spans="1:14" ht="12.75" hidden="1" customHeight="1" x14ac:dyDescent="0.2">
      <c r="A2948">
        <v>66855</v>
      </c>
      <c r="B2948" s="3" t="s">
        <v>1265</v>
      </c>
      <c r="C2948" s="7" t="s">
        <v>196</v>
      </c>
      <c r="D2948" s="7" t="s">
        <v>183</v>
      </c>
      <c r="E2948" s="7">
        <v>587</v>
      </c>
      <c r="F2948" s="43" t="s">
        <v>192</v>
      </c>
      <c r="G2948" s="7" t="s">
        <v>182</v>
      </c>
      <c r="H2948" s="7" t="s">
        <v>1369</v>
      </c>
      <c r="I2948" s="7" t="s">
        <v>1366</v>
      </c>
      <c r="J2948" s="7" t="s">
        <v>195</v>
      </c>
      <c r="K2948" s="7" t="s">
        <v>180</v>
      </c>
      <c r="L2948" s="11">
        <v>-666.67</v>
      </c>
      <c r="M2948" s="11">
        <v>13083.33</v>
      </c>
      <c r="N2948" s="9">
        <f t="shared" si="113"/>
        <v>-666.67</v>
      </c>
    </row>
    <row r="2949" spans="1:14" ht="12.75" hidden="1" customHeight="1" x14ac:dyDescent="0.2">
      <c r="A2949">
        <v>66855</v>
      </c>
      <c r="B2949" s="3" t="s">
        <v>1265</v>
      </c>
      <c r="C2949" s="7" t="s">
        <v>184</v>
      </c>
      <c r="D2949" s="7" t="s">
        <v>183</v>
      </c>
      <c r="E2949" s="7">
        <v>588</v>
      </c>
      <c r="F2949" s="7" t="s">
        <v>188</v>
      </c>
      <c r="G2949" s="7" t="s">
        <v>182</v>
      </c>
      <c r="H2949" s="7" t="s">
        <v>1369</v>
      </c>
      <c r="I2949" s="7" t="s">
        <v>1366</v>
      </c>
      <c r="J2949" s="7" t="s">
        <v>400</v>
      </c>
      <c r="K2949" s="7" t="s">
        <v>180</v>
      </c>
      <c r="L2949" s="11">
        <v>1125</v>
      </c>
      <c r="M2949" s="11">
        <v>14208.33</v>
      </c>
      <c r="N2949" s="9">
        <f t="shared" si="113"/>
        <v>1125</v>
      </c>
    </row>
    <row r="2950" spans="1:14" ht="12.75" hidden="1" customHeight="1" x14ac:dyDescent="0.2">
      <c r="A2950">
        <v>66855</v>
      </c>
      <c r="B2950" s="3" t="s">
        <v>1265</v>
      </c>
      <c r="C2950" s="7" t="s">
        <v>184</v>
      </c>
      <c r="D2950" s="7" t="s">
        <v>183</v>
      </c>
      <c r="E2950" s="7">
        <v>588</v>
      </c>
      <c r="F2950" s="43" t="s">
        <v>192</v>
      </c>
      <c r="G2950" s="7" t="s">
        <v>182</v>
      </c>
      <c r="H2950" s="7" t="s">
        <v>1361</v>
      </c>
      <c r="I2950" s="7" t="s">
        <v>1366</v>
      </c>
      <c r="J2950" s="7" t="s">
        <v>401</v>
      </c>
      <c r="K2950" s="7" t="s">
        <v>180</v>
      </c>
      <c r="L2950" s="11">
        <v>2000</v>
      </c>
      <c r="M2950" s="11">
        <v>16208.33</v>
      </c>
      <c r="N2950" s="9">
        <f t="shared" si="113"/>
        <v>2000</v>
      </c>
    </row>
    <row r="2951" spans="1:14" ht="12.75" hidden="1" customHeight="1" x14ac:dyDescent="0.2">
      <c r="A2951">
        <v>66855</v>
      </c>
      <c r="B2951" s="3" t="s">
        <v>1265</v>
      </c>
      <c r="C2951" s="7" t="s">
        <v>204</v>
      </c>
      <c r="D2951" s="7" t="s">
        <v>183</v>
      </c>
      <c r="E2951" s="7">
        <v>602</v>
      </c>
      <c r="F2951" s="7" t="s">
        <v>188</v>
      </c>
      <c r="G2951" s="7" t="s">
        <v>182</v>
      </c>
      <c r="H2951" s="7" t="s">
        <v>1369</v>
      </c>
      <c r="I2951" s="7" t="s">
        <v>1366</v>
      </c>
      <c r="J2951" s="7" t="s">
        <v>405</v>
      </c>
      <c r="K2951" s="7" t="s">
        <v>180</v>
      </c>
      <c r="L2951" s="11">
        <v>-375</v>
      </c>
      <c r="M2951" s="11">
        <v>16583.330000000002</v>
      </c>
      <c r="N2951" s="9">
        <f t="shared" si="113"/>
        <v>-375</v>
      </c>
    </row>
    <row r="2952" spans="1:14" ht="12.75" hidden="1" customHeight="1" x14ac:dyDescent="0.2">
      <c r="A2952">
        <v>66855</v>
      </c>
      <c r="B2952" s="3" t="s">
        <v>1265</v>
      </c>
      <c r="C2952" s="7" t="s">
        <v>204</v>
      </c>
      <c r="D2952" s="7" t="s">
        <v>183</v>
      </c>
      <c r="E2952" s="7">
        <v>601</v>
      </c>
      <c r="F2952" s="43" t="s">
        <v>192</v>
      </c>
      <c r="G2952" s="7" t="s">
        <v>182</v>
      </c>
      <c r="H2952" s="7" t="s">
        <v>1369</v>
      </c>
      <c r="I2952" s="7" t="s">
        <v>1366</v>
      </c>
      <c r="J2952" s="7" t="s">
        <v>404</v>
      </c>
      <c r="K2952" s="7" t="s">
        <v>180</v>
      </c>
      <c r="L2952" s="11">
        <v>666.66</v>
      </c>
      <c r="M2952" s="11">
        <v>17249.990000000002</v>
      </c>
      <c r="N2952" s="9">
        <f t="shared" si="113"/>
        <v>666.66</v>
      </c>
    </row>
    <row r="2953" spans="1:14" ht="12.75" hidden="1" customHeight="1" x14ac:dyDescent="0.2">
      <c r="A2953">
        <v>66855</v>
      </c>
      <c r="B2953" s="3" t="s">
        <v>1265</v>
      </c>
      <c r="C2953" s="7" t="s">
        <v>196</v>
      </c>
      <c r="D2953" s="7" t="s">
        <v>183</v>
      </c>
      <c r="E2953" s="7">
        <v>586</v>
      </c>
      <c r="F2953" s="7" t="s">
        <v>188</v>
      </c>
      <c r="G2953" s="7" t="s">
        <v>182</v>
      </c>
      <c r="H2953" s="7" t="s">
        <v>1369</v>
      </c>
      <c r="I2953" s="7" t="s">
        <v>1366</v>
      </c>
      <c r="J2953" s="7" t="s">
        <v>197</v>
      </c>
      <c r="K2953" s="7" t="s">
        <v>180</v>
      </c>
      <c r="L2953" s="11">
        <v>-750</v>
      </c>
      <c r="M2953" s="11">
        <v>-750</v>
      </c>
      <c r="N2953" s="9">
        <f t="shared" si="113"/>
        <v>-750</v>
      </c>
    </row>
    <row r="2954" spans="1:14" ht="12.75" hidden="1" customHeight="1" x14ac:dyDescent="0.2">
      <c r="A2954">
        <v>66855</v>
      </c>
      <c r="B2954" s="3" t="s">
        <v>1265</v>
      </c>
      <c r="C2954" s="7" t="s">
        <v>196</v>
      </c>
      <c r="D2954" s="7" t="s">
        <v>190</v>
      </c>
      <c r="E2954" s="7" t="s">
        <v>189</v>
      </c>
      <c r="F2954" s="7" t="s">
        <v>192</v>
      </c>
      <c r="G2954" s="7" t="s">
        <v>182</v>
      </c>
      <c r="H2954" s="7" t="s">
        <v>1361</v>
      </c>
      <c r="I2954" s="7" t="s">
        <v>1366</v>
      </c>
      <c r="J2954" s="7" t="s">
        <v>187</v>
      </c>
      <c r="K2954" s="7" t="s">
        <v>186</v>
      </c>
      <c r="L2954" s="11">
        <v>2000</v>
      </c>
      <c r="M2954" s="11">
        <v>1250</v>
      </c>
      <c r="N2954" s="9">
        <f t="shared" si="113"/>
        <v>2000</v>
      </c>
    </row>
    <row r="2955" spans="1:14" ht="12.75" hidden="1" customHeight="1" x14ac:dyDescent="0.2">
      <c r="A2955">
        <v>66855</v>
      </c>
      <c r="B2955" s="3" t="s">
        <v>1265</v>
      </c>
      <c r="C2955" s="7" t="s">
        <v>196</v>
      </c>
      <c r="D2955" s="7" t="s">
        <v>183</v>
      </c>
      <c r="E2955" s="7">
        <v>587</v>
      </c>
      <c r="F2955" s="43" t="s">
        <v>192</v>
      </c>
      <c r="G2955" s="7" t="s">
        <v>182</v>
      </c>
      <c r="H2955" s="7" t="s">
        <v>1362</v>
      </c>
      <c r="I2955" s="7" t="s">
        <v>1366</v>
      </c>
      <c r="J2955" s="7" t="s">
        <v>195</v>
      </c>
      <c r="K2955" s="7" t="s">
        <v>180</v>
      </c>
      <c r="L2955" s="11">
        <v>-2000</v>
      </c>
      <c r="M2955" s="11">
        <v>0</v>
      </c>
      <c r="N2955" s="9">
        <f t="shared" si="113"/>
        <v>-2000</v>
      </c>
    </row>
    <row r="2956" spans="1:14" ht="12.75" hidden="1" customHeight="1" x14ac:dyDescent="0.2">
      <c r="A2956">
        <v>66855</v>
      </c>
      <c r="B2956" s="3" t="s">
        <v>1265</v>
      </c>
      <c r="C2956" s="7" t="s">
        <v>194</v>
      </c>
      <c r="D2956" s="7" t="s">
        <v>190</v>
      </c>
      <c r="E2956" s="7" t="s">
        <v>189</v>
      </c>
      <c r="F2956" s="7" t="s">
        <v>192</v>
      </c>
      <c r="G2956" s="7" t="s">
        <v>182</v>
      </c>
      <c r="H2956" s="7" t="s">
        <v>1369</v>
      </c>
      <c r="I2956" s="7" t="s">
        <v>1366</v>
      </c>
      <c r="J2956" s="7" t="s">
        <v>187</v>
      </c>
      <c r="K2956" s="7" t="s">
        <v>186</v>
      </c>
      <c r="L2956" s="11">
        <v>2000</v>
      </c>
      <c r="M2956" s="11">
        <v>2000</v>
      </c>
      <c r="N2956" s="9">
        <f t="shared" si="113"/>
        <v>2000</v>
      </c>
    </row>
    <row r="2957" spans="1:14" ht="12.75" hidden="1" customHeight="1" x14ac:dyDescent="0.2">
      <c r="A2957">
        <v>66855</v>
      </c>
      <c r="B2957" s="3" t="s">
        <v>1265</v>
      </c>
      <c r="C2957" s="7" t="s">
        <v>193</v>
      </c>
      <c r="D2957" s="7" t="s">
        <v>190</v>
      </c>
      <c r="E2957" s="7" t="s">
        <v>189</v>
      </c>
      <c r="F2957" s="7" t="s">
        <v>192</v>
      </c>
      <c r="G2957" s="7" t="s">
        <v>182</v>
      </c>
      <c r="H2957" s="7" t="s">
        <v>1361</v>
      </c>
      <c r="I2957" s="7" t="s">
        <v>1366</v>
      </c>
      <c r="J2957" s="7" t="s">
        <v>187</v>
      </c>
      <c r="K2957" s="7" t="s">
        <v>186</v>
      </c>
      <c r="L2957" s="11">
        <v>2000</v>
      </c>
      <c r="M2957" s="11">
        <v>5500</v>
      </c>
      <c r="N2957" s="9">
        <f t="shared" si="113"/>
        <v>2000</v>
      </c>
    </row>
    <row r="2958" spans="1:14" ht="12.75" hidden="1" customHeight="1" x14ac:dyDescent="0.2">
      <c r="A2958">
        <v>66855</v>
      </c>
      <c r="B2958" s="3" t="s">
        <v>1265</v>
      </c>
      <c r="C2958" s="7" t="s">
        <v>191</v>
      </c>
      <c r="D2958" s="7" t="s">
        <v>190</v>
      </c>
      <c r="E2958" s="7" t="s">
        <v>189</v>
      </c>
      <c r="F2958" s="7" t="s">
        <v>192</v>
      </c>
      <c r="G2958" s="7" t="s">
        <v>182</v>
      </c>
      <c r="H2958" s="7" t="s">
        <v>1369</v>
      </c>
      <c r="I2958" s="7" t="s">
        <v>1366</v>
      </c>
      <c r="J2958" s="7" t="s">
        <v>187</v>
      </c>
      <c r="K2958" s="7" t="s">
        <v>186</v>
      </c>
      <c r="L2958" s="11">
        <v>2000</v>
      </c>
      <c r="M2958" s="11">
        <v>7500</v>
      </c>
      <c r="N2958" s="9">
        <f t="shared" si="113"/>
        <v>2000</v>
      </c>
    </row>
    <row r="2959" spans="1:14" ht="12.75" hidden="1" customHeight="1" x14ac:dyDescent="0.2">
      <c r="A2959">
        <v>66855</v>
      </c>
      <c r="B2959" s="3" t="s">
        <v>1265</v>
      </c>
      <c r="C2959" s="7" t="s">
        <v>184</v>
      </c>
      <c r="D2959" s="7" t="s">
        <v>183</v>
      </c>
      <c r="E2959" s="7">
        <v>588</v>
      </c>
      <c r="F2959" s="43" t="s">
        <v>188</v>
      </c>
      <c r="G2959" s="7" t="s">
        <v>182</v>
      </c>
      <c r="H2959" s="7" t="s">
        <v>1369</v>
      </c>
      <c r="I2959" s="7" t="s">
        <v>1366</v>
      </c>
      <c r="J2959" s="7" t="s">
        <v>185</v>
      </c>
      <c r="K2959" s="7" t="s">
        <v>180</v>
      </c>
      <c r="L2959" s="11">
        <v>-2250</v>
      </c>
      <c r="M2959" s="11">
        <v>6000</v>
      </c>
      <c r="N2959" s="9">
        <f t="shared" si="113"/>
        <v>-2250</v>
      </c>
    </row>
    <row r="2960" spans="1:14" ht="12.75" hidden="1" customHeight="1" x14ac:dyDescent="0.2">
      <c r="A2960">
        <v>66855</v>
      </c>
      <c r="B2960" s="3" t="s">
        <v>1265</v>
      </c>
      <c r="C2960" s="7" t="s">
        <v>184</v>
      </c>
      <c r="D2960" s="7" t="s">
        <v>183</v>
      </c>
      <c r="E2960" s="7">
        <v>588</v>
      </c>
      <c r="F2960" s="43" t="s">
        <v>192</v>
      </c>
      <c r="G2960" s="7" t="s">
        <v>182</v>
      </c>
      <c r="H2960" s="7" t="s">
        <v>1369</v>
      </c>
      <c r="I2960" s="7" t="s">
        <v>1366</v>
      </c>
      <c r="J2960" s="7" t="s">
        <v>181</v>
      </c>
      <c r="K2960" s="7" t="s">
        <v>180</v>
      </c>
      <c r="L2960" s="11">
        <v>-6000</v>
      </c>
      <c r="M2960" s="11">
        <v>0</v>
      </c>
      <c r="N2960" s="9">
        <f t="shared" si="113"/>
        <v>-6000</v>
      </c>
    </row>
    <row r="2961" spans="1:14" ht="12.75" hidden="1" customHeight="1" x14ac:dyDescent="0.2">
      <c r="A2961">
        <v>66855</v>
      </c>
      <c r="B2961" s="3" t="s">
        <v>1265</v>
      </c>
      <c r="C2961" s="7" t="s">
        <v>1556</v>
      </c>
      <c r="D2961" s="7" t="s">
        <v>190</v>
      </c>
      <c r="E2961" s="7" t="s">
        <v>189</v>
      </c>
      <c r="F2961" s="7" t="s">
        <v>188</v>
      </c>
      <c r="G2961" s="7" t="s">
        <v>182</v>
      </c>
      <c r="H2961" s="7" t="s">
        <v>1362</v>
      </c>
      <c r="I2961" s="7" t="s">
        <v>1538</v>
      </c>
      <c r="J2961" s="39" t="s">
        <v>187</v>
      </c>
      <c r="K2961" s="39" t="s">
        <v>186</v>
      </c>
      <c r="L2961" s="40">
        <v>750</v>
      </c>
      <c r="M2961" s="40">
        <v>17999.990000000002</v>
      </c>
      <c r="N2961" s="40">
        <f>+L2961</f>
        <v>750</v>
      </c>
    </row>
    <row r="2962" spans="1:14" ht="12.75" hidden="1" customHeight="1" x14ac:dyDescent="0.2">
      <c r="A2962">
        <v>66855</v>
      </c>
      <c r="B2962" s="3" t="s">
        <v>1265</v>
      </c>
      <c r="C2962" s="7" t="s">
        <v>1793</v>
      </c>
      <c r="D2962" s="7" t="s">
        <v>190</v>
      </c>
      <c r="E2962" s="7" t="s">
        <v>189</v>
      </c>
      <c r="F2962" s="7" t="s">
        <v>188</v>
      </c>
      <c r="G2962" s="7" t="s">
        <v>182</v>
      </c>
      <c r="H2962" s="7" t="s">
        <v>1369</v>
      </c>
      <c r="I2962" s="7" t="s">
        <v>1538</v>
      </c>
      <c r="J2962" s="39" t="s">
        <v>187</v>
      </c>
      <c r="K2962" s="39" t="s">
        <v>186</v>
      </c>
      <c r="L2962" s="40">
        <v>750</v>
      </c>
      <c r="M2962" s="40">
        <v>18749.990000000002</v>
      </c>
      <c r="N2962" s="40">
        <f>+L2962</f>
        <v>750</v>
      </c>
    </row>
    <row r="2963" spans="1:14" ht="12.75" hidden="1" customHeight="1" x14ac:dyDescent="0.2">
      <c r="A2963">
        <v>66855</v>
      </c>
      <c r="B2963" s="3" t="s">
        <v>1265</v>
      </c>
      <c r="C2963" s="7" t="s">
        <v>1803</v>
      </c>
      <c r="D2963" s="7" t="s">
        <v>190</v>
      </c>
      <c r="E2963" s="7" t="s">
        <v>189</v>
      </c>
      <c r="F2963" s="7" t="s">
        <v>188</v>
      </c>
      <c r="G2963" s="7" t="s">
        <v>182</v>
      </c>
      <c r="H2963" s="7" t="s">
        <v>1362</v>
      </c>
      <c r="I2963" s="7" t="s">
        <v>1538</v>
      </c>
      <c r="J2963" s="39" t="s">
        <v>187</v>
      </c>
      <c r="K2963" s="39" t="s">
        <v>186</v>
      </c>
      <c r="L2963" s="40">
        <v>750</v>
      </c>
      <c r="M2963" s="40">
        <v>19499.990000000002</v>
      </c>
      <c r="N2963" s="40">
        <f>+L2963</f>
        <v>750</v>
      </c>
    </row>
    <row r="2964" spans="1:14" ht="12.75" hidden="1" customHeight="1" x14ac:dyDescent="0.2">
      <c r="A2964">
        <v>66855</v>
      </c>
      <c r="B2964" s="3" t="s">
        <v>1265</v>
      </c>
      <c r="C2964" s="7" t="s">
        <v>1664</v>
      </c>
      <c r="D2964" s="7" t="s">
        <v>190</v>
      </c>
      <c r="E2964" s="7" t="s">
        <v>189</v>
      </c>
      <c r="F2964" s="7" t="s">
        <v>2024</v>
      </c>
      <c r="G2964" s="7" t="s">
        <v>2133</v>
      </c>
      <c r="H2964" s="7" t="s">
        <v>1369</v>
      </c>
      <c r="I2964" s="7" t="s">
        <v>1538</v>
      </c>
      <c r="J2964" s="39" t="s">
        <v>187</v>
      </c>
      <c r="K2964" s="39" t="s">
        <v>186</v>
      </c>
      <c r="L2964" s="40">
        <v>576.88</v>
      </c>
      <c r="M2964" s="40">
        <v>25326.87</v>
      </c>
      <c r="N2964" s="40">
        <f>+L2964</f>
        <v>576.88</v>
      </c>
    </row>
    <row r="2965" spans="1:14" ht="12.75" hidden="1" customHeight="1" x14ac:dyDescent="0.2">
      <c r="A2965">
        <v>66860</v>
      </c>
      <c r="B2965" s="3" t="s">
        <v>1266</v>
      </c>
      <c r="C2965" s="7" t="s">
        <v>196</v>
      </c>
      <c r="D2965" s="7" t="s">
        <v>183</v>
      </c>
      <c r="E2965" s="7">
        <v>587</v>
      </c>
      <c r="F2965" s="43" t="s">
        <v>192</v>
      </c>
      <c r="G2965" s="7" t="s">
        <v>182</v>
      </c>
      <c r="H2965" s="7" t="s">
        <v>1362</v>
      </c>
      <c r="I2965" s="7" t="s">
        <v>1366</v>
      </c>
      <c r="J2965" s="7" t="s">
        <v>403</v>
      </c>
      <c r="K2965" s="7" t="s">
        <v>180</v>
      </c>
      <c r="L2965" s="11">
        <v>1333.34</v>
      </c>
      <c r="M2965" s="11">
        <v>1333.34</v>
      </c>
      <c r="N2965" s="9">
        <f t="shared" ref="N2965:N2978" si="114">IF(A2965&lt;60000,-L2965,+L2965)</f>
        <v>1333.34</v>
      </c>
    </row>
    <row r="2966" spans="1:14" ht="12.75" hidden="1" customHeight="1" x14ac:dyDescent="0.2">
      <c r="A2966">
        <v>66860</v>
      </c>
      <c r="B2966" s="3" t="s">
        <v>1266</v>
      </c>
      <c r="C2966" s="7" t="s">
        <v>196</v>
      </c>
      <c r="D2966" s="7" t="s">
        <v>183</v>
      </c>
      <c r="E2966" s="7">
        <v>586</v>
      </c>
      <c r="F2966" s="7" t="s">
        <v>188</v>
      </c>
      <c r="G2966" s="7" t="s">
        <v>182</v>
      </c>
      <c r="H2966" s="7" t="s">
        <v>1362</v>
      </c>
      <c r="I2966" s="7" t="s">
        <v>1366</v>
      </c>
      <c r="J2966" s="7" t="s">
        <v>197</v>
      </c>
      <c r="K2966" s="7" t="s">
        <v>180</v>
      </c>
      <c r="L2966" s="11">
        <v>750</v>
      </c>
      <c r="M2966" s="11">
        <v>2083.34</v>
      </c>
      <c r="N2966" s="9">
        <f t="shared" si="114"/>
        <v>750</v>
      </c>
    </row>
    <row r="2967" spans="1:14" ht="12.75" hidden="1" customHeight="1" x14ac:dyDescent="0.2">
      <c r="A2967">
        <v>66860</v>
      </c>
      <c r="B2967" s="3" t="s">
        <v>1266</v>
      </c>
      <c r="C2967" s="7" t="s">
        <v>196</v>
      </c>
      <c r="D2967" s="7" t="s">
        <v>183</v>
      </c>
      <c r="E2967" s="7">
        <v>585</v>
      </c>
      <c r="F2967" s="43" t="s">
        <v>397</v>
      </c>
      <c r="G2967" s="7" t="s">
        <v>182</v>
      </c>
      <c r="H2967" s="7" t="s">
        <v>1361</v>
      </c>
      <c r="I2967" s="7" t="s">
        <v>1366</v>
      </c>
      <c r="J2967" s="7" t="s">
        <v>402</v>
      </c>
      <c r="K2967" s="7" t="s">
        <v>180</v>
      </c>
      <c r="L2967" s="11">
        <v>-1083.33</v>
      </c>
      <c r="M2967" s="11">
        <v>1000.01</v>
      </c>
      <c r="N2967" s="9">
        <f t="shared" si="114"/>
        <v>-1083.33</v>
      </c>
    </row>
    <row r="2968" spans="1:14" ht="12.75" hidden="1" customHeight="1" x14ac:dyDescent="0.2">
      <c r="A2968">
        <v>66860</v>
      </c>
      <c r="B2968" s="3" t="s">
        <v>1266</v>
      </c>
      <c r="C2968" s="7" t="s">
        <v>196</v>
      </c>
      <c r="D2968" s="7" t="s">
        <v>190</v>
      </c>
      <c r="E2968" s="7" t="s">
        <v>189</v>
      </c>
      <c r="F2968" s="7" t="s">
        <v>397</v>
      </c>
      <c r="G2968" s="7" t="s">
        <v>182</v>
      </c>
      <c r="H2968" s="7" t="s">
        <v>1361</v>
      </c>
      <c r="I2968" s="7" t="s">
        <v>1366</v>
      </c>
      <c r="J2968" s="7" t="s">
        <v>187</v>
      </c>
      <c r="K2968" s="7" t="s">
        <v>186</v>
      </c>
      <c r="L2968" s="11">
        <v>1083.33</v>
      </c>
      <c r="M2968" s="11">
        <v>2083.34</v>
      </c>
      <c r="N2968" s="9">
        <f t="shared" si="114"/>
        <v>1083.33</v>
      </c>
    </row>
    <row r="2969" spans="1:14" ht="12.75" hidden="1" customHeight="1" x14ac:dyDescent="0.2">
      <c r="A2969">
        <v>66860</v>
      </c>
      <c r="B2969" s="3" t="s">
        <v>1266</v>
      </c>
      <c r="C2969" s="7" t="s">
        <v>194</v>
      </c>
      <c r="D2969" s="7" t="s">
        <v>190</v>
      </c>
      <c r="E2969" s="7" t="s">
        <v>189</v>
      </c>
      <c r="F2969" s="7" t="s">
        <v>397</v>
      </c>
      <c r="G2969" s="7" t="s">
        <v>182</v>
      </c>
      <c r="H2969" s="7" t="s">
        <v>1361</v>
      </c>
      <c r="I2969" s="7" t="s">
        <v>1366</v>
      </c>
      <c r="J2969" s="7" t="s">
        <v>187</v>
      </c>
      <c r="K2969" s="7" t="s">
        <v>186</v>
      </c>
      <c r="L2969" s="11">
        <v>1083.33</v>
      </c>
      <c r="M2969" s="11">
        <v>3166.67</v>
      </c>
      <c r="N2969" s="9">
        <f t="shared" si="114"/>
        <v>1083.33</v>
      </c>
    </row>
    <row r="2970" spans="1:14" ht="12.75" hidden="1" customHeight="1" x14ac:dyDescent="0.2">
      <c r="A2970">
        <v>66860</v>
      </c>
      <c r="B2970" s="3" t="s">
        <v>1266</v>
      </c>
      <c r="C2970" s="7" t="s">
        <v>193</v>
      </c>
      <c r="D2970" s="7" t="s">
        <v>190</v>
      </c>
      <c r="E2970" s="7" t="s">
        <v>189</v>
      </c>
      <c r="F2970" s="7" t="s">
        <v>397</v>
      </c>
      <c r="G2970" s="7" t="s">
        <v>182</v>
      </c>
      <c r="H2970" s="7" t="s">
        <v>1361</v>
      </c>
      <c r="I2970" s="7" t="s">
        <v>1366</v>
      </c>
      <c r="J2970" s="7" t="s">
        <v>187</v>
      </c>
      <c r="K2970" s="7" t="s">
        <v>186</v>
      </c>
      <c r="L2970" s="11">
        <v>1083.33</v>
      </c>
      <c r="M2970" s="11">
        <v>4250</v>
      </c>
      <c r="N2970" s="9">
        <f t="shared" si="114"/>
        <v>1083.33</v>
      </c>
    </row>
    <row r="2971" spans="1:14" ht="12.75" hidden="1" customHeight="1" x14ac:dyDescent="0.2">
      <c r="A2971">
        <v>66860</v>
      </c>
      <c r="B2971" s="3" t="s">
        <v>1266</v>
      </c>
      <c r="C2971" s="7" t="s">
        <v>184</v>
      </c>
      <c r="D2971" s="7" t="s">
        <v>183</v>
      </c>
      <c r="E2971" s="7">
        <v>588</v>
      </c>
      <c r="F2971" s="43" t="s">
        <v>192</v>
      </c>
      <c r="G2971" s="7" t="s">
        <v>182</v>
      </c>
      <c r="H2971" s="7" t="s">
        <v>1362</v>
      </c>
      <c r="I2971" s="7" t="s">
        <v>1366</v>
      </c>
      <c r="J2971" s="7" t="s">
        <v>401</v>
      </c>
      <c r="K2971" s="7" t="s">
        <v>180</v>
      </c>
      <c r="L2971" s="11">
        <v>2000</v>
      </c>
      <c r="M2971" s="11">
        <v>6250</v>
      </c>
      <c r="N2971" s="9">
        <f t="shared" si="114"/>
        <v>2000</v>
      </c>
    </row>
    <row r="2972" spans="1:14" ht="12.75" hidden="1" customHeight="1" x14ac:dyDescent="0.2">
      <c r="A2972">
        <v>66860</v>
      </c>
      <c r="B2972" s="3" t="s">
        <v>1266</v>
      </c>
      <c r="C2972" s="7" t="s">
        <v>184</v>
      </c>
      <c r="D2972" s="7" t="s">
        <v>183</v>
      </c>
      <c r="E2972" s="7">
        <v>588</v>
      </c>
      <c r="F2972" s="7" t="s">
        <v>188</v>
      </c>
      <c r="G2972" s="7" t="s">
        <v>182</v>
      </c>
      <c r="H2972" s="7" t="s">
        <v>1362</v>
      </c>
      <c r="I2972" s="7" t="s">
        <v>1366</v>
      </c>
      <c r="J2972" s="7" t="s">
        <v>400</v>
      </c>
      <c r="K2972" s="7" t="s">
        <v>180</v>
      </c>
      <c r="L2972" s="11">
        <v>1125</v>
      </c>
      <c r="M2972" s="11">
        <v>7375</v>
      </c>
      <c r="N2972" s="9">
        <f t="shared" si="114"/>
        <v>1125</v>
      </c>
    </row>
    <row r="2973" spans="1:14" ht="12.75" hidden="1" customHeight="1" x14ac:dyDescent="0.2">
      <c r="A2973">
        <v>66860</v>
      </c>
      <c r="B2973" s="3" t="s">
        <v>1266</v>
      </c>
      <c r="C2973" s="7" t="s">
        <v>184</v>
      </c>
      <c r="D2973" s="7" t="s">
        <v>183</v>
      </c>
      <c r="E2973" s="7">
        <v>589</v>
      </c>
      <c r="F2973" s="43" t="s">
        <v>397</v>
      </c>
      <c r="G2973" s="7" t="s">
        <v>182</v>
      </c>
      <c r="H2973" s="7" t="s">
        <v>1361</v>
      </c>
      <c r="I2973" s="7" t="s">
        <v>1366</v>
      </c>
      <c r="J2973" s="7" t="s">
        <v>396</v>
      </c>
      <c r="K2973" s="7" t="s">
        <v>180</v>
      </c>
      <c r="L2973" s="11">
        <v>-2166.66</v>
      </c>
      <c r="M2973" s="11">
        <v>5208.34</v>
      </c>
      <c r="N2973" s="9">
        <f t="shared" si="114"/>
        <v>-2166.66</v>
      </c>
    </row>
    <row r="2974" spans="1:14" ht="12.75" hidden="1" customHeight="1" x14ac:dyDescent="0.2">
      <c r="A2974">
        <v>66860</v>
      </c>
      <c r="B2974" s="3" t="s">
        <v>1266</v>
      </c>
      <c r="C2974" s="7" t="s">
        <v>214</v>
      </c>
      <c r="D2974" s="7" t="s">
        <v>190</v>
      </c>
      <c r="E2974" s="7" t="s">
        <v>189</v>
      </c>
      <c r="F2974" s="7" t="s">
        <v>192</v>
      </c>
      <c r="G2974" s="7" t="s">
        <v>182</v>
      </c>
      <c r="H2974" s="7" t="s">
        <v>1362</v>
      </c>
      <c r="I2974" s="7" t="s">
        <v>1366</v>
      </c>
      <c r="J2974" s="7" t="s">
        <v>187</v>
      </c>
      <c r="K2974" s="7" t="s">
        <v>186</v>
      </c>
      <c r="L2974" s="11">
        <v>2000</v>
      </c>
      <c r="M2974" s="11">
        <v>7208.34</v>
      </c>
      <c r="N2974" s="9">
        <f t="shared" si="114"/>
        <v>2000</v>
      </c>
    </row>
    <row r="2975" spans="1:14" ht="12.75" hidden="1" customHeight="1" x14ac:dyDescent="0.2">
      <c r="A2975">
        <v>66860</v>
      </c>
      <c r="B2975" s="3" t="s">
        <v>1266</v>
      </c>
      <c r="C2975" s="7" t="s">
        <v>204</v>
      </c>
      <c r="D2975" s="7" t="s">
        <v>183</v>
      </c>
      <c r="E2975" s="7">
        <v>602</v>
      </c>
      <c r="F2975" s="7" t="s">
        <v>188</v>
      </c>
      <c r="G2975" s="7" t="s">
        <v>182</v>
      </c>
      <c r="H2975" s="7" t="s">
        <v>1362</v>
      </c>
      <c r="I2975" s="7" t="s">
        <v>1366</v>
      </c>
      <c r="J2975" s="7" t="s">
        <v>399</v>
      </c>
      <c r="K2975" s="7" t="s">
        <v>180</v>
      </c>
      <c r="L2975" s="11">
        <v>375</v>
      </c>
      <c r="M2975" s="11">
        <v>7583.34</v>
      </c>
      <c r="N2975" s="9">
        <f t="shared" si="114"/>
        <v>375</v>
      </c>
    </row>
    <row r="2976" spans="1:14" ht="12.75" hidden="1" customHeight="1" x14ac:dyDescent="0.2">
      <c r="A2976">
        <v>66860</v>
      </c>
      <c r="B2976" s="3" t="s">
        <v>1266</v>
      </c>
      <c r="C2976" s="7" t="s">
        <v>204</v>
      </c>
      <c r="D2976" s="7" t="s">
        <v>183</v>
      </c>
      <c r="E2976" s="7">
        <v>601</v>
      </c>
      <c r="F2976" s="43" t="s">
        <v>192</v>
      </c>
      <c r="G2976" s="7" t="s">
        <v>182</v>
      </c>
      <c r="H2976" s="7" t="s">
        <v>1361</v>
      </c>
      <c r="I2976" s="7" t="s">
        <v>1366</v>
      </c>
      <c r="J2976" s="7" t="s">
        <v>398</v>
      </c>
      <c r="K2976" s="7" t="s">
        <v>180</v>
      </c>
      <c r="L2976" s="11">
        <v>-1333.32</v>
      </c>
      <c r="M2976" s="11">
        <v>6250.02</v>
      </c>
      <c r="N2976" s="9">
        <f t="shared" si="114"/>
        <v>-1333.32</v>
      </c>
    </row>
    <row r="2977" spans="1:14" ht="12.75" hidden="1" customHeight="1" x14ac:dyDescent="0.2">
      <c r="A2977">
        <v>66860</v>
      </c>
      <c r="B2977" s="3" t="s">
        <v>1264</v>
      </c>
      <c r="C2977" s="7" t="s">
        <v>191</v>
      </c>
      <c r="D2977" s="7" t="s">
        <v>190</v>
      </c>
      <c r="E2977" s="7" t="s">
        <v>189</v>
      </c>
      <c r="F2977" s="7" t="s">
        <v>397</v>
      </c>
      <c r="G2977" s="7" t="s">
        <v>182</v>
      </c>
      <c r="H2977" s="7" t="s">
        <v>1361</v>
      </c>
      <c r="I2977" s="7" t="s">
        <v>1366</v>
      </c>
      <c r="J2977" s="7" t="s">
        <v>187</v>
      </c>
      <c r="K2977" s="7" t="s">
        <v>186</v>
      </c>
      <c r="L2977" s="11">
        <v>1083.33</v>
      </c>
      <c r="M2977" s="11">
        <v>1083.33</v>
      </c>
      <c r="N2977" s="9">
        <f t="shared" si="114"/>
        <v>1083.33</v>
      </c>
    </row>
    <row r="2978" spans="1:14" ht="12.75" hidden="1" customHeight="1" x14ac:dyDescent="0.2">
      <c r="A2978">
        <v>66860</v>
      </c>
      <c r="B2978" s="3" t="s">
        <v>1264</v>
      </c>
      <c r="C2978" s="7" t="s">
        <v>184</v>
      </c>
      <c r="D2978" s="7" t="s">
        <v>183</v>
      </c>
      <c r="E2978" s="7">
        <v>589</v>
      </c>
      <c r="F2978" s="43" t="s">
        <v>397</v>
      </c>
      <c r="G2978" s="7" t="s">
        <v>182</v>
      </c>
      <c r="H2978" s="7" t="s">
        <v>1361</v>
      </c>
      <c r="I2978" s="7" t="s">
        <v>1366</v>
      </c>
      <c r="J2978" s="7" t="s">
        <v>396</v>
      </c>
      <c r="K2978" s="7" t="s">
        <v>180</v>
      </c>
      <c r="L2978" s="11">
        <v>-1083.33</v>
      </c>
      <c r="M2978" s="11">
        <v>0</v>
      </c>
      <c r="N2978" s="9">
        <f t="shared" si="114"/>
        <v>-1083.33</v>
      </c>
    </row>
    <row r="2979" spans="1:14" ht="12.75" hidden="1" customHeight="1" x14ac:dyDescent="0.2">
      <c r="A2979">
        <v>66860</v>
      </c>
      <c r="B2979" s="3" t="s">
        <v>1266</v>
      </c>
      <c r="C2979" s="7" t="s">
        <v>1556</v>
      </c>
      <c r="D2979" s="7" t="s">
        <v>190</v>
      </c>
      <c r="E2979" s="7" t="s">
        <v>189</v>
      </c>
      <c r="F2979" s="7" t="s">
        <v>192</v>
      </c>
      <c r="G2979" s="7" t="s">
        <v>182</v>
      </c>
      <c r="H2979" s="7" t="s">
        <v>1361</v>
      </c>
      <c r="I2979" s="7" t="s">
        <v>1538</v>
      </c>
      <c r="J2979" s="39" t="s">
        <v>187</v>
      </c>
      <c r="K2979" s="39" t="s">
        <v>186</v>
      </c>
      <c r="L2979" s="40">
        <v>2000</v>
      </c>
      <c r="M2979" s="40">
        <v>8250.02</v>
      </c>
      <c r="N2979" s="40">
        <f t="shared" ref="N2979:N2987" si="115">+L2979</f>
        <v>2000</v>
      </c>
    </row>
    <row r="2980" spans="1:14" ht="12.75" hidden="1" customHeight="1" x14ac:dyDescent="0.2">
      <c r="A2980">
        <v>66860</v>
      </c>
      <c r="B2980" s="3" t="s">
        <v>1266</v>
      </c>
      <c r="C2980" s="7" t="s">
        <v>1793</v>
      </c>
      <c r="D2980" s="7" t="s">
        <v>190</v>
      </c>
      <c r="E2980" s="7" t="s">
        <v>189</v>
      </c>
      <c r="F2980" s="7" t="s">
        <v>192</v>
      </c>
      <c r="G2980" s="7" t="s">
        <v>182</v>
      </c>
      <c r="H2980" s="7" t="s">
        <v>1362</v>
      </c>
      <c r="I2980" s="7" t="s">
        <v>1538</v>
      </c>
      <c r="J2980" s="39" t="s">
        <v>187</v>
      </c>
      <c r="K2980" s="39" t="s">
        <v>186</v>
      </c>
      <c r="L2980" s="40">
        <v>2000</v>
      </c>
      <c r="M2980" s="40">
        <v>10250.02</v>
      </c>
      <c r="N2980" s="40">
        <f t="shared" si="115"/>
        <v>2000</v>
      </c>
    </row>
    <row r="2981" spans="1:14" ht="12.75" hidden="1" customHeight="1" x14ac:dyDescent="0.2">
      <c r="A2981">
        <v>66860</v>
      </c>
      <c r="B2981" s="3" t="s">
        <v>1266</v>
      </c>
      <c r="C2981" s="7" t="s">
        <v>1803</v>
      </c>
      <c r="D2981" s="7" t="s">
        <v>190</v>
      </c>
      <c r="E2981" s="7" t="s">
        <v>189</v>
      </c>
      <c r="F2981" s="7" t="s">
        <v>192</v>
      </c>
      <c r="G2981" s="7" t="s">
        <v>182</v>
      </c>
      <c r="H2981" s="7" t="s">
        <v>1369</v>
      </c>
      <c r="I2981" s="7" t="s">
        <v>1538</v>
      </c>
      <c r="J2981" s="39" t="s">
        <v>187</v>
      </c>
      <c r="K2981" s="39" t="s">
        <v>186</v>
      </c>
      <c r="L2981" s="40">
        <v>2000</v>
      </c>
      <c r="M2981" s="40">
        <v>12250.02</v>
      </c>
      <c r="N2981" s="40">
        <f t="shared" si="115"/>
        <v>2000</v>
      </c>
    </row>
    <row r="2982" spans="1:14" ht="12.75" hidden="1" customHeight="1" x14ac:dyDescent="0.2">
      <c r="A2982">
        <v>66860</v>
      </c>
      <c r="B2982" s="3" t="s">
        <v>1266</v>
      </c>
      <c r="C2982" s="7" t="s">
        <v>1796</v>
      </c>
      <c r="D2982" s="7" t="s">
        <v>190</v>
      </c>
      <c r="E2982" s="7" t="s">
        <v>189</v>
      </c>
      <c r="F2982" s="7" t="s">
        <v>192</v>
      </c>
      <c r="G2982" s="7" t="s">
        <v>182</v>
      </c>
      <c r="H2982" s="7" t="s">
        <v>1361</v>
      </c>
      <c r="I2982" s="7" t="s">
        <v>1538</v>
      </c>
      <c r="J2982" s="39" t="s">
        <v>187</v>
      </c>
      <c r="K2982" s="39" t="s">
        <v>186</v>
      </c>
      <c r="L2982" s="40">
        <v>2000</v>
      </c>
      <c r="M2982" s="40">
        <v>14250.02</v>
      </c>
      <c r="N2982" s="40">
        <f t="shared" si="115"/>
        <v>2000</v>
      </c>
    </row>
    <row r="2983" spans="1:14" ht="12.75" hidden="1" customHeight="1" x14ac:dyDescent="0.2">
      <c r="A2983">
        <v>66860</v>
      </c>
      <c r="B2983" s="3" t="s">
        <v>1266</v>
      </c>
      <c r="C2983" s="7" t="s">
        <v>1658</v>
      </c>
      <c r="D2983" s="7" t="s">
        <v>190</v>
      </c>
      <c r="E2983" s="7" t="s">
        <v>189</v>
      </c>
      <c r="F2983" s="7" t="s">
        <v>192</v>
      </c>
      <c r="G2983" s="7" t="s">
        <v>182</v>
      </c>
      <c r="H2983" s="7" t="s">
        <v>1362</v>
      </c>
      <c r="I2983" s="7" t="s">
        <v>1538</v>
      </c>
      <c r="J2983" s="39" t="s">
        <v>187</v>
      </c>
      <c r="K2983" s="39" t="s">
        <v>186</v>
      </c>
      <c r="L2983" s="40">
        <v>2000</v>
      </c>
      <c r="M2983" s="40">
        <v>16250.02</v>
      </c>
      <c r="N2983" s="40">
        <f t="shared" si="115"/>
        <v>2000</v>
      </c>
    </row>
    <row r="2984" spans="1:14" ht="12.75" hidden="1" customHeight="1" x14ac:dyDescent="0.2">
      <c r="A2984">
        <v>66860</v>
      </c>
      <c r="B2984" s="3" t="s">
        <v>1266</v>
      </c>
      <c r="C2984" s="7" t="s">
        <v>1543</v>
      </c>
      <c r="D2984" s="7" t="s">
        <v>190</v>
      </c>
      <c r="E2984" s="7" t="s">
        <v>189</v>
      </c>
      <c r="F2984" s="7" t="s">
        <v>192</v>
      </c>
      <c r="G2984" s="7" t="s">
        <v>182</v>
      </c>
      <c r="H2984" s="7" t="s">
        <v>1369</v>
      </c>
      <c r="I2984" s="7" t="s">
        <v>1538</v>
      </c>
      <c r="J2984" s="39" t="s">
        <v>187</v>
      </c>
      <c r="K2984" s="39" t="s">
        <v>186</v>
      </c>
      <c r="L2984" s="40">
        <v>2000</v>
      </c>
      <c r="M2984" s="40">
        <v>18250.02</v>
      </c>
      <c r="N2984" s="40">
        <f t="shared" si="115"/>
        <v>2000</v>
      </c>
    </row>
    <row r="2985" spans="1:14" ht="12.75" hidden="1" customHeight="1" x14ac:dyDescent="0.2">
      <c r="A2985">
        <v>66860</v>
      </c>
      <c r="B2985" s="3" t="s">
        <v>1266</v>
      </c>
      <c r="C2985" s="7" t="s">
        <v>1619</v>
      </c>
      <c r="D2985" s="7" t="s">
        <v>190</v>
      </c>
      <c r="E2985" s="7" t="s">
        <v>189</v>
      </c>
      <c r="F2985" s="7" t="s">
        <v>192</v>
      </c>
      <c r="G2985" s="7" t="s">
        <v>182</v>
      </c>
      <c r="H2985" s="7" t="s">
        <v>1361</v>
      </c>
      <c r="I2985" s="7" t="s">
        <v>1538</v>
      </c>
      <c r="J2985" s="39" t="s">
        <v>187</v>
      </c>
      <c r="K2985" s="39" t="s">
        <v>186</v>
      </c>
      <c r="L2985" s="40">
        <v>2000</v>
      </c>
      <c r="M2985" s="40">
        <v>20250.02</v>
      </c>
      <c r="N2985" s="40">
        <f t="shared" si="115"/>
        <v>2000</v>
      </c>
    </row>
    <row r="2986" spans="1:14" ht="12.75" hidden="1" customHeight="1" x14ac:dyDescent="0.2">
      <c r="A2986">
        <v>66860</v>
      </c>
      <c r="B2986" s="3" t="s">
        <v>1266</v>
      </c>
      <c r="C2986" s="7" t="s">
        <v>1635</v>
      </c>
      <c r="D2986" s="7" t="s">
        <v>190</v>
      </c>
      <c r="E2986" s="7" t="s">
        <v>189</v>
      </c>
      <c r="F2986" s="7" t="s">
        <v>192</v>
      </c>
      <c r="G2986" s="7" t="s">
        <v>182</v>
      </c>
      <c r="H2986" s="7" t="s">
        <v>1362</v>
      </c>
      <c r="I2986" s="7" t="s">
        <v>1538</v>
      </c>
      <c r="J2986" s="39" t="s">
        <v>187</v>
      </c>
      <c r="K2986" s="39" t="s">
        <v>186</v>
      </c>
      <c r="L2986" s="40">
        <v>2000</v>
      </c>
      <c r="M2986" s="40">
        <v>22250.02</v>
      </c>
      <c r="N2986" s="40">
        <f t="shared" si="115"/>
        <v>2000</v>
      </c>
    </row>
    <row r="2987" spans="1:14" ht="12.75" hidden="1" customHeight="1" x14ac:dyDescent="0.2">
      <c r="A2987">
        <v>66860</v>
      </c>
      <c r="B2987" s="3" t="s">
        <v>1266</v>
      </c>
      <c r="C2987" s="7" t="s">
        <v>1664</v>
      </c>
      <c r="D2987" s="7" t="s">
        <v>190</v>
      </c>
      <c r="E2987" s="7" t="s">
        <v>189</v>
      </c>
      <c r="F2987" s="7" t="s">
        <v>192</v>
      </c>
      <c r="G2987" s="7" t="s">
        <v>182</v>
      </c>
      <c r="H2987" s="7" t="s">
        <v>1369</v>
      </c>
      <c r="I2987" s="7" t="s">
        <v>1538</v>
      </c>
      <c r="J2987" s="39" t="s">
        <v>187</v>
      </c>
      <c r="K2987" s="39" t="s">
        <v>186</v>
      </c>
      <c r="L2987" s="40">
        <v>2000</v>
      </c>
      <c r="M2987" s="40">
        <v>24250.02</v>
      </c>
      <c r="N2987" s="40">
        <f t="shared" si="115"/>
        <v>2000</v>
      </c>
    </row>
    <row r="2988" spans="1:14" ht="12.75" hidden="1" customHeight="1" x14ac:dyDescent="0.2">
      <c r="A2988">
        <v>67000</v>
      </c>
      <c r="B2988" s="3" t="s">
        <v>1267</v>
      </c>
      <c r="C2988" s="7" t="s">
        <v>391</v>
      </c>
      <c r="D2988" s="7" t="s">
        <v>183</v>
      </c>
      <c r="E2988" s="7" t="s">
        <v>395</v>
      </c>
      <c r="F2988" s="43" t="s">
        <v>192</v>
      </c>
      <c r="G2988" s="7" t="s">
        <v>182</v>
      </c>
      <c r="H2988" s="7" t="s">
        <v>1369</v>
      </c>
      <c r="I2988" s="7" t="s">
        <v>1538</v>
      </c>
      <c r="J2988" s="7" t="s">
        <v>394</v>
      </c>
      <c r="K2988" s="7" t="s">
        <v>180</v>
      </c>
      <c r="L2988" s="11">
        <v>-10000</v>
      </c>
      <c r="M2988" s="11">
        <v>-10000</v>
      </c>
      <c r="N2988" s="9">
        <f t="shared" ref="N2988:N2998" si="116">IF(A2988&lt;60000,-L2988,+L2988)</f>
        <v>-10000</v>
      </c>
    </row>
    <row r="2989" spans="1:14" ht="12.75" hidden="1" customHeight="1" x14ac:dyDescent="0.2">
      <c r="A2989">
        <v>67000</v>
      </c>
      <c r="B2989" s="3" t="s">
        <v>1267</v>
      </c>
      <c r="C2989" s="7" t="s">
        <v>391</v>
      </c>
      <c r="D2989" s="7" t="s">
        <v>190</v>
      </c>
      <c r="E2989" s="7" t="s">
        <v>189</v>
      </c>
      <c r="F2989" s="7" t="s">
        <v>188</v>
      </c>
      <c r="G2989" s="7" t="s">
        <v>182</v>
      </c>
      <c r="H2989" s="7" t="s">
        <v>1369</v>
      </c>
      <c r="I2989" s="7" t="s">
        <v>1538</v>
      </c>
      <c r="J2989" s="7" t="s">
        <v>187</v>
      </c>
      <c r="K2989" s="7" t="s">
        <v>186</v>
      </c>
      <c r="L2989" s="11">
        <v>750</v>
      </c>
      <c r="M2989" s="11">
        <v>-9250</v>
      </c>
      <c r="N2989" s="9">
        <f t="shared" si="116"/>
        <v>750</v>
      </c>
    </row>
    <row r="2990" spans="1:14" ht="12.75" hidden="1" customHeight="1" x14ac:dyDescent="0.2">
      <c r="A2990">
        <v>67000</v>
      </c>
      <c r="B2990" s="3" t="s">
        <v>1267</v>
      </c>
      <c r="C2990" s="7" t="s">
        <v>391</v>
      </c>
      <c r="D2990" s="7" t="s">
        <v>190</v>
      </c>
      <c r="E2990" s="7" t="s">
        <v>189</v>
      </c>
      <c r="F2990" s="7" t="s">
        <v>192</v>
      </c>
      <c r="G2990" s="7" t="s">
        <v>182</v>
      </c>
      <c r="H2990" s="7" t="s">
        <v>1369</v>
      </c>
      <c r="I2990" s="7" t="s">
        <v>1538</v>
      </c>
      <c r="J2990" s="7" t="s">
        <v>187</v>
      </c>
      <c r="K2990" s="7" t="s">
        <v>186</v>
      </c>
      <c r="L2990" s="11">
        <v>1500</v>
      </c>
      <c r="M2990" s="11">
        <v>-7750</v>
      </c>
      <c r="N2990" s="9">
        <f t="shared" si="116"/>
        <v>1500</v>
      </c>
    </row>
    <row r="2991" spans="1:14" ht="12.75" hidden="1" customHeight="1" x14ac:dyDescent="0.2">
      <c r="A2991">
        <v>67000</v>
      </c>
      <c r="B2991" s="3" t="s">
        <v>1267</v>
      </c>
      <c r="C2991" s="7" t="s">
        <v>393</v>
      </c>
      <c r="D2991" s="7" t="s">
        <v>190</v>
      </c>
      <c r="E2991" s="7" t="s">
        <v>189</v>
      </c>
      <c r="F2991" s="7" t="s">
        <v>192</v>
      </c>
      <c r="G2991" s="7" t="s">
        <v>182</v>
      </c>
      <c r="H2991" s="7" t="s">
        <v>1369</v>
      </c>
      <c r="I2991" s="7" t="s">
        <v>1538</v>
      </c>
      <c r="J2991" s="7" t="s">
        <v>187</v>
      </c>
      <c r="K2991" s="7" t="s">
        <v>186</v>
      </c>
      <c r="L2991" s="11">
        <v>2000</v>
      </c>
      <c r="M2991" s="11">
        <v>-5750</v>
      </c>
      <c r="N2991" s="9">
        <f t="shared" si="116"/>
        <v>2000</v>
      </c>
    </row>
    <row r="2992" spans="1:14" ht="12.75" hidden="1" customHeight="1" x14ac:dyDescent="0.2">
      <c r="A2992">
        <v>67000</v>
      </c>
      <c r="B2992" s="3" t="s">
        <v>1267</v>
      </c>
      <c r="C2992" s="7" t="s">
        <v>393</v>
      </c>
      <c r="D2992" s="7" t="s">
        <v>190</v>
      </c>
      <c r="E2992" s="7" t="s">
        <v>189</v>
      </c>
      <c r="F2992" s="7" t="s">
        <v>188</v>
      </c>
      <c r="G2992" s="7" t="s">
        <v>182</v>
      </c>
      <c r="H2992" s="7" t="s">
        <v>1369</v>
      </c>
      <c r="I2992" s="7" t="s">
        <v>1538</v>
      </c>
      <c r="J2992" s="7" t="s">
        <v>187</v>
      </c>
      <c r="K2992" s="7" t="s">
        <v>186</v>
      </c>
      <c r="L2992" s="11">
        <v>750</v>
      </c>
      <c r="M2992" s="11">
        <v>-5000</v>
      </c>
      <c r="N2992" s="9">
        <f t="shared" si="116"/>
        <v>750</v>
      </c>
    </row>
    <row r="2993" spans="1:14" ht="12.75" hidden="1" customHeight="1" x14ac:dyDescent="0.2">
      <c r="A2993">
        <v>67000</v>
      </c>
      <c r="B2993" s="3" t="s">
        <v>1267</v>
      </c>
      <c r="C2993" s="7" t="s">
        <v>392</v>
      </c>
      <c r="D2993" s="7" t="s">
        <v>190</v>
      </c>
      <c r="E2993" s="7" t="s">
        <v>189</v>
      </c>
      <c r="F2993" s="7" t="s">
        <v>192</v>
      </c>
      <c r="G2993" s="7" t="s">
        <v>182</v>
      </c>
      <c r="H2993" s="7" t="s">
        <v>1369</v>
      </c>
      <c r="I2993" s="7" t="s">
        <v>1538</v>
      </c>
      <c r="J2993" s="7" t="s">
        <v>187</v>
      </c>
      <c r="K2993" s="7" t="s">
        <v>186</v>
      </c>
      <c r="L2993" s="11">
        <v>10000</v>
      </c>
      <c r="M2993" s="11">
        <v>5000</v>
      </c>
      <c r="N2993" s="9">
        <f t="shared" si="116"/>
        <v>10000</v>
      </c>
    </row>
    <row r="2994" spans="1:14" ht="12.75" hidden="1" customHeight="1" x14ac:dyDescent="0.2">
      <c r="A2994">
        <v>67001</v>
      </c>
      <c r="B2994" s="3" t="s">
        <v>1268</v>
      </c>
      <c r="C2994" s="7" t="s">
        <v>391</v>
      </c>
      <c r="D2994" s="7" t="s">
        <v>183</v>
      </c>
      <c r="E2994" s="7" t="s">
        <v>390</v>
      </c>
      <c r="G2994" s="7" t="s">
        <v>182</v>
      </c>
      <c r="H2994" s="70" t="s">
        <v>2129</v>
      </c>
      <c r="I2994" s="7" t="s">
        <v>1268</v>
      </c>
      <c r="J2994" s="7" t="s">
        <v>389</v>
      </c>
      <c r="K2994" s="7" t="s">
        <v>180</v>
      </c>
      <c r="L2994" s="11">
        <v>-2289.98</v>
      </c>
      <c r="M2994" s="11">
        <v>-2289.98</v>
      </c>
      <c r="N2994" s="9">
        <f t="shared" si="116"/>
        <v>-2289.98</v>
      </c>
    </row>
    <row r="2995" spans="1:14" ht="12.75" hidden="1" customHeight="1" x14ac:dyDescent="0.2">
      <c r="A2995">
        <v>67001</v>
      </c>
      <c r="B2995" s="3" t="s">
        <v>1268</v>
      </c>
      <c r="C2995" s="7" t="s">
        <v>287</v>
      </c>
      <c r="D2995" s="7" t="s">
        <v>200</v>
      </c>
      <c r="E2995" s="7">
        <v>437</v>
      </c>
      <c r="F2995" s="7" t="s">
        <v>286</v>
      </c>
      <c r="G2995" s="7" t="s">
        <v>182</v>
      </c>
      <c r="H2995" s="70" t="s">
        <v>2129</v>
      </c>
      <c r="I2995" s="7" t="s">
        <v>1268</v>
      </c>
      <c r="J2995" s="7" t="s">
        <v>285</v>
      </c>
      <c r="K2995" s="7" t="s">
        <v>198</v>
      </c>
      <c r="L2995" s="11">
        <v>638</v>
      </c>
      <c r="M2995" s="11">
        <v>47566.32</v>
      </c>
      <c r="N2995" s="9">
        <f t="shared" si="116"/>
        <v>638</v>
      </c>
    </row>
    <row r="2996" spans="1:14" ht="12.75" hidden="1" customHeight="1" x14ac:dyDescent="0.2">
      <c r="A2996">
        <v>67001</v>
      </c>
      <c r="B2996" s="3" t="s">
        <v>1268</v>
      </c>
      <c r="C2996" s="7" t="s">
        <v>239</v>
      </c>
      <c r="D2996" s="7" t="s">
        <v>200</v>
      </c>
      <c r="E2996" s="7">
        <v>449</v>
      </c>
      <c r="F2996" s="7" t="s">
        <v>209</v>
      </c>
      <c r="G2996" s="7" t="s">
        <v>182</v>
      </c>
      <c r="H2996" s="70" t="s">
        <v>2129</v>
      </c>
      <c r="I2996" s="7" t="s">
        <v>1268</v>
      </c>
      <c r="J2996" s="7" t="s">
        <v>232</v>
      </c>
      <c r="K2996" s="7" t="s">
        <v>198</v>
      </c>
      <c r="L2996" s="11">
        <v>151.62</v>
      </c>
      <c r="M2996" s="11">
        <v>55674.73</v>
      </c>
      <c r="N2996" s="9">
        <f t="shared" si="116"/>
        <v>151.62</v>
      </c>
    </row>
    <row r="2997" spans="1:14" ht="12.75" hidden="1" customHeight="1" x14ac:dyDescent="0.2">
      <c r="A2997">
        <v>67001</v>
      </c>
      <c r="B2997" s="3" t="s">
        <v>1268</v>
      </c>
      <c r="C2997" s="7" t="s">
        <v>233</v>
      </c>
      <c r="D2997" s="7" t="s">
        <v>200</v>
      </c>
      <c r="E2997" s="7">
        <v>457</v>
      </c>
      <c r="F2997" s="7" t="s">
        <v>209</v>
      </c>
      <c r="G2997" s="7" t="s">
        <v>182</v>
      </c>
      <c r="H2997" s="70" t="s">
        <v>2129</v>
      </c>
      <c r="I2997" s="7" t="s">
        <v>1268</v>
      </c>
      <c r="J2997" s="7" t="s">
        <v>232</v>
      </c>
      <c r="K2997" s="7" t="s">
        <v>198</v>
      </c>
      <c r="L2997" s="11">
        <v>178.42</v>
      </c>
      <c r="M2997" s="11">
        <v>56053.41</v>
      </c>
      <c r="N2997" s="9">
        <f t="shared" si="116"/>
        <v>178.42</v>
      </c>
    </row>
    <row r="2998" spans="1:14" ht="12.75" hidden="1" customHeight="1" x14ac:dyDescent="0.2">
      <c r="A2998">
        <v>67001</v>
      </c>
      <c r="B2998" s="3" t="s">
        <v>1268</v>
      </c>
      <c r="C2998" s="7" t="s">
        <v>210</v>
      </c>
      <c r="D2998" s="7" t="s">
        <v>200</v>
      </c>
      <c r="E2998" s="7">
        <v>483</v>
      </c>
      <c r="F2998" s="7" t="s">
        <v>209</v>
      </c>
      <c r="G2998" s="7" t="s">
        <v>182</v>
      </c>
      <c r="H2998" s="70" t="s">
        <v>2129</v>
      </c>
      <c r="I2998" s="7" t="s">
        <v>1268</v>
      </c>
      <c r="J2998" s="7" t="s">
        <v>208</v>
      </c>
      <c r="K2998" s="7" t="s">
        <v>198</v>
      </c>
      <c r="L2998" s="11">
        <v>137.26</v>
      </c>
      <c r="M2998" s="11">
        <v>57666.87</v>
      </c>
      <c r="N2998" s="9">
        <f t="shared" si="116"/>
        <v>137.26</v>
      </c>
    </row>
    <row r="2999" spans="1:14" ht="12.75" hidden="1" customHeight="1" x14ac:dyDescent="0.2">
      <c r="A2999">
        <v>67001</v>
      </c>
      <c r="B2999" s="3" t="s">
        <v>1268</v>
      </c>
      <c r="C2999" s="7" t="s">
        <v>1804</v>
      </c>
      <c r="D2999" s="7" t="s">
        <v>200</v>
      </c>
      <c r="E2999" s="7">
        <v>523</v>
      </c>
      <c r="F2999" s="7" t="s">
        <v>2057</v>
      </c>
      <c r="G2999" s="7" t="s">
        <v>182</v>
      </c>
      <c r="H2999" s="70" t="s">
        <v>2129</v>
      </c>
      <c r="I2999" s="7" t="s">
        <v>1268</v>
      </c>
      <c r="K2999" s="39" t="s">
        <v>198</v>
      </c>
      <c r="L2999" s="40">
        <v>100</v>
      </c>
      <c r="M2999" s="40">
        <v>67957.09</v>
      </c>
      <c r="N2999" s="40">
        <f t="shared" ref="N2999:N3019" si="117">+L2999</f>
        <v>100</v>
      </c>
    </row>
    <row r="3000" spans="1:14" ht="12.75" hidden="1" customHeight="1" x14ac:dyDescent="0.2">
      <c r="A3000">
        <v>67001</v>
      </c>
      <c r="B3000" s="3" t="s">
        <v>1268</v>
      </c>
      <c r="C3000" s="7" t="s">
        <v>1804</v>
      </c>
      <c r="D3000" s="7" t="s">
        <v>221</v>
      </c>
      <c r="F3000" s="7" t="s">
        <v>2058</v>
      </c>
      <c r="G3000" s="7" t="s">
        <v>182</v>
      </c>
      <c r="H3000" s="70" t="s">
        <v>2129</v>
      </c>
      <c r="I3000" s="7" t="s">
        <v>1268</v>
      </c>
      <c r="K3000" s="39" t="s">
        <v>198</v>
      </c>
      <c r="L3000" s="40">
        <v>8</v>
      </c>
      <c r="M3000" s="40">
        <v>67965.09</v>
      </c>
      <c r="N3000" s="40">
        <f t="shared" si="117"/>
        <v>8</v>
      </c>
    </row>
    <row r="3001" spans="1:14" ht="12.75" hidden="1" customHeight="1" x14ac:dyDescent="0.2">
      <c r="A3001">
        <v>67001</v>
      </c>
      <c r="B3001" s="3" t="s">
        <v>1268</v>
      </c>
      <c r="C3001" s="7" t="s">
        <v>1704</v>
      </c>
      <c r="D3001" s="7" t="s">
        <v>221</v>
      </c>
      <c r="F3001" s="7" t="s">
        <v>362</v>
      </c>
      <c r="G3001" s="7" t="s">
        <v>182</v>
      </c>
      <c r="H3001" s="70" t="s">
        <v>2129</v>
      </c>
      <c r="I3001" s="7" t="s">
        <v>1268</v>
      </c>
      <c r="K3001" s="39" t="s">
        <v>198</v>
      </c>
      <c r="L3001" s="40">
        <v>180.32</v>
      </c>
      <c r="M3001" s="40">
        <v>74632.3</v>
      </c>
      <c r="N3001" s="40">
        <f t="shared" si="117"/>
        <v>180.32</v>
      </c>
    </row>
    <row r="3002" spans="1:14" ht="12.75" hidden="1" customHeight="1" x14ac:dyDescent="0.2">
      <c r="A3002">
        <v>67001</v>
      </c>
      <c r="B3002" s="3" t="s">
        <v>1268</v>
      </c>
      <c r="C3002" s="7" t="s">
        <v>1663</v>
      </c>
      <c r="D3002" s="7" t="s">
        <v>200</v>
      </c>
      <c r="E3002" s="7">
        <v>543</v>
      </c>
      <c r="F3002" s="7" t="s">
        <v>2065</v>
      </c>
      <c r="G3002" s="7" t="s">
        <v>182</v>
      </c>
      <c r="H3002" s="70" t="s">
        <v>2129</v>
      </c>
      <c r="I3002" s="7" t="s">
        <v>1268</v>
      </c>
      <c r="J3002" s="39" t="s">
        <v>2066</v>
      </c>
      <c r="K3002" s="39" t="s">
        <v>198</v>
      </c>
      <c r="L3002" s="40">
        <v>300</v>
      </c>
      <c r="M3002" s="40">
        <v>75085.899999999994</v>
      </c>
      <c r="N3002" s="40">
        <f t="shared" si="117"/>
        <v>300</v>
      </c>
    </row>
    <row r="3003" spans="1:14" ht="12.75" hidden="1" customHeight="1" x14ac:dyDescent="0.2">
      <c r="A3003">
        <v>67001</v>
      </c>
      <c r="B3003" s="3" t="s">
        <v>1268</v>
      </c>
      <c r="C3003" s="7" t="s">
        <v>1619</v>
      </c>
      <c r="D3003" s="7" t="s">
        <v>221</v>
      </c>
      <c r="F3003" s="7" t="s">
        <v>2067</v>
      </c>
      <c r="G3003" s="7" t="s">
        <v>182</v>
      </c>
      <c r="H3003" s="70" t="s">
        <v>2129</v>
      </c>
      <c r="I3003" s="7" t="s">
        <v>1268</v>
      </c>
      <c r="K3003" s="39" t="s">
        <v>198</v>
      </c>
      <c r="L3003" s="40">
        <v>47.27</v>
      </c>
      <c r="M3003" s="40">
        <v>75133.17</v>
      </c>
      <c r="N3003" s="40">
        <f t="shared" si="117"/>
        <v>47.27</v>
      </c>
    </row>
    <row r="3004" spans="1:14" ht="12.75" hidden="1" customHeight="1" x14ac:dyDescent="0.2">
      <c r="A3004">
        <v>67001</v>
      </c>
      <c r="B3004" s="3" t="s">
        <v>1268</v>
      </c>
      <c r="C3004" s="7" t="s">
        <v>1709</v>
      </c>
      <c r="D3004" s="7" t="s">
        <v>200</v>
      </c>
      <c r="E3004" s="7">
        <v>539</v>
      </c>
      <c r="F3004" s="7" t="s">
        <v>2068</v>
      </c>
      <c r="G3004" s="7" t="s">
        <v>182</v>
      </c>
      <c r="H3004" s="70" t="s">
        <v>2129</v>
      </c>
      <c r="I3004" s="7" t="s">
        <v>1268</v>
      </c>
      <c r="K3004" s="39" t="s">
        <v>198</v>
      </c>
      <c r="L3004" s="40">
        <v>1160</v>
      </c>
      <c r="M3004" s="40">
        <v>76293.17</v>
      </c>
      <c r="N3004" s="40">
        <f t="shared" si="117"/>
        <v>1160</v>
      </c>
    </row>
    <row r="3005" spans="1:14" ht="12.75" hidden="1" customHeight="1" x14ac:dyDescent="0.2">
      <c r="A3005">
        <v>67001</v>
      </c>
      <c r="B3005" s="3" t="s">
        <v>1268</v>
      </c>
      <c r="C3005" s="7" t="s">
        <v>1622</v>
      </c>
      <c r="D3005" s="7" t="s">
        <v>221</v>
      </c>
      <c r="F3005" s="7" t="s">
        <v>234</v>
      </c>
      <c r="G3005" s="7" t="s">
        <v>182</v>
      </c>
      <c r="H3005" s="70" t="s">
        <v>2129</v>
      </c>
      <c r="I3005" s="7" t="s">
        <v>1268</v>
      </c>
      <c r="K3005" s="39" t="s">
        <v>198</v>
      </c>
      <c r="L3005" s="40">
        <v>10.64</v>
      </c>
      <c r="M3005" s="40">
        <v>76353.03</v>
      </c>
      <c r="N3005" s="40">
        <f t="shared" si="117"/>
        <v>10.64</v>
      </c>
    </row>
    <row r="3006" spans="1:14" ht="12.75" hidden="1" customHeight="1" x14ac:dyDescent="0.2">
      <c r="A3006">
        <v>67001</v>
      </c>
      <c r="B3006" s="3" t="s">
        <v>1268</v>
      </c>
      <c r="C3006" s="7" t="s">
        <v>1631</v>
      </c>
      <c r="D3006" s="7" t="s">
        <v>200</v>
      </c>
      <c r="E3006" s="7">
        <v>550</v>
      </c>
      <c r="F3006" s="7" t="s">
        <v>2072</v>
      </c>
      <c r="G3006" s="7" t="s">
        <v>182</v>
      </c>
      <c r="H3006" s="70" t="s">
        <v>2129</v>
      </c>
      <c r="I3006" s="7" t="s">
        <v>1268</v>
      </c>
      <c r="J3006" s="39" t="s">
        <v>2073</v>
      </c>
      <c r="K3006" s="39" t="s">
        <v>198</v>
      </c>
      <c r="L3006" s="40">
        <v>80</v>
      </c>
      <c r="M3006" s="40">
        <v>76872.570000000007</v>
      </c>
      <c r="N3006" s="40">
        <f t="shared" si="117"/>
        <v>80</v>
      </c>
    </row>
    <row r="3007" spans="1:14" ht="12.75" hidden="1" customHeight="1" x14ac:dyDescent="0.2">
      <c r="A3007">
        <v>67001</v>
      </c>
      <c r="B3007" s="3" t="s">
        <v>1268</v>
      </c>
      <c r="C3007" s="7" t="s">
        <v>1638</v>
      </c>
      <c r="D3007" s="7" t="s">
        <v>221</v>
      </c>
      <c r="F3007" s="7" t="s">
        <v>2075</v>
      </c>
      <c r="G3007" s="7" t="s">
        <v>182</v>
      </c>
      <c r="H3007" s="70" t="s">
        <v>2129</v>
      </c>
      <c r="I3007" s="7" t="s">
        <v>1268</v>
      </c>
      <c r="K3007" s="39" t="s">
        <v>198</v>
      </c>
      <c r="L3007" s="40">
        <v>141.43</v>
      </c>
      <c r="M3007" s="40">
        <v>77182.64</v>
      </c>
      <c r="N3007" s="40">
        <f t="shared" si="117"/>
        <v>141.43</v>
      </c>
    </row>
    <row r="3008" spans="1:14" ht="12.75" hidden="1" customHeight="1" x14ac:dyDescent="0.2">
      <c r="A3008">
        <v>67001</v>
      </c>
      <c r="B3008" s="3" t="s">
        <v>1268</v>
      </c>
      <c r="C3008" s="7" t="s">
        <v>1638</v>
      </c>
      <c r="D3008" s="7" t="s">
        <v>200</v>
      </c>
      <c r="E3008" s="7">
        <v>557</v>
      </c>
      <c r="F3008" s="7" t="s">
        <v>2076</v>
      </c>
      <c r="G3008" s="7" t="s">
        <v>182</v>
      </c>
      <c r="H3008" s="70" t="s">
        <v>2129</v>
      </c>
      <c r="I3008" s="7" t="s">
        <v>1268</v>
      </c>
      <c r="J3008" s="39" t="s">
        <v>2077</v>
      </c>
      <c r="K3008" s="39" t="s">
        <v>198</v>
      </c>
      <c r="L3008" s="40">
        <v>112.5</v>
      </c>
      <c r="M3008" s="40">
        <v>77295.14</v>
      </c>
      <c r="N3008" s="40">
        <f t="shared" si="117"/>
        <v>112.5</v>
      </c>
    </row>
    <row r="3009" spans="1:14" ht="12.75" hidden="1" customHeight="1" x14ac:dyDescent="0.2">
      <c r="A3009">
        <v>67001</v>
      </c>
      <c r="B3009" s="3" t="s">
        <v>1268</v>
      </c>
      <c r="C3009" s="7" t="s">
        <v>1640</v>
      </c>
      <c r="D3009" s="7" t="s">
        <v>221</v>
      </c>
      <c r="F3009" s="7" t="s">
        <v>234</v>
      </c>
      <c r="G3009" s="7" t="s">
        <v>182</v>
      </c>
      <c r="H3009" s="70" t="s">
        <v>2129</v>
      </c>
      <c r="I3009" s="7" t="s">
        <v>1268</v>
      </c>
      <c r="K3009" s="39" t="s">
        <v>198</v>
      </c>
      <c r="L3009" s="40">
        <v>17.989999999999998</v>
      </c>
      <c r="M3009" s="40">
        <v>77313.13</v>
      </c>
      <c r="N3009" s="40">
        <f t="shared" si="117"/>
        <v>17.989999999999998</v>
      </c>
    </row>
    <row r="3010" spans="1:14" ht="12.75" hidden="1" customHeight="1" x14ac:dyDescent="0.2">
      <c r="A3010">
        <v>67001</v>
      </c>
      <c r="B3010" s="3" t="s">
        <v>1268</v>
      </c>
      <c r="C3010" s="7" t="s">
        <v>1640</v>
      </c>
      <c r="D3010" s="7" t="s">
        <v>221</v>
      </c>
      <c r="F3010" s="7" t="s">
        <v>234</v>
      </c>
      <c r="G3010" s="7" t="s">
        <v>182</v>
      </c>
      <c r="H3010" s="70" t="s">
        <v>2129</v>
      </c>
      <c r="I3010" s="7" t="s">
        <v>1268</v>
      </c>
      <c r="K3010" s="39" t="s">
        <v>198</v>
      </c>
      <c r="L3010" s="40">
        <v>23.29</v>
      </c>
      <c r="M3010" s="40">
        <v>77336.42</v>
      </c>
      <c r="N3010" s="40">
        <f t="shared" si="117"/>
        <v>23.29</v>
      </c>
    </row>
    <row r="3011" spans="1:14" ht="12.75" hidden="1" customHeight="1" x14ac:dyDescent="0.2">
      <c r="A3011">
        <v>67001</v>
      </c>
      <c r="B3011" s="3" t="s">
        <v>1268</v>
      </c>
      <c r="C3011" s="7" t="s">
        <v>1790</v>
      </c>
      <c r="D3011" s="7" t="s">
        <v>221</v>
      </c>
      <c r="F3011" s="7" t="s">
        <v>548</v>
      </c>
      <c r="G3011" s="7" t="s">
        <v>182</v>
      </c>
      <c r="H3011" s="70" t="s">
        <v>2129</v>
      </c>
      <c r="I3011" s="7" t="s">
        <v>1268</v>
      </c>
      <c r="K3011" s="39" t="s">
        <v>198</v>
      </c>
      <c r="L3011" s="40">
        <v>17.149999999999999</v>
      </c>
      <c r="M3011" s="40">
        <v>77353.570000000007</v>
      </c>
      <c r="N3011" s="40">
        <f t="shared" si="117"/>
        <v>17.149999999999999</v>
      </c>
    </row>
    <row r="3012" spans="1:14" ht="12.75" hidden="1" customHeight="1" x14ac:dyDescent="0.2">
      <c r="A3012">
        <v>67001</v>
      </c>
      <c r="B3012" s="3" t="s">
        <v>1268</v>
      </c>
      <c r="C3012" s="7" t="s">
        <v>1722</v>
      </c>
      <c r="D3012" s="7" t="s">
        <v>221</v>
      </c>
      <c r="F3012" s="7" t="s">
        <v>548</v>
      </c>
      <c r="G3012" s="7" t="s">
        <v>182</v>
      </c>
      <c r="H3012" s="70" t="s">
        <v>2129</v>
      </c>
      <c r="I3012" s="7" t="s">
        <v>1268</v>
      </c>
      <c r="K3012" s="39" t="s">
        <v>198</v>
      </c>
      <c r="L3012" s="40">
        <v>67.45</v>
      </c>
      <c r="M3012" s="40">
        <v>77421.02</v>
      </c>
      <c r="N3012" s="40">
        <f t="shared" si="117"/>
        <v>67.45</v>
      </c>
    </row>
    <row r="3013" spans="1:14" ht="12.75" hidden="1" customHeight="1" x14ac:dyDescent="0.2">
      <c r="A3013">
        <v>67001</v>
      </c>
      <c r="B3013" s="3" t="s">
        <v>1268</v>
      </c>
      <c r="C3013" s="7" t="s">
        <v>1550</v>
      </c>
      <c r="D3013" s="7" t="s">
        <v>221</v>
      </c>
      <c r="F3013" s="7" t="s">
        <v>362</v>
      </c>
      <c r="G3013" s="7" t="s">
        <v>182</v>
      </c>
      <c r="H3013" s="70" t="s">
        <v>2129</v>
      </c>
      <c r="I3013" s="7" t="s">
        <v>1268</v>
      </c>
      <c r="K3013" s="39" t="s">
        <v>198</v>
      </c>
      <c r="L3013" s="40">
        <v>180.32</v>
      </c>
      <c r="M3013" s="40">
        <v>77752.289999999994</v>
      </c>
      <c r="N3013" s="40">
        <f t="shared" si="117"/>
        <v>180.32</v>
      </c>
    </row>
    <row r="3014" spans="1:14" ht="12.75" hidden="1" customHeight="1" x14ac:dyDescent="0.2">
      <c r="A3014">
        <v>67001</v>
      </c>
      <c r="B3014" s="3" t="s">
        <v>1268</v>
      </c>
      <c r="C3014" s="7" t="s">
        <v>1728</v>
      </c>
      <c r="D3014" s="7" t="s">
        <v>221</v>
      </c>
      <c r="F3014" s="7" t="s">
        <v>2078</v>
      </c>
      <c r="G3014" s="7" t="s">
        <v>182</v>
      </c>
      <c r="H3014" s="70" t="s">
        <v>2129</v>
      </c>
      <c r="I3014" s="7" t="s">
        <v>1268</v>
      </c>
      <c r="K3014" s="39" t="s">
        <v>198</v>
      </c>
      <c r="L3014" s="40">
        <v>303.35000000000002</v>
      </c>
      <c r="M3014" s="40">
        <v>78055.64</v>
      </c>
      <c r="N3014" s="40">
        <f t="shared" si="117"/>
        <v>303.35000000000002</v>
      </c>
    </row>
    <row r="3015" spans="1:14" ht="12.75" hidden="1" customHeight="1" x14ac:dyDescent="0.2">
      <c r="A3015">
        <v>67001</v>
      </c>
      <c r="B3015" s="3" t="s">
        <v>1268</v>
      </c>
      <c r="C3015" s="7" t="s">
        <v>1728</v>
      </c>
      <c r="D3015" s="7" t="s">
        <v>200</v>
      </c>
      <c r="E3015" s="7">
        <v>561</v>
      </c>
      <c r="F3015" s="7" t="s">
        <v>2079</v>
      </c>
      <c r="G3015" s="7" t="s">
        <v>182</v>
      </c>
      <c r="H3015" s="70" t="s">
        <v>2129</v>
      </c>
      <c r="I3015" s="7" t="s">
        <v>1268</v>
      </c>
      <c r="K3015" s="39" t="s">
        <v>198</v>
      </c>
      <c r="L3015" s="40">
        <v>120</v>
      </c>
      <c r="M3015" s="40">
        <v>78175.64</v>
      </c>
      <c r="N3015" s="40">
        <f t="shared" si="117"/>
        <v>120</v>
      </c>
    </row>
    <row r="3016" spans="1:14" ht="12.75" hidden="1" customHeight="1" x14ac:dyDescent="0.2">
      <c r="A3016">
        <v>67001</v>
      </c>
      <c r="B3016" s="3" t="s">
        <v>1268</v>
      </c>
      <c r="C3016" s="7" t="s">
        <v>1728</v>
      </c>
      <c r="D3016" s="7" t="s">
        <v>221</v>
      </c>
      <c r="F3016" s="7" t="s">
        <v>352</v>
      </c>
      <c r="G3016" s="7" t="s">
        <v>182</v>
      </c>
      <c r="H3016" s="70" t="s">
        <v>2129</v>
      </c>
      <c r="I3016" s="7" t="s">
        <v>1268</v>
      </c>
      <c r="K3016" s="39" t="s">
        <v>198</v>
      </c>
      <c r="L3016" s="40">
        <v>15.87</v>
      </c>
      <c r="M3016" s="40">
        <v>78191.509999999995</v>
      </c>
      <c r="N3016" s="40">
        <f t="shared" si="117"/>
        <v>15.87</v>
      </c>
    </row>
    <row r="3017" spans="1:14" ht="12.75" hidden="1" customHeight="1" x14ac:dyDescent="0.2">
      <c r="A3017">
        <v>67001</v>
      </c>
      <c r="B3017" s="3" t="s">
        <v>1268</v>
      </c>
      <c r="C3017" s="7" t="s">
        <v>1728</v>
      </c>
      <c r="D3017" s="7" t="s">
        <v>221</v>
      </c>
      <c r="F3017" s="7" t="s">
        <v>871</v>
      </c>
      <c r="G3017" s="7" t="s">
        <v>182</v>
      </c>
      <c r="H3017" s="70" t="s">
        <v>2129</v>
      </c>
      <c r="I3017" s="7" t="s">
        <v>1268</v>
      </c>
      <c r="K3017" s="39" t="s">
        <v>198</v>
      </c>
      <c r="L3017" s="40">
        <v>113.09</v>
      </c>
      <c r="M3017" s="40">
        <v>78304.600000000006</v>
      </c>
      <c r="N3017" s="40">
        <f t="shared" si="117"/>
        <v>113.09</v>
      </c>
    </row>
    <row r="3018" spans="1:14" ht="12.75" hidden="1" customHeight="1" x14ac:dyDescent="0.2">
      <c r="A3018">
        <v>67001</v>
      </c>
      <c r="B3018" s="3" t="s">
        <v>1268</v>
      </c>
      <c r="C3018" s="7" t="s">
        <v>1728</v>
      </c>
      <c r="D3018" s="7" t="s">
        <v>221</v>
      </c>
      <c r="F3018" s="7" t="s">
        <v>2080</v>
      </c>
      <c r="G3018" s="7" t="s">
        <v>182</v>
      </c>
      <c r="H3018" s="70" t="s">
        <v>2129</v>
      </c>
      <c r="I3018" s="7" t="s">
        <v>1268</v>
      </c>
      <c r="K3018" s="39" t="s">
        <v>198</v>
      </c>
      <c r="L3018" s="40">
        <v>37.08</v>
      </c>
      <c r="M3018" s="40">
        <v>78341.679999999993</v>
      </c>
      <c r="N3018" s="40">
        <f t="shared" si="117"/>
        <v>37.08</v>
      </c>
    </row>
    <row r="3019" spans="1:14" ht="12.75" hidden="1" customHeight="1" x14ac:dyDescent="0.2">
      <c r="A3019">
        <v>67001</v>
      </c>
      <c r="B3019" s="3" t="s">
        <v>1268</v>
      </c>
      <c r="C3019" s="7" t="s">
        <v>1647</v>
      </c>
      <c r="D3019" s="7" t="s">
        <v>200</v>
      </c>
      <c r="E3019" s="7">
        <v>567</v>
      </c>
      <c r="F3019" s="7" t="s">
        <v>2072</v>
      </c>
      <c r="G3019" s="7" t="s">
        <v>182</v>
      </c>
      <c r="H3019" s="70" t="s">
        <v>2129</v>
      </c>
      <c r="I3019" s="7" t="s">
        <v>1268</v>
      </c>
      <c r="J3019" s="39" t="s">
        <v>2082</v>
      </c>
      <c r="K3019" s="39" t="s">
        <v>198</v>
      </c>
      <c r="L3019" s="40">
        <v>1116</v>
      </c>
      <c r="M3019" s="40">
        <v>82031.28</v>
      </c>
      <c r="N3019" s="40">
        <f t="shared" si="117"/>
        <v>1116</v>
      </c>
    </row>
    <row r="3020" spans="1:14" ht="12.75" hidden="1" customHeight="1" x14ac:dyDescent="0.2">
      <c r="A3020">
        <v>68310</v>
      </c>
      <c r="B3020" s="3" t="s">
        <v>1269</v>
      </c>
      <c r="C3020" s="7" t="s">
        <v>201</v>
      </c>
      <c r="D3020" s="7" t="s">
        <v>200</v>
      </c>
      <c r="F3020" s="7" t="s">
        <v>199</v>
      </c>
      <c r="G3020" s="7" t="s">
        <v>182</v>
      </c>
      <c r="H3020" s="7" t="s">
        <v>1369</v>
      </c>
      <c r="I3020" s="7" t="s">
        <v>1269</v>
      </c>
      <c r="K3020" s="7" t="s">
        <v>198</v>
      </c>
      <c r="L3020" s="11">
        <v>143.84</v>
      </c>
      <c r="M3020" s="11">
        <v>143.84</v>
      </c>
      <c r="N3020" s="9">
        <f>IF(A3020&lt;60000,-L3020,+L3020)</f>
        <v>143.84</v>
      </c>
    </row>
    <row r="3021" spans="1:14" ht="12.75" customHeight="1" x14ac:dyDescent="0.2">
      <c r="A3021">
        <v>43300</v>
      </c>
      <c r="B3021" s="3" t="s">
        <v>1225</v>
      </c>
      <c r="C3021" s="7" t="s">
        <v>1546</v>
      </c>
      <c r="D3021" s="7" t="s">
        <v>242</v>
      </c>
      <c r="F3021" s="7" t="s">
        <v>1549</v>
      </c>
      <c r="G3021" s="7" t="s">
        <v>1545</v>
      </c>
      <c r="H3021" s="7" t="s">
        <v>1359</v>
      </c>
      <c r="I3021" s="7" t="s">
        <v>1225</v>
      </c>
      <c r="K3021" s="39" t="s">
        <v>1150</v>
      </c>
      <c r="L3021" s="40">
        <v>1500</v>
      </c>
      <c r="M3021" s="40">
        <v>3550</v>
      </c>
      <c r="N3021" s="41">
        <f>-L3021</f>
        <v>-1500</v>
      </c>
    </row>
    <row r="3022" spans="1:14" ht="12.75" customHeight="1" x14ac:dyDescent="0.2">
      <c r="A3022">
        <v>43300</v>
      </c>
      <c r="B3022" s="3" t="s">
        <v>1225</v>
      </c>
      <c r="C3022" s="7" t="s">
        <v>1553</v>
      </c>
      <c r="D3022" s="7" t="s">
        <v>242</v>
      </c>
      <c r="G3022" s="7" t="s">
        <v>1554</v>
      </c>
      <c r="H3022" s="7" t="s">
        <v>1359</v>
      </c>
      <c r="I3022" s="7" t="s">
        <v>1225</v>
      </c>
      <c r="K3022" s="39" t="s">
        <v>1181</v>
      </c>
      <c r="L3022" s="40">
        <v>1500</v>
      </c>
      <c r="M3022" s="40">
        <v>8000</v>
      </c>
      <c r="N3022" s="41">
        <f>-L3022</f>
        <v>-1500</v>
      </c>
    </row>
    <row r="3023" spans="1:14" ht="12.75" customHeight="1" x14ac:dyDescent="0.2">
      <c r="A3023">
        <v>43300</v>
      </c>
      <c r="B3023" s="3" t="s">
        <v>1225</v>
      </c>
      <c r="C3023" s="7" t="s">
        <v>1555</v>
      </c>
      <c r="D3023" s="7" t="s">
        <v>242</v>
      </c>
      <c r="G3023" s="7" t="s">
        <v>182</v>
      </c>
      <c r="H3023" s="7" t="s">
        <v>1359</v>
      </c>
      <c r="I3023" s="7" t="s">
        <v>1225</v>
      </c>
      <c r="K3023" s="39" t="s">
        <v>198</v>
      </c>
      <c r="L3023" s="40">
        <v>5000</v>
      </c>
      <c r="M3023" s="40">
        <v>13000</v>
      </c>
      <c r="N3023" s="41">
        <f>-L3023</f>
        <v>-5000</v>
      </c>
    </row>
    <row r="3024" spans="1:14" ht="12.75" hidden="1" customHeight="1" x14ac:dyDescent="0.2">
      <c r="A3024">
        <v>65025</v>
      </c>
      <c r="B3024" s="3" t="s">
        <v>1246</v>
      </c>
      <c r="C3024" s="7" t="s">
        <v>379</v>
      </c>
      <c r="D3024" s="7" t="s">
        <v>200</v>
      </c>
      <c r="F3024" s="7" t="s">
        <v>446</v>
      </c>
      <c r="G3024" s="7" t="s">
        <v>1560</v>
      </c>
      <c r="H3024" s="7" t="s">
        <v>1362</v>
      </c>
      <c r="I3024" s="7" t="s">
        <v>1246</v>
      </c>
      <c r="K3024" s="7" t="s">
        <v>1044</v>
      </c>
      <c r="L3024" s="11">
        <v>15</v>
      </c>
      <c r="M3024" s="11">
        <v>249.2</v>
      </c>
      <c r="N3024" s="9">
        <f t="shared" ref="N3024:N3030" si="118">IF(A3024&lt;60000,-L3024,+L3024)</f>
        <v>15</v>
      </c>
    </row>
    <row r="3025" spans="1:14" ht="12.75" hidden="1" customHeight="1" x14ac:dyDescent="0.2">
      <c r="A3025">
        <v>65025</v>
      </c>
      <c r="B3025" s="3" t="s">
        <v>1246</v>
      </c>
      <c r="C3025" s="7" t="s">
        <v>406</v>
      </c>
      <c r="D3025" s="7" t="s">
        <v>200</v>
      </c>
      <c r="F3025" s="7" t="s">
        <v>446</v>
      </c>
      <c r="G3025" s="7" t="s">
        <v>1560</v>
      </c>
      <c r="H3025" s="7" t="s">
        <v>1362</v>
      </c>
      <c r="I3025" s="7" t="s">
        <v>1246</v>
      </c>
      <c r="K3025" s="7" t="s">
        <v>596</v>
      </c>
      <c r="L3025" s="11">
        <v>16</v>
      </c>
      <c r="M3025" s="11">
        <v>588.66999999999996</v>
      </c>
      <c r="N3025" s="9">
        <f t="shared" si="118"/>
        <v>16</v>
      </c>
    </row>
    <row r="3026" spans="1:14" ht="12.75" hidden="1" customHeight="1" x14ac:dyDescent="0.2">
      <c r="A3026">
        <v>65025</v>
      </c>
      <c r="B3026" s="3" t="s">
        <v>1246</v>
      </c>
      <c r="C3026" s="7" t="s">
        <v>194</v>
      </c>
      <c r="D3026" s="7" t="s">
        <v>221</v>
      </c>
      <c r="F3026" s="7" t="s">
        <v>446</v>
      </c>
      <c r="G3026" s="7" t="s">
        <v>1560</v>
      </c>
      <c r="H3026" s="7" t="s">
        <v>1362</v>
      </c>
      <c r="I3026" s="7" t="s">
        <v>1246</v>
      </c>
      <c r="K3026" s="7" t="s">
        <v>596</v>
      </c>
      <c r="L3026" s="11">
        <v>16</v>
      </c>
      <c r="M3026" s="11">
        <v>961.33</v>
      </c>
      <c r="N3026" s="9">
        <f t="shared" si="118"/>
        <v>16</v>
      </c>
    </row>
    <row r="3027" spans="1:14" ht="12.75" hidden="1" customHeight="1" x14ac:dyDescent="0.2">
      <c r="A3027">
        <v>65025</v>
      </c>
      <c r="B3027" s="3" t="s">
        <v>1246</v>
      </c>
      <c r="C3027" s="7" t="s">
        <v>222</v>
      </c>
      <c r="D3027" s="7" t="s">
        <v>221</v>
      </c>
      <c r="F3027" s="7" t="s">
        <v>446</v>
      </c>
      <c r="G3027" s="7" t="s">
        <v>1560</v>
      </c>
      <c r="H3027" s="7" t="s">
        <v>1362</v>
      </c>
      <c r="I3027" s="7" t="s">
        <v>1246</v>
      </c>
      <c r="K3027" s="7" t="s">
        <v>596</v>
      </c>
      <c r="L3027" s="11">
        <v>16</v>
      </c>
      <c r="M3027" s="11">
        <v>1523.91</v>
      </c>
      <c r="N3027" s="9">
        <f t="shared" si="118"/>
        <v>16</v>
      </c>
    </row>
    <row r="3028" spans="1:14" ht="12.75" hidden="1" customHeight="1" x14ac:dyDescent="0.2">
      <c r="A3028">
        <v>65061</v>
      </c>
      <c r="B3028" s="3" t="s">
        <v>1253</v>
      </c>
      <c r="C3028" s="7" t="s">
        <v>298</v>
      </c>
      <c r="D3028" s="7" t="s">
        <v>200</v>
      </c>
      <c r="F3028" s="7" t="s">
        <v>546</v>
      </c>
      <c r="G3028" s="7" t="s">
        <v>1560</v>
      </c>
      <c r="H3028" s="7" t="s">
        <v>1362</v>
      </c>
      <c r="I3028" s="7" t="s">
        <v>1253</v>
      </c>
      <c r="K3028" s="7" t="s">
        <v>596</v>
      </c>
      <c r="L3028" s="11">
        <v>16.41</v>
      </c>
      <c r="M3028" s="11">
        <v>81149.06</v>
      </c>
      <c r="N3028" s="9">
        <f t="shared" si="118"/>
        <v>16.41</v>
      </c>
    </row>
    <row r="3029" spans="1:14" ht="12.75" hidden="1" customHeight="1" x14ac:dyDescent="0.2">
      <c r="A3029">
        <v>65061</v>
      </c>
      <c r="B3029" s="3" t="s">
        <v>1253</v>
      </c>
      <c r="C3029" s="7" t="s">
        <v>293</v>
      </c>
      <c r="D3029" s="7" t="s">
        <v>200</v>
      </c>
      <c r="F3029" s="7" t="s">
        <v>726</v>
      </c>
      <c r="G3029" s="7" t="s">
        <v>1560</v>
      </c>
      <c r="H3029" s="7" t="s">
        <v>1362</v>
      </c>
      <c r="I3029" s="7" t="s">
        <v>1253</v>
      </c>
      <c r="K3029" s="7" t="s">
        <v>596</v>
      </c>
      <c r="L3029" s="11">
        <v>105.99</v>
      </c>
      <c r="M3029" s="11">
        <v>85823.52</v>
      </c>
      <c r="N3029" s="9">
        <f t="shared" si="118"/>
        <v>105.99</v>
      </c>
    </row>
    <row r="3030" spans="1:14" ht="12.75" hidden="1" customHeight="1" x14ac:dyDescent="0.2">
      <c r="A3030">
        <v>65061</v>
      </c>
      <c r="B3030" s="3" t="s">
        <v>1253</v>
      </c>
      <c r="C3030" s="7" t="s">
        <v>585</v>
      </c>
      <c r="D3030" s="7" t="s">
        <v>221</v>
      </c>
      <c r="F3030" s="7" t="s">
        <v>546</v>
      </c>
      <c r="G3030" s="7" t="s">
        <v>1560</v>
      </c>
      <c r="H3030" s="7" t="s">
        <v>1362</v>
      </c>
      <c r="I3030" s="7" t="s">
        <v>1253</v>
      </c>
      <c r="K3030" s="7" t="s">
        <v>596</v>
      </c>
      <c r="L3030" s="11">
        <v>66</v>
      </c>
      <c r="M3030" s="11">
        <v>181520.1</v>
      </c>
      <c r="N3030" s="9">
        <f t="shared" si="118"/>
        <v>66</v>
      </c>
    </row>
    <row r="3031" spans="1:14" ht="12.75" customHeight="1" x14ac:dyDescent="0.2">
      <c r="A3031">
        <v>43300</v>
      </c>
      <c r="B3031" s="3" t="s">
        <v>1225</v>
      </c>
      <c r="C3031" s="7" t="s">
        <v>1546</v>
      </c>
      <c r="D3031" s="7" t="s">
        <v>242</v>
      </c>
      <c r="F3031" s="7" t="s">
        <v>1547</v>
      </c>
      <c r="G3031" s="7" t="s">
        <v>1548</v>
      </c>
      <c r="H3031" s="7" t="s">
        <v>1359</v>
      </c>
      <c r="I3031" s="7" t="s">
        <v>1225</v>
      </c>
      <c r="K3031" s="39" t="s">
        <v>1142</v>
      </c>
      <c r="L3031" s="40">
        <v>250</v>
      </c>
      <c r="M3031" s="40">
        <v>2050</v>
      </c>
      <c r="N3031" s="41">
        <f>-L3031</f>
        <v>-250</v>
      </c>
    </row>
    <row r="3032" spans="1:14" ht="12.75" customHeight="1" x14ac:dyDescent="0.2">
      <c r="A3032">
        <v>44000</v>
      </c>
      <c r="B3032" s="3" t="s">
        <v>1229</v>
      </c>
      <c r="C3032" s="7" t="s">
        <v>282</v>
      </c>
      <c r="D3032" s="7" t="s">
        <v>183</v>
      </c>
      <c r="E3032" s="7">
        <v>500</v>
      </c>
      <c r="G3032" s="7" t="s">
        <v>1572</v>
      </c>
      <c r="H3032" s="7" t="s">
        <v>1359</v>
      </c>
      <c r="I3032" s="7" t="s">
        <v>2148</v>
      </c>
      <c r="J3032" s="7" t="s">
        <v>1132</v>
      </c>
      <c r="K3032" s="7" t="s">
        <v>180</v>
      </c>
      <c r="L3032" s="11">
        <v>700</v>
      </c>
      <c r="M3032" s="11">
        <v>156042.93</v>
      </c>
      <c r="N3032" s="9">
        <f>IF(A3032&lt;60000,-L3032,+L3032)</f>
        <v>-700</v>
      </c>
    </row>
    <row r="3033" spans="1:14" ht="12.75" hidden="1" customHeight="1" x14ac:dyDescent="0.2">
      <c r="A3033">
        <v>43440</v>
      </c>
      <c r="B3033" s="3" t="s">
        <v>1228</v>
      </c>
      <c r="C3033" s="7" t="s">
        <v>1678</v>
      </c>
      <c r="D3033" s="7" t="s">
        <v>183</v>
      </c>
      <c r="E3033" s="7">
        <v>711</v>
      </c>
      <c r="G3033" s="7" t="s">
        <v>1606</v>
      </c>
      <c r="H3033" s="7" t="s">
        <v>1360</v>
      </c>
      <c r="I3033" s="7" t="s">
        <v>1228</v>
      </c>
      <c r="J3033" s="39" t="s">
        <v>1679</v>
      </c>
      <c r="K3033" s="39" t="s">
        <v>180</v>
      </c>
      <c r="L3033" s="40">
        <v>835.42</v>
      </c>
      <c r="M3033" s="40">
        <v>47316.95</v>
      </c>
      <c r="N3033" s="41">
        <f>-L3033</f>
        <v>-835.42</v>
      </c>
    </row>
    <row r="3034" spans="1:14" ht="12.75" hidden="1" customHeight="1" x14ac:dyDescent="0.2">
      <c r="A3034">
        <v>65025</v>
      </c>
      <c r="B3034" s="3" t="s">
        <v>1246</v>
      </c>
      <c r="C3034" s="7" t="s">
        <v>1556</v>
      </c>
      <c r="D3034" s="7" t="s">
        <v>221</v>
      </c>
      <c r="F3034" s="7" t="s">
        <v>446</v>
      </c>
      <c r="G3034" s="7" t="s">
        <v>1606</v>
      </c>
      <c r="H3034" s="7" t="s">
        <v>1362</v>
      </c>
      <c r="I3034" s="7" t="s">
        <v>1246</v>
      </c>
      <c r="K3034" s="39" t="s">
        <v>992</v>
      </c>
      <c r="L3034" s="40">
        <v>15</v>
      </c>
      <c r="M3034" s="40">
        <v>1763.52</v>
      </c>
      <c r="N3034" s="40">
        <f>+L3034</f>
        <v>15</v>
      </c>
    </row>
    <row r="3035" spans="1:14" ht="12.75" hidden="1" customHeight="1" x14ac:dyDescent="0.2">
      <c r="A3035">
        <v>65025</v>
      </c>
      <c r="B3035" s="3" t="s">
        <v>1246</v>
      </c>
      <c r="C3035" s="7" t="s">
        <v>1803</v>
      </c>
      <c r="D3035" s="7" t="s">
        <v>221</v>
      </c>
      <c r="F3035" s="7" t="s">
        <v>446</v>
      </c>
      <c r="G3035" s="7" t="s">
        <v>1606</v>
      </c>
      <c r="H3035" s="7" t="s">
        <v>1362</v>
      </c>
      <c r="I3035" s="7" t="s">
        <v>1246</v>
      </c>
      <c r="K3035" s="39" t="s">
        <v>992</v>
      </c>
      <c r="L3035" s="40">
        <v>15</v>
      </c>
      <c r="M3035" s="40">
        <v>1901.22</v>
      </c>
      <c r="N3035" s="40">
        <f>+L3035</f>
        <v>15</v>
      </c>
    </row>
    <row r="3036" spans="1:14" ht="12.75" hidden="1" customHeight="1" x14ac:dyDescent="0.2">
      <c r="A3036">
        <v>65025</v>
      </c>
      <c r="B3036" s="3" t="s">
        <v>1246</v>
      </c>
      <c r="C3036" s="7" t="s">
        <v>1804</v>
      </c>
      <c r="D3036" s="7" t="s">
        <v>221</v>
      </c>
      <c r="F3036" s="7" t="s">
        <v>446</v>
      </c>
      <c r="G3036" s="7" t="s">
        <v>1606</v>
      </c>
      <c r="H3036" s="7" t="s">
        <v>1362</v>
      </c>
      <c r="I3036" s="7" t="s">
        <v>1246</v>
      </c>
      <c r="K3036" s="39" t="s">
        <v>992</v>
      </c>
      <c r="L3036" s="40">
        <v>15</v>
      </c>
      <c r="M3036" s="40">
        <v>2254.1999999999998</v>
      </c>
      <c r="N3036" s="40">
        <f>+L3036</f>
        <v>15</v>
      </c>
    </row>
    <row r="3037" spans="1:14" ht="12.75" hidden="1" customHeight="1" x14ac:dyDescent="0.2">
      <c r="A3037">
        <v>65025</v>
      </c>
      <c r="B3037" s="3" t="s">
        <v>1246</v>
      </c>
      <c r="C3037" s="7" t="s">
        <v>1619</v>
      </c>
      <c r="D3037" s="7" t="s">
        <v>221</v>
      </c>
      <c r="F3037" s="7" t="s">
        <v>446</v>
      </c>
      <c r="G3037" s="7" t="s">
        <v>1606</v>
      </c>
      <c r="H3037" s="7" t="s">
        <v>1362</v>
      </c>
      <c r="I3037" s="7" t="s">
        <v>1246</v>
      </c>
      <c r="K3037" s="39" t="s">
        <v>992</v>
      </c>
      <c r="L3037" s="40">
        <v>15</v>
      </c>
      <c r="M3037" s="40">
        <v>2482.1</v>
      </c>
      <c r="N3037" s="40">
        <f>+L3037</f>
        <v>15</v>
      </c>
    </row>
    <row r="3038" spans="1:14" ht="12.75" hidden="1" customHeight="1" x14ac:dyDescent="0.2">
      <c r="A3038">
        <v>65062</v>
      </c>
      <c r="B3038" s="3" t="s">
        <v>1254</v>
      </c>
      <c r="C3038" s="7" t="s">
        <v>1678</v>
      </c>
      <c r="D3038" s="7" t="s">
        <v>183</v>
      </c>
      <c r="E3038" s="7">
        <v>711</v>
      </c>
      <c r="G3038" s="7" t="s">
        <v>1606</v>
      </c>
      <c r="H3038" s="7" t="s">
        <v>1362</v>
      </c>
      <c r="I3038" s="7" t="s">
        <v>1254</v>
      </c>
      <c r="J3038" s="39" t="s">
        <v>1679</v>
      </c>
      <c r="K3038" s="39" t="s">
        <v>180</v>
      </c>
      <c r="L3038" s="40">
        <v>835.42</v>
      </c>
      <c r="M3038" s="40">
        <v>47316.95</v>
      </c>
      <c r="N3038" s="40">
        <f>+L3038</f>
        <v>835.42</v>
      </c>
    </row>
    <row r="3039" spans="1:14" ht="12.75" customHeight="1" x14ac:dyDescent="0.2">
      <c r="A3039">
        <v>44000</v>
      </c>
      <c r="B3039" s="3" t="s">
        <v>1229</v>
      </c>
      <c r="C3039" s="7" t="s">
        <v>201</v>
      </c>
      <c r="D3039" s="7" t="s">
        <v>183</v>
      </c>
      <c r="E3039" s="7">
        <v>508</v>
      </c>
      <c r="G3039" s="7" t="s">
        <v>1572</v>
      </c>
      <c r="H3039" s="7" t="s">
        <v>1359</v>
      </c>
      <c r="I3039" s="7" t="s">
        <v>2148</v>
      </c>
      <c r="J3039" s="7" t="s">
        <v>1139</v>
      </c>
      <c r="K3039" s="7" t="s">
        <v>180</v>
      </c>
      <c r="L3039" s="11">
        <v>350</v>
      </c>
      <c r="M3039" s="11">
        <v>162115.25</v>
      </c>
      <c r="N3039" s="9">
        <f t="shared" ref="N3039:N3044" si="119">IF(A3039&lt;60000,-L3039,+L3039)</f>
        <v>-350</v>
      </c>
    </row>
    <row r="3040" spans="1:14" ht="12.75" customHeight="1" x14ac:dyDescent="0.2">
      <c r="A3040">
        <v>44000</v>
      </c>
      <c r="B3040" s="3" t="s">
        <v>1229</v>
      </c>
      <c r="C3040" s="7" t="s">
        <v>429</v>
      </c>
      <c r="D3040" s="7" t="s">
        <v>242</v>
      </c>
      <c r="F3040" s="7" t="s">
        <v>665</v>
      </c>
      <c r="G3040" s="7" t="s">
        <v>1572</v>
      </c>
      <c r="H3040" s="7" t="s">
        <v>1359</v>
      </c>
      <c r="I3040" s="7" t="s">
        <v>2148</v>
      </c>
      <c r="J3040" s="7" t="s">
        <v>1135</v>
      </c>
      <c r="K3040" s="7" t="s">
        <v>1129</v>
      </c>
      <c r="L3040" s="11">
        <v>445</v>
      </c>
      <c r="M3040" s="11">
        <v>170245.52</v>
      </c>
      <c r="N3040" s="9">
        <f t="shared" si="119"/>
        <v>-445</v>
      </c>
    </row>
    <row r="3041" spans="1:14" ht="12.75" customHeight="1" x14ac:dyDescent="0.2">
      <c r="A3041">
        <v>44000</v>
      </c>
      <c r="B3041" s="3" t="s">
        <v>1229</v>
      </c>
      <c r="C3041" s="7" t="s">
        <v>429</v>
      </c>
      <c r="D3041" s="7" t="s">
        <v>242</v>
      </c>
      <c r="F3041" s="7" t="s">
        <v>665</v>
      </c>
      <c r="G3041" s="7" t="s">
        <v>1572</v>
      </c>
      <c r="H3041" s="7" t="s">
        <v>1359</v>
      </c>
      <c r="I3041" s="7" t="s">
        <v>2148</v>
      </c>
      <c r="J3041" s="7" t="s">
        <v>1134</v>
      </c>
      <c r="K3041" s="7" t="s">
        <v>1129</v>
      </c>
      <c r="L3041" s="11">
        <v>100</v>
      </c>
      <c r="M3041" s="11">
        <v>170345.52</v>
      </c>
      <c r="N3041" s="9">
        <f t="shared" si="119"/>
        <v>-100</v>
      </c>
    </row>
    <row r="3042" spans="1:14" ht="12.75" customHeight="1" x14ac:dyDescent="0.2">
      <c r="A3042">
        <v>44000</v>
      </c>
      <c r="B3042" s="3" t="s">
        <v>1229</v>
      </c>
      <c r="C3042" s="7" t="s">
        <v>429</v>
      </c>
      <c r="D3042" s="7" t="s">
        <v>183</v>
      </c>
      <c r="E3042" s="7">
        <v>564</v>
      </c>
      <c r="G3042" s="7" t="s">
        <v>1572</v>
      </c>
      <c r="H3042" s="7" t="s">
        <v>1359</v>
      </c>
      <c r="I3042" s="7" t="s">
        <v>2148</v>
      </c>
      <c r="J3042" s="7" t="s">
        <v>1133</v>
      </c>
      <c r="K3042" s="7" t="s">
        <v>180</v>
      </c>
      <c r="L3042" s="11">
        <v>330</v>
      </c>
      <c r="M3042" s="11">
        <v>170675.52</v>
      </c>
      <c r="N3042" s="9">
        <f t="shared" si="119"/>
        <v>-330</v>
      </c>
    </row>
    <row r="3043" spans="1:14" ht="12.75" customHeight="1" x14ac:dyDescent="0.2">
      <c r="A3043">
        <v>44000</v>
      </c>
      <c r="B3043" s="3" t="s">
        <v>1229</v>
      </c>
      <c r="C3043" s="7" t="s">
        <v>427</v>
      </c>
      <c r="D3043" s="7" t="s">
        <v>183</v>
      </c>
      <c r="E3043" s="7">
        <v>580</v>
      </c>
      <c r="G3043" s="7" t="s">
        <v>1572</v>
      </c>
      <c r="H3043" s="7" t="s">
        <v>1359</v>
      </c>
      <c r="I3043" s="7" t="s">
        <v>2148</v>
      </c>
      <c r="J3043" s="7" t="s">
        <v>1132</v>
      </c>
      <c r="K3043" s="7" t="s">
        <v>180</v>
      </c>
      <c r="L3043" s="11">
        <v>470</v>
      </c>
      <c r="M3043" s="11">
        <v>179370.52</v>
      </c>
      <c r="N3043" s="9">
        <f t="shared" si="119"/>
        <v>-470</v>
      </c>
    </row>
    <row r="3044" spans="1:14" ht="12.75" customHeight="1" x14ac:dyDescent="0.2">
      <c r="A3044">
        <v>44000</v>
      </c>
      <c r="B3044" s="3" t="s">
        <v>1229</v>
      </c>
      <c r="C3044" s="7" t="s">
        <v>426</v>
      </c>
      <c r="D3044" s="7" t="s">
        <v>242</v>
      </c>
      <c r="F3044" s="7" t="s">
        <v>665</v>
      </c>
      <c r="G3044" s="7" t="s">
        <v>1572</v>
      </c>
      <c r="H3044" s="7" t="s">
        <v>1359</v>
      </c>
      <c r="I3044" s="7" t="s">
        <v>2148</v>
      </c>
      <c r="K3044" s="7" t="s">
        <v>1129</v>
      </c>
      <c r="L3044" s="11">
        <v>1947.5</v>
      </c>
      <c r="M3044" s="11">
        <v>182318.02</v>
      </c>
      <c r="N3044" s="9">
        <f t="shared" si="119"/>
        <v>-1947.5</v>
      </c>
    </row>
    <row r="3045" spans="1:14" ht="12.75" hidden="1" customHeight="1" x14ac:dyDescent="0.2">
      <c r="A3045">
        <v>65020</v>
      </c>
      <c r="B3045" s="3" t="s">
        <v>1245</v>
      </c>
      <c r="C3045" s="7" t="s">
        <v>1744</v>
      </c>
      <c r="D3045" s="7" t="s">
        <v>200</v>
      </c>
      <c r="E3045" s="7" t="s">
        <v>447</v>
      </c>
      <c r="F3045" s="7" t="s">
        <v>1193</v>
      </c>
      <c r="G3045" s="7" t="s">
        <v>1572</v>
      </c>
      <c r="H3045" s="7" t="s">
        <v>1362</v>
      </c>
      <c r="I3045" s="7" t="s">
        <v>1245</v>
      </c>
      <c r="K3045" s="39" t="s">
        <v>202</v>
      </c>
      <c r="L3045" s="40">
        <v>25.84</v>
      </c>
      <c r="M3045" s="40">
        <v>2542.11</v>
      </c>
      <c r="N3045" s="40">
        <f t="shared" ref="N3045:N3083" si="120">+L3045</f>
        <v>25.84</v>
      </c>
    </row>
    <row r="3046" spans="1:14" ht="12.75" hidden="1" customHeight="1" x14ac:dyDescent="0.2">
      <c r="A3046">
        <v>65020</v>
      </c>
      <c r="B3046" s="3" t="s">
        <v>1245</v>
      </c>
      <c r="C3046" s="7" t="s">
        <v>1600</v>
      </c>
      <c r="D3046" s="7" t="s">
        <v>221</v>
      </c>
      <c r="F3046" s="7" t="s">
        <v>300</v>
      </c>
      <c r="G3046" s="7" t="s">
        <v>1572</v>
      </c>
      <c r="H3046" s="7" t="s">
        <v>1362</v>
      </c>
      <c r="I3046" s="7" t="s">
        <v>1245</v>
      </c>
      <c r="K3046" s="39" t="s">
        <v>202</v>
      </c>
      <c r="L3046" s="40">
        <v>56.71</v>
      </c>
      <c r="M3046" s="40">
        <v>2871.55</v>
      </c>
      <c r="N3046" s="40">
        <f t="shared" si="120"/>
        <v>56.71</v>
      </c>
    </row>
    <row r="3047" spans="1:14" ht="12.75" hidden="1" customHeight="1" x14ac:dyDescent="0.2">
      <c r="A3047">
        <v>65020</v>
      </c>
      <c r="B3047" s="3" t="s">
        <v>1245</v>
      </c>
      <c r="C3047" s="7" t="s">
        <v>1617</v>
      </c>
      <c r="D3047" s="7" t="s">
        <v>221</v>
      </c>
      <c r="F3047" s="7" t="s">
        <v>300</v>
      </c>
      <c r="G3047" s="7" t="s">
        <v>1572</v>
      </c>
      <c r="H3047" s="7" t="s">
        <v>1362</v>
      </c>
      <c r="I3047" s="7" t="s">
        <v>1245</v>
      </c>
      <c r="K3047" s="39" t="s">
        <v>202</v>
      </c>
      <c r="L3047" s="40">
        <v>99.24</v>
      </c>
      <c r="M3047" s="40">
        <v>3392.12</v>
      </c>
      <c r="N3047" s="40">
        <f t="shared" si="120"/>
        <v>99.24</v>
      </c>
    </row>
    <row r="3048" spans="1:14" ht="12.75" hidden="1" customHeight="1" x14ac:dyDescent="0.2">
      <c r="A3048">
        <v>65020</v>
      </c>
      <c r="B3048" s="3" t="s">
        <v>1245</v>
      </c>
      <c r="C3048" s="7" t="s">
        <v>1619</v>
      </c>
      <c r="D3048" s="7" t="s">
        <v>221</v>
      </c>
      <c r="F3048" s="7" t="s">
        <v>300</v>
      </c>
      <c r="G3048" s="7" t="s">
        <v>1572</v>
      </c>
      <c r="H3048" s="7" t="s">
        <v>1362</v>
      </c>
      <c r="I3048" s="7" t="s">
        <v>1245</v>
      </c>
      <c r="K3048" s="39" t="s">
        <v>202</v>
      </c>
      <c r="L3048" s="40">
        <v>28.36</v>
      </c>
      <c r="M3048" s="40">
        <v>3420.48</v>
      </c>
      <c r="N3048" s="40">
        <f t="shared" si="120"/>
        <v>28.36</v>
      </c>
    </row>
    <row r="3049" spans="1:14" ht="12.75" hidden="1" customHeight="1" x14ac:dyDescent="0.2">
      <c r="A3049">
        <v>65036</v>
      </c>
      <c r="B3049" s="3" t="s">
        <v>1249</v>
      </c>
      <c r="C3049" s="7" t="s">
        <v>1570</v>
      </c>
      <c r="D3049" s="7" t="s">
        <v>221</v>
      </c>
      <c r="F3049" s="7" t="s">
        <v>1020</v>
      </c>
      <c r="G3049" s="7" t="s">
        <v>1572</v>
      </c>
      <c r="H3049" s="7" t="s">
        <v>1362</v>
      </c>
      <c r="I3049" s="7" t="s">
        <v>1249</v>
      </c>
      <c r="K3049" s="39" t="s">
        <v>202</v>
      </c>
      <c r="L3049" s="40">
        <v>53.5</v>
      </c>
      <c r="M3049" s="40">
        <v>5372.46</v>
      </c>
      <c r="N3049" s="40">
        <f t="shared" si="120"/>
        <v>53.5</v>
      </c>
    </row>
    <row r="3050" spans="1:14" ht="12.75" hidden="1" customHeight="1" x14ac:dyDescent="0.2">
      <c r="A3050">
        <v>65036</v>
      </c>
      <c r="B3050" s="3" t="s">
        <v>1249</v>
      </c>
      <c r="C3050" s="7" t="s">
        <v>1570</v>
      </c>
      <c r="D3050" s="7" t="s">
        <v>221</v>
      </c>
      <c r="F3050" s="7" t="s">
        <v>924</v>
      </c>
      <c r="G3050" s="7" t="s">
        <v>1572</v>
      </c>
      <c r="H3050" s="7" t="s">
        <v>1362</v>
      </c>
      <c r="I3050" s="7" t="s">
        <v>1249</v>
      </c>
      <c r="K3050" s="39" t="s">
        <v>202</v>
      </c>
      <c r="L3050" s="40">
        <v>26.25</v>
      </c>
      <c r="M3050" s="40">
        <v>5398.71</v>
      </c>
      <c r="N3050" s="40">
        <f t="shared" si="120"/>
        <v>26.25</v>
      </c>
    </row>
    <row r="3051" spans="1:14" ht="12.75" hidden="1" customHeight="1" x14ac:dyDescent="0.2">
      <c r="A3051">
        <v>65040</v>
      </c>
      <c r="B3051" s="3" t="s">
        <v>1836</v>
      </c>
      <c r="C3051" s="7" t="s">
        <v>1565</v>
      </c>
      <c r="D3051" s="7" t="s">
        <v>221</v>
      </c>
      <c r="F3051" s="7" t="s">
        <v>241</v>
      </c>
      <c r="G3051" s="7" t="s">
        <v>1572</v>
      </c>
      <c r="H3051" s="7" t="s">
        <v>1362</v>
      </c>
      <c r="I3051" s="7" t="s">
        <v>1250</v>
      </c>
      <c r="K3051" s="39" t="s">
        <v>202</v>
      </c>
      <c r="L3051" s="40">
        <v>97.66</v>
      </c>
      <c r="M3051" s="40">
        <v>2169.64</v>
      </c>
      <c r="N3051" s="40">
        <f t="shared" si="120"/>
        <v>97.66</v>
      </c>
    </row>
    <row r="3052" spans="1:14" ht="12.75" hidden="1" customHeight="1" x14ac:dyDescent="0.2">
      <c r="A3052">
        <v>65040</v>
      </c>
      <c r="B3052" s="3" t="s">
        <v>1836</v>
      </c>
      <c r="C3052" s="7" t="s">
        <v>1663</v>
      </c>
      <c r="D3052" s="7" t="s">
        <v>221</v>
      </c>
      <c r="F3052" s="7" t="s">
        <v>234</v>
      </c>
      <c r="G3052" s="7" t="s">
        <v>1572</v>
      </c>
      <c r="H3052" s="7" t="s">
        <v>1362</v>
      </c>
      <c r="I3052" s="7" t="s">
        <v>1250</v>
      </c>
      <c r="K3052" s="39" t="s">
        <v>202</v>
      </c>
      <c r="L3052" s="40">
        <v>11.22</v>
      </c>
      <c r="M3052" s="40">
        <v>2605.7199999999998</v>
      </c>
      <c r="N3052" s="40">
        <f t="shared" si="120"/>
        <v>11.22</v>
      </c>
    </row>
    <row r="3053" spans="1:14" ht="12.75" hidden="1" customHeight="1" x14ac:dyDescent="0.2">
      <c r="A3053">
        <v>65040</v>
      </c>
      <c r="B3053" s="3" t="s">
        <v>1836</v>
      </c>
      <c r="C3053" s="7" t="s">
        <v>1648</v>
      </c>
      <c r="D3053" s="7" t="s">
        <v>200</v>
      </c>
      <c r="E3053" s="7">
        <v>1068</v>
      </c>
      <c r="F3053" s="7" t="s">
        <v>1839</v>
      </c>
      <c r="G3053" s="7" t="s">
        <v>1572</v>
      </c>
      <c r="H3053" s="7" t="s">
        <v>1369</v>
      </c>
      <c r="I3053" s="7" t="s">
        <v>1250</v>
      </c>
      <c r="K3053" s="39" t="s">
        <v>202</v>
      </c>
      <c r="L3053" s="40">
        <v>55.51</v>
      </c>
      <c r="M3053" s="40">
        <v>3189.22</v>
      </c>
      <c r="N3053" s="40">
        <f t="shared" si="120"/>
        <v>55.51</v>
      </c>
    </row>
    <row r="3054" spans="1:14" ht="12.75" hidden="1" customHeight="1" x14ac:dyDescent="0.2">
      <c r="A3054">
        <v>65061</v>
      </c>
      <c r="B3054" s="3" t="s">
        <v>1844</v>
      </c>
      <c r="C3054" s="7" t="s">
        <v>1793</v>
      </c>
      <c r="D3054" s="7" t="s">
        <v>221</v>
      </c>
      <c r="F3054" s="7" t="s">
        <v>694</v>
      </c>
      <c r="G3054" s="7" t="s">
        <v>1572</v>
      </c>
      <c r="H3054" s="7" t="s">
        <v>1362</v>
      </c>
      <c r="I3054" s="7" t="s">
        <v>1253</v>
      </c>
      <c r="K3054" s="39" t="s">
        <v>202</v>
      </c>
      <c r="L3054" s="40">
        <v>157.51</v>
      </c>
      <c r="M3054" s="40">
        <v>215518.87</v>
      </c>
      <c r="N3054" s="40">
        <f t="shared" si="120"/>
        <v>157.51</v>
      </c>
    </row>
    <row r="3055" spans="1:14" ht="12.75" hidden="1" customHeight="1" x14ac:dyDescent="0.2">
      <c r="A3055">
        <v>65061</v>
      </c>
      <c r="B3055" s="3" t="s">
        <v>1844</v>
      </c>
      <c r="C3055" s="7" t="s">
        <v>1793</v>
      </c>
      <c r="D3055" s="7" t="s">
        <v>221</v>
      </c>
      <c r="F3055" s="7" t="s">
        <v>546</v>
      </c>
      <c r="G3055" s="7" t="s">
        <v>1572</v>
      </c>
      <c r="H3055" s="7" t="s">
        <v>1362</v>
      </c>
      <c r="I3055" s="7" t="s">
        <v>1253</v>
      </c>
      <c r="K3055" s="39" t="s">
        <v>202</v>
      </c>
      <c r="L3055" s="40">
        <v>26.14</v>
      </c>
      <c r="M3055" s="40">
        <v>215545.01</v>
      </c>
      <c r="N3055" s="40">
        <f t="shared" si="120"/>
        <v>26.14</v>
      </c>
    </row>
    <row r="3056" spans="1:14" ht="12.75" hidden="1" customHeight="1" x14ac:dyDescent="0.2">
      <c r="A3056">
        <v>65061</v>
      </c>
      <c r="B3056" s="3" t="s">
        <v>1844</v>
      </c>
      <c r="C3056" s="7" t="s">
        <v>1567</v>
      </c>
      <c r="D3056" s="7" t="s">
        <v>221</v>
      </c>
      <c r="F3056" s="7" t="s">
        <v>241</v>
      </c>
      <c r="G3056" s="7" t="s">
        <v>1572</v>
      </c>
      <c r="H3056" s="7" t="s">
        <v>1362</v>
      </c>
      <c r="I3056" s="7" t="s">
        <v>1253</v>
      </c>
      <c r="K3056" s="39" t="s">
        <v>202</v>
      </c>
      <c r="L3056" s="40">
        <v>55.91</v>
      </c>
      <c r="M3056" s="40">
        <v>217227.88</v>
      </c>
      <c r="N3056" s="40">
        <f t="shared" si="120"/>
        <v>55.91</v>
      </c>
    </row>
    <row r="3057" spans="1:14" ht="12.75" hidden="1" customHeight="1" x14ac:dyDescent="0.2">
      <c r="A3057">
        <v>65061</v>
      </c>
      <c r="B3057" s="3" t="s">
        <v>1844</v>
      </c>
      <c r="C3057" s="7" t="s">
        <v>1569</v>
      </c>
      <c r="D3057" s="7" t="s">
        <v>221</v>
      </c>
      <c r="F3057" s="7" t="s">
        <v>546</v>
      </c>
      <c r="G3057" s="7" t="s">
        <v>1572</v>
      </c>
      <c r="H3057" s="7" t="s">
        <v>1362</v>
      </c>
      <c r="I3057" s="7" t="s">
        <v>1253</v>
      </c>
      <c r="K3057" s="39" t="s">
        <v>202</v>
      </c>
      <c r="L3057" s="40">
        <v>7.53</v>
      </c>
      <c r="M3057" s="40">
        <v>219492.24</v>
      </c>
      <c r="N3057" s="40">
        <f t="shared" si="120"/>
        <v>7.53</v>
      </c>
    </row>
    <row r="3058" spans="1:14" ht="12.75" hidden="1" customHeight="1" x14ac:dyDescent="0.2">
      <c r="A3058">
        <v>65061</v>
      </c>
      <c r="B3058" s="3" t="s">
        <v>1844</v>
      </c>
      <c r="C3058" s="7" t="s">
        <v>1569</v>
      </c>
      <c r="D3058" s="7" t="s">
        <v>221</v>
      </c>
      <c r="F3058" s="7" t="s">
        <v>546</v>
      </c>
      <c r="G3058" s="7" t="s">
        <v>1572</v>
      </c>
      <c r="H3058" s="7" t="s">
        <v>1362</v>
      </c>
      <c r="I3058" s="7" t="s">
        <v>1253</v>
      </c>
      <c r="K3058" s="39" t="s">
        <v>202</v>
      </c>
      <c r="L3058" s="40">
        <v>265.23</v>
      </c>
      <c r="M3058" s="40">
        <v>219757.47</v>
      </c>
      <c r="N3058" s="40">
        <f t="shared" si="120"/>
        <v>265.23</v>
      </c>
    </row>
    <row r="3059" spans="1:14" ht="12.75" hidden="1" customHeight="1" x14ac:dyDescent="0.2">
      <c r="A3059">
        <v>65061</v>
      </c>
      <c r="B3059" s="3" t="s">
        <v>1844</v>
      </c>
      <c r="C3059" s="7" t="s">
        <v>1570</v>
      </c>
      <c r="D3059" s="7" t="s">
        <v>221</v>
      </c>
      <c r="F3059" s="7" t="s">
        <v>1877</v>
      </c>
      <c r="G3059" s="7" t="s">
        <v>1572</v>
      </c>
      <c r="H3059" s="7" t="s">
        <v>1362</v>
      </c>
      <c r="I3059" s="7" t="s">
        <v>1253</v>
      </c>
      <c r="K3059" s="39" t="s">
        <v>202</v>
      </c>
      <c r="L3059" s="40">
        <v>4.58</v>
      </c>
      <c r="M3059" s="40">
        <v>222236.88</v>
      </c>
      <c r="N3059" s="40">
        <f t="shared" si="120"/>
        <v>4.58</v>
      </c>
    </row>
    <row r="3060" spans="1:14" ht="12.75" hidden="1" customHeight="1" x14ac:dyDescent="0.2">
      <c r="A3060">
        <v>65061</v>
      </c>
      <c r="B3060" s="3" t="s">
        <v>1844</v>
      </c>
      <c r="C3060" s="7" t="s">
        <v>1570</v>
      </c>
      <c r="D3060" s="7" t="s">
        <v>221</v>
      </c>
      <c r="F3060" s="7" t="s">
        <v>546</v>
      </c>
      <c r="G3060" s="7" t="s">
        <v>1572</v>
      </c>
      <c r="H3060" s="7" t="s">
        <v>1362</v>
      </c>
      <c r="I3060" s="7" t="s">
        <v>1253</v>
      </c>
      <c r="K3060" s="39" t="s">
        <v>202</v>
      </c>
      <c r="L3060" s="40">
        <v>25.49</v>
      </c>
      <c r="M3060" s="40">
        <v>222262.37</v>
      </c>
      <c r="N3060" s="40">
        <f t="shared" si="120"/>
        <v>25.49</v>
      </c>
    </row>
    <row r="3061" spans="1:14" ht="12.75" hidden="1" customHeight="1" x14ac:dyDescent="0.2">
      <c r="A3061">
        <v>65061</v>
      </c>
      <c r="B3061" s="3" t="s">
        <v>1844</v>
      </c>
      <c r="C3061" s="7" t="s">
        <v>1575</v>
      </c>
      <c r="D3061" s="7" t="s">
        <v>242</v>
      </c>
      <c r="F3061" s="7" t="s">
        <v>1850</v>
      </c>
      <c r="G3061" s="7" t="s">
        <v>1572</v>
      </c>
      <c r="H3061" s="7" t="s">
        <v>1362</v>
      </c>
      <c r="I3061" s="7" t="s">
        <v>1253</v>
      </c>
      <c r="K3061" s="39" t="s">
        <v>202</v>
      </c>
      <c r="L3061" s="40">
        <v>-124.02</v>
      </c>
      <c r="M3061" s="40">
        <v>226071.81</v>
      </c>
      <c r="N3061" s="40">
        <f t="shared" si="120"/>
        <v>-124.02</v>
      </c>
    </row>
    <row r="3062" spans="1:14" ht="12.75" hidden="1" customHeight="1" x14ac:dyDescent="0.2">
      <c r="A3062">
        <v>65061</v>
      </c>
      <c r="B3062" s="3" t="s">
        <v>1844</v>
      </c>
      <c r="C3062" s="7" t="s">
        <v>1578</v>
      </c>
      <c r="D3062" s="7" t="s">
        <v>200</v>
      </c>
      <c r="E3062" s="7">
        <v>1065</v>
      </c>
      <c r="F3062" s="7" t="s">
        <v>1885</v>
      </c>
      <c r="G3062" s="7" t="s">
        <v>1572</v>
      </c>
      <c r="H3062" s="7" t="s">
        <v>1362</v>
      </c>
      <c r="I3062" s="7" t="s">
        <v>1253</v>
      </c>
      <c r="K3062" s="39" t="s">
        <v>202</v>
      </c>
      <c r="L3062" s="40">
        <v>25</v>
      </c>
      <c r="M3062" s="40">
        <v>232717.63</v>
      </c>
      <c r="N3062" s="40">
        <f t="shared" si="120"/>
        <v>25</v>
      </c>
    </row>
    <row r="3063" spans="1:14" ht="12.75" hidden="1" customHeight="1" x14ac:dyDescent="0.2">
      <c r="A3063">
        <v>65061</v>
      </c>
      <c r="B3063" s="3" t="s">
        <v>1844</v>
      </c>
      <c r="C3063" s="7" t="s">
        <v>1744</v>
      </c>
      <c r="D3063" s="7" t="s">
        <v>200</v>
      </c>
      <c r="E3063" s="7">
        <v>1066</v>
      </c>
      <c r="F3063" s="7" t="s">
        <v>903</v>
      </c>
      <c r="G3063" s="7" t="s">
        <v>1572</v>
      </c>
      <c r="H3063" s="7" t="s">
        <v>1362</v>
      </c>
      <c r="I3063" s="7" t="s">
        <v>1253</v>
      </c>
      <c r="K3063" s="39" t="s">
        <v>202</v>
      </c>
      <c r="L3063" s="40">
        <v>114.03</v>
      </c>
      <c r="M3063" s="40">
        <v>243405.68</v>
      </c>
      <c r="N3063" s="40">
        <f t="shared" si="120"/>
        <v>114.03</v>
      </c>
    </row>
    <row r="3064" spans="1:14" ht="12.75" hidden="1" customHeight="1" x14ac:dyDescent="0.2">
      <c r="A3064">
        <v>65061</v>
      </c>
      <c r="B3064" s="3" t="s">
        <v>1844</v>
      </c>
      <c r="C3064" s="7" t="s">
        <v>1608</v>
      </c>
      <c r="D3064" s="7" t="s">
        <v>221</v>
      </c>
      <c r="F3064" s="7" t="s">
        <v>823</v>
      </c>
      <c r="G3064" s="7" t="s">
        <v>1572</v>
      </c>
      <c r="H3064" s="7" t="s">
        <v>1362</v>
      </c>
      <c r="I3064" s="7" t="s">
        <v>1253</v>
      </c>
      <c r="K3064" s="39" t="s">
        <v>202</v>
      </c>
      <c r="L3064" s="40">
        <v>58.85</v>
      </c>
      <c r="M3064" s="40">
        <v>254735.72</v>
      </c>
      <c r="N3064" s="40">
        <f t="shared" si="120"/>
        <v>58.85</v>
      </c>
    </row>
    <row r="3065" spans="1:14" ht="12.75" hidden="1" customHeight="1" x14ac:dyDescent="0.2">
      <c r="A3065">
        <v>65061</v>
      </c>
      <c r="B3065" s="3" t="s">
        <v>1844</v>
      </c>
      <c r="C3065" s="7" t="s">
        <v>1617</v>
      </c>
      <c r="D3065" s="7" t="s">
        <v>242</v>
      </c>
      <c r="F3065" s="7" t="s">
        <v>638</v>
      </c>
      <c r="G3065" s="7" t="s">
        <v>1572</v>
      </c>
      <c r="H3065" s="7" t="s">
        <v>1362</v>
      </c>
      <c r="I3065" s="7" t="s">
        <v>1253</v>
      </c>
      <c r="K3065" s="39" t="s">
        <v>202</v>
      </c>
      <c r="L3065" s="40">
        <v>-72.95</v>
      </c>
      <c r="M3065" s="40">
        <v>270275.87</v>
      </c>
      <c r="N3065" s="40">
        <f t="shared" si="120"/>
        <v>-72.95</v>
      </c>
    </row>
    <row r="3066" spans="1:14" ht="12.75" hidden="1" customHeight="1" x14ac:dyDescent="0.2">
      <c r="A3066">
        <v>65061</v>
      </c>
      <c r="B3066" s="3" t="s">
        <v>1844</v>
      </c>
      <c r="C3066" s="7" t="s">
        <v>1617</v>
      </c>
      <c r="D3066" s="7" t="s">
        <v>221</v>
      </c>
      <c r="F3066" s="7" t="s">
        <v>425</v>
      </c>
      <c r="G3066" s="7" t="s">
        <v>1572</v>
      </c>
      <c r="H3066" s="7" t="s">
        <v>1362</v>
      </c>
      <c r="I3066" s="7" t="s">
        <v>1253</v>
      </c>
      <c r="K3066" s="39" t="s">
        <v>202</v>
      </c>
      <c r="L3066" s="40">
        <v>72.95</v>
      </c>
      <c r="M3066" s="40">
        <v>273828</v>
      </c>
      <c r="N3066" s="40">
        <f t="shared" si="120"/>
        <v>72.95</v>
      </c>
    </row>
    <row r="3067" spans="1:14" ht="12.75" hidden="1" customHeight="1" x14ac:dyDescent="0.2">
      <c r="A3067">
        <v>65061</v>
      </c>
      <c r="B3067" s="3" t="s">
        <v>1844</v>
      </c>
      <c r="C3067" s="7" t="s">
        <v>1626</v>
      </c>
      <c r="D3067" s="7" t="s">
        <v>221</v>
      </c>
      <c r="F3067" s="7" t="s">
        <v>823</v>
      </c>
      <c r="G3067" s="7" t="s">
        <v>1572</v>
      </c>
      <c r="H3067" s="7" t="s">
        <v>1362</v>
      </c>
      <c r="I3067" s="7" t="s">
        <v>1253</v>
      </c>
      <c r="K3067" s="39" t="s">
        <v>202</v>
      </c>
      <c r="L3067" s="40">
        <v>42.8</v>
      </c>
      <c r="M3067" s="40">
        <v>287375.65999999997</v>
      </c>
      <c r="N3067" s="40">
        <f t="shared" si="120"/>
        <v>42.8</v>
      </c>
    </row>
    <row r="3068" spans="1:14" ht="12.75" hidden="1" customHeight="1" x14ac:dyDescent="0.2">
      <c r="A3068">
        <v>65061</v>
      </c>
      <c r="B3068" s="3" t="s">
        <v>1844</v>
      </c>
      <c r="C3068" s="7" t="s">
        <v>1546</v>
      </c>
      <c r="D3068" s="7" t="s">
        <v>221</v>
      </c>
      <c r="F3068" s="7" t="s">
        <v>265</v>
      </c>
      <c r="G3068" s="7" t="s">
        <v>1572</v>
      </c>
      <c r="H3068" s="7" t="s">
        <v>1362</v>
      </c>
      <c r="I3068" s="7" t="s">
        <v>1253</v>
      </c>
      <c r="K3068" s="39" t="s">
        <v>202</v>
      </c>
      <c r="L3068" s="40">
        <v>69.989999999999995</v>
      </c>
      <c r="M3068" s="40">
        <v>289003.14</v>
      </c>
      <c r="N3068" s="40">
        <f t="shared" si="120"/>
        <v>69.989999999999995</v>
      </c>
    </row>
    <row r="3069" spans="1:14" ht="12.75" hidden="1" customHeight="1" x14ac:dyDescent="0.2">
      <c r="A3069">
        <v>65061</v>
      </c>
      <c r="B3069" s="3" t="s">
        <v>1844</v>
      </c>
      <c r="C3069" s="7" t="s">
        <v>1546</v>
      </c>
      <c r="D3069" s="7" t="s">
        <v>221</v>
      </c>
      <c r="F3069" s="7" t="s">
        <v>265</v>
      </c>
      <c r="G3069" s="7" t="s">
        <v>1572</v>
      </c>
      <c r="H3069" s="7" t="s">
        <v>1362</v>
      </c>
      <c r="I3069" s="7" t="s">
        <v>1253</v>
      </c>
      <c r="K3069" s="39" t="s">
        <v>202</v>
      </c>
      <c r="L3069" s="40">
        <v>55</v>
      </c>
      <c r="M3069" s="40">
        <v>289058.14</v>
      </c>
      <c r="N3069" s="40">
        <f t="shared" si="120"/>
        <v>55</v>
      </c>
    </row>
    <row r="3070" spans="1:14" ht="12.75" hidden="1" customHeight="1" x14ac:dyDescent="0.2">
      <c r="A3070">
        <v>65061</v>
      </c>
      <c r="B3070" s="3" t="s">
        <v>1844</v>
      </c>
      <c r="C3070" s="7" t="s">
        <v>1631</v>
      </c>
      <c r="D3070" s="7" t="s">
        <v>242</v>
      </c>
      <c r="F3070" s="7" t="s">
        <v>638</v>
      </c>
      <c r="G3070" s="7" t="s">
        <v>1572</v>
      </c>
      <c r="H3070" s="7" t="s">
        <v>1362</v>
      </c>
      <c r="I3070" s="7" t="s">
        <v>1253</v>
      </c>
      <c r="J3070" s="39" t="s">
        <v>1969</v>
      </c>
      <c r="K3070" s="39" t="s">
        <v>202</v>
      </c>
      <c r="L3070" s="40">
        <v>-113.97</v>
      </c>
      <c r="M3070" s="40">
        <v>290127.17</v>
      </c>
      <c r="N3070" s="40">
        <f t="shared" si="120"/>
        <v>-113.97</v>
      </c>
    </row>
    <row r="3071" spans="1:14" ht="12.75" hidden="1" customHeight="1" x14ac:dyDescent="0.2">
      <c r="A3071">
        <v>65061</v>
      </c>
      <c r="B3071" s="3" t="s">
        <v>1844</v>
      </c>
      <c r="C3071" s="7" t="s">
        <v>1631</v>
      </c>
      <c r="D3071" s="7" t="s">
        <v>242</v>
      </c>
      <c r="F3071" s="7" t="s">
        <v>638</v>
      </c>
      <c r="G3071" s="7" t="s">
        <v>1572</v>
      </c>
      <c r="H3071" s="7" t="s">
        <v>1362</v>
      </c>
      <c r="I3071" s="7" t="s">
        <v>1253</v>
      </c>
      <c r="J3071" s="39" t="s">
        <v>1969</v>
      </c>
      <c r="K3071" s="39" t="s">
        <v>202</v>
      </c>
      <c r="L3071" s="40">
        <v>-72.95</v>
      </c>
      <c r="M3071" s="40">
        <v>290054.21999999997</v>
      </c>
      <c r="N3071" s="40">
        <f t="shared" si="120"/>
        <v>-72.95</v>
      </c>
    </row>
    <row r="3072" spans="1:14" ht="12.75" hidden="1" customHeight="1" x14ac:dyDescent="0.2">
      <c r="A3072">
        <v>65061</v>
      </c>
      <c r="B3072" s="3" t="s">
        <v>1844</v>
      </c>
      <c r="C3072" s="7" t="s">
        <v>1789</v>
      </c>
      <c r="D3072" s="7" t="s">
        <v>200</v>
      </c>
      <c r="E3072" s="7">
        <v>1067</v>
      </c>
      <c r="F3072" s="7" t="s">
        <v>366</v>
      </c>
      <c r="G3072" s="7" t="s">
        <v>1572</v>
      </c>
      <c r="H3072" s="7" t="s">
        <v>1362</v>
      </c>
      <c r="I3072" s="7" t="s">
        <v>1253</v>
      </c>
      <c r="K3072" s="39" t="s">
        <v>202</v>
      </c>
      <c r="L3072" s="40">
        <v>50</v>
      </c>
      <c r="M3072" s="40">
        <v>295263.57</v>
      </c>
      <c r="N3072" s="40">
        <f t="shared" si="120"/>
        <v>50</v>
      </c>
    </row>
    <row r="3073" spans="1:14" ht="12.75" hidden="1" customHeight="1" x14ac:dyDescent="0.2">
      <c r="A3073">
        <v>65061</v>
      </c>
      <c r="B3073" s="3" t="s">
        <v>1844</v>
      </c>
      <c r="C3073" s="7" t="s">
        <v>1638</v>
      </c>
      <c r="D3073" s="7" t="s">
        <v>221</v>
      </c>
      <c r="F3073" s="7" t="s">
        <v>546</v>
      </c>
      <c r="G3073" s="7" t="s">
        <v>1572</v>
      </c>
      <c r="H3073" s="7" t="s">
        <v>1362</v>
      </c>
      <c r="I3073" s="7" t="s">
        <v>1253</v>
      </c>
      <c r="K3073" s="39" t="s">
        <v>202</v>
      </c>
      <c r="L3073" s="40">
        <v>84.47</v>
      </c>
      <c r="M3073" s="40">
        <v>296323.27</v>
      </c>
      <c r="N3073" s="40">
        <f t="shared" si="120"/>
        <v>84.47</v>
      </c>
    </row>
    <row r="3074" spans="1:14" ht="12.75" hidden="1" customHeight="1" x14ac:dyDescent="0.2">
      <c r="A3074">
        <v>65061</v>
      </c>
      <c r="B3074" s="3" t="s">
        <v>1844</v>
      </c>
      <c r="C3074" s="7" t="s">
        <v>1638</v>
      </c>
      <c r="D3074" s="7" t="s">
        <v>221</v>
      </c>
      <c r="F3074" s="7" t="s">
        <v>548</v>
      </c>
      <c r="G3074" s="7" t="s">
        <v>1572</v>
      </c>
      <c r="H3074" s="7" t="s">
        <v>1362</v>
      </c>
      <c r="I3074" s="7" t="s">
        <v>1253</v>
      </c>
      <c r="K3074" s="39" t="s">
        <v>202</v>
      </c>
      <c r="L3074" s="40">
        <v>5.31</v>
      </c>
      <c r="M3074" s="40">
        <v>296328.58</v>
      </c>
      <c r="N3074" s="40">
        <f t="shared" si="120"/>
        <v>5.31</v>
      </c>
    </row>
    <row r="3075" spans="1:14" ht="12.75" hidden="1" customHeight="1" x14ac:dyDescent="0.2">
      <c r="A3075">
        <v>65061</v>
      </c>
      <c r="B3075" s="3" t="s">
        <v>1844</v>
      </c>
      <c r="C3075" s="7" t="s">
        <v>1638</v>
      </c>
      <c r="D3075" s="7" t="s">
        <v>221</v>
      </c>
      <c r="F3075" s="7" t="s">
        <v>548</v>
      </c>
      <c r="G3075" s="7" t="s">
        <v>1572</v>
      </c>
      <c r="H3075" s="7" t="s">
        <v>1362</v>
      </c>
      <c r="I3075" s="7" t="s">
        <v>1253</v>
      </c>
      <c r="K3075" s="39" t="s">
        <v>202</v>
      </c>
      <c r="L3075" s="40">
        <v>17.059999999999999</v>
      </c>
      <c r="M3075" s="40">
        <v>296345.64</v>
      </c>
      <c r="N3075" s="40">
        <f t="shared" si="120"/>
        <v>17.059999999999999</v>
      </c>
    </row>
    <row r="3076" spans="1:14" ht="12.75" hidden="1" customHeight="1" x14ac:dyDescent="0.2">
      <c r="A3076">
        <v>65061</v>
      </c>
      <c r="B3076" s="3" t="s">
        <v>1844</v>
      </c>
      <c r="C3076" s="7" t="s">
        <v>1728</v>
      </c>
      <c r="D3076" s="7" t="s">
        <v>200</v>
      </c>
      <c r="E3076" s="7">
        <v>1070</v>
      </c>
      <c r="F3076" s="7" t="s">
        <v>1984</v>
      </c>
      <c r="G3076" s="7" t="s">
        <v>1572</v>
      </c>
      <c r="H3076" s="7" t="s">
        <v>1362</v>
      </c>
      <c r="I3076" s="7" t="s">
        <v>1253</v>
      </c>
      <c r="K3076" s="39" t="s">
        <v>202</v>
      </c>
      <c r="L3076" s="40">
        <v>630.97</v>
      </c>
      <c r="M3076" s="40">
        <v>299385.14</v>
      </c>
      <c r="N3076" s="40">
        <f t="shared" si="120"/>
        <v>630.97</v>
      </c>
    </row>
    <row r="3077" spans="1:14" ht="12.75" hidden="1" customHeight="1" x14ac:dyDescent="0.2">
      <c r="A3077">
        <v>65061</v>
      </c>
      <c r="B3077" s="3" t="s">
        <v>1844</v>
      </c>
      <c r="C3077" s="7" t="s">
        <v>1646</v>
      </c>
      <c r="D3077" s="7" t="s">
        <v>200</v>
      </c>
      <c r="E3077" s="7">
        <v>1069</v>
      </c>
      <c r="F3077" s="7" t="s">
        <v>903</v>
      </c>
      <c r="G3077" s="7" t="s">
        <v>1572</v>
      </c>
      <c r="H3077" s="7" t="s">
        <v>1362</v>
      </c>
      <c r="I3077" s="7" t="s">
        <v>1253</v>
      </c>
      <c r="K3077" s="39" t="s">
        <v>202</v>
      </c>
      <c r="L3077" s="40">
        <v>837.79</v>
      </c>
      <c r="M3077" s="40">
        <v>302631.23</v>
      </c>
      <c r="N3077" s="40">
        <f t="shared" si="120"/>
        <v>837.79</v>
      </c>
    </row>
    <row r="3078" spans="1:14" ht="12.75" hidden="1" customHeight="1" x14ac:dyDescent="0.2">
      <c r="A3078">
        <v>65061</v>
      </c>
      <c r="B3078" s="3" t="s">
        <v>1844</v>
      </c>
      <c r="C3078" s="7" t="s">
        <v>1648</v>
      </c>
      <c r="D3078" s="7" t="s">
        <v>221</v>
      </c>
      <c r="F3078" s="7" t="s">
        <v>425</v>
      </c>
      <c r="G3078" s="7" t="s">
        <v>1572</v>
      </c>
      <c r="H3078" s="7" t="s">
        <v>1362</v>
      </c>
      <c r="I3078" s="7" t="s">
        <v>1253</v>
      </c>
      <c r="K3078" s="39" t="s">
        <v>202</v>
      </c>
      <c r="L3078" s="40">
        <v>40</v>
      </c>
      <c r="M3078" s="40">
        <v>303977.07</v>
      </c>
      <c r="N3078" s="40">
        <f t="shared" si="120"/>
        <v>40</v>
      </c>
    </row>
    <row r="3079" spans="1:14" ht="12.75" hidden="1" customHeight="1" x14ac:dyDescent="0.2">
      <c r="A3079">
        <v>65061</v>
      </c>
      <c r="B3079" s="3" t="s">
        <v>1844</v>
      </c>
      <c r="C3079" s="7" t="s">
        <v>1664</v>
      </c>
      <c r="D3079" s="7" t="s">
        <v>221</v>
      </c>
      <c r="F3079" s="7" t="s">
        <v>1990</v>
      </c>
      <c r="G3079" s="7" t="s">
        <v>1572</v>
      </c>
      <c r="H3079" s="7" t="s">
        <v>1362</v>
      </c>
      <c r="I3079" s="7" t="s">
        <v>1253</v>
      </c>
      <c r="K3079" s="39" t="s">
        <v>202</v>
      </c>
      <c r="L3079" s="40">
        <v>43.02</v>
      </c>
      <c r="M3079" s="40">
        <v>305758.71999999997</v>
      </c>
      <c r="N3079" s="40">
        <f t="shared" si="120"/>
        <v>43.02</v>
      </c>
    </row>
    <row r="3080" spans="1:14" ht="12.75" hidden="1" customHeight="1" x14ac:dyDescent="0.2">
      <c r="A3080">
        <v>65061</v>
      </c>
      <c r="B3080" s="3" t="s">
        <v>1844</v>
      </c>
      <c r="C3080" s="7" t="s">
        <v>1664</v>
      </c>
      <c r="D3080" s="7" t="s">
        <v>221</v>
      </c>
      <c r="F3080" s="7" t="s">
        <v>564</v>
      </c>
      <c r="G3080" s="7" t="s">
        <v>1572</v>
      </c>
      <c r="H3080" s="7" t="s">
        <v>1362</v>
      </c>
      <c r="I3080" s="7" t="s">
        <v>1253</v>
      </c>
      <c r="K3080" s="39" t="s">
        <v>202</v>
      </c>
      <c r="L3080" s="40">
        <v>224.98</v>
      </c>
      <c r="M3080" s="40">
        <v>305983.7</v>
      </c>
      <c r="N3080" s="40">
        <f t="shared" si="120"/>
        <v>224.98</v>
      </c>
    </row>
    <row r="3081" spans="1:14" ht="12.75" hidden="1" customHeight="1" x14ac:dyDescent="0.2">
      <c r="A3081">
        <v>65095</v>
      </c>
      <c r="B3081" s="3" t="s">
        <v>1259</v>
      </c>
      <c r="C3081" s="7" t="s">
        <v>1593</v>
      </c>
      <c r="D3081" s="7" t="s">
        <v>183</v>
      </c>
      <c r="E3081" s="7">
        <v>659</v>
      </c>
      <c r="G3081" s="7" t="s">
        <v>1572</v>
      </c>
      <c r="H3081" s="43" t="s">
        <v>1361</v>
      </c>
      <c r="I3081" s="7" t="s">
        <v>1259</v>
      </c>
      <c r="K3081" s="39" t="s">
        <v>180</v>
      </c>
      <c r="L3081" s="40">
        <v>0.63</v>
      </c>
      <c r="M3081" s="40">
        <v>840.14</v>
      </c>
      <c r="N3081" s="40">
        <f t="shared" si="120"/>
        <v>0.63</v>
      </c>
    </row>
    <row r="3082" spans="1:14" ht="12.75" hidden="1" customHeight="1" x14ac:dyDescent="0.2">
      <c r="A3082">
        <v>67001</v>
      </c>
      <c r="B3082" s="3" t="s">
        <v>1268</v>
      </c>
      <c r="C3082" s="7" t="s">
        <v>1556</v>
      </c>
      <c r="D3082" s="7" t="s">
        <v>221</v>
      </c>
      <c r="F3082" s="7" t="s">
        <v>2025</v>
      </c>
      <c r="G3082" s="7" t="s">
        <v>1572</v>
      </c>
      <c r="H3082" s="70" t="s">
        <v>2129</v>
      </c>
      <c r="I3082" s="7" t="s">
        <v>1268</v>
      </c>
      <c r="J3082" s="39" t="s">
        <v>2026</v>
      </c>
      <c r="K3082" s="39" t="s">
        <v>202</v>
      </c>
      <c r="L3082" s="40">
        <v>57.78</v>
      </c>
      <c r="M3082" s="40">
        <v>60916.01</v>
      </c>
      <c r="N3082" s="40">
        <f t="shared" si="120"/>
        <v>57.78</v>
      </c>
    </row>
    <row r="3083" spans="1:14" ht="12.75" hidden="1" customHeight="1" x14ac:dyDescent="0.2">
      <c r="A3083">
        <v>67001</v>
      </c>
      <c r="B3083" s="3" t="s">
        <v>1268</v>
      </c>
      <c r="C3083" s="7" t="s">
        <v>1737</v>
      </c>
      <c r="D3083" s="7" t="s">
        <v>221</v>
      </c>
      <c r="F3083" s="7" t="s">
        <v>304</v>
      </c>
      <c r="G3083" s="7" t="s">
        <v>1572</v>
      </c>
      <c r="H3083" s="70" t="s">
        <v>2129</v>
      </c>
      <c r="I3083" s="7" t="s">
        <v>1268</v>
      </c>
      <c r="J3083" s="39" t="s">
        <v>2027</v>
      </c>
      <c r="K3083" s="39" t="s">
        <v>202</v>
      </c>
      <c r="L3083" s="40">
        <v>3668.75</v>
      </c>
      <c r="M3083" s="40">
        <v>64584.76</v>
      </c>
      <c r="N3083" s="40">
        <f t="shared" si="120"/>
        <v>3668.75</v>
      </c>
    </row>
    <row r="3084" spans="1:14" ht="12.75" customHeight="1" x14ac:dyDescent="0.2">
      <c r="A3084">
        <v>44000</v>
      </c>
      <c r="B3084" s="3" t="s">
        <v>1229</v>
      </c>
      <c r="C3084" s="7" t="s">
        <v>426</v>
      </c>
      <c r="D3084" s="7" t="s">
        <v>242</v>
      </c>
      <c r="F3084" s="7" t="s">
        <v>665</v>
      </c>
      <c r="G3084" s="7" t="s">
        <v>1572</v>
      </c>
      <c r="H3084" s="7" t="s">
        <v>1359</v>
      </c>
      <c r="I3084" s="7" t="s">
        <v>2148</v>
      </c>
      <c r="J3084" s="7" t="s">
        <v>1130</v>
      </c>
      <c r="K3084" s="7" t="s">
        <v>1129</v>
      </c>
      <c r="L3084" s="11">
        <v>550</v>
      </c>
      <c r="M3084" s="11">
        <v>182868.02</v>
      </c>
      <c r="N3084" s="9">
        <f t="shared" ref="N3084:N3095" si="121">IF(A3084&lt;60000,-L3084,+L3084)</f>
        <v>-550</v>
      </c>
    </row>
    <row r="3085" spans="1:14" ht="12.75" hidden="1" customHeight="1" x14ac:dyDescent="0.2">
      <c r="A3085">
        <v>65025</v>
      </c>
      <c r="B3085" s="3" t="s">
        <v>1246</v>
      </c>
      <c r="C3085" s="7" t="s">
        <v>449</v>
      </c>
      <c r="D3085" s="7" t="s">
        <v>200</v>
      </c>
      <c r="F3085" s="7" t="s">
        <v>446</v>
      </c>
      <c r="G3085" s="7" t="s">
        <v>1557</v>
      </c>
      <c r="H3085" s="7" t="s">
        <v>1362</v>
      </c>
      <c r="I3085" s="7" t="s">
        <v>1246</v>
      </c>
      <c r="K3085" s="7" t="s">
        <v>931</v>
      </c>
      <c r="L3085" s="11">
        <v>15</v>
      </c>
      <c r="M3085" s="11">
        <v>138</v>
      </c>
      <c r="N3085" s="9">
        <f t="shared" si="121"/>
        <v>15</v>
      </c>
    </row>
    <row r="3086" spans="1:14" ht="12.75" hidden="1" customHeight="1" x14ac:dyDescent="0.2">
      <c r="A3086">
        <v>65025</v>
      </c>
      <c r="B3086" s="3" t="s">
        <v>1246</v>
      </c>
      <c r="C3086" s="7" t="s">
        <v>379</v>
      </c>
      <c r="D3086" s="7" t="s">
        <v>200</v>
      </c>
      <c r="F3086" s="7" t="s">
        <v>446</v>
      </c>
      <c r="G3086" s="7" t="s">
        <v>1557</v>
      </c>
      <c r="H3086" s="7" t="s">
        <v>1362</v>
      </c>
      <c r="I3086" s="7" t="s">
        <v>1246</v>
      </c>
      <c r="K3086" s="7" t="s">
        <v>931</v>
      </c>
      <c r="L3086" s="11">
        <v>15</v>
      </c>
      <c r="M3086" s="11">
        <v>308.2</v>
      </c>
      <c r="N3086" s="9">
        <f t="shared" si="121"/>
        <v>15</v>
      </c>
    </row>
    <row r="3087" spans="1:14" ht="12.75" hidden="1" customHeight="1" x14ac:dyDescent="0.2">
      <c r="A3087">
        <v>65025</v>
      </c>
      <c r="B3087" s="3" t="s">
        <v>1246</v>
      </c>
      <c r="C3087" s="7" t="s">
        <v>334</v>
      </c>
      <c r="D3087" s="7" t="s">
        <v>200</v>
      </c>
      <c r="F3087" s="7" t="s">
        <v>446</v>
      </c>
      <c r="G3087" s="7" t="s">
        <v>1557</v>
      </c>
      <c r="H3087" s="7" t="s">
        <v>1362</v>
      </c>
      <c r="I3087" s="7" t="s">
        <v>1246</v>
      </c>
      <c r="K3087" s="7" t="s">
        <v>931</v>
      </c>
      <c r="L3087" s="11">
        <v>15</v>
      </c>
      <c r="M3087" s="11">
        <v>472.72</v>
      </c>
      <c r="N3087" s="9">
        <f t="shared" si="121"/>
        <v>15</v>
      </c>
    </row>
    <row r="3088" spans="1:14" ht="12.75" hidden="1" customHeight="1" x14ac:dyDescent="0.2">
      <c r="A3088">
        <v>65025</v>
      </c>
      <c r="B3088" s="3" t="s">
        <v>1246</v>
      </c>
      <c r="C3088" s="7" t="s">
        <v>406</v>
      </c>
      <c r="D3088" s="7" t="s">
        <v>200</v>
      </c>
      <c r="F3088" s="7" t="s">
        <v>446</v>
      </c>
      <c r="G3088" s="7" t="s">
        <v>1557</v>
      </c>
      <c r="H3088" s="7" t="s">
        <v>1362</v>
      </c>
      <c r="I3088" s="7" t="s">
        <v>1246</v>
      </c>
      <c r="K3088" s="7" t="s">
        <v>931</v>
      </c>
      <c r="L3088" s="11">
        <v>15</v>
      </c>
      <c r="M3088" s="11">
        <v>733.62</v>
      </c>
      <c r="N3088" s="9">
        <f t="shared" si="121"/>
        <v>15</v>
      </c>
    </row>
    <row r="3089" spans="1:14" ht="12.75" hidden="1" customHeight="1" x14ac:dyDescent="0.2">
      <c r="A3089">
        <v>65025</v>
      </c>
      <c r="B3089" s="3" t="s">
        <v>1246</v>
      </c>
      <c r="C3089" s="7" t="s">
        <v>194</v>
      </c>
      <c r="D3089" s="7" t="s">
        <v>221</v>
      </c>
      <c r="F3089" s="7" t="s">
        <v>446</v>
      </c>
      <c r="G3089" s="7" t="s">
        <v>1557</v>
      </c>
      <c r="H3089" s="7" t="s">
        <v>1362</v>
      </c>
      <c r="I3089" s="7" t="s">
        <v>1246</v>
      </c>
      <c r="K3089" s="7" t="s">
        <v>931</v>
      </c>
      <c r="L3089" s="11">
        <v>15</v>
      </c>
      <c r="M3089" s="11">
        <v>914.33</v>
      </c>
      <c r="N3089" s="9">
        <f t="shared" si="121"/>
        <v>15</v>
      </c>
    </row>
    <row r="3090" spans="1:14" ht="12.75" hidden="1" customHeight="1" x14ac:dyDescent="0.2">
      <c r="A3090">
        <v>65025</v>
      </c>
      <c r="B3090" s="3" t="s">
        <v>1246</v>
      </c>
      <c r="C3090" s="7" t="s">
        <v>222</v>
      </c>
      <c r="D3090" s="7" t="s">
        <v>221</v>
      </c>
      <c r="F3090" s="7" t="s">
        <v>446</v>
      </c>
      <c r="G3090" s="7" t="s">
        <v>1557</v>
      </c>
      <c r="H3090" s="7" t="s">
        <v>1362</v>
      </c>
      <c r="I3090" s="7" t="s">
        <v>1246</v>
      </c>
      <c r="K3090" s="7" t="s">
        <v>931</v>
      </c>
      <c r="L3090" s="11">
        <v>15</v>
      </c>
      <c r="M3090" s="11">
        <v>1384.96</v>
      </c>
      <c r="N3090" s="9">
        <f t="shared" si="121"/>
        <v>15</v>
      </c>
    </row>
    <row r="3091" spans="1:14" ht="12.75" hidden="1" customHeight="1" x14ac:dyDescent="0.2">
      <c r="A3091">
        <v>65061</v>
      </c>
      <c r="B3091" s="3" t="s">
        <v>1253</v>
      </c>
      <c r="C3091" s="7" t="s">
        <v>939</v>
      </c>
      <c r="D3091" s="7" t="s">
        <v>200</v>
      </c>
      <c r="F3091" s="7" t="s">
        <v>620</v>
      </c>
      <c r="G3091" s="7" t="s">
        <v>1557</v>
      </c>
      <c r="H3091" s="7" t="s">
        <v>1362</v>
      </c>
      <c r="I3091" s="7" t="s">
        <v>1253</v>
      </c>
      <c r="K3091" s="7" t="s">
        <v>931</v>
      </c>
      <c r="L3091" s="11">
        <v>64.78</v>
      </c>
      <c r="M3091" s="11">
        <v>21204.81</v>
      </c>
      <c r="N3091" s="9">
        <f t="shared" si="121"/>
        <v>64.78</v>
      </c>
    </row>
    <row r="3092" spans="1:14" ht="12.75" hidden="1" customHeight="1" x14ac:dyDescent="0.2">
      <c r="A3092">
        <v>65061</v>
      </c>
      <c r="B3092" s="3" t="s">
        <v>1253</v>
      </c>
      <c r="C3092" s="7" t="s">
        <v>379</v>
      </c>
      <c r="D3092" s="7" t="s">
        <v>200</v>
      </c>
      <c r="F3092" s="7" t="s">
        <v>570</v>
      </c>
      <c r="G3092" s="7" t="s">
        <v>1557</v>
      </c>
      <c r="H3092" s="7" t="s">
        <v>1362</v>
      </c>
      <c r="I3092" s="7" t="s">
        <v>1253</v>
      </c>
      <c r="K3092" s="7" t="s">
        <v>931</v>
      </c>
      <c r="L3092" s="11">
        <v>125</v>
      </c>
      <c r="M3092" s="11">
        <v>26263.82</v>
      </c>
      <c r="N3092" s="9">
        <f t="shared" si="121"/>
        <v>125</v>
      </c>
    </row>
    <row r="3093" spans="1:14" ht="12.75" hidden="1" customHeight="1" x14ac:dyDescent="0.2">
      <c r="A3093">
        <v>65061</v>
      </c>
      <c r="B3093" s="3" t="s">
        <v>1253</v>
      </c>
      <c r="C3093" s="7" t="s">
        <v>204</v>
      </c>
      <c r="D3093" s="7" t="s">
        <v>200</v>
      </c>
      <c r="E3093" s="7">
        <v>484</v>
      </c>
      <c r="F3093" s="7" t="s">
        <v>554</v>
      </c>
      <c r="G3093" s="7" t="s">
        <v>1557</v>
      </c>
      <c r="H3093" s="7" t="s">
        <v>1362</v>
      </c>
      <c r="I3093" s="7" t="s">
        <v>1253</v>
      </c>
      <c r="J3093" s="7" t="s">
        <v>553</v>
      </c>
      <c r="K3093" s="7" t="s">
        <v>198</v>
      </c>
      <c r="L3093" s="11">
        <v>668.47</v>
      </c>
      <c r="M3093" s="11">
        <v>193965.48</v>
      </c>
      <c r="N3093" s="9">
        <f t="shared" si="121"/>
        <v>668.47</v>
      </c>
    </row>
    <row r="3094" spans="1:14" ht="12.75" hidden="1" customHeight="1" x14ac:dyDescent="0.2">
      <c r="A3094">
        <v>65061</v>
      </c>
      <c r="B3094" s="3" t="s">
        <v>1253</v>
      </c>
      <c r="C3094" s="7" t="s">
        <v>204</v>
      </c>
      <c r="D3094" s="7" t="s">
        <v>200</v>
      </c>
      <c r="E3094" s="7">
        <v>485</v>
      </c>
      <c r="F3094" s="7" t="s">
        <v>552</v>
      </c>
      <c r="G3094" s="7" t="s">
        <v>1557</v>
      </c>
      <c r="H3094" s="7" t="s">
        <v>1362</v>
      </c>
      <c r="I3094" s="7" t="s">
        <v>1253</v>
      </c>
      <c r="J3094" s="7" t="s">
        <v>550</v>
      </c>
      <c r="K3094" s="7" t="s">
        <v>198</v>
      </c>
      <c r="L3094" s="11">
        <v>107.43</v>
      </c>
      <c r="M3094" s="11">
        <v>194072.91</v>
      </c>
      <c r="N3094" s="9">
        <f t="shared" si="121"/>
        <v>107.43</v>
      </c>
    </row>
    <row r="3095" spans="1:14" ht="12.75" customHeight="1" x14ac:dyDescent="0.2">
      <c r="A3095">
        <v>44000</v>
      </c>
      <c r="B3095" s="3" t="s">
        <v>1229</v>
      </c>
      <c r="C3095" s="7" t="s">
        <v>315</v>
      </c>
      <c r="D3095" s="7" t="s">
        <v>183</v>
      </c>
      <c r="E3095" s="7">
        <v>446</v>
      </c>
      <c r="G3095" s="7" t="s">
        <v>1577</v>
      </c>
      <c r="H3095" s="7" t="s">
        <v>1359</v>
      </c>
      <c r="I3095" s="7" t="s">
        <v>2148</v>
      </c>
      <c r="J3095" s="7" t="s">
        <v>425</v>
      </c>
      <c r="K3095" s="7" t="s">
        <v>180</v>
      </c>
      <c r="L3095" s="11">
        <v>270</v>
      </c>
      <c r="M3095" s="11">
        <v>136345</v>
      </c>
      <c r="N3095" s="9">
        <f t="shared" si="121"/>
        <v>-270</v>
      </c>
    </row>
    <row r="3096" spans="1:14" ht="12.75" hidden="1" customHeight="1" x14ac:dyDescent="0.2">
      <c r="A3096">
        <v>65025</v>
      </c>
      <c r="B3096" s="3" t="s">
        <v>1246</v>
      </c>
      <c r="C3096" s="7" t="s">
        <v>1556</v>
      </c>
      <c r="D3096" s="7" t="s">
        <v>221</v>
      </c>
      <c r="F3096" s="7" t="s">
        <v>446</v>
      </c>
      <c r="G3096" s="7" t="s">
        <v>1557</v>
      </c>
      <c r="H3096" s="7" t="s">
        <v>1362</v>
      </c>
      <c r="I3096" s="7" t="s">
        <v>1246</v>
      </c>
      <c r="K3096" s="39" t="s">
        <v>1800</v>
      </c>
      <c r="L3096" s="40">
        <v>15</v>
      </c>
      <c r="M3096" s="40">
        <v>1706.52</v>
      </c>
      <c r="N3096" s="40">
        <f t="shared" ref="N3096:N3102" si="122">+L3096</f>
        <v>15</v>
      </c>
    </row>
    <row r="3097" spans="1:14" ht="12.75" hidden="1" customHeight="1" x14ac:dyDescent="0.2">
      <c r="A3097">
        <v>65025</v>
      </c>
      <c r="B3097" s="3" t="s">
        <v>1246</v>
      </c>
      <c r="C3097" s="7" t="s">
        <v>1803</v>
      </c>
      <c r="D3097" s="7" t="s">
        <v>221</v>
      </c>
      <c r="F3097" s="7" t="s">
        <v>446</v>
      </c>
      <c r="G3097" s="7" t="s">
        <v>1557</v>
      </c>
      <c r="H3097" s="7" t="s">
        <v>1362</v>
      </c>
      <c r="I3097" s="7" t="s">
        <v>1246</v>
      </c>
      <c r="K3097" s="39" t="s">
        <v>1800</v>
      </c>
      <c r="L3097" s="40">
        <v>15</v>
      </c>
      <c r="M3097" s="40">
        <v>2079.17</v>
      </c>
      <c r="N3097" s="40">
        <f t="shared" si="122"/>
        <v>15</v>
      </c>
    </row>
    <row r="3098" spans="1:14" ht="12.75" hidden="1" customHeight="1" x14ac:dyDescent="0.2">
      <c r="A3098">
        <v>65025</v>
      </c>
      <c r="B3098" s="3" t="s">
        <v>1246</v>
      </c>
      <c r="C3098" s="7" t="s">
        <v>1619</v>
      </c>
      <c r="D3098" s="7" t="s">
        <v>221</v>
      </c>
      <c r="F3098" s="7" t="s">
        <v>446</v>
      </c>
      <c r="G3098" s="7" t="s">
        <v>1557</v>
      </c>
      <c r="H3098" s="7" t="s">
        <v>1362</v>
      </c>
      <c r="I3098" s="7" t="s">
        <v>1246</v>
      </c>
      <c r="K3098" s="39" t="s">
        <v>1800</v>
      </c>
      <c r="L3098" s="40">
        <v>15</v>
      </c>
      <c r="M3098" s="40">
        <v>2497.1</v>
      </c>
      <c r="N3098" s="40">
        <f t="shared" si="122"/>
        <v>15</v>
      </c>
    </row>
    <row r="3099" spans="1:14" ht="12.75" hidden="1" customHeight="1" x14ac:dyDescent="0.2">
      <c r="A3099">
        <v>65061</v>
      </c>
      <c r="B3099" s="3" t="s">
        <v>1844</v>
      </c>
      <c r="C3099" s="7" t="s">
        <v>1583</v>
      </c>
      <c r="D3099" s="7" t="s">
        <v>221</v>
      </c>
      <c r="F3099" s="7" t="s">
        <v>620</v>
      </c>
      <c r="G3099" s="7" t="s">
        <v>1557</v>
      </c>
      <c r="H3099" s="7" t="s">
        <v>1362</v>
      </c>
      <c r="I3099" s="7" t="s">
        <v>1253</v>
      </c>
      <c r="K3099" s="39" t="s">
        <v>1800</v>
      </c>
      <c r="L3099" s="40">
        <v>128.08000000000001</v>
      </c>
      <c r="M3099" s="40">
        <v>234562.82</v>
      </c>
      <c r="N3099" s="40">
        <f t="shared" si="122"/>
        <v>128.08000000000001</v>
      </c>
    </row>
    <row r="3100" spans="1:14" ht="12.75" hidden="1" customHeight="1" x14ac:dyDescent="0.2">
      <c r="A3100">
        <v>65061</v>
      </c>
      <c r="B3100" s="3" t="s">
        <v>1844</v>
      </c>
      <c r="C3100" s="7" t="s">
        <v>1553</v>
      </c>
      <c r="D3100" s="7" t="s">
        <v>221</v>
      </c>
      <c r="F3100" s="7" t="s">
        <v>564</v>
      </c>
      <c r="G3100" s="7" t="s">
        <v>1557</v>
      </c>
      <c r="H3100" s="7" t="s">
        <v>1362</v>
      </c>
      <c r="I3100" s="7" t="s">
        <v>1253</v>
      </c>
      <c r="K3100" s="39" t="s">
        <v>1800</v>
      </c>
      <c r="L3100" s="40">
        <v>86.86</v>
      </c>
      <c r="M3100" s="40">
        <v>236114.52</v>
      </c>
      <c r="N3100" s="40">
        <f t="shared" si="122"/>
        <v>86.86</v>
      </c>
    </row>
    <row r="3101" spans="1:14" ht="12.75" hidden="1" customHeight="1" x14ac:dyDescent="0.2">
      <c r="A3101">
        <v>65061</v>
      </c>
      <c r="B3101" s="3" t="s">
        <v>1844</v>
      </c>
      <c r="C3101" s="7" t="s">
        <v>1744</v>
      </c>
      <c r="D3101" s="7" t="s">
        <v>221</v>
      </c>
      <c r="F3101" s="7" t="s">
        <v>564</v>
      </c>
      <c r="G3101" s="7" t="s">
        <v>1557</v>
      </c>
      <c r="H3101" s="7" t="s">
        <v>1362</v>
      </c>
      <c r="I3101" s="7" t="s">
        <v>1253</v>
      </c>
      <c r="K3101" s="39" t="s">
        <v>1800</v>
      </c>
      <c r="L3101" s="40">
        <v>46.88</v>
      </c>
      <c r="M3101" s="40">
        <v>243033.54</v>
      </c>
      <c r="N3101" s="40">
        <f t="shared" si="122"/>
        <v>46.88</v>
      </c>
    </row>
    <row r="3102" spans="1:14" ht="12.75" hidden="1" customHeight="1" x14ac:dyDescent="0.2">
      <c r="A3102">
        <v>65061</v>
      </c>
      <c r="B3102" s="3" t="s">
        <v>1844</v>
      </c>
      <c r="C3102" s="7" t="s">
        <v>1593</v>
      </c>
      <c r="D3102" s="7" t="s">
        <v>221</v>
      </c>
      <c r="F3102" s="7" t="s">
        <v>564</v>
      </c>
      <c r="G3102" s="7" t="s">
        <v>1557</v>
      </c>
      <c r="H3102" s="7" t="s">
        <v>1362</v>
      </c>
      <c r="I3102" s="7" t="s">
        <v>1253</v>
      </c>
      <c r="K3102" s="39" t="s">
        <v>1800</v>
      </c>
      <c r="L3102" s="40">
        <v>207.72</v>
      </c>
      <c r="M3102" s="40">
        <v>243736.19</v>
      </c>
      <c r="N3102" s="40">
        <f t="shared" si="122"/>
        <v>207.72</v>
      </c>
    </row>
    <row r="3103" spans="1:14" ht="12.75" customHeight="1" x14ac:dyDescent="0.2">
      <c r="A3103">
        <v>44000</v>
      </c>
      <c r="B3103" s="3" t="s">
        <v>1229</v>
      </c>
      <c r="C3103" s="7" t="s">
        <v>855</v>
      </c>
      <c r="D3103" s="7" t="s">
        <v>242</v>
      </c>
      <c r="F3103" s="7" t="s">
        <v>665</v>
      </c>
      <c r="G3103" s="7" t="s">
        <v>1577</v>
      </c>
      <c r="H3103" s="7" t="s">
        <v>1359</v>
      </c>
      <c r="I3103" s="7" t="s">
        <v>2148</v>
      </c>
      <c r="K3103" s="7" t="s">
        <v>1141</v>
      </c>
      <c r="L3103" s="11">
        <v>80</v>
      </c>
      <c r="M3103" s="11">
        <v>136425</v>
      </c>
      <c r="N3103" s="9">
        <f t="shared" ref="N3103:N3108" si="123">IF(A3103&lt;60000,-L3103,+L3103)</f>
        <v>-80</v>
      </c>
    </row>
    <row r="3104" spans="1:14" ht="12.75" customHeight="1" x14ac:dyDescent="0.2">
      <c r="A3104">
        <v>44000</v>
      </c>
      <c r="B3104" s="3" t="s">
        <v>1229</v>
      </c>
      <c r="C3104" s="7" t="s">
        <v>308</v>
      </c>
      <c r="D3104" s="7" t="s">
        <v>183</v>
      </c>
      <c r="E3104" s="7">
        <v>466</v>
      </c>
      <c r="G3104" s="7" t="s">
        <v>1577</v>
      </c>
      <c r="H3104" s="7" t="s">
        <v>1359</v>
      </c>
      <c r="I3104" s="7" t="s">
        <v>2148</v>
      </c>
      <c r="J3104" s="7" t="s">
        <v>425</v>
      </c>
      <c r="K3104" s="7" t="s">
        <v>180</v>
      </c>
      <c r="L3104" s="11">
        <v>770</v>
      </c>
      <c r="M3104" s="11">
        <v>141895</v>
      </c>
      <c r="N3104" s="9">
        <f t="shared" si="123"/>
        <v>-770</v>
      </c>
    </row>
    <row r="3105" spans="1:14" ht="12.75" customHeight="1" x14ac:dyDescent="0.2">
      <c r="A3105">
        <v>44000</v>
      </c>
      <c r="B3105" s="3" t="s">
        <v>1229</v>
      </c>
      <c r="C3105" s="7" t="s">
        <v>305</v>
      </c>
      <c r="D3105" s="7" t="s">
        <v>242</v>
      </c>
      <c r="F3105" s="7" t="s">
        <v>665</v>
      </c>
      <c r="G3105" s="7" t="s">
        <v>1577</v>
      </c>
      <c r="H3105" s="7" t="s">
        <v>1359</v>
      </c>
      <c r="I3105" s="7" t="s">
        <v>2148</v>
      </c>
      <c r="J3105" s="7" t="s">
        <v>318</v>
      </c>
      <c r="K3105" s="7" t="s">
        <v>1141</v>
      </c>
      <c r="L3105" s="11">
        <v>80</v>
      </c>
      <c r="M3105" s="11">
        <v>150572.93</v>
      </c>
      <c r="N3105" s="9">
        <f t="shared" si="123"/>
        <v>-80</v>
      </c>
    </row>
    <row r="3106" spans="1:14" ht="12.75" customHeight="1" x14ac:dyDescent="0.2">
      <c r="A3106">
        <v>44000</v>
      </c>
      <c r="B3106" s="3" t="s">
        <v>1229</v>
      </c>
      <c r="C3106" s="7" t="s">
        <v>298</v>
      </c>
      <c r="D3106" s="7" t="s">
        <v>183</v>
      </c>
      <c r="E3106" s="7">
        <v>475</v>
      </c>
      <c r="G3106" s="7" t="s">
        <v>1577</v>
      </c>
      <c r="H3106" s="7" t="s">
        <v>1359</v>
      </c>
      <c r="I3106" s="7" t="s">
        <v>2148</v>
      </c>
      <c r="K3106" s="7" t="s">
        <v>180</v>
      </c>
      <c r="L3106" s="11">
        <v>840</v>
      </c>
      <c r="M3106" s="11">
        <v>151412.93</v>
      </c>
      <c r="N3106" s="9">
        <f t="shared" si="123"/>
        <v>-840</v>
      </c>
    </row>
    <row r="3107" spans="1:14" ht="12.75" customHeight="1" x14ac:dyDescent="0.2">
      <c r="A3107">
        <v>44000</v>
      </c>
      <c r="B3107" s="3" t="s">
        <v>1229</v>
      </c>
      <c r="C3107" s="7" t="s">
        <v>290</v>
      </c>
      <c r="D3107" s="7" t="s">
        <v>183</v>
      </c>
      <c r="E3107" s="7">
        <v>479</v>
      </c>
      <c r="G3107" s="7" t="s">
        <v>1577</v>
      </c>
      <c r="H3107" s="7" t="s">
        <v>1359</v>
      </c>
      <c r="I3107" s="7" t="s">
        <v>2148</v>
      </c>
      <c r="J3107" s="7" t="s">
        <v>1147</v>
      </c>
      <c r="K3107" s="7" t="s">
        <v>180</v>
      </c>
      <c r="L3107" s="11">
        <v>562</v>
      </c>
      <c r="M3107" s="11">
        <v>151974.93</v>
      </c>
      <c r="N3107" s="9">
        <f t="shared" si="123"/>
        <v>-562</v>
      </c>
    </row>
    <row r="3108" spans="1:14" ht="12.75" customHeight="1" x14ac:dyDescent="0.2">
      <c r="A3108">
        <v>44000</v>
      </c>
      <c r="B3108" s="3" t="s">
        <v>1229</v>
      </c>
      <c r="C3108" s="7" t="s">
        <v>290</v>
      </c>
      <c r="D3108" s="7" t="s">
        <v>183</v>
      </c>
      <c r="E3108" s="7">
        <v>485</v>
      </c>
      <c r="G3108" s="7" t="s">
        <v>1577</v>
      </c>
      <c r="H3108" s="7" t="s">
        <v>1359</v>
      </c>
      <c r="I3108" s="7" t="s">
        <v>2148</v>
      </c>
      <c r="J3108" s="7" t="s">
        <v>1146</v>
      </c>
      <c r="K3108" s="7" t="s">
        <v>180</v>
      </c>
      <c r="L3108" s="11">
        <v>1707</v>
      </c>
      <c r="M3108" s="11">
        <v>153681.93</v>
      </c>
      <c r="N3108" s="9">
        <f t="shared" si="123"/>
        <v>-1707</v>
      </c>
    </row>
    <row r="3109" spans="1:14" ht="12.75" hidden="1" customHeight="1" x14ac:dyDescent="0.2">
      <c r="A3109">
        <v>65020</v>
      </c>
      <c r="B3109" s="3" t="s">
        <v>1245</v>
      </c>
      <c r="C3109" s="7" t="s">
        <v>1559</v>
      </c>
      <c r="D3109" s="7" t="s">
        <v>221</v>
      </c>
      <c r="F3109" s="7" t="s">
        <v>1047</v>
      </c>
      <c r="G3109" s="7" t="s">
        <v>1577</v>
      </c>
      <c r="H3109" s="7" t="s">
        <v>1362</v>
      </c>
      <c r="I3109" s="7" t="s">
        <v>1245</v>
      </c>
      <c r="K3109" s="39" t="s">
        <v>277</v>
      </c>
      <c r="L3109" s="40">
        <v>5.42</v>
      </c>
      <c r="M3109" s="40">
        <v>1666.81</v>
      </c>
      <c r="N3109" s="40">
        <f t="shared" ref="N3109:N3140" si="124">+L3109</f>
        <v>5.42</v>
      </c>
    </row>
    <row r="3110" spans="1:14" ht="12.75" hidden="1" customHeight="1" x14ac:dyDescent="0.2">
      <c r="A3110">
        <v>65020</v>
      </c>
      <c r="B3110" s="3" t="s">
        <v>1245</v>
      </c>
      <c r="C3110" s="7" t="s">
        <v>1562</v>
      </c>
      <c r="D3110" s="7" t="s">
        <v>221</v>
      </c>
      <c r="F3110" s="7" t="s">
        <v>338</v>
      </c>
      <c r="G3110" s="7" t="s">
        <v>1577</v>
      </c>
      <c r="H3110" s="7" t="s">
        <v>1362</v>
      </c>
      <c r="I3110" s="7" t="s">
        <v>1245</v>
      </c>
      <c r="K3110" s="39" t="s">
        <v>277</v>
      </c>
      <c r="L3110" s="40">
        <v>9.8000000000000007</v>
      </c>
      <c r="M3110" s="40">
        <v>1781.74</v>
      </c>
      <c r="N3110" s="40">
        <f t="shared" si="124"/>
        <v>9.8000000000000007</v>
      </c>
    </row>
    <row r="3111" spans="1:14" ht="12.75" hidden="1" customHeight="1" x14ac:dyDescent="0.2">
      <c r="A3111">
        <v>65020</v>
      </c>
      <c r="B3111" s="3" t="s">
        <v>1245</v>
      </c>
      <c r="C3111" s="7" t="s">
        <v>1591</v>
      </c>
      <c r="D3111" s="7" t="s">
        <v>221</v>
      </c>
      <c r="F3111" s="7" t="s">
        <v>338</v>
      </c>
      <c r="G3111" s="7" t="s">
        <v>1577</v>
      </c>
      <c r="H3111" s="7" t="s">
        <v>1362</v>
      </c>
      <c r="I3111" s="7" t="s">
        <v>1245</v>
      </c>
      <c r="K3111" s="39" t="s">
        <v>277</v>
      </c>
      <c r="L3111" s="40">
        <v>86.45</v>
      </c>
      <c r="M3111" s="40">
        <v>2488.87</v>
      </c>
      <c r="N3111" s="40">
        <f t="shared" si="124"/>
        <v>86.45</v>
      </c>
    </row>
    <row r="3112" spans="1:14" ht="12.75" hidden="1" customHeight="1" x14ac:dyDescent="0.2">
      <c r="A3112">
        <v>65020</v>
      </c>
      <c r="B3112" s="3" t="s">
        <v>1245</v>
      </c>
      <c r="C3112" s="7" t="s">
        <v>1546</v>
      </c>
      <c r="D3112" s="7" t="s">
        <v>221</v>
      </c>
      <c r="F3112" s="7" t="s">
        <v>338</v>
      </c>
      <c r="G3112" s="7" t="s">
        <v>1577</v>
      </c>
      <c r="H3112" s="7" t="s">
        <v>1362</v>
      </c>
      <c r="I3112" s="7" t="s">
        <v>1245</v>
      </c>
      <c r="K3112" s="39" t="s">
        <v>277</v>
      </c>
      <c r="L3112" s="40">
        <v>29.4</v>
      </c>
      <c r="M3112" s="40">
        <v>3474.53</v>
      </c>
      <c r="N3112" s="40">
        <f t="shared" si="124"/>
        <v>29.4</v>
      </c>
    </row>
    <row r="3113" spans="1:14" ht="12.75" hidden="1" customHeight="1" x14ac:dyDescent="0.2">
      <c r="A3113">
        <v>65020</v>
      </c>
      <c r="B3113" s="3" t="s">
        <v>1245</v>
      </c>
      <c r="C3113" s="7" t="s">
        <v>1631</v>
      </c>
      <c r="D3113" s="7" t="s">
        <v>221</v>
      </c>
      <c r="F3113" s="7" t="s">
        <v>338</v>
      </c>
      <c r="G3113" s="7" t="s">
        <v>1577</v>
      </c>
      <c r="H3113" s="7" t="s">
        <v>1362</v>
      </c>
      <c r="I3113" s="7" t="s">
        <v>1245</v>
      </c>
      <c r="K3113" s="39" t="s">
        <v>277</v>
      </c>
      <c r="L3113" s="40">
        <v>3.29</v>
      </c>
      <c r="M3113" s="40">
        <v>3477.82</v>
      </c>
      <c r="N3113" s="40">
        <f t="shared" si="124"/>
        <v>3.29</v>
      </c>
    </row>
    <row r="3114" spans="1:14" ht="12.75" hidden="1" customHeight="1" x14ac:dyDescent="0.2">
      <c r="A3114">
        <v>65030</v>
      </c>
      <c r="B3114" s="3" t="s">
        <v>1247</v>
      </c>
      <c r="C3114" s="7" t="s">
        <v>1543</v>
      </c>
      <c r="D3114" s="7" t="s">
        <v>200</v>
      </c>
      <c r="E3114" s="7">
        <v>524</v>
      </c>
      <c r="F3114" s="7" t="s">
        <v>286</v>
      </c>
      <c r="G3114" s="7" t="s">
        <v>1577</v>
      </c>
      <c r="H3114" s="7" t="s">
        <v>1362</v>
      </c>
      <c r="I3114" s="7" t="s">
        <v>1247</v>
      </c>
      <c r="J3114" s="39" t="s">
        <v>1814</v>
      </c>
      <c r="K3114" s="39" t="s">
        <v>198</v>
      </c>
      <c r="L3114" s="40">
        <v>940.27</v>
      </c>
      <c r="M3114" s="40">
        <v>8298.43</v>
      </c>
      <c r="N3114" s="40">
        <f t="shared" si="124"/>
        <v>940.27</v>
      </c>
    </row>
    <row r="3115" spans="1:14" ht="12.75" hidden="1" customHeight="1" x14ac:dyDescent="0.2">
      <c r="A3115">
        <v>65061</v>
      </c>
      <c r="B3115" s="3" t="s">
        <v>1844</v>
      </c>
      <c r="C3115" s="7" t="s">
        <v>1556</v>
      </c>
      <c r="D3115" s="7" t="s">
        <v>200</v>
      </c>
      <c r="E3115" s="7">
        <v>1230</v>
      </c>
      <c r="F3115" s="7" t="s">
        <v>765</v>
      </c>
      <c r="G3115" s="7" t="s">
        <v>1577</v>
      </c>
      <c r="H3115" s="7" t="s">
        <v>1362</v>
      </c>
      <c r="I3115" s="7" t="s">
        <v>1253</v>
      </c>
      <c r="K3115" s="39" t="s">
        <v>277</v>
      </c>
      <c r="L3115" s="40">
        <v>43.09</v>
      </c>
      <c r="M3115" s="40">
        <v>198850.67</v>
      </c>
      <c r="N3115" s="40">
        <f t="shared" si="124"/>
        <v>43.09</v>
      </c>
    </row>
    <row r="3116" spans="1:14" ht="12.75" hidden="1" customHeight="1" x14ac:dyDescent="0.2">
      <c r="A3116">
        <v>65061</v>
      </c>
      <c r="B3116" s="3" t="s">
        <v>1844</v>
      </c>
      <c r="C3116" s="7" t="s">
        <v>1562</v>
      </c>
      <c r="D3116" s="7" t="s">
        <v>221</v>
      </c>
      <c r="F3116" s="7" t="s">
        <v>265</v>
      </c>
      <c r="G3116" s="7" t="s">
        <v>1577</v>
      </c>
      <c r="H3116" s="7" t="s">
        <v>1362</v>
      </c>
      <c r="I3116" s="7" t="s">
        <v>1253</v>
      </c>
      <c r="K3116" s="39" t="s">
        <v>277</v>
      </c>
      <c r="L3116" s="40">
        <v>8.18</v>
      </c>
      <c r="M3116" s="40">
        <v>209695.73</v>
      </c>
      <c r="N3116" s="40">
        <f t="shared" si="124"/>
        <v>8.18</v>
      </c>
    </row>
    <row r="3117" spans="1:14" ht="12.75" hidden="1" customHeight="1" x14ac:dyDescent="0.2">
      <c r="A3117">
        <v>65061</v>
      </c>
      <c r="B3117" s="3" t="s">
        <v>1844</v>
      </c>
      <c r="C3117" s="7" t="s">
        <v>1562</v>
      </c>
      <c r="D3117" s="7" t="s">
        <v>200</v>
      </c>
      <c r="E3117" s="7">
        <v>1231</v>
      </c>
      <c r="F3117" s="7" t="s">
        <v>606</v>
      </c>
      <c r="G3117" s="7" t="s">
        <v>1577</v>
      </c>
      <c r="H3117" s="7" t="s">
        <v>1362</v>
      </c>
      <c r="I3117" s="7" t="s">
        <v>1253</v>
      </c>
      <c r="K3117" s="39" t="s">
        <v>277</v>
      </c>
      <c r="L3117" s="40">
        <v>677.27</v>
      </c>
      <c r="M3117" s="40">
        <v>210373</v>
      </c>
      <c r="N3117" s="40">
        <f t="shared" si="124"/>
        <v>677.27</v>
      </c>
    </row>
    <row r="3118" spans="1:14" ht="12.75" hidden="1" customHeight="1" x14ac:dyDescent="0.2">
      <c r="A3118">
        <v>65061</v>
      </c>
      <c r="B3118" s="3" t="s">
        <v>1844</v>
      </c>
      <c r="C3118" s="7" t="s">
        <v>1562</v>
      </c>
      <c r="D3118" s="7" t="s">
        <v>221</v>
      </c>
      <c r="F3118" s="7" t="s">
        <v>265</v>
      </c>
      <c r="G3118" s="7" t="s">
        <v>1577</v>
      </c>
      <c r="H3118" s="7" t="s">
        <v>1362</v>
      </c>
      <c r="I3118" s="7" t="s">
        <v>1253</v>
      </c>
      <c r="K3118" s="39" t="s">
        <v>277</v>
      </c>
      <c r="L3118" s="40">
        <v>46.98</v>
      </c>
      <c r="M3118" s="40">
        <v>210419.98</v>
      </c>
      <c r="N3118" s="40">
        <f t="shared" si="124"/>
        <v>46.98</v>
      </c>
    </row>
    <row r="3119" spans="1:14" ht="12.75" hidden="1" customHeight="1" x14ac:dyDescent="0.2">
      <c r="A3119">
        <v>65061</v>
      </c>
      <c r="B3119" s="3" t="s">
        <v>1844</v>
      </c>
      <c r="C3119" s="7" t="s">
        <v>1562</v>
      </c>
      <c r="D3119" s="7" t="s">
        <v>221</v>
      </c>
      <c r="F3119" s="7" t="s">
        <v>906</v>
      </c>
      <c r="G3119" s="7" t="s">
        <v>1577</v>
      </c>
      <c r="H3119" s="7" t="s">
        <v>1362</v>
      </c>
      <c r="I3119" s="7" t="s">
        <v>1253</v>
      </c>
      <c r="K3119" s="39" t="s">
        <v>277</v>
      </c>
      <c r="L3119" s="40">
        <v>19.989999999999998</v>
      </c>
      <c r="M3119" s="40">
        <v>210439.97</v>
      </c>
      <c r="N3119" s="40">
        <f t="shared" si="124"/>
        <v>19.989999999999998</v>
      </c>
    </row>
    <row r="3120" spans="1:14" ht="12.75" hidden="1" customHeight="1" x14ac:dyDescent="0.2">
      <c r="A3120">
        <v>65061</v>
      </c>
      <c r="B3120" s="3" t="s">
        <v>1844</v>
      </c>
      <c r="C3120" s="7" t="s">
        <v>1565</v>
      </c>
      <c r="D3120" s="7" t="s">
        <v>221</v>
      </c>
      <c r="F3120" s="7" t="s">
        <v>625</v>
      </c>
      <c r="G3120" s="7" t="s">
        <v>1577</v>
      </c>
      <c r="H3120" s="7" t="s">
        <v>1362</v>
      </c>
      <c r="I3120" s="7" t="s">
        <v>1253</v>
      </c>
      <c r="K3120" s="39" t="s">
        <v>277</v>
      </c>
      <c r="L3120" s="40">
        <v>99.89</v>
      </c>
      <c r="M3120" s="40">
        <v>214488.93</v>
      </c>
      <c r="N3120" s="40">
        <f t="shared" si="124"/>
        <v>99.89</v>
      </c>
    </row>
    <row r="3121" spans="1:14" ht="12.75" hidden="1" customHeight="1" x14ac:dyDescent="0.2">
      <c r="A3121">
        <v>65061</v>
      </c>
      <c r="B3121" s="3" t="s">
        <v>1844</v>
      </c>
      <c r="C3121" s="7" t="s">
        <v>1565</v>
      </c>
      <c r="D3121" s="7" t="s">
        <v>221</v>
      </c>
      <c r="F3121" s="7" t="s">
        <v>625</v>
      </c>
      <c r="G3121" s="7" t="s">
        <v>1577</v>
      </c>
      <c r="H3121" s="7" t="s">
        <v>1362</v>
      </c>
      <c r="I3121" s="7" t="s">
        <v>1253</v>
      </c>
      <c r="K3121" s="39" t="s">
        <v>277</v>
      </c>
      <c r="L3121" s="40">
        <v>49.6</v>
      </c>
      <c r="M3121" s="40">
        <v>214538.53</v>
      </c>
      <c r="N3121" s="40">
        <f t="shared" si="124"/>
        <v>49.6</v>
      </c>
    </row>
    <row r="3122" spans="1:14" ht="12.75" hidden="1" customHeight="1" x14ac:dyDescent="0.2">
      <c r="A3122">
        <v>65061</v>
      </c>
      <c r="B3122" s="3" t="s">
        <v>1844</v>
      </c>
      <c r="C3122" s="7" t="s">
        <v>1565</v>
      </c>
      <c r="D3122" s="7" t="s">
        <v>221</v>
      </c>
      <c r="F3122" s="7" t="s">
        <v>265</v>
      </c>
      <c r="G3122" s="7" t="s">
        <v>1577</v>
      </c>
      <c r="H3122" s="7" t="s">
        <v>1362</v>
      </c>
      <c r="I3122" s="7" t="s">
        <v>1253</v>
      </c>
      <c r="K3122" s="39" t="s">
        <v>277</v>
      </c>
      <c r="L3122" s="40">
        <v>44.8</v>
      </c>
      <c r="M3122" s="40">
        <v>214583.33</v>
      </c>
      <c r="N3122" s="40">
        <f t="shared" si="124"/>
        <v>44.8</v>
      </c>
    </row>
    <row r="3123" spans="1:14" ht="12.75" hidden="1" customHeight="1" x14ac:dyDescent="0.2">
      <c r="A3123">
        <v>65061</v>
      </c>
      <c r="B3123" s="3" t="s">
        <v>1844</v>
      </c>
      <c r="C3123" s="7" t="s">
        <v>1793</v>
      </c>
      <c r="D3123" s="7" t="s">
        <v>221</v>
      </c>
      <c r="F3123" s="7" t="s">
        <v>352</v>
      </c>
      <c r="G3123" s="7" t="s">
        <v>1577</v>
      </c>
      <c r="H3123" s="7" t="s">
        <v>1362</v>
      </c>
      <c r="I3123" s="7" t="s">
        <v>1253</v>
      </c>
      <c r="K3123" s="39" t="s">
        <v>277</v>
      </c>
      <c r="L3123" s="40">
        <v>23.36</v>
      </c>
      <c r="M3123" s="40">
        <v>215568.37</v>
      </c>
      <c r="N3123" s="40">
        <f t="shared" si="124"/>
        <v>23.36</v>
      </c>
    </row>
    <row r="3124" spans="1:14" ht="12.75" hidden="1" customHeight="1" x14ac:dyDescent="0.2">
      <c r="A3124">
        <v>65061</v>
      </c>
      <c r="B3124" s="3" t="s">
        <v>1844</v>
      </c>
      <c r="C3124" s="7" t="s">
        <v>1570</v>
      </c>
      <c r="D3124" s="7" t="s">
        <v>221</v>
      </c>
      <c r="F3124" s="7" t="s">
        <v>265</v>
      </c>
      <c r="G3124" s="7" t="s">
        <v>1577</v>
      </c>
      <c r="H3124" s="7" t="s">
        <v>1362</v>
      </c>
      <c r="I3124" s="7" t="s">
        <v>1253</v>
      </c>
      <c r="K3124" s="39" t="s">
        <v>277</v>
      </c>
      <c r="L3124" s="40">
        <v>52.92</v>
      </c>
      <c r="M3124" s="40">
        <v>221319.71</v>
      </c>
      <c r="N3124" s="40">
        <f t="shared" si="124"/>
        <v>52.92</v>
      </c>
    </row>
    <row r="3125" spans="1:14" ht="12.75" hidden="1" customHeight="1" x14ac:dyDescent="0.2">
      <c r="A3125">
        <v>65061</v>
      </c>
      <c r="B3125" s="3" t="s">
        <v>1844</v>
      </c>
      <c r="C3125" s="7" t="s">
        <v>1574</v>
      </c>
      <c r="D3125" s="7" t="s">
        <v>221</v>
      </c>
      <c r="F3125" s="7" t="s">
        <v>265</v>
      </c>
      <c r="G3125" s="7" t="s">
        <v>1577</v>
      </c>
      <c r="H3125" s="7" t="s">
        <v>1362</v>
      </c>
      <c r="I3125" s="7" t="s">
        <v>1253</v>
      </c>
      <c r="K3125" s="39" t="s">
        <v>277</v>
      </c>
      <c r="L3125" s="40">
        <v>16.88</v>
      </c>
      <c r="M3125" s="40">
        <v>222298.81</v>
      </c>
      <c r="N3125" s="40">
        <f t="shared" si="124"/>
        <v>16.88</v>
      </c>
    </row>
    <row r="3126" spans="1:14" ht="12.75" hidden="1" customHeight="1" x14ac:dyDescent="0.2">
      <c r="A3126">
        <v>65061</v>
      </c>
      <c r="B3126" s="3" t="s">
        <v>1844</v>
      </c>
      <c r="C3126" s="7" t="s">
        <v>1574</v>
      </c>
      <c r="D3126" s="7" t="s">
        <v>221</v>
      </c>
      <c r="F3126" s="7" t="s">
        <v>352</v>
      </c>
      <c r="G3126" s="7" t="s">
        <v>1577</v>
      </c>
      <c r="H3126" s="7" t="s">
        <v>1362</v>
      </c>
      <c r="I3126" s="7" t="s">
        <v>1253</v>
      </c>
      <c r="K3126" s="39" t="s">
        <v>277</v>
      </c>
      <c r="L3126" s="40">
        <v>235.35</v>
      </c>
      <c r="M3126" s="40">
        <v>222534.16</v>
      </c>
      <c r="N3126" s="40">
        <f t="shared" si="124"/>
        <v>235.35</v>
      </c>
    </row>
    <row r="3127" spans="1:14" ht="12.75" hidden="1" customHeight="1" x14ac:dyDescent="0.2">
      <c r="A3127">
        <v>65061</v>
      </c>
      <c r="B3127" s="3" t="s">
        <v>1844</v>
      </c>
      <c r="C3127" s="7" t="s">
        <v>1574</v>
      </c>
      <c r="D3127" s="7" t="s">
        <v>221</v>
      </c>
      <c r="F3127" s="7" t="s">
        <v>265</v>
      </c>
      <c r="G3127" s="7" t="s">
        <v>1577</v>
      </c>
      <c r="H3127" s="7" t="s">
        <v>1362</v>
      </c>
      <c r="I3127" s="7" t="s">
        <v>1253</v>
      </c>
      <c r="K3127" s="39" t="s">
        <v>277</v>
      </c>
      <c r="L3127" s="40">
        <v>118.54</v>
      </c>
      <c r="M3127" s="40">
        <v>222652.7</v>
      </c>
      <c r="N3127" s="40">
        <f t="shared" si="124"/>
        <v>118.54</v>
      </c>
    </row>
    <row r="3128" spans="1:14" ht="12.75" hidden="1" customHeight="1" x14ac:dyDescent="0.2">
      <c r="A3128">
        <v>65061</v>
      </c>
      <c r="B3128" s="3" t="s">
        <v>1844</v>
      </c>
      <c r="C3128" s="7" t="s">
        <v>1818</v>
      </c>
      <c r="D3128" s="7" t="s">
        <v>221</v>
      </c>
      <c r="F3128" s="7" t="s">
        <v>352</v>
      </c>
      <c r="G3128" s="7" t="s">
        <v>1577</v>
      </c>
      <c r="H3128" s="7" t="s">
        <v>1362</v>
      </c>
      <c r="I3128" s="7" t="s">
        <v>1253</v>
      </c>
      <c r="K3128" s="39" t="s">
        <v>277</v>
      </c>
      <c r="L3128" s="40">
        <v>13.34</v>
      </c>
      <c r="M3128" s="40">
        <v>224463.67</v>
      </c>
      <c r="N3128" s="40">
        <f t="shared" si="124"/>
        <v>13.34</v>
      </c>
    </row>
    <row r="3129" spans="1:14" ht="12.75" hidden="1" customHeight="1" x14ac:dyDescent="0.2">
      <c r="A3129">
        <v>65061</v>
      </c>
      <c r="B3129" s="3" t="s">
        <v>1844</v>
      </c>
      <c r="C3129" s="7" t="s">
        <v>1818</v>
      </c>
      <c r="D3129" s="7" t="s">
        <v>221</v>
      </c>
      <c r="F3129" s="7" t="s">
        <v>352</v>
      </c>
      <c r="G3129" s="7" t="s">
        <v>1577</v>
      </c>
      <c r="H3129" s="7" t="s">
        <v>1362</v>
      </c>
      <c r="I3129" s="7" t="s">
        <v>1253</v>
      </c>
      <c r="K3129" s="39" t="s">
        <v>277</v>
      </c>
      <c r="L3129" s="40">
        <v>15.97</v>
      </c>
      <c r="M3129" s="40">
        <v>224479.64</v>
      </c>
      <c r="N3129" s="40">
        <f t="shared" si="124"/>
        <v>15.97</v>
      </c>
    </row>
    <row r="3130" spans="1:14" ht="12.75" hidden="1" customHeight="1" x14ac:dyDescent="0.2">
      <c r="A3130">
        <v>65061</v>
      </c>
      <c r="B3130" s="3" t="s">
        <v>1844</v>
      </c>
      <c r="C3130" s="7" t="s">
        <v>1765</v>
      </c>
      <c r="D3130" s="7" t="s">
        <v>221</v>
      </c>
      <c r="F3130" s="7" t="s">
        <v>352</v>
      </c>
      <c r="G3130" s="7" t="s">
        <v>1577</v>
      </c>
      <c r="H3130" s="7" t="s">
        <v>1362</v>
      </c>
      <c r="I3130" s="7" t="s">
        <v>1253</v>
      </c>
      <c r="K3130" s="39" t="s">
        <v>277</v>
      </c>
      <c r="L3130" s="40">
        <v>73</v>
      </c>
      <c r="M3130" s="40">
        <v>225942.1</v>
      </c>
      <c r="N3130" s="40">
        <f t="shared" si="124"/>
        <v>73</v>
      </c>
    </row>
    <row r="3131" spans="1:14" ht="12.75" hidden="1" customHeight="1" x14ac:dyDescent="0.2">
      <c r="A3131">
        <v>65061</v>
      </c>
      <c r="B3131" s="3" t="s">
        <v>1844</v>
      </c>
      <c r="C3131" s="7" t="s">
        <v>1765</v>
      </c>
      <c r="D3131" s="7" t="s">
        <v>221</v>
      </c>
      <c r="F3131" s="7" t="s">
        <v>681</v>
      </c>
      <c r="G3131" s="7" t="s">
        <v>1577</v>
      </c>
      <c r="H3131" s="7" t="s">
        <v>1362</v>
      </c>
      <c r="I3131" s="7" t="s">
        <v>1253</v>
      </c>
      <c r="K3131" s="39" t="s">
        <v>277</v>
      </c>
      <c r="L3131" s="40">
        <v>190</v>
      </c>
      <c r="M3131" s="40">
        <v>226132.1</v>
      </c>
      <c r="N3131" s="40">
        <f t="shared" si="124"/>
        <v>190</v>
      </c>
    </row>
    <row r="3132" spans="1:14" ht="12.75" hidden="1" customHeight="1" x14ac:dyDescent="0.2">
      <c r="A3132">
        <v>65061</v>
      </c>
      <c r="B3132" s="3" t="s">
        <v>1844</v>
      </c>
      <c r="C3132" s="7" t="s">
        <v>1575</v>
      </c>
      <c r="D3132" s="7" t="s">
        <v>221</v>
      </c>
      <c r="F3132" s="7" t="s">
        <v>896</v>
      </c>
      <c r="G3132" s="7" t="s">
        <v>1577</v>
      </c>
      <c r="H3132" s="7" t="s">
        <v>1362</v>
      </c>
      <c r="I3132" s="7" t="s">
        <v>1253</v>
      </c>
      <c r="K3132" s="39" t="s">
        <v>277</v>
      </c>
      <c r="L3132" s="40">
        <v>92</v>
      </c>
      <c r="M3132" s="40">
        <v>226584.74</v>
      </c>
      <c r="N3132" s="40">
        <f t="shared" si="124"/>
        <v>92</v>
      </c>
    </row>
    <row r="3133" spans="1:14" ht="12.75" hidden="1" customHeight="1" x14ac:dyDescent="0.2">
      <c r="A3133">
        <v>65061</v>
      </c>
      <c r="B3133" s="3" t="s">
        <v>1844</v>
      </c>
      <c r="C3133" s="7" t="s">
        <v>1576</v>
      </c>
      <c r="D3133" s="7" t="s">
        <v>221</v>
      </c>
      <c r="F3133" s="7" t="s">
        <v>625</v>
      </c>
      <c r="G3133" s="7" t="s">
        <v>1577</v>
      </c>
      <c r="H3133" s="7" t="s">
        <v>1362</v>
      </c>
      <c r="I3133" s="7" t="s">
        <v>1253</v>
      </c>
      <c r="K3133" s="39" t="s">
        <v>277</v>
      </c>
      <c r="L3133" s="40">
        <v>135.97999999999999</v>
      </c>
      <c r="M3133" s="40">
        <v>228397.6</v>
      </c>
      <c r="N3133" s="40">
        <f t="shared" si="124"/>
        <v>135.97999999999999</v>
      </c>
    </row>
    <row r="3134" spans="1:14" ht="12.75" hidden="1" customHeight="1" x14ac:dyDescent="0.2">
      <c r="A3134">
        <v>65061</v>
      </c>
      <c r="B3134" s="3" t="s">
        <v>1844</v>
      </c>
      <c r="C3134" s="7" t="s">
        <v>1576</v>
      </c>
      <c r="D3134" s="7" t="s">
        <v>221</v>
      </c>
      <c r="F3134" s="7" t="s">
        <v>548</v>
      </c>
      <c r="G3134" s="7" t="s">
        <v>1577</v>
      </c>
      <c r="H3134" s="7" t="s">
        <v>1362</v>
      </c>
      <c r="I3134" s="7" t="s">
        <v>1253</v>
      </c>
      <c r="K3134" s="39" t="s">
        <v>277</v>
      </c>
      <c r="L3134" s="40">
        <v>57.18</v>
      </c>
      <c r="M3134" s="40">
        <v>228454.78</v>
      </c>
      <c r="N3134" s="40">
        <f t="shared" si="124"/>
        <v>57.18</v>
      </c>
    </row>
    <row r="3135" spans="1:14" ht="12.75" hidden="1" customHeight="1" x14ac:dyDescent="0.2">
      <c r="A3135">
        <v>65061</v>
      </c>
      <c r="B3135" s="3" t="s">
        <v>1844</v>
      </c>
      <c r="C3135" s="7" t="s">
        <v>1578</v>
      </c>
      <c r="D3135" s="7" t="s">
        <v>221</v>
      </c>
      <c r="F3135" s="7" t="s">
        <v>589</v>
      </c>
      <c r="G3135" s="7" t="s">
        <v>1577</v>
      </c>
      <c r="H3135" s="7" t="s">
        <v>1362</v>
      </c>
      <c r="I3135" s="7" t="s">
        <v>1253</v>
      </c>
      <c r="K3135" s="39" t="s">
        <v>277</v>
      </c>
      <c r="L3135" s="40">
        <v>86.53</v>
      </c>
      <c r="M3135" s="40">
        <v>232051.51</v>
      </c>
      <c r="N3135" s="40">
        <f t="shared" si="124"/>
        <v>86.53</v>
      </c>
    </row>
    <row r="3136" spans="1:14" ht="12.75" hidden="1" customHeight="1" x14ac:dyDescent="0.2">
      <c r="A3136">
        <v>65061</v>
      </c>
      <c r="B3136" s="3" t="s">
        <v>1844</v>
      </c>
      <c r="C3136" s="7" t="s">
        <v>1578</v>
      </c>
      <c r="D3136" s="7" t="s">
        <v>221</v>
      </c>
      <c r="F3136" s="7" t="s">
        <v>766</v>
      </c>
      <c r="G3136" s="7" t="s">
        <v>1577</v>
      </c>
      <c r="H3136" s="7" t="s">
        <v>1362</v>
      </c>
      <c r="I3136" s="7" t="s">
        <v>1253</v>
      </c>
      <c r="K3136" s="39" t="s">
        <v>277</v>
      </c>
      <c r="L3136" s="40">
        <v>15.21</v>
      </c>
      <c r="M3136" s="40">
        <v>232917.75</v>
      </c>
      <c r="N3136" s="40">
        <f t="shared" si="124"/>
        <v>15.21</v>
      </c>
    </row>
    <row r="3137" spans="1:14" ht="12.75" hidden="1" customHeight="1" x14ac:dyDescent="0.2">
      <c r="A3137">
        <v>65061</v>
      </c>
      <c r="B3137" s="3" t="s">
        <v>1844</v>
      </c>
      <c r="C3137" s="7" t="s">
        <v>1803</v>
      </c>
      <c r="D3137" s="7" t="s">
        <v>221</v>
      </c>
      <c r="F3137" s="7" t="s">
        <v>352</v>
      </c>
      <c r="G3137" s="7" t="s">
        <v>1577</v>
      </c>
      <c r="H3137" s="7" t="s">
        <v>1362</v>
      </c>
      <c r="I3137" s="7" t="s">
        <v>1253</v>
      </c>
      <c r="K3137" s="39" t="s">
        <v>277</v>
      </c>
      <c r="L3137" s="40">
        <v>30.99</v>
      </c>
      <c r="M3137" s="40">
        <v>234411.16</v>
      </c>
      <c r="N3137" s="40">
        <f t="shared" si="124"/>
        <v>30.99</v>
      </c>
    </row>
    <row r="3138" spans="1:14" ht="12.75" hidden="1" customHeight="1" x14ac:dyDescent="0.2">
      <c r="A3138">
        <v>65061</v>
      </c>
      <c r="B3138" s="3" t="s">
        <v>1844</v>
      </c>
      <c r="C3138" s="7" t="s">
        <v>1553</v>
      </c>
      <c r="D3138" s="7" t="s">
        <v>221</v>
      </c>
      <c r="F3138" s="7" t="s">
        <v>220</v>
      </c>
      <c r="G3138" s="7" t="s">
        <v>1577</v>
      </c>
      <c r="H3138" s="7" t="s">
        <v>1362</v>
      </c>
      <c r="I3138" s="7" t="s">
        <v>1253</v>
      </c>
      <c r="K3138" s="39" t="s">
        <v>277</v>
      </c>
      <c r="L3138" s="40">
        <v>50.01</v>
      </c>
      <c r="M3138" s="40">
        <v>236186.2</v>
      </c>
      <c r="N3138" s="40">
        <f t="shared" si="124"/>
        <v>50.01</v>
      </c>
    </row>
    <row r="3139" spans="1:14" ht="12.75" hidden="1" customHeight="1" x14ac:dyDescent="0.2">
      <c r="A3139">
        <v>65061</v>
      </c>
      <c r="B3139" s="3" t="s">
        <v>1844</v>
      </c>
      <c r="C3139" s="7" t="s">
        <v>1587</v>
      </c>
      <c r="D3139" s="7" t="s">
        <v>221</v>
      </c>
      <c r="F3139" s="7" t="s">
        <v>352</v>
      </c>
      <c r="G3139" s="7" t="s">
        <v>1577</v>
      </c>
      <c r="H3139" s="7" t="s">
        <v>1362</v>
      </c>
      <c r="I3139" s="7" t="s">
        <v>1253</v>
      </c>
      <c r="K3139" s="39" t="s">
        <v>277</v>
      </c>
      <c r="L3139" s="40">
        <v>19.399999999999999</v>
      </c>
      <c r="M3139" s="40">
        <v>236886.37</v>
      </c>
      <c r="N3139" s="40">
        <f t="shared" si="124"/>
        <v>19.399999999999999</v>
      </c>
    </row>
    <row r="3140" spans="1:14" ht="12.75" hidden="1" customHeight="1" x14ac:dyDescent="0.2">
      <c r="A3140">
        <v>65061</v>
      </c>
      <c r="B3140" s="3" t="s">
        <v>1844</v>
      </c>
      <c r="C3140" s="7" t="s">
        <v>1587</v>
      </c>
      <c r="D3140" s="7" t="s">
        <v>200</v>
      </c>
      <c r="E3140" s="7">
        <v>1232</v>
      </c>
      <c r="F3140" s="7" t="s">
        <v>1894</v>
      </c>
      <c r="G3140" s="7" t="s">
        <v>1577</v>
      </c>
      <c r="H3140" s="7" t="s">
        <v>1362</v>
      </c>
      <c r="I3140" s="7" t="s">
        <v>1253</v>
      </c>
      <c r="K3140" s="39" t="s">
        <v>277</v>
      </c>
      <c r="L3140" s="40">
        <v>77.11</v>
      </c>
      <c r="M3140" s="40">
        <v>236973.48</v>
      </c>
      <c r="N3140" s="40">
        <f t="shared" si="124"/>
        <v>77.11</v>
      </c>
    </row>
    <row r="3141" spans="1:14" ht="12.75" hidden="1" customHeight="1" x14ac:dyDescent="0.2">
      <c r="A3141">
        <v>65061</v>
      </c>
      <c r="B3141" s="3" t="s">
        <v>1844</v>
      </c>
      <c r="C3141" s="7" t="s">
        <v>1555</v>
      </c>
      <c r="D3141" s="7" t="s">
        <v>221</v>
      </c>
      <c r="F3141" s="7" t="s">
        <v>548</v>
      </c>
      <c r="G3141" s="7" t="s">
        <v>1577</v>
      </c>
      <c r="H3141" s="7" t="s">
        <v>1362</v>
      </c>
      <c r="I3141" s="7" t="s">
        <v>1253</v>
      </c>
      <c r="K3141" s="39" t="s">
        <v>277</v>
      </c>
      <c r="L3141" s="40">
        <v>193.7</v>
      </c>
      <c r="M3141" s="40">
        <v>238488.87</v>
      </c>
      <c r="N3141" s="40">
        <f t="shared" ref="N3141:N3172" si="125">+L3141</f>
        <v>193.7</v>
      </c>
    </row>
    <row r="3142" spans="1:14" ht="12.75" hidden="1" customHeight="1" x14ac:dyDescent="0.2">
      <c r="A3142">
        <v>65061</v>
      </c>
      <c r="B3142" s="3" t="s">
        <v>1844</v>
      </c>
      <c r="C3142" s="7" t="s">
        <v>1555</v>
      </c>
      <c r="D3142" s="7" t="s">
        <v>221</v>
      </c>
      <c r="F3142" s="7" t="s">
        <v>763</v>
      </c>
      <c r="G3142" s="7" t="s">
        <v>1577</v>
      </c>
      <c r="H3142" s="7" t="s">
        <v>1362</v>
      </c>
      <c r="I3142" s="7" t="s">
        <v>1253</v>
      </c>
      <c r="K3142" s="39" t="s">
        <v>277</v>
      </c>
      <c r="L3142" s="40">
        <v>132.18</v>
      </c>
      <c r="M3142" s="40">
        <v>238621.05</v>
      </c>
      <c r="N3142" s="40">
        <f t="shared" si="125"/>
        <v>132.18</v>
      </c>
    </row>
    <row r="3143" spans="1:14" ht="12.75" hidden="1" customHeight="1" x14ac:dyDescent="0.2">
      <c r="A3143">
        <v>65061</v>
      </c>
      <c r="B3143" s="3" t="s">
        <v>1844</v>
      </c>
      <c r="C3143" s="7" t="s">
        <v>1555</v>
      </c>
      <c r="D3143" s="7" t="s">
        <v>221</v>
      </c>
      <c r="F3143" s="7" t="s">
        <v>634</v>
      </c>
      <c r="G3143" s="7" t="s">
        <v>1577</v>
      </c>
      <c r="H3143" s="7" t="s">
        <v>1362</v>
      </c>
      <c r="I3143" s="7" t="s">
        <v>1253</v>
      </c>
      <c r="K3143" s="39" t="s">
        <v>277</v>
      </c>
      <c r="L3143" s="40">
        <v>26.36</v>
      </c>
      <c r="M3143" s="40">
        <v>238647.41</v>
      </c>
      <c r="N3143" s="40">
        <f t="shared" si="125"/>
        <v>26.36</v>
      </c>
    </row>
    <row r="3144" spans="1:14" ht="12.75" hidden="1" customHeight="1" x14ac:dyDescent="0.2">
      <c r="A3144">
        <v>65061</v>
      </c>
      <c r="B3144" s="3" t="s">
        <v>1844</v>
      </c>
      <c r="C3144" s="7" t="s">
        <v>1555</v>
      </c>
      <c r="D3144" s="7" t="s">
        <v>221</v>
      </c>
      <c r="F3144" s="7" t="s">
        <v>763</v>
      </c>
      <c r="G3144" s="7" t="s">
        <v>1577</v>
      </c>
      <c r="H3144" s="7" t="s">
        <v>1362</v>
      </c>
      <c r="I3144" s="7" t="s">
        <v>1253</v>
      </c>
      <c r="K3144" s="39" t="s">
        <v>277</v>
      </c>
      <c r="L3144" s="40">
        <v>56.32</v>
      </c>
      <c r="M3144" s="40">
        <v>238703.73</v>
      </c>
      <c r="N3144" s="40">
        <f t="shared" si="125"/>
        <v>56.32</v>
      </c>
    </row>
    <row r="3145" spans="1:14" ht="12.75" hidden="1" customHeight="1" x14ac:dyDescent="0.2">
      <c r="A3145">
        <v>65061</v>
      </c>
      <c r="B3145" s="3" t="s">
        <v>1844</v>
      </c>
      <c r="C3145" s="7" t="s">
        <v>1555</v>
      </c>
      <c r="D3145" s="7" t="s">
        <v>221</v>
      </c>
      <c r="F3145" s="7" t="s">
        <v>634</v>
      </c>
      <c r="G3145" s="7" t="s">
        <v>1577</v>
      </c>
      <c r="H3145" s="7" t="s">
        <v>1362</v>
      </c>
      <c r="I3145" s="7" t="s">
        <v>1253</v>
      </c>
      <c r="K3145" s="39" t="s">
        <v>277</v>
      </c>
      <c r="L3145" s="40">
        <v>94.76</v>
      </c>
      <c r="M3145" s="40">
        <v>238798.49</v>
      </c>
      <c r="N3145" s="40">
        <f t="shared" si="125"/>
        <v>94.76</v>
      </c>
    </row>
    <row r="3146" spans="1:14" ht="12.75" hidden="1" customHeight="1" x14ac:dyDescent="0.2">
      <c r="A3146">
        <v>65061</v>
      </c>
      <c r="B3146" s="3" t="s">
        <v>1844</v>
      </c>
      <c r="C3146" s="7" t="s">
        <v>1555</v>
      </c>
      <c r="D3146" s="7" t="s">
        <v>221</v>
      </c>
      <c r="F3146" s="7" t="s">
        <v>634</v>
      </c>
      <c r="G3146" s="7" t="s">
        <v>1577</v>
      </c>
      <c r="H3146" s="7" t="s">
        <v>1362</v>
      </c>
      <c r="I3146" s="7" t="s">
        <v>1253</v>
      </c>
      <c r="K3146" s="39" t="s">
        <v>277</v>
      </c>
      <c r="L3146" s="40">
        <v>8.66</v>
      </c>
      <c r="M3146" s="40">
        <v>238807.15</v>
      </c>
      <c r="N3146" s="40">
        <f t="shared" si="125"/>
        <v>8.66</v>
      </c>
    </row>
    <row r="3147" spans="1:14" ht="12.75" hidden="1" customHeight="1" x14ac:dyDescent="0.2">
      <c r="A3147">
        <v>65061</v>
      </c>
      <c r="B3147" s="3" t="s">
        <v>1844</v>
      </c>
      <c r="C3147" s="7" t="s">
        <v>1780</v>
      </c>
      <c r="D3147" s="7" t="s">
        <v>200</v>
      </c>
      <c r="E3147" s="7">
        <v>1233</v>
      </c>
      <c r="F3147" s="7" t="s">
        <v>606</v>
      </c>
      <c r="G3147" s="7" t="s">
        <v>1577</v>
      </c>
      <c r="H3147" s="7" t="s">
        <v>1362</v>
      </c>
      <c r="I3147" s="7" t="s">
        <v>1253</v>
      </c>
      <c r="K3147" s="39" t="s">
        <v>277</v>
      </c>
      <c r="L3147" s="40">
        <v>262.39999999999998</v>
      </c>
      <c r="M3147" s="40">
        <v>241462.53</v>
      </c>
      <c r="N3147" s="40">
        <f t="shared" si="125"/>
        <v>262.39999999999998</v>
      </c>
    </row>
    <row r="3148" spans="1:14" ht="12.75" hidden="1" customHeight="1" x14ac:dyDescent="0.2">
      <c r="A3148">
        <v>65061</v>
      </c>
      <c r="B3148" s="3" t="s">
        <v>1844</v>
      </c>
      <c r="C3148" s="7" t="s">
        <v>1780</v>
      </c>
      <c r="D3148" s="7" t="s">
        <v>221</v>
      </c>
      <c r="F3148" s="7" t="s">
        <v>708</v>
      </c>
      <c r="G3148" s="7" t="s">
        <v>1577</v>
      </c>
      <c r="H3148" s="7" t="s">
        <v>1362</v>
      </c>
      <c r="I3148" s="7" t="s">
        <v>1253</v>
      </c>
      <c r="K3148" s="39" t="s">
        <v>277</v>
      </c>
      <c r="L3148" s="40">
        <v>20.23</v>
      </c>
      <c r="M3148" s="40">
        <v>241662.98</v>
      </c>
      <c r="N3148" s="40">
        <f t="shared" si="125"/>
        <v>20.23</v>
      </c>
    </row>
    <row r="3149" spans="1:14" ht="12.75" hidden="1" customHeight="1" x14ac:dyDescent="0.2">
      <c r="A3149">
        <v>65061</v>
      </c>
      <c r="B3149" s="3" t="s">
        <v>1844</v>
      </c>
      <c r="C3149" s="7" t="s">
        <v>1780</v>
      </c>
      <c r="D3149" s="7" t="s">
        <v>221</v>
      </c>
      <c r="F3149" s="7" t="s">
        <v>708</v>
      </c>
      <c r="G3149" s="7" t="s">
        <v>1577</v>
      </c>
      <c r="H3149" s="7" t="s">
        <v>1362</v>
      </c>
      <c r="I3149" s="7" t="s">
        <v>1253</v>
      </c>
      <c r="K3149" s="39" t="s">
        <v>277</v>
      </c>
      <c r="L3149" s="40">
        <v>0.61</v>
      </c>
      <c r="M3149" s="40">
        <v>241663.59</v>
      </c>
      <c r="N3149" s="40">
        <f t="shared" si="125"/>
        <v>0.61</v>
      </c>
    </row>
    <row r="3150" spans="1:14" ht="12.75" hidden="1" customHeight="1" x14ac:dyDescent="0.2">
      <c r="A3150">
        <v>65061</v>
      </c>
      <c r="B3150" s="3" t="s">
        <v>1844</v>
      </c>
      <c r="C3150" s="7" t="s">
        <v>1905</v>
      </c>
      <c r="D3150" s="7" t="s">
        <v>221</v>
      </c>
      <c r="F3150" s="7" t="s">
        <v>352</v>
      </c>
      <c r="G3150" s="7" t="s">
        <v>1577</v>
      </c>
      <c r="H3150" s="7" t="s">
        <v>1362</v>
      </c>
      <c r="I3150" s="7" t="s">
        <v>1253</v>
      </c>
      <c r="K3150" s="39" t="s">
        <v>277</v>
      </c>
      <c r="L3150" s="40">
        <v>17.27</v>
      </c>
      <c r="M3150" s="40">
        <v>242231.23</v>
      </c>
      <c r="N3150" s="40">
        <f t="shared" si="125"/>
        <v>17.27</v>
      </c>
    </row>
    <row r="3151" spans="1:14" ht="12.75" hidden="1" customHeight="1" x14ac:dyDescent="0.2">
      <c r="A3151">
        <v>65061</v>
      </c>
      <c r="B3151" s="3" t="s">
        <v>1844</v>
      </c>
      <c r="C3151" s="7" t="s">
        <v>1596</v>
      </c>
      <c r="D3151" s="7" t="s">
        <v>221</v>
      </c>
      <c r="F3151" s="7" t="s">
        <v>265</v>
      </c>
      <c r="G3151" s="7" t="s">
        <v>1577</v>
      </c>
      <c r="H3151" s="7" t="s">
        <v>1362</v>
      </c>
      <c r="I3151" s="7" t="s">
        <v>1253</v>
      </c>
      <c r="K3151" s="39" t="s">
        <v>277</v>
      </c>
      <c r="L3151" s="40">
        <v>32.5</v>
      </c>
      <c r="M3151" s="40">
        <v>244476.7</v>
      </c>
      <c r="N3151" s="40">
        <f t="shared" si="125"/>
        <v>32.5</v>
      </c>
    </row>
    <row r="3152" spans="1:14" ht="12.75" hidden="1" customHeight="1" x14ac:dyDescent="0.2">
      <c r="A3152">
        <v>65061</v>
      </c>
      <c r="B3152" s="3" t="s">
        <v>1844</v>
      </c>
      <c r="C3152" s="7" t="s">
        <v>1596</v>
      </c>
      <c r="D3152" s="7" t="s">
        <v>221</v>
      </c>
      <c r="F3152" s="7" t="s">
        <v>265</v>
      </c>
      <c r="G3152" s="7" t="s">
        <v>1577</v>
      </c>
      <c r="H3152" s="7" t="s">
        <v>1362</v>
      </c>
      <c r="I3152" s="7" t="s">
        <v>1253</v>
      </c>
      <c r="K3152" s="39" t="s">
        <v>277</v>
      </c>
      <c r="L3152" s="40">
        <v>19.489999999999998</v>
      </c>
      <c r="M3152" s="40">
        <v>244629.3</v>
      </c>
      <c r="N3152" s="40">
        <f t="shared" si="125"/>
        <v>19.489999999999998</v>
      </c>
    </row>
    <row r="3153" spans="1:14" ht="12.75" hidden="1" customHeight="1" x14ac:dyDescent="0.2">
      <c r="A3153">
        <v>65061</v>
      </c>
      <c r="B3153" s="3" t="s">
        <v>1844</v>
      </c>
      <c r="C3153" s="7" t="s">
        <v>1798</v>
      </c>
      <c r="D3153" s="7" t="s">
        <v>221</v>
      </c>
      <c r="F3153" s="7" t="s">
        <v>265</v>
      </c>
      <c r="G3153" s="7" t="s">
        <v>1577</v>
      </c>
      <c r="H3153" s="7" t="s">
        <v>1362</v>
      </c>
      <c r="I3153" s="7" t="s">
        <v>1253</v>
      </c>
      <c r="K3153" s="39" t="s">
        <v>277</v>
      </c>
      <c r="L3153" s="40">
        <v>152.44</v>
      </c>
      <c r="M3153" s="40">
        <v>245197.61</v>
      </c>
      <c r="N3153" s="40">
        <f t="shared" si="125"/>
        <v>152.44</v>
      </c>
    </row>
    <row r="3154" spans="1:14" ht="12.75" hidden="1" customHeight="1" x14ac:dyDescent="0.2">
      <c r="A3154">
        <v>65061</v>
      </c>
      <c r="B3154" s="3" t="s">
        <v>1844</v>
      </c>
      <c r="C3154" s="7" t="s">
        <v>1798</v>
      </c>
      <c r="D3154" s="7" t="s">
        <v>221</v>
      </c>
      <c r="F3154" s="7" t="s">
        <v>265</v>
      </c>
      <c r="G3154" s="7" t="s">
        <v>1577</v>
      </c>
      <c r="H3154" s="7" t="s">
        <v>1362</v>
      </c>
      <c r="I3154" s="7" t="s">
        <v>1253</v>
      </c>
      <c r="K3154" s="39" t="s">
        <v>277</v>
      </c>
      <c r="L3154" s="40">
        <v>77</v>
      </c>
      <c r="M3154" s="40">
        <v>245274.61</v>
      </c>
      <c r="N3154" s="40">
        <f t="shared" si="125"/>
        <v>77</v>
      </c>
    </row>
    <row r="3155" spans="1:14" ht="12.75" hidden="1" customHeight="1" x14ac:dyDescent="0.2">
      <c r="A3155">
        <v>65061</v>
      </c>
      <c r="B3155" s="3" t="s">
        <v>1844</v>
      </c>
      <c r="C3155" s="7" t="s">
        <v>1804</v>
      </c>
      <c r="D3155" s="7" t="s">
        <v>200</v>
      </c>
      <c r="E3155" s="7">
        <v>1234</v>
      </c>
      <c r="F3155" s="7" t="s">
        <v>567</v>
      </c>
      <c r="G3155" s="7" t="s">
        <v>1577</v>
      </c>
      <c r="H3155" s="7" t="s">
        <v>1362</v>
      </c>
      <c r="I3155" s="7" t="s">
        <v>1253</v>
      </c>
      <c r="K3155" s="39" t="s">
        <v>277</v>
      </c>
      <c r="L3155" s="40">
        <v>44.44</v>
      </c>
      <c r="M3155" s="40">
        <v>247259.64</v>
      </c>
      <c r="N3155" s="40">
        <f t="shared" si="125"/>
        <v>44.44</v>
      </c>
    </row>
    <row r="3156" spans="1:14" ht="12.75" hidden="1" customHeight="1" x14ac:dyDescent="0.2">
      <c r="A3156">
        <v>65061</v>
      </c>
      <c r="B3156" s="3" t="s">
        <v>1844</v>
      </c>
      <c r="C3156" s="7" t="s">
        <v>1804</v>
      </c>
      <c r="D3156" s="7" t="s">
        <v>221</v>
      </c>
      <c r="F3156" s="7" t="s">
        <v>1917</v>
      </c>
      <c r="G3156" s="7" t="s">
        <v>1577</v>
      </c>
      <c r="H3156" s="7" t="s">
        <v>1362</v>
      </c>
      <c r="I3156" s="7" t="s">
        <v>1253</v>
      </c>
      <c r="K3156" s="39" t="s">
        <v>277</v>
      </c>
      <c r="L3156" s="40">
        <v>29.82</v>
      </c>
      <c r="M3156" s="40">
        <v>247289.46</v>
      </c>
      <c r="N3156" s="40">
        <f t="shared" si="125"/>
        <v>29.82</v>
      </c>
    </row>
    <row r="3157" spans="1:14" ht="12.75" hidden="1" customHeight="1" x14ac:dyDescent="0.2">
      <c r="A3157">
        <v>65061</v>
      </c>
      <c r="B3157" s="3" t="s">
        <v>1844</v>
      </c>
      <c r="C3157" s="7" t="s">
        <v>1695</v>
      </c>
      <c r="D3157" s="7" t="s">
        <v>221</v>
      </c>
      <c r="F3157" s="7" t="s">
        <v>620</v>
      </c>
      <c r="G3157" s="7" t="s">
        <v>1577</v>
      </c>
      <c r="H3157" s="7" t="s">
        <v>1362</v>
      </c>
      <c r="I3157" s="7" t="s">
        <v>1253</v>
      </c>
      <c r="K3157" s="39" t="s">
        <v>277</v>
      </c>
      <c r="L3157" s="40">
        <v>20.47</v>
      </c>
      <c r="M3157" s="40">
        <v>250075.67</v>
      </c>
      <c r="N3157" s="40">
        <f t="shared" si="125"/>
        <v>20.47</v>
      </c>
    </row>
    <row r="3158" spans="1:14" ht="12.75" hidden="1" customHeight="1" x14ac:dyDescent="0.2">
      <c r="A3158">
        <v>65061</v>
      </c>
      <c r="B3158" s="3" t="s">
        <v>1844</v>
      </c>
      <c r="C3158" s="7" t="s">
        <v>1695</v>
      </c>
      <c r="D3158" s="7" t="s">
        <v>221</v>
      </c>
      <c r="F3158" s="7" t="s">
        <v>352</v>
      </c>
      <c r="G3158" s="7" t="s">
        <v>1577</v>
      </c>
      <c r="H3158" s="7" t="s">
        <v>1362</v>
      </c>
      <c r="I3158" s="7" t="s">
        <v>1253</v>
      </c>
      <c r="K3158" s="39" t="s">
        <v>277</v>
      </c>
      <c r="L3158" s="40">
        <v>9.09</v>
      </c>
      <c r="M3158" s="40">
        <v>250084.76</v>
      </c>
      <c r="N3158" s="40">
        <f t="shared" si="125"/>
        <v>9.09</v>
      </c>
    </row>
    <row r="3159" spans="1:14" ht="12.75" hidden="1" customHeight="1" x14ac:dyDescent="0.2">
      <c r="A3159">
        <v>65061</v>
      </c>
      <c r="B3159" s="3" t="s">
        <v>1844</v>
      </c>
      <c r="C3159" s="7" t="s">
        <v>1603</v>
      </c>
      <c r="D3159" s="7" t="s">
        <v>221</v>
      </c>
      <c r="F3159" s="7" t="s">
        <v>1934</v>
      </c>
      <c r="G3159" s="7" t="s">
        <v>1577</v>
      </c>
      <c r="H3159" s="7" t="s">
        <v>1362</v>
      </c>
      <c r="I3159" s="7" t="s">
        <v>1253</v>
      </c>
      <c r="K3159" s="39" t="s">
        <v>277</v>
      </c>
      <c r="L3159" s="40">
        <v>18.059999999999999</v>
      </c>
      <c r="M3159" s="40">
        <v>252292.26</v>
      </c>
      <c r="N3159" s="40">
        <f t="shared" si="125"/>
        <v>18.059999999999999</v>
      </c>
    </row>
    <row r="3160" spans="1:14" ht="12.75" hidden="1" customHeight="1" x14ac:dyDescent="0.2">
      <c r="A3160">
        <v>65061</v>
      </c>
      <c r="B3160" s="3" t="s">
        <v>1844</v>
      </c>
      <c r="C3160" s="7" t="s">
        <v>1784</v>
      </c>
      <c r="D3160" s="7" t="s">
        <v>221</v>
      </c>
      <c r="F3160" s="7" t="s">
        <v>265</v>
      </c>
      <c r="G3160" s="7" t="s">
        <v>1577</v>
      </c>
      <c r="H3160" s="7" t="s">
        <v>1362</v>
      </c>
      <c r="I3160" s="7" t="s">
        <v>1253</v>
      </c>
      <c r="K3160" s="39" t="s">
        <v>277</v>
      </c>
      <c r="L3160" s="40">
        <v>22.83</v>
      </c>
      <c r="M3160" s="40">
        <v>252696.37</v>
      </c>
      <c r="N3160" s="40">
        <f t="shared" si="125"/>
        <v>22.83</v>
      </c>
    </row>
    <row r="3161" spans="1:14" ht="12.75" hidden="1" customHeight="1" x14ac:dyDescent="0.2">
      <c r="A3161">
        <v>65061</v>
      </c>
      <c r="B3161" s="3" t="s">
        <v>1844</v>
      </c>
      <c r="C3161" s="7" t="s">
        <v>1784</v>
      </c>
      <c r="D3161" s="7" t="s">
        <v>221</v>
      </c>
      <c r="F3161" s="7" t="s">
        <v>265</v>
      </c>
      <c r="G3161" s="7" t="s">
        <v>1577</v>
      </c>
      <c r="H3161" s="7" t="s">
        <v>1362</v>
      </c>
      <c r="I3161" s="7" t="s">
        <v>1253</v>
      </c>
      <c r="K3161" s="39" t="s">
        <v>277</v>
      </c>
      <c r="L3161" s="40">
        <v>21.75</v>
      </c>
      <c r="M3161" s="40">
        <v>252853.15</v>
      </c>
      <c r="N3161" s="40">
        <f t="shared" si="125"/>
        <v>21.75</v>
      </c>
    </row>
    <row r="3162" spans="1:14" ht="12.75" hidden="1" customHeight="1" x14ac:dyDescent="0.2">
      <c r="A3162">
        <v>65061</v>
      </c>
      <c r="B3162" s="3" t="s">
        <v>1844</v>
      </c>
      <c r="C3162" s="7" t="s">
        <v>1607</v>
      </c>
      <c r="D3162" s="7" t="s">
        <v>221</v>
      </c>
      <c r="F3162" s="7" t="s">
        <v>352</v>
      </c>
      <c r="G3162" s="7" t="s">
        <v>1577</v>
      </c>
      <c r="H3162" s="7" t="s">
        <v>1362</v>
      </c>
      <c r="I3162" s="7" t="s">
        <v>1253</v>
      </c>
      <c r="K3162" s="39" t="s">
        <v>277</v>
      </c>
      <c r="L3162" s="40">
        <v>6.46</v>
      </c>
      <c r="M3162" s="40">
        <v>253118.25</v>
      </c>
      <c r="N3162" s="40">
        <f t="shared" si="125"/>
        <v>6.46</v>
      </c>
    </row>
    <row r="3163" spans="1:14" ht="12.75" hidden="1" customHeight="1" x14ac:dyDescent="0.2">
      <c r="A3163">
        <v>65061</v>
      </c>
      <c r="B3163" s="3" t="s">
        <v>1844</v>
      </c>
      <c r="C3163" s="7" t="s">
        <v>1608</v>
      </c>
      <c r="D3163" s="7" t="s">
        <v>221</v>
      </c>
      <c r="F3163" s="7" t="s">
        <v>681</v>
      </c>
      <c r="G3163" s="7" t="s">
        <v>1577</v>
      </c>
      <c r="H3163" s="7" t="s">
        <v>1362</v>
      </c>
      <c r="I3163" s="7" t="s">
        <v>1253</v>
      </c>
      <c r="K3163" s="39" t="s">
        <v>277</v>
      </c>
      <c r="L3163" s="40">
        <v>149.99</v>
      </c>
      <c r="M3163" s="40">
        <v>254885.71</v>
      </c>
      <c r="N3163" s="40">
        <f t="shared" si="125"/>
        <v>149.99</v>
      </c>
    </row>
    <row r="3164" spans="1:14" ht="12.75" hidden="1" customHeight="1" x14ac:dyDescent="0.2">
      <c r="A3164">
        <v>65061</v>
      </c>
      <c r="B3164" s="3" t="s">
        <v>1844</v>
      </c>
      <c r="C3164" s="7" t="s">
        <v>1608</v>
      </c>
      <c r="D3164" s="7" t="s">
        <v>221</v>
      </c>
      <c r="F3164" s="7" t="s">
        <v>625</v>
      </c>
      <c r="G3164" s="7" t="s">
        <v>1577</v>
      </c>
      <c r="H3164" s="7" t="s">
        <v>1362</v>
      </c>
      <c r="I3164" s="7" t="s">
        <v>1253</v>
      </c>
      <c r="K3164" s="39" t="s">
        <v>277</v>
      </c>
      <c r="L3164" s="40">
        <v>39</v>
      </c>
      <c r="M3164" s="40">
        <v>255557.26</v>
      </c>
      <c r="N3164" s="40">
        <f t="shared" si="125"/>
        <v>39</v>
      </c>
    </row>
    <row r="3165" spans="1:14" ht="12.75" hidden="1" customHeight="1" x14ac:dyDescent="0.2">
      <c r="A3165">
        <v>65061</v>
      </c>
      <c r="B3165" s="3" t="s">
        <v>1844</v>
      </c>
      <c r="C3165" s="7" t="s">
        <v>1608</v>
      </c>
      <c r="D3165" s="7" t="s">
        <v>221</v>
      </c>
      <c r="F3165" s="7" t="s">
        <v>265</v>
      </c>
      <c r="G3165" s="7" t="s">
        <v>1577</v>
      </c>
      <c r="H3165" s="7" t="s">
        <v>1362</v>
      </c>
      <c r="I3165" s="7" t="s">
        <v>1253</v>
      </c>
      <c r="K3165" s="39" t="s">
        <v>277</v>
      </c>
      <c r="L3165" s="40">
        <v>99</v>
      </c>
      <c r="M3165" s="40">
        <v>256247.07</v>
      </c>
      <c r="N3165" s="40">
        <f t="shared" si="125"/>
        <v>99</v>
      </c>
    </row>
    <row r="3166" spans="1:14" ht="12.75" hidden="1" customHeight="1" x14ac:dyDescent="0.2">
      <c r="A3166">
        <v>65061</v>
      </c>
      <c r="B3166" s="3" t="s">
        <v>1844</v>
      </c>
      <c r="C3166" s="7" t="s">
        <v>1703</v>
      </c>
      <c r="D3166" s="7" t="s">
        <v>221</v>
      </c>
      <c r="F3166" s="7" t="s">
        <v>680</v>
      </c>
      <c r="G3166" s="7" t="s">
        <v>1577</v>
      </c>
      <c r="H3166" s="7" t="s">
        <v>1362</v>
      </c>
      <c r="I3166" s="7" t="s">
        <v>1253</v>
      </c>
      <c r="K3166" s="39" t="s">
        <v>277</v>
      </c>
      <c r="L3166" s="40">
        <v>645</v>
      </c>
      <c r="M3166" s="40">
        <v>259531.93</v>
      </c>
      <c r="N3166" s="40">
        <f t="shared" si="125"/>
        <v>645</v>
      </c>
    </row>
    <row r="3167" spans="1:14" ht="12.75" hidden="1" customHeight="1" x14ac:dyDescent="0.2">
      <c r="A3167">
        <v>65061</v>
      </c>
      <c r="B3167" s="3" t="s">
        <v>1844</v>
      </c>
      <c r="C3167" s="7" t="s">
        <v>1703</v>
      </c>
      <c r="D3167" s="7" t="s">
        <v>221</v>
      </c>
      <c r="F3167" s="7" t="s">
        <v>265</v>
      </c>
      <c r="G3167" s="7" t="s">
        <v>1577</v>
      </c>
      <c r="H3167" s="7" t="s">
        <v>1362</v>
      </c>
      <c r="I3167" s="7" t="s">
        <v>1253</v>
      </c>
      <c r="K3167" s="39" t="s">
        <v>277</v>
      </c>
      <c r="L3167" s="40">
        <v>25.33</v>
      </c>
      <c r="M3167" s="40">
        <v>259557.26</v>
      </c>
      <c r="N3167" s="40">
        <f t="shared" si="125"/>
        <v>25.33</v>
      </c>
    </row>
    <row r="3168" spans="1:14" ht="12.75" hidden="1" customHeight="1" x14ac:dyDescent="0.2">
      <c r="A3168">
        <v>65061</v>
      </c>
      <c r="B3168" s="3" t="s">
        <v>1844</v>
      </c>
      <c r="C3168" s="7" t="s">
        <v>1704</v>
      </c>
      <c r="D3168" s="7" t="s">
        <v>200</v>
      </c>
      <c r="E3168" s="7">
        <v>1235</v>
      </c>
      <c r="F3168" s="7" t="s">
        <v>564</v>
      </c>
      <c r="G3168" s="7" t="s">
        <v>1577</v>
      </c>
      <c r="H3168" s="7" t="s">
        <v>1362</v>
      </c>
      <c r="I3168" s="7" t="s">
        <v>1253</v>
      </c>
      <c r="K3168" s="39" t="s">
        <v>277</v>
      </c>
      <c r="L3168" s="40">
        <v>379.52</v>
      </c>
      <c r="M3168" s="40">
        <v>264786.2</v>
      </c>
      <c r="N3168" s="40">
        <f t="shared" si="125"/>
        <v>379.52</v>
      </c>
    </row>
    <row r="3169" spans="1:14" ht="12.75" hidden="1" customHeight="1" x14ac:dyDescent="0.2">
      <c r="A3169">
        <v>65061</v>
      </c>
      <c r="B3169" s="3" t="s">
        <v>1844</v>
      </c>
      <c r="C3169" s="7" t="s">
        <v>1704</v>
      </c>
      <c r="D3169" s="7" t="s">
        <v>221</v>
      </c>
      <c r="F3169" s="7" t="s">
        <v>548</v>
      </c>
      <c r="G3169" s="7" t="s">
        <v>1577</v>
      </c>
      <c r="H3169" s="7" t="s">
        <v>1362</v>
      </c>
      <c r="I3169" s="7" t="s">
        <v>1253</v>
      </c>
      <c r="K3169" s="39" t="s">
        <v>277</v>
      </c>
      <c r="L3169" s="40">
        <v>114.03</v>
      </c>
      <c r="M3169" s="40">
        <v>264900.23</v>
      </c>
      <c r="N3169" s="40">
        <f t="shared" si="125"/>
        <v>114.03</v>
      </c>
    </row>
    <row r="3170" spans="1:14" ht="12.75" hidden="1" customHeight="1" x14ac:dyDescent="0.2">
      <c r="A3170">
        <v>65061</v>
      </c>
      <c r="B3170" s="3" t="s">
        <v>1844</v>
      </c>
      <c r="C3170" s="7" t="s">
        <v>1613</v>
      </c>
      <c r="D3170" s="7" t="s">
        <v>221</v>
      </c>
      <c r="F3170" s="7" t="s">
        <v>352</v>
      </c>
      <c r="G3170" s="7" t="s">
        <v>1577</v>
      </c>
      <c r="H3170" s="7" t="s">
        <v>1362</v>
      </c>
      <c r="I3170" s="7" t="s">
        <v>1253</v>
      </c>
      <c r="K3170" s="39" t="s">
        <v>277</v>
      </c>
      <c r="L3170" s="40">
        <v>17.829999999999998</v>
      </c>
      <c r="M3170" s="40">
        <v>267354.38</v>
      </c>
      <c r="N3170" s="40">
        <f t="shared" si="125"/>
        <v>17.829999999999998</v>
      </c>
    </row>
    <row r="3171" spans="1:14" ht="12.75" hidden="1" customHeight="1" x14ac:dyDescent="0.2">
      <c r="A3171">
        <v>65061</v>
      </c>
      <c r="B3171" s="3" t="s">
        <v>1844</v>
      </c>
      <c r="C3171" s="7" t="s">
        <v>1760</v>
      </c>
      <c r="D3171" s="7" t="s">
        <v>221</v>
      </c>
      <c r="F3171" s="7" t="s">
        <v>265</v>
      </c>
      <c r="G3171" s="7" t="s">
        <v>1577</v>
      </c>
      <c r="H3171" s="7" t="s">
        <v>1362</v>
      </c>
      <c r="I3171" s="7" t="s">
        <v>1253</v>
      </c>
      <c r="K3171" s="39" t="s">
        <v>277</v>
      </c>
      <c r="L3171" s="40">
        <v>130.49</v>
      </c>
      <c r="M3171" s="40">
        <v>277965.37</v>
      </c>
      <c r="N3171" s="40">
        <f t="shared" si="125"/>
        <v>130.49</v>
      </c>
    </row>
    <row r="3172" spans="1:14" ht="12.75" hidden="1" customHeight="1" x14ac:dyDescent="0.2">
      <c r="A3172">
        <v>65061</v>
      </c>
      <c r="B3172" s="3" t="s">
        <v>1844</v>
      </c>
      <c r="C3172" s="7" t="s">
        <v>1760</v>
      </c>
      <c r="D3172" s="7" t="s">
        <v>221</v>
      </c>
      <c r="F3172" s="7" t="s">
        <v>265</v>
      </c>
      <c r="G3172" s="7" t="s">
        <v>1577</v>
      </c>
      <c r="H3172" s="7" t="s">
        <v>1362</v>
      </c>
      <c r="I3172" s="7" t="s">
        <v>1253</v>
      </c>
      <c r="K3172" s="39" t="s">
        <v>277</v>
      </c>
      <c r="L3172" s="40">
        <v>18.93</v>
      </c>
      <c r="M3172" s="40">
        <v>277984.3</v>
      </c>
      <c r="N3172" s="40">
        <f t="shared" si="125"/>
        <v>18.93</v>
      </c>
    </row>
    <row r="3173" spans="1:14" ht="12.75" hidden="1" customHeight="1" x14ac:dyDescent="0.2">
      <c r="A3173">
        <v>65061</v>
      </c>
      <c r="B3173" s="3" t="s">
        <v>1844</v>
      </c>
      <c r="C3173" s="7" t="s">
        <v>1760</v>
      </c>
      <c r="D3173" s="7" t="s">
        <v>221</v>
      </c>
      <c r="F3173" s="7" t="s">
        <v>265</v>
      </c>
      <c r="G3173" s="7" t="s">
        <v>1577</v>
      </c>
      <c r="H3173" s="7" t="s">
        <v>1362</v>
      </c>
      <c r="I3173" s="7" t="s">
        <v>1253</v>
      </c>
      <c r="K3173" s="39" t="s">
        <v>277</v>
      </c>
      <c r="L3173" s="40">
        <v>17.989999999999998</v>
      </c>
      <c r="M3173" s="40">
        <v>278002.28999999998</v>
      </c>
      <c r="N3173" s="40">
        <f t="shared" ref="N3173:N3194" si="126">+L3173</f>
        <v>17.989999999999998</v>
      </c>
    </row>
    <row r="3174" spans="1:14" ht="12.75" hidden="1" customHeight="1" x14ac:dyDescent="0.2">
      <c r="A3174">
        <v>65061</v>
      </c>
      <c r="B3174" s="3" t="s">
        <v>1844</v>
      </c>
      <c r="C3174" s="7" t="s">
        <v>1760</v>
      </c>
      <c r="D3174" s="7" t="s">
        <v>221</v>
      </c>
      <c r="F3174" s="7" t="s">
        <v>265</v>
      </c>
      <c r="G3174" s="7" t="s">
        <v>1577</v>
      </c>
      <c r="H3174" s="7" t="s">
        <v>1362</v>
      </c>
      <c r="I3174" s="7" t="s">
        <v>1253</v>
      </c>
      <c r="K3174" s="39" t="s">
        <v>277</v>
      </c>
      <c r="L3174" s="40">
        <v>33.979999999999997</v>
      </c>
      <c r="M3174" s="40">
        <v>278036.27</v>
      </c>
      <c r="N3174" s="40">
        <f t="shared" si="126"/>
        <v>33.979999999999997</v>
      </c>
    </row>
    <row r="3175" spans="1:14" ht="12.75" hidden="1" customHeight="1" x14ac:dyDescent="0.2">
      <c r="A3175">
        <v>65061</v>
      </c>
      <c r="B3175" s="3" t="s">
        <v>1844</v>
      </c>
      <c r="C3175" s="7" t="s">
        <v>1760</v>
      </c>
      <c r="D3175" s="7" t="s">
        <v>221</v>
      </c>
      <c r="F3175" s="7" t="s">
        <v>265</v>
      </c>
      <c r="G3175" s="7" t="s">
        <v>1577</v>
      </c>
      <c r="H3175" s="7" t="s">
        <v>1362</v>
      </c>
      <c r="I3175" s="7" t="s">
        <v>1253</v>
      </c>
      <c r="K3175" s="39" t="s">
        <v>277</v>
      </c>
      <c r="L3175" s="40">
        <v>127.4</v>
      </c>
      <c r="M3175" s="40">
        <v>278163.67</v>
      </c>
      <c r="N3175" s="40">
        <f t="shared" si="126"/>
        <v>127.4</v>
      </c>
    </row>
    <row r="3176" spans="1:14" ht="12.75" hidden="1" customHeight="1" x14ac:dyDescent="0.2">
      <c r="A3176">
        <v>65061</v>
      </c>
      <c r="B3176" s="3" t="s">
        <v>1844</v>
      </c>
      <c r="C3176" s="7" t="s">
        <v>1760</v>
      </c>
      <c r="D3176" s="7" t="s">
        <v>221</v>
      </c>
      <c r="G3176" s="7" t="s">
        <v>1577</v>
      </c>
      <c r="H3176" s="7" t="s">
        <v>1362</v>
      </c>
      <c r="I3176" s="7" t="s">
        <v>1253</v>
      </c>
      <c r="K3176" s="39" t="s">
        <v>277</v>
      </c>
      <c r="L3176" s="40">
        <v>131.25</v>
      </c>
      <c r="M3176" s="40">
        <v>278294.92</v>
      </c>
      <c r="N3176" s="40">
        <f t="shared" si="126"/>
        <v>131.25</v>
      </c>
    </row>
    <row r="3177" spans="1:14" ht="12.75" hidden="1" customHeight="1" x14ac:dyDescent="0.2">
      <c r="A3177">
        <v>65061</v>
      </c>
      <c r="B3177" s="3" t="s">
        <v>1844</v>
      </c>
      <c r="C3177" s="7" t="s">
        <v>1624</v>
      </c>
      <c r="D3177" s="7" t="s">
        <v>221</v>
      </c>
      <c r="F3177" s="7" t="s">
        <v>265</v>
      </c>
      <c r="G3177" s="7" t="s">
        <v>1577</v>
      </c>
      <c r="H3177" s="7" t="s">
        <v>1362</v>
      </c>
      <c r="I3177" s="7" t="s">
        <v>1253</v>
      </c>
      <c r="K3177" s="39" t="s">
        <v>277</v>
      </c>
      <c r="L3177" s="40">
        <v>54.95</v>
      </c>
      <c r="M3177" s="40">
        <v>283111.21999999997</v>
      </c>
      <c r="N3177" s="40">
        <f t="shared" si="126"/>
        <v>54.95</v>
      </c>
    </row>
    <row r="3178" spans="1:14" ht="12.75" hidden="1" customHeight="1" x14ac:dyDescent="0.2">
      <c r="A3178">
        <v>65061</v>
      </c>
      <c r="B3178" s="3" t="s">
        <v>1844</v>
      </c>
      <c r="C3178" s="7" t="s">
        <v>1624</v>
      </c>
      <c r="D3178" s="7" t="s">
        <v>221</v>
      </c>
      <c r="F3178" s="7" t="s">
        <v>352</v>
      </c>
      <c r="G3178" s="7" t="s">
        <v>1577</v>
      </c>
      <c r="H3178" s="7" t="s">
        <v>1362</v>
      </c>
      <c r="I3178" s="7" t="s">
        <v>1253</v>
      </c>
      <c r="K3178" s="39" t="s">
        <v>277</v>
      </c>
      <c r="L3178" s="40">
        <v>185.43</v>
      </c>
      <c r="M3178" s="40">
        <v>283313.87</v>
      </c>
      <c r="N3178" s="40">
        <f t="shared" si="126"/>
        <v>185.43</v>
      </c>
    </row>
    <row r="3179" spans="1:14" ht="12.75" hidden="1" customHeight="1" x14ac:dyDescent="0.2">
      <c r="A3179">
        <v>65061</v>
      </c>
      <c r="B3179" s="3" t="s">
        <v>1844</v>
      </c>
      <c r="C3179" s="7" t="s">
        <v>1624</v>
      </c>
      <c r="D3179" s="7" t="s">
        <v>200</v>
      </c>
      <c r="E3179" s="7">
        <v>1237</v>
      </c>
      <c r="F3179" s="7" t="s">
        <v>1964</v>
      </c>
      <c r="G3179" s="7" t="s">
        <v>1577</v>
      </c>
      <c r="H3179" s="7" t="s">
        <v>1362</v>
      </c>
      <c r="I3179" s="7" t="s">
        <v>1253</v>
      </c>
      <c r="K3179" s="39" t="s">
        <v>277</v>
      </c>
      <c r="L3179" s="40">
        <v>250.13</v>
      </c>
      <c r="M3179" s="40">
        <v>283564</v>
      </c>
      <c r="N3179" s="40">
        <f t="shared" si="126"/>
        <v>250.13</v>
      </c>
    </row>
    <row r="3180" spans="1:14" ht="12.75" hidden="1" customHeight="1" x14ac:dyDescent="0.2">
      <c r="A3180">
        <v>65061</v>
      </c>
      <c r="B3180" s="3" t="s">
        <v>1844</v>
      </c>
      <c r="C3180" s="7" t="s">
        <v>1624</v>
      </c>
      <c r="D3180" s="7" t="s">
        <v>221</v>
      </c>
      <c r="F3180" s="7" t="s">
        <v>265</v>
      </c>
      <c r="G3180" s="7" t="s">
        <v>1577</v>
      </c>
      <c r="H3180" s="7" t="s">
        <v>1362</v>
      </c>
      <c r="I3180" s="7" t="s">
        <v>1253</v>
      </c>
      <c r="K3180" s="39" t="s">
        <v>277</v>
      </c>
      <c r="L3180" s="40">
        <v>34.99</v>
      </c>
      <c r="M3180" s="40">
        <v>286020.40999999997</v>
      </c>
      <c r="N3180" s="40">
        <f t="shared" si="126"/>
        <v>34.99</v>
      </c>
    </row>
    <row r="3181" spans="1:14" ht="12.75" hidden="1" customHeight="1" x14ac:dyDescent="0.2">
      <c r="A3181">
        <v>65061</v>
      </c>
      <c r="B3181" s="3" t="s">
        <v>1844</v>
      </c>
      <c r="C3181" s="7" t="s">
        <v>1626</v>
      </c>
      <c r="D3181" s="7" t="s">
        <v>221</v>
      </c>
      <c r="F3181" s="7" t="s">
        <v>265</v>
      </c>
      <c r="G3181" s="7" t="s">
        <v>1577</v>
      </c>
      <c r="H3181" s="7" t="s">
        <v>1362</v>
      </c>
      <c r="I3181" s="7" t="s">
        <v>1253</v>
      </c>
      <c r="K3181" s="39" t="s">
        <v>277</v>
      </c>
      <c r="L3181" s="40">
        <v>146.21</v>
      </c>
      <c r="M3181" s="40">
        <v>286166.62</v>
      </c>
      <c r="N3181" s="40">
        <f t="shared" si="126"/>
        <v>146.21</v>
      </c>
    </row>
    <row r="3182" spans="1:14" ht="12.75" hidden="1" customHeight="1" x14ac:dyDescent="0.2">
      <c r="A3182">
        <v>65061</v>
      </c>
      <c r="B3182" s="3" t="s">
        <v>1844</v>
      </c>
      <c r="C3182" s="7" t="s">
        <v>1626</v>
      </c>
      <c r="D3182" s="7" t="s">
        <v>221</v>
      </c>
      <c r="F3182" s="7" t="s">
        <v>625</v>
      </c>
      <c r="G3182" s="7" t="s">
        <v>1577</v>
      </c>
      <c r="H3182" s="7" t="s">
        <v>1362</v>
      </c>
      <c r="I3182" s="7" t="s">
        <v>1253</v>
      </c>
      <c r="K3182" s="39" t="s">
        <v>277</v>
      </c>
      <c r="L3182" s="40">
        <v>73.98</v>
      </c>
      <c r="M3182" s="40">
        <v>286240.59999999998</v>
      </c>
      <c r="N3182" s="40">
        <f t="shared" si="126"/>
        <v>73.98</v>
      </c>
    </row>
    <row r="3183" spans="1:14" ht="12.75" hidden="1" customHeight="1" x14ac:dyDescent="0.2">
      <c r="A3183">
        <v>65061</v>
      </c>
      <c r="B3183" s="3" t="s">
        <v>1844</v>
      </c>
      <c r="C3183" s="7" t="s">
        <v>1626</v>
      </c>
      <c r="D3183" s="7" t="s">
        <v>200</v>
      </c>
      <c r="E3183" s="7">
        <v>1236</v>
      </c>
      <c r="F3183" s="7" t="s">
        <v>564</v>
      </c>
      <c r="G3183" s="7" t="s">
        <v>1577</v>
      </c>
      <c r="H3183" s="7" t="s">
        <v>1362</v>
      </c>
      <c r="I3183" s="7" t="s">
        <v>1253</v>
      </c>
      <c r="K3183" s="39" t="s">
        <v>277</v>
      </c>
      <c r="L3183" s="40">
        <v>1092.26</v>
      </c>
      <c r="M3183" s="40">
        <v>287332.86</v>
      </c>
      <c r="N3183" s="40">
        <f t="shared" si="126"/>
        <v>1092.26</v>
      </c>
    </row>
    <row r="3184" spans="1:14" ht="12.75" hidden="1" customHeight="1" x14ac:dyDescent="0.2">
      <c r="A3184">
        <v>65061</v>
      </c>
      <c r="B3184" s="3" t="s">
        <v>1844</v>
      </c>
      <c r="C3184" s="7" t="s">
        <v>1546</v>
      </c>
      <c r="D3184" s="7" t="s">
        <v>221</v>
      </c>
      <c r="F3184" s="7" t="s">
        <v>265</v>
      </c>
      <c r="G3184" s="7" t="s">
        <v>1577</v>
      </c>
      <c r="H3184" s="7" t="s">
        <v>1362</v>
      </c>
      <c r="I3184" s="7" t="s">
        <v>1253</v>
      </c>
      <c r="K3184" s="39" t="s">
        <v>277</v>
      </c>
      <c r="L3184" s="40">
        <v>67.88</v>
      </c>
      <c r="M3184" s="40">
        <v>288933.15000000002</v>
      </c>
      <c r="N3184" s="40">
        <f t="shared" si="126"/>
        <v>67.88</v>
      </c>
    </row>
    <row r="3185" spans="1:14" ht="12.75" hidden="1" customHeight="1" x14ac:dyDescent="0.2">
      <c r="A3185">
        <v>65061</v>
      </c>
      <c r="B3185" s="3" t="s">
        <v>1844</v>
      </c>
      <c r="C3185" s="7" t="s">
        <v>1631</v>
      </c>
      <c r="D3185" s="7" t="s">
        <v>200</v>
      </c>
      <c r="E3185" s="7">
        <v>1238</v>
      </c>
      <c r="F3185" s="7" t="s">
        <v>1970</v>
      </c>
      <c r="G3185" s="7" t="s">
        <v>1577</v>
      </c>
      <c r="H3185" s="7" t="s">
        <v>1362</v>
      </c>
      <c r="I3185" s="7" t="s">
        <v>1253</v>
      </c>
      <c r="K3185" s="39" t="s">
        <v>277</v>
      </c>
      <c r="L3185" s="40">
        <v>87.55</v>
      </c>
      <c r="M3185" s="40">
        <v>290764.23</v>
      </c>
      <c r="N3185" s="40">
        <f t="shared" si="126"/>
        <v>87.55</v>
      </c>
    </row>
    <row r="3186" spans="1:14" ht="12.75" hidden="1" customHeight="1" x14ac:dyDescent="0.2">
      <c r="A3186">
        <v>65061</v>
      </c>
      <c r="B3186" s="3" t="s">
        <v>1844</v>
      </c>
      <c r="C3186" s="7" t="s">
        <v>1631</v>
      </c>
      <c r="D3186" s="7" t="s">
        <v>221</v>
      </c>
      <c r="F3186" s="7" t="s">
        <v>355</v>
      </c>
      <c r="G3186" s="7" t="s">
        <v>1577</v>
      </c>
      <c r="H3186" s="7" t="s">
        <v>1362</v>
      </c>
      <c r="I3186" s="7" t="s">
        <v>1253</v>
      </c>
      <c r="K3186" s="39" t="s">
        <v>277</v>
      </c>
      <c r="L3186" s="40">
        <v>69.540000000000006</v>
      </c>
      <c r="M3186" s="40">
        <v>290833.77</v>
      </c>
      <c r="N3186" s="40">
        <f t="shared" si="126"/>
        <v>69.540000000000006</v>
      </c>
    </row>
    <row r="3187" spans="1:14" ht="12.75" hidden="1" customHeight="1" x14ac:dyDescent="0.2">
      <c r="A3187">
        <v>65061</v>
      </c>
      <c r="B3187" s="3" t="s">
        <v>1844</v>
      </c>
      <c r="C3187" s="7" t="s">
        <v>1680</v>
      </c>
      <c r="D3187" s="7" t="s">
        <v>221</v>
      </c>
      <c r="F3187" s="7" t="s">
        <v>352</v>
      </c>
      <c r="G3187" s="7" t="s">
        <v>1577</v>
      </c>
      <c r="H3187" s="7" t="s">
        <v>1362</v>
      </c>
      <c r="I3187" s="7" t="s">
        <v>1253</v>
      </c>
      <c r="K3187" s="39" t="s">
        <v>277</v>
      </c>
      <c r="L3187" s="40">
        <v>59</v>
      </c>
      <c r="M3187" s="40">
        <v>291461.90000000002</v>
      </c>
      <c r="N3187" s="40">
        <f t="shared" si="126"/>
        <v>59</v>
      </c>
    </row>
    <row r="3188" spans="1:14" ht="12.75" hidden="1" customHeight="1" x14ac:dyDescent="0.2">
      <c r="A3188">
        <v>65061</v>
      </c>
      <c r="B3188" s="3" t="s">
        <v>1844</v>
      </c>
      <c r="C3188" s="7" t="s">
        <v>1680</v>
      </c>
      <c r="D3188" s="7" t="s">
        <v>221</v>
      </c>
      <c r="F3188" s="7" t="s">
        <v>1972</v>
      </c>
      <c r="G3188" s="7" t="s">
        <v>1577</v>
      </c>
      <c r="H3188" s="7" t="s">
        <v>1362</v>
      </c>
      <c r="I3188" s="7" t="s">
        <v>1253</v>
      </c>
      <c r="K3188" s="39" t="s">
        <v>277</v>
      </c>
      <c r="L3188" s="40">
        <v>45.62</v>
      </c>
      <c r="M3188" s="40">
        <v>291507.52</v>
      </c>
      <c r="N3188" s="40">
        <f t="shared" si="126"/>
        <v>45.62</v>
      </c>
    </row>
    <row r="3189" spans="1:14" ht="12.75" hidden="1" customHeight="1" x14ac:dyDescent="0.2">
      <c r="A3189">
        <v>65061</v>
      </c>
      <c r="B3189" s="3" t="s">
        <v>1844</v>
      </c>
      <c r="C3189" s="7" t="s">
        <v>1635</v>
      </c>
      <c r="D3189" s="7" t="s">
        <v>221</v>
      </c>
      <c r="F3189" s="7" t="s">
        <v>681</v>
      </c>
      <c r="G3189" s="7" t="s">
        <v>1577</v>
      </c>
      <c r="H3189" s="7" t="s">
        <v>1362</v>
      </c>
      <c r="I3189" s="7" t="s">
        <v>1253</v>
      </c>
      <c r="K3189" s="39" t="s">
        <v>277</v>
      </c>
      <c r="L3189" s="40">
        <v>200</v>
      </c>
      <c r="M3189" s="40">
        <v>291838.43</v>
      </c>
      <c r="N3189" s="40">
        <f t="shared" si="126"/>
        <v>200</v>
      </c>
    </row>
    <row r="3190" spans="1:14" ht="12.75" hidden="1" customHeight="1" x14ac:dyDescent="0.2">
      <c r="A3190">
        <v>65061</v>
      </c>
      <c r="B3190" s="3" t="s">
        <v>1844</v>
      </c>
      <c r="C3190" s="7" t="s">
        <v>1638</v>
      </c>
      <c r="D3190" s="7" t="s">
        <v>221</v>
      </c>
      <c r="F3190" s="7" t="s">
        <v>589</v>
      </c>
      <c r="G3190" s="7" t="s">
        <v>1577</v>
      </c>
      <c r="H3190" s="7" t="s">
        <v>1362</v>
      </c>
      <c r="I3190" s="7" t="s">
        <v>1253</v>
      </c>
      <c r="K3190" s="39" t="s">
        <v>277</v>
      </c>
      <c r="L3190" s="40">
        <v>35.979999999999997</v>
      </c>
      <c r="M3190" s="40">
        <v>295702.53999999998</v>
      </c>
      <c r="N3190" s="40">
        <f t="shared" si="126"/>
        <v>35.979999999999997</v>
      </c>
    </row>
    <row r="3191" spans="1:14" ht="12.75" hidden="1" customHeight="1" x14ac:dyDescent="0.2">
      <c r="A3191">
        <v>65061</v>
      </c>
      <c r="B3191" s="3" t="s">
        <v>1844</v>
      </c>
      <c r="C3191" s="7" t="s">
        <v>1638</v>
      </c>
      <c r="D3191" s="7" t="s">
        <v>221</v>
      </c>
      <c r="F3191" s="7" t="s">
        <v>352</v>
      </c>
      <c r="G3191" s="7" t="s">
        <v>1577</v>
      </c>
      <c r="H3191" s="7" t="s">
        <v>1362</v>
      </c>
      <c r="I3191" s="7" t="s">
        <v>1253</v>
      </c>
      <c r="K3191" s="39" t="s">
        <v>277</v>
      </c>
      <c r="L3191" s="40">
        <v>11.33</v>
      </c>
      <c r="M3191" s="40">
        <v>295713.87</v>
      </c>
      <c r="N3191" s="40">
        <f t="shared" si="126"/>
        <v>11.33</v>
      </c>
    </row>
    <row r="3192" spans="1:14" ht="12.75" hidden="1" customHeight="1" x14ac:dyDescent="0.2">
      <c r="A3192">
        <v>65061</v>
      </c>
      <c r="B3192" s="3" t="s">
        <v>1844</v>
      </c>
      <c r="C3192" s="7" t="s">
        <v>1638</v>
      </c>
      <c r="D3192" s="7" t="s">
        <v>221</v>
      </c>
      <c r="F3192" s="7" t="s">
        <v>548</v>
      </c>
      <c r="G3192" s="7" t="s">
        <v>1577</v>
      </c>
      <c r="H3192" s="7" t="s">
        <v>1362</v>
      </c>
      <c r="I3192" s="7" t="s">
        <v>1253</v>
      </c>
      <c r="K3192" s="39" t="s">
        <v>277</v>
      </c>
      <c r="L3192" s="40">
        <v>45.74</v>
      </c>
      <c r="M3192" s="40">
        <v>295759.61</v>
      </c>
      <c r="N3192" s="40">
        <f t="shared" si="126"/>
        <v>45.74</v>
      </c>
    </row>
    <row r="3193" spans="1:14" ht="12.75" hidden="1" customHeight="1" x14ac:dyDescent="0.2">
      <c r="A3193">
        <v>65061</v>
      </c>
      <c r="B3193" s="3" t="s">
        <v>1844</v>
      </c>
      <c r="C3193" s="7" t="s">
        <v>1638</v>
      </c>
      <c r="D3193" s="7" t="s">
        <v>221</v>
      </c>
      <c r="F3193" s="7" t="s">
        <v>548</v>
      </c>
      <c r="G3193" s="7" t="s">
        <v>1577</v>
      </c>
      <c r="H3193" s="7" t="s">
        <v>1362</v>
      </c>
      <c r="I3193" s="7" t="s">
        <v>1253</v>
      </c>
      <c r="K3193" s="39" t="s">
        <v>277</v>
      </c>
      <c r="L3193" s="40">
        <v>75.75</v>
      </c>
      <c r="M3193" s="40">
        <v>295835.36</v>
      </c>
      <c r="N3193" s="40">
        <f t="shared" si="126"/>
        <v>75.75</v>
      </c>
    </row>
    <row r="3194" spans="1:14" ht="12.75" hidden="1" customHeight="1" x14ac:dyDescent="0.2">
      <c r="A3194">
        <v>65095</v>
      </c>
      <c r="B3194" s="3" t="s">
        <v>1259</v>
      </c>
      <c r="C3194" s="7" t="s">
        <v>1617</v>
      </c>
      <c r="D3194" s="7" t="s">
        <v>183</v>
      </c>
      <c r="E3194" s="7">
        <v>689</v>
      </c>
      <c r="G3194" s="7" t="s">
        <v>1577</v>
      </c>
      <c r="H3194" s="43" t="s">
        <v>1361</v>
      </c>
      <c r="I3194" s="7" t="s">
        <v>1259</v>
      </c>
      <c r="K3194" s="39" t="s">
        <v>180</v>
      </c>
      <c r="L3194" s="40">
        <v>8.49</v>
      </c>
      <c r="M3194" s="40">
        <v>1003.45</v>
      </c>
      <c r="N3194" s="40">
        <f t="shared" si="126"/>
        <v>8.49</v>
      </c>
    </row>
    <row r="3195" spans="1:14" ht="12.75" customHeight="1" x14ac:dyDescent="0.2">
      <c r="A3195">
        <v>44000</v>
      </c>
      <c r="B3195" s="3" t="s">
        <v>1229</v>
      </c>
      <c r="C3195" s="7" t="s">
        <v>290</v>
      </c>
      <c r="D3195" s="7" t="s">
        <v>183</v>
      </c>
      <c r="E3195" s="7">
        <v>483</v>
      </c>
      <c r="G3195" s="7" t="s">
        <v>1577</v>
      </c>
      <c r="H3195" s="7" t="s">
        <v>1359</v>
      </c>
      <c r="I3195" s="7" t="s">
        <v>2148</v>
      </c>
      <c r="J3195" s="7" t="s">
        <v>318</v>
      </c>
      <c r="K3195" s="7" t="s">
        <v>180</v>
      </c>
      <c r="L3195" s="11">
        <v>1001</v>
      </c>
      <c r="M3195" s="11">
        <v>154682.93</v>
      </c>
      <c r="N3195" s="9">
        <f>IF(A3195&lt;60000,-L3195,+L3195)</f>
        <v>-1001</v>
      </c>
    </row>
    <row r="3196" spans="1:14" ht="12.75" customHeight="1" x14ac:dyDescent="0.2">
      <c r="A3196">
        <v>44000</v>
      </c>
      <c r="B3196" s="3" t="s">
        <v>1229</v>
      </c>
      <c r="C3196" s="7" t="s">
        <v>290</v>
      </c>
      <c r="D3196" s="7" t="s">
        <v>183</v>
      </c>
      <c r="E3196" s="7">
        <v>481</v>
      </c>
      <c r="G3196" s="7" t="s">
        <v>1577</v>
      </c>
      <c r="H3196" s="7" t="s">
        <v>1359</v>
      </c>
      <c r="I3196" s="7" t="s">
        <v>2148</v>
      </c>
      <c r="J3196" s="7" t="s">
        <v>1144</v>
      </c>
      <c r="K3196" s="7" t="s">
        <v>180</v>
      </c>
      <c r="L3196" s="11">
        <v>410</v>
      </c>
      <c r="M3196" s="11">
        <v>155342.93</v>
      </c>
      <c r="N3196" s="9">
        <f>IF(A3196&lt;60000,-L3196,+L3196)</f>
        <v>-410</v>
      </c>
    </row>
    <row r="3197" spans="1:14" ht="12.75" customHeight="1" x14ac:dyDescent="0.2">
      <c r="A3197">
        <v>44000</v>
      </c>
      <c r="B3197" s="3" t="s">
        <v>1229</v>
      </c>
      <c r="C3197" s="7" t="s">
        <v>280</v>
      </c>
      <c r="D3197" s="7" t="s">
        <v>242</v>
      </c>
      <c r="F3197" s="7" t="s">
        <v>665</v>
      </c>
      <c r="G3197" s="7" t="s">
        <v>1577</v>
      </c>
      <c r="H3197" s="7" t="s">
        <v>1359</v>
      </c>
      <c r="I3197" s="7" t="s">
        <v>2148</v>
      </c>
      <c r="J3197" s="7" t="s">
        <v>373</v>
      </c>
      <c r="K3197" s="7" t="s">
        <v>1141</v>
      </c>
      <c r="L3197" s="11">
        <v>6100</v>
      </c>
      <c r="M3197" s="11">
        <v>162265.25</v>
      </c>
      <c r="N3197" s="9">
        <f>IF(A3197&lt;60000,-L3197,+L3197)</f>
        <v>-6100</v>
      </c>
    </row>
    <row r="3198" spans="1:14" ht="12.75" customHeight="1" x14ac:dyDescent="0.2">
      <c r="A3198">
        <v>44000</v>
      </c>
      <c r="B3198" s="3" t="s">
        <v>1229</v>
      </c>
      <c r="C3198" s="7" t="s">
        <v>1619</v>
      </c>
      <c r="D3198" s="7" t="s">
        <v>242</v>
      </c>
      <c r="F3198" s="7" t="s">
        <v>665</v>
      </c>
      <c r="G3198" s="7" t="s">
        <v>1605</v>
      </c>
      <c r="H3198" s="7" t="s">
        <v>1359</v>
      </c>
      <c r="I3198" s="7" t="s">
        <v>2148</v>
      </c>
      <c r="K3198" s="39" t="s">
        <v>1191</v>
      </c>
      <c r="L3198" s="40">
        <v>125</v>
      </c>
      <c r="M3198" s="40">
        <v>225843.7</v>
      </c>
      <c r="N3198" s="41">
        <f>-L3198</f>
        <v>-125</v>
      </c>
    </row>
    <row r="3199" spans="1:14" ht="12.75" customHeight="1" x14ac:dyDescent="0.2">
      <c r="A3199">
        <v>44000</v>
      </c>
      <c r="B3199" s="3" t="s">
        <v>1229</v>
      </c>
      <c r="C3199" s="7" t="s">
        <v>1685</v>
      </c>
      <c r="D3199" s="7" t="s">
        <v>242</v>
      </c>
      <c r="F3199" s="7" t="s">
        <v>425</v>
      </c>
      <c r="G3199" s="7" t="s">
        <v>1568</v>
      </c>
      <c r="H3199" s="7" t="s">
        <v>1359</v>
      </c>
      <c r="I3199" s="7" t="s">
        <v>2148</v>
      </c>
      <c r="K3199" s="39" t="s">
        <v>258</v>
      </c>
      <c r="L3199" s="40">
        <v>2725.03</v>
      </c>
      <c r="M3199" s="40">
        <v>187413.05</v>
      </c>
      <c r="N3199" s="41">
        <f>-L3199</f>
        <v>-2725.03</v>
      </c>
    </row>
    <row r="3200" spans="1:14" ht="12.75" customHeight="1" x14ac:dyDescent="0.2">
      <c r="A3200">
        <v>44000</v>
      </c>
      <c r="B3200" s="3" t="s">
        <v>1229</v>
      </c>
      <c r="C3200" s="7" t="s">
        <v>1567</v>
      </c>
      <c r="D3200" s="7" t="s">
        <v>242</v>
      </c>
      <c r="G3200" s="7" t="s">
        <v>1568</v>
      </c>
      <c r="H3200" s="7" t="s">
        <v>1359</v>
      </c>
      <c r="I3200" s="7" t="s">
        <v>2148</v>
      </c>
      <c r="J3200" s="39" t="s">
        <v>276</v>
      </c>
      <c r="K3200" s="39" t="s">
        <v>258</v>
      </c>
      <c r="L3200" s="40">
        <v>500</v>
      </c>
      <c r="M3200" s="40">
        <v>189163.05</v>
      </c>
      <c r="N3200" s="41">
        <f>-L3200</f>
        <v>-500</v>
      </c>
    </row>
    <row r="3201" spans="1:14" ht="12.75" customHeight="1" x14ac:dyDescent="0.2">
      <c r="A3201">
        <v>44000</v>
      </c>
      <c r="B3201" s="3" t="s">
        <v>1229</v>
      </c>
      <c r="C3201" s="7" t="s">
        <v>327</v>
      </c>
      <c r="D3201" s="7" t="s">
        <v>242</v>
      </c>
      <c r="F3201" s="7" t="s">
        <v>665</v>
      </c>
      <c r="G3201" s="7" t="s">
        <v>1545</v>
      </c>
      <c r="H3201" s="7" t="s">
        <v>1359</v>
      </c>
      <c r="I3201" s="7" t="s">
        <v>2148</v>
      </c>
      <c r="K3201" s="7" t="s">
        <v>1150</v>
      </c>
      <c r="L3201" s="11">
        <v>3515</v>
      </c>
      <c r="M3201" s="11">
        <v>39920</v>
      </c>
      <c r="N3201" s="9">
        <f t="shared" ref="N3201:N3206" si="127">IF(A3201&lt;60000,-L3201,+L3201)</f>
        <v>-3515</v>
      </c>
    </row>
    <row r="3202" spans="1:14" ht="12.75" customHeight="1" x14ac:dyDescent="0.2">
      <c r="A3202">
        <v>44000</v>
      </c>
      <c r="B3202" s="3" t="s">
        <v>1229</v>
      </c>
      <c r="C3202" s="7" t="s">
        <v>327</v>
      </c>
      <c r="D3202" s="7" t="s">
        <v>242</v>
      </c>
      <c r="F3202" s="7" t="s">
        <v>665</v>
      </c>
      <c r="G3202" s="7" t="s">
        <v>1545</v>
      </c>
      <c r="H3202" s="7" t="s">
        <v>1359</v>
      </c>
      <c r="I3202" s="7" t="s">
        <v>2148</v>
      </c>
      <c r="K3202" s="7" t="s">
        <v>1150</v>
      </c>
      <c r="L3202" s="11">
        <v>1040</v>
      </c>
      <c r="M3202" s="11">
        <v>40960</v>
      </c>
      <c r="N3202" s="9">
        <f t="shared" si="127"/>
        <v>-1040</v>
      </c>
    </row>
    <row r="3203" spans="1:14" ht="12.75" customHeight="1" x14ac:dyDescent="0.2">
      <c r="A3203">
        <v>44000</v>
      </c>
      <c r="B3203" s="3" t="s">
        <v>1229</v>
      </c>
      <c r="C3203" s="7" t="s">
        <v>327</v>
      </c>
      <c r="D3203" s="7" t="s">
        <v>242</v>
      </c>
      <c r="F3203" s="7" t="s">
        <v>665</v>
      </c>
      <c r="G3203" s="7" t="s">
        <v>1545</v>
      </c>
      <c r="H3203" s="7" t="s">
        <v>1359</v>
      </c>
      <c r="I3203" s="7" t="s">
        <v>2148</v>
      </c>
      <c r="K3203" s="7" t="s">
        <v>1150</v>
      </c>
      <c r="L3203" s="11">
        <v>4070</v>
      </c>
      <c r="M3203" s="11">
        <v>45030</v>
      </c>
      <c r="N3203" s="9">
        <f t="shared" si="127"/>
        <v>-4070</v>
      </c>
    </row>
    <row r="3204" spans="1:14" ht="12.75" customHeight="1" x14ac:dyDescent="0.2">
      <c r="A3204">
        <v>44000</v>
      </c>
      <c r="B3204" s="3" t="s">
        <v>1229</v>
      </c>
      <c r="C3204" s="7" t="s">
        <v>327</v>
      </c>
      <c r="D3204" s="7" t="s">
        <v>242</v>
      </c>
      <c r="F3204" s="7" t="s">
        <v>665</v>
      </c>
      <c r="G3204" s="7" t="s">
        <v>1545</v>
      </c>
      <c r="H3204" s="7" t="s">
        <v>1359</v>
      </c>
      <c r="I3204" s="7" t="s">
        <v>2148</v>
      </c>
      <c r="J3204" s="7" t="s">
        <v>1151</v>
      </c>
      <c r="K3204" s="7" t="s">
        <v>1150</v>
      </c>
      <c r="L3204" s="11">
        <v>425</v>
      </c>
      <c r="M3204" s="11">
        <v>45455</v>
      </c>
      <c r="N3204" s="9">
        <f t="shared" si="127"/>
        <v>-425</v>
      </c>
    </row>
    <row r="3205" spans="1:14" ht="12.75" customHeight="1" x14ac:dyDescent="0.2">
      <c r="A3205">
        <v>44000</v>
      </c>
      <c r="B3205" s="3" t="s">
        <v>1229</v>
      </c>
      <c r="C3205" s="7" t="s">
        <v>308</v>
      </c>
      <c r="D3205" s="7" t="s">
        <v>242</v>
      </c>
      <c r="F3205" s="7" t="s">
        <v>665</v>
      </c>
      <c r="G3205" s="7" t="s">
        <v>1548</v>
      </c>
      <c r="H3205" s="7" t="s">
        <v>1359</v>
      </c>
      <c r="I3205" s="7" t="s">
        <v>2148</v>
      </c>
      <c r="K3205" s="7" t="s">
        <v>1142</v>
      </c>
      <c r="L3205" s="11">
        <v>397.93</v>
      </c>
      <c r="M3205" s="11">
        <v>142292.93</v>
      </c>
      <c r="N3205" s="9">
        <f t="shared" si="127"/>
        <v>-397.93</v>
      </c>
    </row>
    <row r="3206" spans="1:14" ht="12.75" customHeight="1" x14ac:dyDescent="0.2">
      <c r="A3206">
        <v>44000</v>
      </c>
      <c r="B3206" s="3" t="s">
        <v>1229</v>
      </c>
      <c r="C3206" s="7" t="s">
        <v>280</v>
      </c>
      <c r="D3206" s="7" t="s">
        <v>242</v>
      </c>
      <c r="F3206" s="7" t="s">
        <v>665</v>
      </c>
      <c r="G3206" s="7" t="s">
        <v>1548</v>
      </c>
      <c r="H3206" s="7" t="s">
        <v>1359</v>
      </c>
      <c r="I3206" s="7" t="s">
        <v>2148</v>
      </c>
      <c r="J3206" s="7" t="s">
        <v>1143</v>
      </c>
      <c r="K3206" s="7" t="s">
        <v>1142</v>
      </c>
      <c r="L3206" s="11">
        <v>122.32</v>
      </c>
      <c r="M3206" s="11">
        <v>156165.25</v>
      </c>
      <c r="N3206" s="9">
        <f t="shared" si="127"/>
        <v>-122.32</v>
      </c>
    </row>
    <row r="3207" spans="1:14" ht="12.75" customHeight="1" x14ac:dyDescent="0.2">
      <c r="A3207">
        <v>44000</v>
      </c>
      <c r="B3207" s="3" t="s">
        <v>1229</v>
      </c>
      <c r="C3207" s="7" t="s">
        <v>1556</v>
      </c>
      <c r="D3207" s="7" t="s">
        <v>242</v>
      </c>
      <c r="F3207" s="7" t="s">
        <v>665</v>
      </c>
      <c r="G3207" s="7" t="s">
        <v>1573</v>
      </c>
      <c r="H3207" s="7" t="s">
        <v>1359</v>
      </c>
      <c r="I3207" s="7" t="s">
        <v>2148</v>
      </c>
      <c r="K3207" s="39" t="s">
        <v>1179</v>
      </c>
      <c r="L3207" s="40">
        <v>650</v>
      </c>
      <c r="M3207" s="40">
        <v>184688.02</v>
      </c>
      <c r="N3207" s="41">
        <f>-L3207</f>
        <v>-650</v>
      </c>
    </row>
    <row r="3208" spans="1:14" ht="12.75" hidden="1" customHeight="1" x14ac:dyDescent="0.2">
      <c r="A3208">
        <v>65015</v>
      </c>
      <c r="B3208" s="3" t="s">
        <v>1244</v>
      </c>
      <c r="C3208" s="7" t="s">
        <v>1680</v>
      </c>
      <c r="D3208" s="7" t="s">
        <v>221</v>
      </c>
      <c r="F3208" s="7" t="s">
        <v>1056</v>
      </c>
      <c r="G3208" s="7" t="s">
        <v>1561</v>
      </c>
      <c r="H3208" s="43" t="s">
        <v>1362</v>
      </c>
      <c r="I3208" s="7" t="s">
        <v>1244</v>
      </c>
      <c r="K3208" s="39" t="s">
        <v>631</v>
      </c>
      <c r="L3208" s="40">
        <v>534.20000000000005</v>
      </c>
      <c r="M3208" s="40">
        <v>10358.129999999999</v>
      </c>
      <c r="N3208" s="40">
        <f t="shared" ref="N3208:N3242" si="128">+L3208</f>
        <v>534.20000000000005</v>
      </c>
    </row>
    <row r="3209" spans="1:14" ht="12.75" hidden="1" customHeight="1" x14ac:dyDescent="0.2">
      <c r="A3209">
        <v>65020</v>
      </c>
      <c r="B3209" s="3" t="s">
        <v>1245</v>
      </c>
      <c r="C3209" s="7" t="s">
        <v>1543</v>
      </c>
      <c r="D3209" s="7" t="s">
        <v>221</v>
      </c>
      <c r="F3209" s="7" t="s">
        <v>338</v>
      </c>
      <c r="G3209" s="7" t="s">
        <v>1561</v>
      </c>
      <c r="H3209" s="7" t="s">
        <v>1362</v>
      </c>
      <c r="I3209" s="7" t="s">
        <v>1245</v>
      </c>
      <c r="K3209" s="39" t="s">
        <v>631</v>
      </c>
      <c r="L3209" s="40">
        <v>67</v>
      </c>
      <c r="M3209" s="40">
        <v>2999.51</v>
      </c>
      <c r="N3209" s="40">
        <f t="shared" si="128"/>
        <v>67</v>
      </c>
    </row>
    <row r="3210" spans="1:14" ht="12.75" hidden="1" customHeight="1" x14ac:dyDescent="0.2">
      <c r="A3210">
        <v>65025</v>
      </c>
      <c r="B3210" s="3" t="s">
        <v>1246</v>
      </c>
      <c r="C3210" s="7" t="s">
        <v>1556</v>
      </c>
      <c r="D3210" s="7" t="s">
        <v>221</v>
      </c>
      <c r="F3210" s="7" t="s">
        <v>446</v>
      </c>
      <c r="G3210" s="7" t="s">
        <v>1561</v>
      </c>
      <c r="H3210" s="7" t="s">
        <v>1362</v>
      </c>
      <c r="I3210" s="7" t="s">
        <v>1246</v>
      </c>
      <c r="K3210" s="39" t="s">
        <v>631</v>
      </c>
      <c r="L3210" s="40">
        <v>15</v>
      </c>
      <c r="M3210" s="40">
        <v>1733.52</v>
      </c>
      <c r="N3210" s="40">
        <f t="shared" si="128"/>
        <v>15</v>
      </c>
    </row>
    <row r="3211" spans="1:14" ht="12.75" hidden="1" customHeight="1" x14ac:dyDescent="0.2">
      <c r="A3211">
        <v>65025</v>
      </c>
      <c r="B3211" s="3" t="s">
        <v>1246</v>
      </c>
      <c r="C3211" s="7" t="s">
        <v>1619</v>
      </c>
      <c r="D3211" s="7" t="s">
        <v>221</v>
      </c>
      <c r="F3211" s="7" t="s">
        <v>446</v>
      </c>
      <c r="G3211" s="7" t="s">
        <v>1561</v>
      </c>
      <c r="H3211" s="7" t="s">
        <v>1362</v>
      </c>
      <c r="I3211" s="7" t="s">
        <v>1246</v>
      </c>
      <c r="K3211" s="39" t="s">
        <v>631</v>
      </c>
      <c r="L3211" s="40">
        <v>15</v>
      </c>
      <c r="M3211" s="40">
        <v>2346.15</v>
      </c>
      <c r="N3211" s="40">
        <f t="shared" si="128"/>
        <v>15</v>
      </c>
    </row>
    <row r="3212" spans="1:14" ht="12.75" hidden="1" customHeight="1" x14ac:dyDescent="0.2">
      <c r="A3212">
        <v>65036</v>
      </c>
      <c r="B3212" s="3" t="s">
        <v>1249</v>
      </c>
      <c r="C3212" s="7" t="s">
        <v>1593</v>
      </c>
      <c r="D3212" s="7" t="s">
        <v>221</v>
      </c>
      <c r="F3212" s="7" t="s">
        <v>1828</v>
      </c>
      <c r="G3212" s="7" t="s">
        <v>1561</v>
      </c>
      <c r="H3212" s="7" t="s">
        <v>1362</v>
      </c>
      <c r="I3212" s="7" t="s">
        <v>1249</v>
      </c>
      <c r="K3212" s="39" t="s">
        <v>631</v>
      </c>
      <c r="L3212" s="40">
        <v>100</v>
      </c>
      <c r="M3212" s="40">
        <v>6557.91</v>
      </c>
      <c r="N3212" s="40">
        <f t="shared" si="128"/>
        <v>100</v>
      </c>
    </row>
    <row r="3213" spans="1:14" ht="12.75" hidden="1" customHeight="1" x14ac:dyDescent="0.2">
      <c r="A3213">
        <v>65061</v>
      </c>
      <c r="B3213" s="3" t="s">
        <v>1844</v>
      </c>
      <c r="C3213" s="7" t="s">
        <v>1567</v>
      </c>
      <c r="D3213" s="7" t="s">
        <v>221</v>
      </c>
      <c r="F3213" s="7" t="s">
        <v>597</v>
      </c>
      <c r="G3213" s="7" t="s">
        <v>1561</v>
      </c>
      <c r="H3213" s="7" t="s">
        <v>1362</v>
      </c>
      <c r="I3213" s="7" t="s">
        <v>1253</v>
      </c>
      <c r="K3213" s="39" t="s">
        <v>631</v>
      </c>
      <c r="L3213" s="40">
        <v>22.91</v>
      </c>
      <c r="M3213" s="40">
        <v>217250.79</v>
      </c>
      <c r="N3213" s="40">
        <f t="shared" si="128"/>
        <v>22.91</v>
      </c>
    </row>
    <row r="3214" spans="1:14" ht="12.75" hidden="1" customHeight="1" x14ac:dyDescent="0.2">
      <c r="A3214">
        <v>65061</v>
      </c>
      <c r="B3214" s="3" t="s">
        <v>1844</v>
      </c>
      <c r="C3214" s="7" t="s">
        <v>1570</v>
      </c>
      <c r="D3214" s="7" t="s">
        <v>221</v>
      </c>
      <c r="F3214" s="7" t="s">
        <v>1876</v>
      </c>
      <c r="G3214" s="7" t="s">
        <v>1561</v>
      </c>
      <c r="H3214" s="7" t="s">
        <v>1362</v>
      </c>
      <c r="I3214" s="7" t="s">
        <v>1253</v>
      </c>
      <c r="K3214" s="39" t="s">
        <v>631</v>
      </c>
      <c r="L3214" s="40">
        <v>236.98</v>
      </c>
      <c r="M3214" s="40">
        <v>221266.79</v>
      </c>
      <c r="N3214" s="40">
        <f t="shared" si="128"/>
        <v>236.98</v>
      </c>
    </row>
    <row r="3215" spans="1:14" ht="12.75" hidden="1" customHeight="1" x14ac:dyDescent="0.2">
      <c r="A3215">
        <v>65061</v>
      </c>
      <c r="B3215" s="3" t="s">
        <v>1844</v>
      </c>
      <c r="C3215" s="7" t="s">
        <v>1803</v>
      </c>
      <c r="D3215" s="7" t="s">
        <v>221</v>
      </c>
      <c r="F3215" s="7" t="s">
        <v>771</v>
      </c>
      <c r="G3215" s="7" t="s">
        <v>1561</v>
      </c>
      <c r="H3215" s="7" t="s">
        <v>1362</v>
      </c>
      <c r="I3215" s="7" t="s">
        <v>1253</v>
      </c>
      <c r="K3215" s="39" t="s">
        <v>631</v>
      </c>
      <c r="L3215" s="40">
        <v>185.74</v>
      </c>
      <c r="M3215" s="40">
        <v>233459.78</v>
      </c>
      <c r="N3215" s="40">
        <f t="shared" si="128"/>
        <v>185.74</v>
      </c>
    </row>
    <row r="3216" spans="1:14" ht="12.75" hidden="1" customHeight="1" x14ac:dyDescent="0.2">
      <c r="A3216">
        <v>65061</v>
      </c>
      <c r="B3216" s="3" t="s">
        <v>1844</v>
      </c>
      <c r="C3216" s="7" t="s">
        <v>1803</v>
      </c>
      <c r="D3216" s="7" t="s">
        <v>221</v>
      </c>
      <c r="F3216" s="7" t="s">
        <v>241</v>
      </c>
      <c r="G3216" s="7" t="s">
        <v>1561</v>
      </c>
      <c r="H3216" s="7" t="s">
        <v>1362</v>
      </c>
      <c r="I3216" s="7" t="s">
        <v>1253</v>
      </c>
      <c r="K3216" s="39" t="s">
        <v>631</v>
      </c>
      <c r="L3216" s="40">
        <v>117.41</v>
      </c>
      <c r="M3216" s="40">
        <v>233577.19</v>
      </c>
      <c r="N3216" s="40">
        <f t="shared" si="128"/>
        <v>117.41</v>
      </c>
    </row>
    <row r="3217" spans="1:14" ht="12.75" hidden="1" customHeight="1" x14ac:dyDescent="0.2">
      <c r="A3217">
        <v>65061</v>
      </c>
      <c r="B3217" s="3" t="s">
        <v>1844</v>
      </c>
      <c r="C3217" s="7" t="s">
        <v>1583</v>
      </c>
      <c r="D3217" s="7" t="s">
        <v>221</v>
      </c>
      <c r="F3217" s="7" t="s">
        <v>771</v>
      </c>
      <c r="G3217" s="7" t="s">
        <v>1561</v>
      </c>
      <c r="H3217" s="7" t="s">
        <v>1362</v>
      </c>
      <c r="I3217" s="7" t="s">
        <v>1253</v>
      </c>
      <c r="K3217" s="39" t="s">
        <v>631</v>
      </c>
      <c r="L3217" s="40">
        <v>284.92</v>
      </c>
      <c r="M3217" s="40">
        <v>235012.55</v>
      </c>
      <c r="N3217" s="40">
        <f t="shared" si="128"/>
        <v>284.92</v>
      </c>
    </row>
    <row r="3218" spans="1:14" ht="12.75" hidden="1" customHeight="1" x14ac:dyDescent="0.2">
      <c r="A3218">
        <v>65061</v>
      </c>
      <c r="B3218" s="3" t="s">
        <v>1844</v>
      </c>
      <c r="C3218" s="7" t="s">
        <v>1583</v>
      </c>
      <c r="D3218" s="7" t="s">
        <v>221</v>
      </c>
      <c r="F3218" s="7" t="s">
        <v>265</v>
      </c>
      <c r="G3218" s="7" t="s">
        <v>1561</v>
      </c>
      <c r="H3218" s="7" t="s">
        <v>1362</v>
      </c>
      <c r="I3218" s="7" t="s">
        <v>1253</v>
      </c>
      <c r="K3218" s="39" t="s">
        <v>631</v>
      </c>
      <c r="L3218" s="40">
        <v>38.99</v>
      </c>
      <c r="M3218" s="40">
        <v>235051.54</v>
      </c>
      <c r="N3218" s="40">
        <f t="shared" si="128"/>
        <v>38.99</v>
      </c>
    </row>
    <row r="3219" spans="1:14" ht="12.75" hidden="1" customHeight="1" x14ac:dyDescent="0.2">
      <c r="A3219">
        <v>65061</v>
      </c>
      <c r="B3219" s="3" t="s">
        <v>1844</v>
      </c>
      <c r="C3219" s="7" t="s">
        <v>1583</v>
      </c>
      <c r="D3219" s="7" t="s">
        <v>242</v>
      </c>
      <c r="F3219" s="7" t="s">
        <v>722</v>
      </c>
      <c r="G3219" s="7" t="s">
        <v>1561</v>
      </c>
      <c r="H3219" s="7" t="s">
        <v>1362</v>
      </c>
      <c r="I3219" s="7" t="s">
        <v>1253</v>
      </c>
      <c r="K3219" s="39" t="s">
        <v>631</v>
      </c>
      <c r="L3219" s="40">
        <v>-106.15</v>
      </c>
      <c r="M3219" s="40">
        <v>234945.39</v>
      </c>
      <c r="N3219" s="40">
        <f t="shared" si="128"/>
        <v>-106.15</v>
      </c>
    </row>
    <row r="3220" spans="1:14" ht="12.75" hidden="1" customHeight="1" x14ac:dyDescent="0.2">
      <c r="A3220">
        <v>65061</v>
      </c>
      <c r="B3220" s="3" t="s">
        <v>1844</v>
      </c>
      <c r="C3220" s="7" t="s">
        <v>1583</v>
      </c>
      <c r="D3220" s="7" t="s">
        <v>221</v>
      </c>
      <c r="F3220" s="7" t="s">
        <v>546</v>
      </c>
      <c r="G3220" s="7" t="s">
        <v>1561</v>
      </c>
      <c r="H3220" s="7" t="s">
        <v>1362</v>
      </c>
      <c r="I3220" s="7" t="s">
        <v>1253</v>
      </c>
      <c r="K3220" s="39" t="s">
        <v>631</v>
      </c>
      <c r="L3220" s="40">
        <v>351.21</v>
      </c>
      <c r="M3220" s="40">
        <v>235296.6</v>
      </c>
      <c r="N3220" s="40">
        <f t="shared" si="128"/>
        <v>351.21</v>
      </c>
    </row>
    <row r="3221" spans="1:14" ht="12.75" hidden="1" customHeight="1" x14ac:dyDescent="0.2">
      <c r="A3221">
        <v>65061</v>
      </c>
      <c r="B3221" s="3" t="s">
        <v>1844</v>
      </c>
      <c r="C3221" s="7" t="s">
        <v>1585</v>
      </c>
      <c r="D3221" s="7" t="s">
        <v>221</v>
      </c>
      <c r="F3221" s="7" t="s">
        <v>722</v>
      </c>
      <c r="G3221" s="7" t="s">
        <v>1561</v>
      </c>
      <c r="H3221" s="7" t="s">
        <v>1362</v>
      </c>
      <c r="I3221" s="7" t="s">
        <v>1253</v>
      </c>
      <c r="K3221" s="39" t="s">
        <v>631</v>
      </c>
      <c r="L3221" s="40">
        <v>112.32</v>
      </c>
      <c r="M3221" s="40">
        <v>236724.17</v>
      </c>
      <c r="N3221" s="40">
        <f t="shared" si="128"/>
        <v>112.32</v>
      </c>
    </row>
    <row r="3222" spans="1:14" ht="12.75" hidden="1" customHeight="1" x14ac:dyDescent="0.2">
      <c r="A3222">
        <v>65061</v>
      </c>
      <c r="B3222" s="3" t="s">
        <v>1844</v>
      </c>
      <c r="C3222" s="7" t="s">
        <v>1780</v>
      </c>
      <c r="D3222" s="7" t="s">
        <v>221</v>
      </c>
      <c r="F3222" s="7" t="s">
        <v>241</v>
      </c>
      <c r="G3222" s="7" t="s">
        <v>1561</v>
      </c>
      <c r="H3222" s="7" t="s">
        <v>1362</v>
      </c>
      <c r="I3222" s="7" t="s">
        <v>1253</v>
      </c>
      <c r="K3222" s="39" t="s">
        <v>631</v>
      </c>
      <c r="L3222" s="40">
        <v>84.19</v>
      </c>
      <c r="M3222" s="40">
        <v>241546.72</v>
      </c>
      <c r="N3222" s="40">
        <f t="shared" si="128"/>
        <v>84.19</v>
      </c>
    </row>
    <row r="3223" spans="1:14" ht="12.75" hidden="1" customHeight="1" x14ac:dyDescent="0.2">
      <c r="A3223">
        <v>65061</v>
      </c>
      <c r="B3223" s="3" t="s">
        <v>1844</v>
      </c>
      <c r="C3223" s="7" t="s">
        <v>1780</v>
      </c>
      <c r="D3223" s="7" t="s">
        <v>221</v>
      </c>
      <c r="F3223" s="7" t="s">
        <v>568</v>
      </c>
      <c r="G3223" s="7" t="s">
        <v>1561</v>
      </c>
      <c r="H3223" s="7" t="s">
        <v>1362</v>
      </c>
      <c r="I3223" s="7" t="s">
        <v>1253</v>
      </c>
      <c r="K3223" s="39" t="s">
        <v>631</v>
      </c>
      <c r="L3223" s="40">
        <v>42.69</v>
      </c>
      <c r="M3223" s="40">
        <v>241589.41</v>
      </c>
      <c r="N3223" s="40">
        <f t="shared" si="128"/>
        <v>42.69</v>
      </c>
    </row>
    <row r="3224" spans="1:14" ht="12.75" hidden="1" customHeight="1" x14ac:dyDescent="0.2">
      <c r="A3224">
        <v>65061</v>
      </c>
      <c r="B3224" s="3" t="s">
        <v>1844</v>
      </c>
      <c r="C3224" s="7" t="s">
        <v>1780</v>
      </c>
      <c r="D3224" s="7" t="s">
        <v>221</v>
      </c>
      <c r="F3224" s="7" t="s">
        <v>568</v>
      </c>
      <c r="G3224" s="7" t="s">
        <v>1561</v>
      </c>
      <c r="H3224" s="7" t="s">
        <v>1362</v>
      </c>
      <c r="I3224" s="7" t="s">
        <v>1253</v>
      </c>
      <c r="K3224" s="39" t="s">
        <v>631</v>
      </c>
      <c r="L3224" s="40">
        <v>53.34</v>
      </c>
      <c r="M3224" s="40">
        <v>241642.75</v>
      </c>
      <c r="N3224" s="40">
        <f t="shared" si="128"/>
        <v>53.34</v>
      </c>
    </row>
    <row r="3225" spans="1:14" ht="12.75" hidden="1" customHeight="1" x14ac:dyDescent="0.2">
      <c r="A3225">
        <v>65061</v>
      </c>
      <c r="B3225" s="3" t="s">
        <v>1844</v>
      </c>
      <c r="C3225" s="7" t="s">
        <v>1780</v>
      </c>
      <c r="D3225" s="7" t="s">
        <v>221</v>
      </c>
      <c r="F3225" s="7" t="s">
        <v>546</v>
      </c>
      <c r="G3225" s="7" t="s">
        <v>1561</v>
      </c>
      <c r="H3225" s="7" t="s">
        <v>1362</v>
      </c>
      <c r="I3225" s="7" t="s">
        <v>1253</v>
      </c>
      <c r="K3225" s="39" t="s">
        <v>631</v>
      </c>
      <c r="L3225" s="40">
        <v>116.56</v>
      </c>
      <c r="M3225" s="40">
        <v>242037.76000000001</v>
      </c>
      <c r="N3225" s="40">
        <f t="shared" si="128"/>
        <v>116.56</v>
      </c>
    </row>
    <row r="3226" spans="1:14" ht="12.75" hidden="1" customHeight="1" x14ac:dyDescent="0.2">
      <c r="A3226">
        <v>65061</v>
      </c>
      <c r="B3226" s="3" t="s">
        <v>1844</v>
      </c>
      <c r="C3226" s="7" t="s">
        <v>1905</v>
      </c>
      <c r="D3226" s="7" t="s">
        <v>221</v>
      </c>
      <c r="F3226" s="7" t="s">
        <v>569</v>
      </c>
      <c r="G3226" s="7" t="s">
        <v>1561</v>
      </c>
      <c r="H3226" s="7" t="s">
        <v>1362</v>
      </c>
      <c r="I3226" s="7" t="s">
        <v>1253</v>
      </c>
      <c r="K3226" s="39" t="s">
        <v>631</v>
      </c>
      <c r="L3226" s="40">
        <v>72.540000000000006</v>
      </c>
      <c r="M3226" s="40">
        <v>242337.43</v>
      </c>
      <c r="N3226" s="40">
        <f t="shared" si="128"/>
        <v>72.540000000000006</v>
      </c>
    </row>
    <row r="3227" spans="1:14" ht="12.75" hidden="1" customHeight="1" x14ac:dyDescent="0.2">
      <c r="A3227">
        <v>65061</v>
      </c>
      <c r="B3227" s="3" t="s">
        <v>1844</v>
      </c>
      <c r="C3227" s="7" t="s">
        <v>1742</v>
      </c>
      <c r="D3227" s="7" t="s">
        <v>221</v>
      </c>
      <c r="F3227" s="7" t="s">
        <v>1908</v>
      </c>
      <c r="G3227" s="7" t="s">
        <v>1561</v>
      </c>
      <c r="H3227" s="7" t="s">
        <v>1362</v>
      </c>
      <c r="I3227" s="7" t="s">
        <v>1253</v>
      </c>
      <c r="K3227" s="39" t="s">
        <v>631</v>
      </c>
      <c r="L3227" s="40">
        <v>51.03</v>
      </c>
      <c r="M3227" s="40">
        <v>242659.62</v>
      </c>
      <c r="N3227" s="40">
        <f t="shared" si="128"/>
        <v>51.03</v>
      </c>
    </row>
    <row r="3228" spans="1:14" ht="12.75" hidden="1" customHeight="1" x14ac:dyDescent="0.2">
      <c r="A3228">
        <v>65061</v>
      </c>
      <c r="B3228" s="3" t="s">
        <v>1844</v>
      </c>
      <c r="C3228" s="7" t="s">
        <v>1797</v>
      </c>
      <c r="D3228" s="7" t="s">
        <v>221</v>
      </c>
      <c r="F3228" s="7" t="s">
        <v>546</v>
      </c>
      <c r="G3228" s="7" t="s">
        <v>1561</v>
      </c>
      <c r="H3228" s="7" t="s">
        <v>1362</v>
      </c>
      <c r="I3228" s="7" t="s">
        <v>1253</v>
      </c>
      <c r="K3228" s="39" t="s">
        <v>631</v>
      </c>
      <c r="L3228" s="40">
        <v>53.04</v>
      </c>
      <c r="M3228" s="40">
        <v>242686.27</v>
      </c>
      <c r="N3228" s="40">
        <f t="shared" si="128"/>
        <v>53.04</v>
      </c>
    </row>
    <row r="3229" spans="1:14" ht="12.75" hidden="1" customHeight="1" x14ac:dyDescent="0.2">
      <c r="A3229">
        <v>65061</v>
      </c>
      <c r="B3229" s="3" t="s">
        <v>1844</v>
      </c>
      <c r="C3229" s="7" t="s">
        <v>1797</v>
      </c>
      <c r="D3229" s="7" t="s">
        <v>221</v>
      </c>
      <c r="F3229" s="7" t="s">
        <v>265</v>
      </c>
      <c r="G3229" s="7" t="s">
        <v>1561</v>
      </c>
      <c r="H3229" s="7" t="s">
        <v>1362</v>
      </c>
      <c r="I3229" s="7" t="s">
        <v>1253</v>
      </c>
      <c r="K3229" s="39" t="s">
        <v>631</v>
      </c>
      <c r="L3229" s="40">
        <v>20.13</v>
      </c>
      <c r="M3229" s="40">
        <v>242706.4</v>
      </c>
      <c r="N3229" s="40">
        <f t="shared" si="128"/>
        <v>20.13</v>
      </c>
    </row>
    <row r="3230" spans="1:14" ht="12.75" hidden="1" customHeight="1" x14ac:dyDescent="0.2">
      <c r="A3230">
        <v>65061</v>
      </c>
      <c r="B3230" s="3" t="s">
        <v>1844</v>
      </c>
      <c r="C3230" s="7" t="s">
        <v>1744</v>
      </c>
      <c r="D3230" s="7" t="s">
        <v>221</v>
      </c>
      <c r="F3230" s="7" t="s">
        <v>265</v>
      </c>
      <c r="G3230" s="7" t="s">
        <v>1561</v>
      </c>
      <c r="H3230" s="7" t="s">
        <v>1362</v>
      </c>
      <c r="I3230" s="7" t="s">
        <v>1253</v>
      </c>
      <c r="K3230" s="39" t="s">
        <v>631</v>
      </c>
      <c r="L3230" s="40">
        <v>50.53</v>
      </c>
      <c r="M3230" s="40">
        <v>242986.66</v>
      </c>
      <c r="N3230" s="40">
        <f t="shared" si="128"/>
        <v>50.53</v>
      </c>
    </row>
    <row r="3231" spans="1:14" ht="12.75" hidden="1" customHeight="1" x14ac:dyDescent="0.2">
      <c r="A3231">
        <v>65061</v>
      </c>
      <c r="B3231" s="3" t="s">
        <v>1844</v>
      </c>
      <c r="C3231" s="7" t="s">
        <v>1744</v>
      </c>
      <c r="D3231" s="7" t="s">
        <v>221</v>
      </c>
      <c r="F3231" s="7" t="s">
        <v>265</v>
      </c>
      <c r="G3231" s="7" t="s">
        <v>1561</v>
      </c>
      <c r="H3231" s="7" t="s">
        <v>1362</v>
      </c>
      <c r="I3231" s="7" t="s">
        <v>1253</v>
      </c>
      <c r="K3231" s="39" t="s">
        <v>631</v>
      </c>
      <c r="L3231" s="40">
        <v>43.95</v>
      </c>
      <c r="M3231" s="40">
        <v>243077.49</v>
      </c>
      <c r="N3231" s="40">
        <f t="shared" si="128"/>
        <v>43.95</v>
      </c>
    </row>
    <row r="3232" spans="1:14" ht="12.75" hidden="1" customHeight="1" x14ac:dyDescent="0.2">
      <c r="A3232">
        <v>65061</v>
      </c>
      <c r="B3232" s="3" t="s">
        <v>1844</v>
      </c>
      <c r="C3232" s="7" t="s">
        <v>1744</v>
      </c>
      <c r="D3232" s="7" t="s">
        <v>221</v>
      </c>
      <c r="F3232" s="7" t="s">
        <v>265</v>
      </c>
      <c r="G3232" s="7" t="s">
        <v>1561</v>
      </c>
      <c r="H3232" s="7" t="s">
        <v>1362</v>
      </c>
      <c r="I3232" s="7" t="s">
        <v>1253</v>
      </c>
      <c r="K3232" s="39" t="s">
        <v>631</v>
      </c>
      <c r="L3232" s="40">
        <v>14.16</v>
      </c>
      <c r="M3232" s="40">
        <v>243091.65</v>
      </c>
      <c r="N3232" s="40">
        <f t="shared" si="128"/>
        <v>14.16</v>
      </c>
    </row>
    <row r="3233" spans="1:14" ht="12.75" hidden="1" customHeight="1" x14ac:dyDescent="0.2">
      <c r="A3233">
        <v>65061</v>
      </c>
      <c r="B3233" s="3" t="s">
        <v>1844</v>
      </c>
      <c r="C3233" s="7" t="s">
        <v>1744</v>
      </c>
      <c r="D3233" s="7" t="s">
        <v>221</v>
      </c>
      <c r="F3233" s="7" t="s">
        <v>366</v>
      </c>
      <c r="G3233" s="7" t="s">
        <v>1561</v>
      </c>
      <c r="H3233" s="7" t="s">
        <v>1362</v>
      </c>
      <c r="I3233" s="7" t="s">
        <v>1253</v>
      </c>
      <c r="K3233" s="39" t="s">
        <v>631</v>
      </c>
      <c r="L3233" s="40">
        <v>200</v>
      </c>
      <c r="M3233" s="40">
        <v>243291.65</v>
      </c>
      <c r="N3233" s="40">
        <f t="shared" si="128"/>
        <v>200</v>
      </c>
    </row>
    <row r="3234" spans="1:14" ht="12.75" hidden="1" customHeight="1" x14ac:dyDescent="0.2">
      <c r="A3234">
        <v>65061</v>
      </c>
      <c r="B3234" s="3" t="s">
        <v>1844</v>
      </c>
      <c r="C3234" s="7" t="s">
        <v>1593</v>
      </c>
      <c r="D3234" s="7" t="s">
        <v>200</v>
      </c>
      <c r="E3234" s="7">
        <v>1076</v>
      </c>
      <c r="F3234" s="7" t="s">
        <v>772</v>
      </c>
      <c r="G3234" s="7" t="s">
        <v>1561</v>
      </c>
      <c r="H3234" s="7" t="s">
        <v>1362</v>
      </c>
      <c r="I3234" s="7" t="s">
        <v>1253</v>
      </c>
      <c r="K3234" s="39" t="s">
        <v>631</v>
      </c>
      <c r="L3234" s="40">
        <v>159.66</v>
      </c>
      <c r="M3234" s="40">
        <v>244085.65</v>
      </c>
      <c r="N3234" s="40">
        <f t="shared" si="128"/>
        <v>159.66</v>
      </c>
    </row>
    <row r="3235" spans="1:14" ht="12.75" hidden="1" customHeight="1" x14ac:dyDescent="0.2">
      <c r="A3235">
        <v>65061</v>
      </c>
      <c r="B3235" s="3" t="s">
        <v>1844</v>
      </c>
      <c r="C3235" s="7" t="s">
        <v>1593</v>
      </c>
      <c r="D3235" s="7" t="s">
        <v>221</v>
      </c>
      <c r="F3235" s="7" t="s">
        <v>241</v>
      </c>
      <c r="G3235" s="7" t="s">
        <v>1561</v>
      </c>
      <c r="H3235" s="7" t="s">
        <v>1362</v>
      </c>
      <c r="I3235" s="7" t="s">
        <v>1253</v>
      </c>
      <c r="K3235" s="39" t="s">
        <v>631</v>
      </c>
      <c r="L3235" s="40">
        <v>20.43</v>
      </c>
      <c r="M3235" s="40">
        <v>244106.08</v>
      </c>
      <c r="N3235" s="40">
        <f t="shared" si="128"/>
        <v>20.43</v>
      </c>
    </row>
    <row r="3236" spans="1:14" ht="12.75" hidden="1" customHeight="1" x14ac:dyDescent="0.2">
      <c r="A3236">
        <v>65061</v>
      </c>
      <c r="B3236" s="3" t="s">
        <v>1844</v>
      </c>
      <c r="C3236" s="7" t="s">
        <v>1593</v>
      </c>
      <c r="D3236" s="7" t="s">
        <v>221</v>
      </c>
      <c r="F3236" s="7" t="s">
        <v>564</v>
      </c>
      <c r="G3236" s="7" t="s">
        <v>1561</v>
      </c>
      <c r="H3236" s="7" t="s">
        <v>1362</v>
      </c>
      <c r="I3236" s="7" t="s">
        <v>1253</v>
      </c>
      <c r="K3236" s="39" t="s">
        <v>631</v>
      </c>
      <c r="L3236" s="40">
        <v>7.41</v>
      </c>
      <c r="M3236" s="40">
        <v>244113.49</v>
      </c>
      <c r="N3236" s="40">
        <f t="shared" si="128"/>
        <v>7.41</v>
      </c>
    </row>
    <row r="3237" spans="1:14" ht="12.75" hidden="1" customHeight="1" x14ac:dyDescent="0.2">
      <c r="A3237">
        <v>65061</v>
      </c>
      <c r="B3237" s="3" t="s">
        <v>1844</v>
      </c>
      <c r="C3237" s="7" t="s">
        <v>1593</v>
      </c>
      <c r="D3237" s="7" t="s">
        <v>221</v>
      </c>
      <c r="F3237" s="7" t="s">
        <v>568</v>
      </c>
      <c r="G3237" s="7" t="s">
        <v>1561</v>
      </c>
      <c r="H3237" s="7" t="s">
        <v>1362</v>
      </c>
      <c r="I3237" s="7" t="s">
        <v>1253</v>
      </c>
      <c r="K3237" s="39" t="s">
        <v>631</v>
      </c>
      <c r="L3237" s="40">
        <v>93.89</v>
      </c>
      <c r="M3237" s="40">
        <v>244207.38</v>
      </c>
      <c r="N3237" s="40">
        <f t="shared" si="128"/>
        <v>93.89</v>
      </c>
    </row>
    <row r="3238" spans="1:14" ht="12.75" hidden="1" customHeight="1" x14ac:dyDescent="0.2">
      <c r="A3238">
        <v>65061</v>
      </c>
      <c r="B3238" s="3" t="s">
        <v>1844</v>
      </c>
      <c r="C3238" s="7" t="s">
        <v>1696</v>
      </c>
      <c r="D3238" s="7" t="s">
        <v>200</v>
      </c>
      <c r="E3238" s="7">
        <v>1077</v>
      </c>
      <c r="F3238" s="7" t="s">
        <v>841</v>
      </c>
      <c r="G3238" s="7" t="s">
        <v>1561</v>
      </c>
      <c r="H3238" s="7" t="s">
        <v>1362</v>
      </c>
      <c r="I3238" s="7" t="s">
        <v>1253</v>
      </c>
      <c r="K3238" s="39" t="s">
        <v>631</v>
      </c>
      <c r="L3238" s="40">
        <v>170</v>
      </c>
      <c r="M3238" s="40">
        <v>254301.36</v>
      </c>
      <c r="N3238" s="40">
        <f t="shared" si="128"/>
        <v>170</v>
      </c>
    </row>
    <row r="3239" spans="1:14" ht="12.75" hidden="1" customHeight="1" x14ac:dyDescent="0.2">
      <c r="A3239">
        <v>65095</v>
      </c>
      <c r="B3239" s="3" t="s">
        <v>1259</v>
      </c>
      <c r="C3239" s="7" t="s">
        <v>1575</v>
      </c>
      <c r="D3239" s="7" t="s">
        <v>183</v>
      </c>
      <c r="E3239" s="7">
        <v>638</v>
      </c>
      <c r="G3239" s="7" t="s">
        <v>1561</v>
      </c>
      <c r="H3239" s="43" t="s">
        <v>1361</v>
      </c>
      <c r="I3239" s="7" t="s">
        <v>1259</v>
      </c>
      <c r="J3239" s="39" t="s">
        <v>425</v>
      </c>
      <c r="K3239" s="39" t="s">
        <v>180</v>
      </c>
      <c r="L3239" s="40">
        <v>7.33</v>
      </c>
      <c r="M3239" s="40">
        <v>746.82</v>
      </c>
      <c r="N3239" s="40">
        <f t="shared" si="128"/>
        <v>7.33</v>
      </c>
    </row>
    <row r="3240" spans="1:14" ht="12.75" hidden="1" customHeight="1" x14ac:dyDescent="0.2">
      <c r="A3240">
        <v>65095</v>
      </c>
      <c r="B3240" s="3" t="s">
        <v>1259</v>
      </c>
      <c r="C3240" s="7" t="s">
        <v>1555</v>
      </c>
      <c r="D3240" s="7" t="s">
        <v>183</v>
      </c>
      <c r="E3240" s="7">
        <v>652</v>
      </c>
      <c r="G3240" s="7" t="s">
        <v>1561</v>
      </c>
      <c r="H3240" s="43" t="s">
        <v>1361</v>
      </c>
      <c r="I3240" s="7" t="s">
        <v>1259</v>
      </c>
      <c r="J3240" s="39" t="s">
        <v>425</v>
      </c>
      <c r="K3240" s="39" t="s">
        <v>180</v>
      </c>
      <c r="L3240" s="40">
        <v>56.27</v>
      </c>
      <c r="M3240" s="40">
        <v>825.96</v>
      </c>
      <c r="N3240" s="40">
        <f t="shared" si="128"/>
        <v>56.27</v>
      </c>
    </row>
    <row r="3241" spans="1:14" ht="12.75" hidden="1" customHeight="1" x14ac:dyDescent="0.2">
      <c r="A3241">
        <v>65095</v>
      </c>
      <c r="B3241" s="3" t="s">
        <v>1259</v>
      </c>
      <c r="C3241" s="7" t="s">
        <v>1593</v>
      </c>
      <c r="D3241" s="7" t="s">
        <v>183</v>
      </c>
      <c r="E3241" s="7">
        <v>659</v>
      </c>
      <c r="G3241" s="7" t="s">
        <v>1561</v>
      </c>
      <c r="H3241" s="43" t="s">
        <v>1361</v>
      </c>
      <c r="I3241" s="7" t="s">
        <v>1259</v>
      </c>
      <c r="K3241" s="39" t="s">
        <v>180</v>
      </c>
      <c r="L3241" s="40">
        <v>0.96</v>
      </c>
      <c r="M3241" s="40">
        <v>839.51</v>
      </c>
      <c r="N3241" s="40">
        <f t="shared" si="128"/>
        <v>0.96</v>
      </c>
    </row>
    <row r="3242" spans="1:14" ht="12.75" hidden="1" customHeight="1" x14ac:dyDescent="0.2">
      <c r="A3242">
        <v>65095</v>
      </c>
      <c r="B3242" s="3" t="s">
        <v>1259</v>
      </c>
      <c r="C3242" s="7" t="s">
        <v>1629</v>
      </c>
      <c r="D3242" s="7" t="s">
        <v>183</v>
      </c>
      <c r="E3242" s="7">
        <v>716</v>
      </c>
      <c r="G3242" s="7" t="s">
        <v>1561</v>
      </c>
      <c r="H3242" s="43" t="s">
        <v>1361</v>
      </c>
      <c r="I3242" s="7" t="s">
        <v>1259</v>
      </c>
      <c r="K3242" s="39" t="s">
        <v>180</v>
      </c>
      <c r="L3242" s="40">
        <v>1.95</v>
      </c>
      <c r="M3242" s="40">
        <v>1048.8800000000001</v>
      </c>
      <c r="N3242" s="40">
        <f t="shared" si="128"/>
        <v>1.95</v>
      </c>
    </row>
    <row r="3243" spans="1:14" ht="12.75" customHeight="1" x14ac:dyDescent="0.2">
      <c r="A3243">
        <v>44000</v>
      </c>
      <c r="B3243" s="3" t="s">
        <v>1229</v>
      </c>
      <c r="C3243" s="7" t="s">
        <v>1686</v>
      </c>
      <c r="D3243" s="7" t="s">
        <v>242</v>
      </c>
      <c r="F3243" s="7" t="s">
        <v>665</v>
      </c>
      <c r="G3243" s="7" t="s">
        <v>1573</v>
      </c>
      <c r="H3243" s="7" t="s">
        <v>1359</v>
      </c>
      <c r="I3243" s="7" t="s">
        <v>2148</v>
      </c>
      <c r="J3243" s="39" t="s">
        <v>1687</v>
      </c>
      <c r="K3243" s="39" t="s">
        <v>1179</v>
      </c>
      <c r="L3243" s="40">
        <v>225</v>
      </c>
      <c r="M3243" s="40">
        <v>187638.05</v>
      </c>
      <c r="N3243" s="41">
        <f t="shared" ref="N3243:N3253" si="129">-L3243</f>
        <v>-225</v>
      </c>
    </row>
    <row r="3244" spans="1:14" ht="12.75" customHeight="1" x14ac:dyDescent="0.2">
      <c r="A3244">
        <v>44000</v>
      </c>
      <c r="B3244" s="3" t="s">
        <v>1229</v>
      </c>
      <c r="C3244" s="7" t="s">
        <v>1567</v>
      </c>
      <c r="D3244" s="7" t="s">
        <v>242</v>
      </c>
      <c r="F3244" s="7" t="s">
        <v>665</v>
      </c>
      <c r="G3244" s="7" t="s">
        <v>1573</v>
      </c>
      <c r="H3244" s="7" t="s">
        <v>1359</v>
      </c>
      <c r="I3244" s="7" t="s">
        <v>2148</v>
      </c>
      <c r="K3244" s="39" t="s">
        <v>1179</v>
      </c>
      <c r="L3244" s="40">
        <v>1025</v>
      </c>
      <c r="M3244" s="40">
        <v>188663.05</v>
      </c>
      <c r="N3244" s="41">
        <f t="shared" si="129"/>
        <v>-1025</v>
      </c>
    </row>
    <row r="3245" spans="1:14" ht="12.75" customHeight="1" x14ac:dyDescent="0.2">
      <c r="A3245">
        <v>44000</v>
      </c>
      <c r="B3245" s="3" t="s">
        <v>1229</v>
      </c>
      <c r="C3245" s="7" t="s">
        <v>1571</v>
      </c>
      <c r="D3245" s="7" t="s">
        <v>183</v>
      </c>
      <c r="E3245" s="7">
        <v>627</v>
      </c>
      <c r="G3245" s="7" t="s">
        <v>1573</v>
      </c>
      <c r="H3245" s="7" t="s">
        <v>1359</v>
      </c>
      <c r="I3245" s="7" t="s">
        <v>2148</v>
      </c>
      <c r="J3245" s="39" t="s">
        <v>1689</v>
      </c>
      <c r="K3245" s="39" t="s">
        <v>180</v>
      </c>
      <c r="L3245" s="40">
        <v>475</v>
      </c>
      <c r="M3245" s="40">
        <v>192049.05</v>
      </c>
      <c r="N3245" s="41">
        <f t="shared" si="129"/>
        <v>-475</v>
      </c>
    </row>
    <row r="3246" spans="1:14" ht="12.75" customHeight="1" x14ac:dyDescent="0.2">
      <c r="A3246">
        <v>44000</v>
      </c>
      <c r="B3246" s="3" t="s">
        <v>1229</v>
      </c>
      <c r="C3246" s="7" t="s">
        <v>1571</v>
      </c>
      <c r="D3246" s="7" t="s">
        <v>242</v>
      </c>
      <c r="F3246" s="7" t="s">
        <v>665</v>
      </c>
      <c r="G3246" s="7" t="s">
        <v>1573</v>
      </c>
      <c r="H3246" s="7" t="s">
        <v>1359</v>
      </c>
      <c r="I3246" s="7" t="s">
        <v>2148</v>
      </c>
      <c r="K3246" s="39" t="s">
        <v>1179</v>
      </c>
      <c r="L3246" s="40">
        <v>300</v>
      </c>
      <c r="M3246" s="40">
        <v>192349.05</v>
      </c>
      <c r="N3246" s="41">
        <f t="shared" si="129"/>
        <v>-300</v>
      </c>
    </row>
    <row r="3247" spans="1:14" ht="12.75" customHeight="1" x14ac:dyDescent="0.2">
      <c r="A3247">
        <v>44000</v>
      </c>
      <c r="B3247" s="3" t="s">
        <v>1229</v>
      </c>
      <c r="C3247" s="7" t="s">
        <v>1575</v>
      </c>
      <c r="D3247" s="7" t="s">
        <v>242</v>
      </c>
      <c r="F3247" s="7" t="s">
        <v>665</v>
      </c>
      <c r="G3247" s="7" t="s">
        <v>1573</v>
      </c>
      <c r="H3247" s="7" t="s">
        <v>1359</v>
      </c>
      <c r="I3247" s="7" t="s">
        <v>2148</v>
      </c>
      <c r="K3247" s="39" t="s">
        <v>1179</v>
      </c>
      <c r="L3247" s="40">
        <v>500</v>
      </c>
      <c r="M3247" s="40">
        <v>192849.05</v>
      </c>
      <c r="N3247" s="41">
        <f t="shared" si="129"/>
        <v>-500</v>
      </c>
    </row>
    <row r="3248" spans="1:14" ht="12.75" customHeight="1" x14ac:dyDescent="0.2">
      <c r="A3248">
        <v>44000</v>
      </c>
      <c r="B3248" s="3" t="s">
        <v>1229</v>
      </c>
      <c r="C3248" s="7" t="s">
        <v>1583</v>
      </c>
      <c r="D3248" s="7" t="s">
        <v>242</v>
      </c>
      <c r="F3248" s="7" t="s">
        <v>665</v>
      </c>
      <c r="G3248" s="7" t="s">
        <v>1573</v>
      </c>
      <c r="H3248" s="7" t="s">
        <v>1359</v>
      </c>
      <c r="I3248" s="7" t="s">
        <v>2148</v>
      </c>
      <c r="J3248" s="39" t="s">
        <v>1690</v>
      </c>
      <c r="K3248" s="39" t="s">
        <v>1179</v>
      </c>
      <c r="L3248" s="40">
        <v>1750</v>
      </c>
      <c r="M3248" s="40">
        <v>194599.05</v>
      </c>
      <c r="N3248" s="41">
        <f t="shared" si="129"/>
        <v>-1750</v>
      </c>
    </row>
    <row r="3249" spans="1:14" ht="12.75" customHeight="1" x14ac:dyDescent="0.2">
      <c r="A3249">
        <v>44000</v>
      </c>
      <c r="B3249" s="3" t="s">
        <v>1229</v>
      </c>
      <c r="C3249" s="7" t="s">
        <v>1555</v>
      </c>
      <c r="D3249" s="7" t="s">
        <v>183</v>
      </c>
      <c r="E3249" s="7">
        <v>652</v>
      </c>
      <c r="G3249" s="7" t="s">
        <v>1573</v>
      </c>
      <c r="H3249" s="7" t="s">
        <v>1359</v>
      </c>
      <c r="I3249" s="7" t="s">
        <v>2148</v>
      </c>
      <c r="J3249" s="39" t="s">
        <v>1694</v>
      </c>
      <c r="K3249" s="39" t="s">
        <v>180</v>
      </c>
      <c r="L3249" s="40">
        <v>600</v>
      </c>
      <c r="M3249" s="40">
        <v>196919.05</v>
      </c>
      <c r="N3249" s="41">
        <f t="shared" si="129"/>
        <v>-600</v>
      </c>
    </row>
    <row r="3250" spans="1:14" ht="12.75" customHeight="1" x14ac:dyDescent="0.2">
      <c r="A3250">
        <v>44000</v>
      </c>
      <c r="B3250" s="3" t="s">
        <v>1229</v>
      </c>
      <c r="C3250" s="7" t="s">
        <v>1589</v>
      </c>
      <c r="D3250" s="7" t="s">
        <v>242</v>
      </c>
      <c r="F3250" s="7" t="s">
        <v>1625</v>
      </c>
      <c r="G3250" s="7" t="s">
        <v>1573</v>
      </c>
      <c r="H3250" s="7" t="s">
        <v>1359</v>
      </c>
      <c r="I3250" s="7" t="s">
        <v>2148</v>
      </c>
      <c r="K3250" s="39" t="s">
        <v>1179</v>
      </c>
      <c r="L3250" s="40">
        <v>0.49</v>
      </c>
      <c r="M3250" s="40">
        <v>196919.54</v>
      </c>
      <c r="N3250" s="41">
        <f t="shared" si="129"/>
        <v>-0.49</v>
      </c>
    </row>
    <row r="3251" spans="1:14" ht="12.75" customHeight="1" x14ac:dyDescent="0.2">
      <c r="A3251">
        <v>44000</v>
      </c>
      <c r="B3251" s="3" t="s">
        <v>1229</v>
      </c>
      <c r="C3251" s="7" t="s">
        <v>1593</v>
      </c>
      <c r="D3251" s="7" t="s">
        <v>242</v>
      </c>
      <c r="F3251" s="7" t="s">
        <v>665</v>
      </c>
      <c r="G3251" s="7" t="s">
        <v>1573</v>
      </c>
      <c r="H3251" s="7" t="s">
        <v>1359</v>
      </c>
      <c r="I3251" s="7" t="s">
        <v>2148</v>
      </c>
      <c r="J3251" s="39" t="s">
        <v>1689</v>
      </c>
      <c r="K3251" s="39" t="s">
        <v>1179</v>
      </c>
      <c r="L3251" s="40">
        <v>144.6</v>
      </c>
      <c r="M3251" s="40">
        <v>197064.14</v>
      </c>
      <c r="N3251" s="41">
        <f t="shared" si="129"/>
        <v>-144.6</v>
      </c>
    </row>
    <row r="3252" spans="1:14" ht="12.75" customHeight="1" x14ac:dyDescent="0.2">
      <c r="A3252">
        <v>44000</v>
      </c>
      <c r="B3252" s="3" t="s">
        <v>1229</v>
      </c>
      <c r="C3252" s="7" t="s">
        <v>1593</v>
      </c>
      <c r="D3252" s="7" t="s">
        <v>183</v>
      </c>
      <c r="E3252" s="7">
        <v>659</v>
      </c>
      <c r="G3252" s="7" t="s">
        <v>1573</v>
      </c>
      <c r="H3252" s="7" t="s">
        <v>1359</v>
      </c>
      <c r="I3252" s="7" t="s">
        <v>2148</v>
      </c>
      <c r="J3252" s="39" t="s">
        <v>1689</v>
      </c>
      <c r="K3252" s="39" t="s">
        <v>180</v>
      </c>
      <c r="L3252" s="40">
        <v>1550</v>
      </c>
      <c r="M3252" s="40">
        <v>198614.14</v>
      </c>
      <c r="N3252" s="41">
        <f t="shared" si="129"/>
        <v>-1550</v>
      </c>
    </row>
    <row r="3253" spans="1:14" ht="12.75" customHeight="1" x14ac:dyDescent="0.2">
      <c r="A3253">
        <v>44000</v>
      </c>
      <c r="B3253" s="3" t="s">
        <v>1229</v>
      </c>
      <c r="C3253" s="7" t="s">
        <v>1593</v>
      </c>
      <c r="D3253" s="7" t="s">
        <v>242</v>
      </c>
      <c r="F3253" s="7" t="s">
        <v>665</v>
      </c>
      <c r="G3253" s="7" t="s">
        <v>1573</v>
      </c>
      <c r="H3253" s="7" t="s">
        <v>1359</v>
      </c>
      <c r="I3253" s="7" t="s">
        <v>2148</v>
      </c>
      <c r="J3253" s="39" t="s">
        <v>1690</v>
      </c>
      <c r="K3253" s="39" t="s">
        <v>1179</v>
      </c>
      <c r="L3253" s="40">
        <v>300</v>
      </c>
      <c r="M3253" s="40">
        <v>198914.14</v>
      </c>
      <c r="N3253" s="41">
        <f t="shared" si="129"/>
        <v>-300</v>
      </c>
    </row>
    <row r="3254" spans="1:14" ht="12.75" hidden="1" customHeight="1" x14ac:dyDescent="0.2">
      <c r="A3254">
        <v>43440</v>
      </c>
      <c r="B3254" s="3" t="s">
        <v>1228</v>
      </c>
      <c r="C3254" s="7" t="s">
        <v>479</v>
      </c>
      <c r="D3254" s="7" t="s">
        <v>183</v>
      </c>
      <c r="E3254" s="7">
        <v>465</v>
      </c>
      <c r="G3254" s="7" t="s">
        <v>1734</v>
      </c>
      <c r="H3254" s="7" t="s">
        <v>1360</v>
      </c>
      <c r="I3254" s="7" t="s">
        <v>1228</v>
      </c>
      <c r="J3254" s="7" t="s">
        <v>536</v>
      </c>
      <c r="K3254" s="7" t="s">
        <v>180</v>
      </c>
      <c r="L3254" s="11">
        <v>314.52</v>
      </c>
      <c r="M3254" s="11">
        <v>4100.88</v>
      </c>
      <c r="N3254" s="9">
        <f t="shared" ref="N3254:N3285" si="130">IF(A3254&lt;60000,-L3254,+L3254)</f>
        <v>-314.52</v>
      </c>
    </row>
    <row r="3255" spans="1:14" ht="12.75" hidden="1" customHeight="1" x14ac:dyDescent="0.2">
      <c r="A3255">
        <v>43440</v>
      </c>
      <c r="B3255" s="3" t="s">
        <v>1228</v>
      </c>
      <c r="C3255" s="7" t="s">
        <v>266</v>
      </c>
      <c r="D3255" s="7" t="s">
        <v>183</v>
      </c>
      <c r="E3255" s="7">
        <v>510</v>
      </c>
      <c r="G3255" s="7" t="s">
        <v>1734</v>
      </c>
      <c r="H3255" s="7" t="s">
        <v>1360</v>
      </c>
      <c r="I3255" s="7" t="s">
        <v>1228</v>
      </c>
      <c r="J3255" s="7" t="s">
        <v>498</v>
      </c>
      <c r="K3255" s="7" t="s">
        <v>180</v>
      </c>
      <c r="L3255" s="11">
        <v>54.82</v>
      </c>
      <c r="M3255" s="11">
        <v>24546.45</v>
      </c>
      <c r="N3255" s="9">
        <f t="shared" si="130"/>
        <v>-54.82</v>
      </c>
    </row>
    <row r="3256" spans="1:14" ht="12.75" hidden="1" customHeight="1" x14ac:dyDescent="0.2">
      <c r="A3256">
        <v>43440</v>
      </c>
      <c r="B3256" s="3" t="s">
        <v>1228</v>
      </c>
      <c r="C3256" s="7" t="s">
        <v>266</v>
      </c>
      <c r="D3256" s="7" t="s">
        <v>183</v>
      </c>
      <c r="E3256" s="7">
        <v>510</v>
      </c>
      <c r="G3256" s="7" t="s">
        <v>1734</v>
      </c>
      <c r="H3256" s="7" t="s">
        <v>1360</v>
      </c>
      <c r="I3256" s="7" t="s">
        <v>1228</v>
      </c>
      <c r="J3256" s="7" t="s">
        <v>498</v>
      </c>
      <c r="K3256" s="7" t="s">
        <v>180</v>
      </c>
      <c r="L3256" s="11">
        <v>180</v>
      </c>
      <c r="M3256" s="11">
        <v>24726.45</v>
      </c>
      <c r="N3256" s="9">
        <f t="shared" si="130"/>
        <v>-180</v>
      </c>
    </row>
    <row r="3257" spans="1:14" ht="12.75" hidden="1" customHeight="1" x14ac:dyDescent="0.2">
      <c r="A3257">
        <v>65020</v>
      </c>
      <c r="B3257" s="3" t="s">
        <v>1245</v>
      </c>
      <c r="C3257" s="7" t="s">
        <v>850</v>
      </c>
      <c r="D3257" s="7" t="s">
        <v>200</v>
      </c>
      <c r="E3257" s="7">
        <v>1018</v>
      </c>
      <c r="F3257" s="7" t="s">
        <v>1048</v>
      </c>
      <c r="G3257" s="7" t="s">
        <v>1734</v>
      </c>
      <c r="H3257" s="7" t="s">
        <v>1362</v>
      </c>
      <c r="I3257" s="7" t="s">
        <v>1245</v>
      </c>
      <c r="K3257" s="7" t="s">
        <v>750</v>
      </c>
      <c r="L3257" s="11">
        <v>14.25</v>
      </c>
      <c r="M3257" s="11">
        <v>755.91</v>
      </c>
      <c r="N3257" s="9">
        <f t="shared" si="130"/>
        <v>14.25</v>
      </c>
    </row>
    <row r="3258" spans="1:14" ht="12.75" hidden="1" customHeight="1" x14ac:dyDescent="0.2">
      <c r="A3258">
        <v>65020</v>
      </c>
      <c r="B3258" s="3" t="s">
        <v>1245</v>
      </c>
      <c r="C3258" s="7" t="s">
        <v>850</v>
      </c>
      <c r="D3258" s="7" t="s">
        <v>200</v>
      </c>
      <c r="E3258" s="7">
        <v>1016</v>
      </c>
      <c r="F3258" s="7" t="s">
        <v>1048</v>
      </c>
      <c r="G3258" s="7" t="s">
        <v>1734</v>
      </c>
      <c r="H3258" s="7" t="s">
        <v>1362</v>
      </c>
      <c r="I3258" s="7" t="s">
        <v>1245</v>
      </c>
      <c r="K3258" s="7" t="s">
        <v>750</v>
      </c>
      <c r="L3258" s="11">
        <v>5.05</v>
      </c>
      <c r="M3258" s="11">
        <v>760.96</v>
      </c>
      <c r="N3258" s="9">
        <f t="shared" si="130"/>
        <v>5.05</v>
      </c>
    </row>
    <row r="3259" spans="1:14" ht="12.75" hidden="1" customHeight="1" x14ac:dyDescent="0.2">
      <c r="A3259">
        <v>65061</v>
      </c>
      <c r="B3259" s="3" t="s">
        <v>1253</v>
      </c>
      <c r="C3259" s="7" t="s">
        <v>981</v>
      </c>
      <c r="D3259" s="7" t="s">
        <v>200</v>
      </c>
      <c r="F3259" s="7" t="s">
        <v>571</v>
      </c>
      <c r="G3259" s="7" t="s">
        <v>1734</v>
      </c>
      <c r="H3259" s="7" t="s">
        <v>1362</v>
      </c>
      <c r="I3259" s="7" t="s">
        <v>1253</v>
      </c>
      <c r="K3259" s="7" t="s">
        <v>750</v>
      </c>
      <c r="L3259" s="11">
        <v>242.87</v>
      </c>
      <c r="M3259" s="11">
        <v>-7321.73</v>
      </c>
      <c r="N3259" s="9">
        <f t="shared" si="130"/>
        <v>242.87</v>
      </c>
    </row>
    <row r="3260" spans="1:14" ht="12.75" hidden="1" customHeight="1" x14ac:dyDescent="0.2">
      <c r="A3260">
        <v>65061</v>
      </c>
      <c r="B3260" s="3" t="s">
        <v>1253</v>
      </c>
      <c r="C3260" s="7" t="s">
        <v>981</v>
      </c>
      <c r="D3260" s="7" t="s">
        <v>200</v>
      </c>
      <c r="G3260" s="7" t="s">
        <v>1734</v>
      </c>
      <c r="H3260" s="7" t="s">
        <v>1362</v>
      </c>
      <c r="I3260" s="7" t="s">
        <v>1253</v>
      </c>
      <c r="K3260" s="7" t="s">
        <v>750</v>
      </c>
      <c r="L3260" s="11">
        <v>85.47</v>
      </c>
      <c r="M3260" s="11">
        <v>-7236.26</v>
      </c>
      <c r="N3260" s="9">
        <f t="shared" si="130"/>
        <v>85.47</v>
      </c>
    </row>
    <row r="3261" spans="1:14" ht="12.75" hidden="1" customHeight="1" x14ac:dyDescent="0.2">
      <c r="A3261">
        <v>65061</v>
      </c>
      <c r="B3261" s="3" t="s">
        <v>1253</v>
      </c>
      <c r="C3261" s="7" t="s">
        <v>981</v>
      </c>
      <c r="D3261" s="7" t="s">
        <v>200</v>
      </c>
      <c r="F3261" s="7" t="s">
        <v>589</v>
      </c>
      <c r="G3261" s="7" t="s">
        <v>1734</v>
      </c>
      <c r="H3261" s="7" t="s">
        <v>1362</v>
      </c>
      <c r="I3261" s="7" t="s">
        <v>1253</v>
      </c>
      <c r="K3261" s="7" t="s">
        <v>750</v>
      </c>
      <c r="L3261" s="11">
        <v>43.12</v>
      </c>
      <c r="M3261" s="11">
        <v>-7193.14</v>
      </c>
      <c r="N3261" s="9">
        <f t="shared" si="130"/>
        <v>43.12</v>
      </c>
    </row>
    <row r="3262" spans="1:14" ht="12.75" hidden="1" customHeight="1" x14ac:dyDescent="0.2">
      <c r="A3262">
        <v>65061</v>
      </c>
      <c r="B3262" s="3" t="s">
        <v>1253</v>
      </c>
      <c r="C3262" s="7" t="s">
        <v>981</v>
      </c>
      <c r="D3262" s="7" t="s">
        <v>200</v>
      </c>
      <c r="F3262" s="7" t="s">
        <v>352</v>
      </c>
      <c r="G3262" s="7" t="s">
        <v>1734</v>
      </c>
      <c r="H3262" s="7" t="s">
        <v>1362</v>
      </c>
      <c r="I3262" s="7" t="s">
        <v>1253</v>
      </c>
      <c r="K3262" s="7" t="s">
        <v>750</v>
      </c>
      <c r="L3262" s="11">
        <v>21.81</v>
      </c>
      <c r="M3262" s="11">
        <v>-7171.33</v>
      </c>
      <c r="N3262" s="9">
        <f t="shared" si="130"/>
        <v>21.81</v>
      </c>
    </row>
    <row r="3263" spans="1:14" ht="12.75" hidden="1" customHeight="1" x14ac:dyDescent="0.2">
      <c r="A3263">
        <v>65061</v>
      </c>
      <c r="B3263" s="3" t="s">
        <v>1253</v>
      </c>
      <c r="C3263" s="7" t="s">
        <v>981</v>
      </c>
      <c r="D3263" s="7" t="s">
        <v>200</v>
      </c>
      <c r="F3263" s="7" t="s">
        <v>985</v>
      </c>
      <c r="G3263" s="7" t="s">
        <v>1734</v>
      </c>
      <c r="H3263" s="7" t="s">
        <v>1362</v>
      </c>
      <c r="I3263" s="7" t="s">
        <v>1253</v>
      </c>
      <c r="K3263" s="7" t="s">
        <v>750</v>
      </c>
      <c r="L3263" s="11">
        <v>83.3</v>
      </c>
      <c r="M3263" s="11">
        <v>-7051.23</v>
      </c>
      <c r="N3263" s="9">
        <f t="shared" si="130"/>
        <v>83.3</v>
      </c>
    </row>
    <row r="3264" spans="1:14" ht="12.75" hidden="1" customHeight="1" x14ac:dyDescent="0.2">
      <c r="A3264">
        <v>65061</v>
      </c>
      <c r="B3264" s="3" t="s">
        <v>1253</v>
      </c>
      <c r="C3264" s="7" t="s">
        <v>978</v>
      </c>
      <c r="D3264" s="7" t="s">
        <v>200</v>
      </c>
      <c r="F3264" s="7" t="s">
        <v>241</v>
      </c>
      <c r="G3264" s="7" t="s">
        <v>1734</v>
      </c>
      <c r="H3264" s="7" t="s">
        <v>1362</v>
      </c>
      <c r="I3264" s="7" t="s">
        <v>1253</v>
      </c>
      <c r="K3264" s="7" t="s">
        <v>750</v>
      </c>
      <c r="L3264" s="11">
        <v>89.72</v>
      </c>
      <c r="M3264" s="11">
        <v>-6124.11</v>
      </c>
      <c r="N3264" s="9">
        <f t="shared" si="130"/>
        <v>89.72</v>
      </c>
    </row>
    <row r="3265" spans="1:14" ht="12.75" hidden="1" customHeight="1" x14ac:dyDescent="0.2">
      <c r="A3265">
        <v>65061</v>
      </c>
      <c r="B3265" s="3" t="s">
        <v>1253</v>
      </c>
      <c r="C3265" s="7" t="s">
        <v>432</v>
      </c>
      <c r="D3265" s="7" t="s">
        <v>200</v>
      </c>
      <c r="F3265" s="7" t="s">
        <v>655</v>
      </c>
      <c r="G3265" s="7" t="s">
        <v>1734</v>
      </c>
      <c r="H3265" s="7" t="s">
        <v>1362</v>
      </c>
      <c r="I3265" s="7" t="s">
        <v>1253</v>
      </c>
      <c r="K3265" s="7" t="s">
        <v>750</v>
      </c>
      <c r="L3265" s="11">
        <v>168.36</v>
      </c>
      <c r="M3265" s="11">
        <v>-4222.1499999999996</v>
      </c>
      <c r="N3265" s="9">
        <f t="shared" si="130"/>
        <v>168.36</v>
      </c>
    </row>
    <row r="3266" spans="1:14" ht="12.75" hidden="1" customHeight="1" x14ac:dyDescent="0.2">
      <c r="A3266">
        <v>65061</v>
      </c>
      <c r="B3266" s="3" t="s">
        <v>1253</v>
      </c>
      <c r="C3266" s="7" t="s">
        <v>976</v>
      </c>
      <c r="D3266" s="7" t="s">
        <v>200</v>
      </c>
      <c r="F3266" s="7" t="s">
        <v>977</v>
      </c>
      <c r="G3266" s="7" t="s">
        <v>1734</v>
      </c>
      <c r="H3266" s="7" t="s">
        <v>1362</v>
      </c>
      <c r="I3266" s="7" t="s">
        <v>1253</v>
      </c>
      <c r="K3266" s="7" t="s">
        <v>750</v>
      </c>
      <c r="L3266" s="11">
        <v>12.75</v>
      </c>
      <c r="M3266" s="11">
        <v>-4209.3999999999996</v>
      </c>
      <c r="N3266" s="9">
        <f t="shared" si="130"/>
        <v>12.75</v>
      </c>
    </row>
    <row r="3267" spans="1:14" ht="12.75" hidden="1" customHeight="1" x14ac:dyDescent="0.2">
      <c r="A3267">
        <v>65061</v>
      </c>
      <c r="B3267" s="3" t="s">
        <v>1253</v>
      </c>
      <c r="C3267" s="7" t="s">
        <v>388</v>
      </c>
      <c r="D3267" s="7" t="s">
        <v>200</v>
      </c>
      <c r="F3267" s="7" t="s">
        <v>974</v>
      </c>
      <c r="G3267" s="7" t="s">
        <v>1734</v>
      </c>
      <c r="H3267" s="7" t="s">
        <v>1362</v>
      </c>
      <c r="I3267" s="7" t="s">
        <v>1253</v>
      </c>
      <c r="K3267" s="7" t="s">
        <v>750</v>
      </c>
      <c r="L3267" s="11">
        <v>135.46</v>
      </c>
      <c r="M3267" s="11">
        <v>1199.44</v>
      </c>
      <c r="N3267" s="9">
        <f t="shared" si="130"/>
        <v>135.46</v>
      </c>
    </row>
    <row r="3268" spans="1:14" ht="12.75" hidden="1" customHeight="1" x14ac:dyDescent="0.2">
      <c r="A3268">
        <v>65061</v>
      </c>
      <c r="B3268" s="3" t="s">
        <v>1253</v>
      </c>
      <c r="C3268" s="7" t="s">
        <v>962</v>
      </c>
      <c r="D3268" s="7" t="s">
        <v>200</v>
      </c>
      <c r="F3268" s="7" t="s">
        <v>589</v>
      </c>
      <c r="G3268" s="7" t="s">
        <v>1734</v>
      </c>
      <c r="H3268" s="7" t="s">
        <v>1362</v>
      </c>
      <c r="I3268" s="7" t="s">
        <v>1253</v>
      </c>
      <c r="K3268" s="7" t="s">
        <v>750</v>
      </c>
      <c r="L3268" s="11">
        <v>51.88</v>
      </c>
      <c r="M3268" s="11">
        <v>5743.92</v>
      </c>
      <c r="N3268" s="9">
        <f t="shared" si="130"/>
        <v>51.88</v>
      </c>
    </row>
    <row r="3269" spans="1:14" ht="12.75" hidden="1" customHeight="1" x14ac:dyDescent="0.2">
      <c r="A3269">
        <v>65061</v>
      </c>
      <c r="B3269" s="3" t="s">
        <v>1253</v>
      </c>
      <c r="C3269" s="7" t="s">
        <v>393</v>
      </c>
      <c r="D3269" s="7" t="s">
        <v>200</v>
      </c>
      <c r="F3269" s="7" t="s">
        <v>895</v>
      </c>
      <c r="G3269" s="7" t="s">
        <v>1734</v>
      </c>
      <c r="H3269" s="7" t="s">
        <v>1362</v>
      </c>
      <c r="I3269" s="7" t="s">
        <v>1253</v>
      </c>
      <c r="K3269" s="7" t="s">
        <v>750</v>
      </c>
      <c r="L3269" s="11">
        <v>60.26</v>
      </c>
      <c r="M3269" s="11">
        <v>6189.98</v>
      </c>
      <c r="N3269" s="9">
        <f t="shared" si="130"/>
        <v>60.26</v>
      </c>
    </row>
    <row r="3270" spans="1:14" ht="12.75" hidden="1" customHeight="1" x14ac:dyDescent="0.2">
      <c r="A3270">
        <v>65061</v>
      </c>
      <c r="B3270" s="3" t="s">
        <v>1253</v>
      </c>
      <c r="C3270" s="7" t="s">
        <v>393</v>
      </c>
      <c r="D3270" s="7" t="s">
        <v>200</v>
      </c>
      <c r="F3270" s="7" t="s">
        <v>597</v>
      </c>
      <c r="G3270" s="7" t="s">
        <v>1734</v>
      </c>
      <c r="H3270" s="7" t="s">
        <v>1362</v>
      </c>
      <c r="I3270" s="7" t="s">
        <v>1253</v>
      </c>
      <c r="K3270" s="7" t="s">
        <v>750</v>
      </c>
      <c r="L3270" s="11">
        <v>4</v>
      </c>
      <c r="M3270" s="11">
        <v>6193.98</v>
      </c>
      <c r="N3270" s="9">
        <f t="shared" si="130"/>
        <v>4</v>
      </c>
    </row>
    <row r="3271" spans="1:14" ht="12.75" hidden="1" customHeight="1" x14ac:dyDescent="0.2">
      <c r="A3271">
        <v>65061</v>
      </c>
      <c r="B3271" s="3" t="s">
        <v>1253</v>
      </c>
      <c r="C3271" s="7" t="s">
        <v>952</v>
      </c>
      <c r="D3271" s="7" t="s">
        <v>242</v>
      </c>
      <c r="F3271" s="7" t="s">
        <v>241</v>
      </c>
      <c r="G3271" s="7" t="s">
        <v>1734</v>
      </c>
      <c r="H3271" s="7" t="s">
        <v>1362</v>
      </c>
      <c r="I3271" s="7" t="s">
        <v>1253</v>
      </c>
      <c r="K3271" s="7" t="s">
        <v>750</v>
      </c>
      <c r="L3271" s="11">
        <v>-21.94</v>
      </c>
      <c r="M3271" s="11">
        <v>15454.66</v>
      </c>
      <c r="N3271" s="9">
        <f t="shared" si="130"/>
        <v>-21.94</v>
      </c>
    </row>
    <row r="3272" spans="1:14" ht="12.75" hidden="1" customHeight="1" x14ac:dyDescent="0.2">
      <c r="A3272">
        <v>65061</v>
      </c>
      <c r="B3272" s="3" t="s">
        <v>1253</v>
      </c>
      <c r="C3272" s="7" t="s">
        <v>437</v>
      </c>
      <c r="D3272" s="7" t="s">
        <v>200</v>
      </c>
      <c r="E3272" s="7">
        <v>1010</v>
      </c>
      <c r="F3272" s="7" t="s">
        <v>751</v>
      </c>
      <c r="G3272" s="7" t="s">
        <v>1734</v>
      </c>
      <c r="H3272" s="7" t="s">
        <v>1362</v>
      </c>
      <c r="I3272" s="7" t="s">
        <v>1253</v>
      </c>
      <c r="K3272" s="7" t="s">
        <v>750</v>
      </c>
      <c r="L3272" s="11">
        <v>609.63</v>
      </c>
      <c r="M3272" s="11">
        <v>16064.29</v>
      </c>
      <c r="N3272" s="9">
        <f t="shared" si="130"/>
        <v>609.63</v>
      </c>
    </row>
    <row r="3273" spans="1:14" ht="12.75" hidden="1" customHeight="1" x14ac:dyDescent="0.2">
      <c r="A3273">
        <v>65061</v>
      </c>
      <c r="B3273" s="3" t="s">
        <v>1253</v>
      </c>
      <c r="C3273" s="7" t="s">
        <v>437</v>
      </c>
      <c r="D3273" s="7" t="s">
        <v>242</v>
      </c>
      <c r="F3273" s="7" t="s">
        <v>606</v>
      </c>
      <c r="G3273" s="7" t="s">
        <v>1734</v>
      </c>
      <c r="H3273" s="7" t="s">
        <v>1362</v>
      </c>
      <c r="I3273" s="7" t="s">
        <v>1253</v>
      </c>
      <c r="K3273" s="7" t="s">
        <v>750</v>
      </c>
      <c r="L3273" s="11">
        <v>-76.739999999999995</v>
      </c>
      <c r="M3273" s="11">
        <v>16767.57</v>
      </c>
      <c r="N3273" s="9">
        <f t="shared" si="130"/>
        <v>-76.739999999999995</v>
      </c>
    </row>
    <row r="3274" spans="1:14" ht="12.75" hidden="1" customHeight="1" x14ac:dyDescent="0.2">
      <c r="A3274">
        <v>65061</v>
      </c>
      <c r="B3274" s="3" t="s">
        <v>1253</v>
      </c>
      <c r="C3274" s="7" t="s">
        <v>383</v>
      </c>
      <c r="D3274" s="7" t="s">
        <v>200</v>
      </c>
      <c r="E3274" s="7">
        <v>1015</v>
      </c>
      <c r="F3274" s="7" t="s">
        <v>948</v>
      </c>
      <c r="G3274" s="7" t="s">
        <v>1734</v>
      </c>
      <c r="H3274" s="7" t="s">
        <v>1362</v>
      </c>
      <c r="I3274" s="7" t="s">
        <v>1253</v>
      </c>
      <c r="K3274" s="7" t="s">
        <v>750</v>
      </c>
      <c r="L3274" s="11">
        <v>97.66</v>
      </c>
      <c r="M3274" s="11">
        <v>17415.71</v>
      </c>
      <c r="N3274" s="9">
        <f t="shared" si="130"/>
        <v>97.66</v>
      </c>
    </row>
    <row r="3275" spans="1:14" ht="12.75" hidden="1" customHeight="1" x14ac:dyDescent="0.2">
      <c r="A3275">
        <v>65061</v>
      </c>
      <c r="B3275" s="3" t="s">
        <v>1253</v>
      </c>
      <c r="C3275" s="7" t="s">
        <v>381</v>
      </c>
      <c r="D3275" s="7" t="s">
        <v>242</v>
      </c>
      <c r="F3275" s="7" t="s">
        <v>589</v>
      </c>
      <c r="G3275" s="7" t="s">
        <v>1734</v>
      </c>
      <c r="H3275" s="7" t="s">
        <v>1362</v>
      </c>
      <c r="I3275" s="7" t="s">
        <v>1253</v>
      </c>
      <c r="K3275" s="7" t="s">
        <v>750</v>
      </c>
      <c r="L3275" s="11">
        <v>-6.28</v>
      </c>
      <c r="M3275" s="11">
        <v>20239.66</v>
      </c>
      <c r="N3275" s="9">
        <f t="shared" si="130"/>
        <v>-6.28</v>
      </c>
    </row>
    <row r="3276" spans="1:14" ht="12.75" hidden="1" customHeight="1" x14ac:dyDescent="0.2">
      <c r="A3276">
        <v>65061</v>
      </c>
      <c r="B3276" s="3" t="s">
        <v>1253</v>
      </c>
      <c r="C3276" s="7" t="s">
        <v>381</v>
      </c>
      <c r="D3276" s="7" t="s">
        <v>242</v>
      </c>
      <c r="F3276" s="7" t="s">
        <v>589</v>
      </c>
      <c r="G3276" s="7" t="s">
        <v>1734</v>
      </c>
      <c r="H3276" s="7" t="s">
        <v>1362</v>
      </c>
      <c r="I3276" s="7" t="s">
        <v>1253</v>
      </c>
      <c r="K3276" s="7" t="s">
        <v>750</v>
      </c>
      <c r="L3276" s="11">
        <v>-21.62</v>
      </c>
      <c r="M3276" s="11">
        <v>20218.04</v>
      </c>
      <c r="N3276" s="9">
        <f t="shared" si="130"/>
        <v>-21.62</v>
      </c>
    </row>
    <row r="3277" spans="1:14" ht="12.75" hidden="1" customHeight="1" x14ac:dyDescent="0.2">
      <c r="A3277">
        <v>65061</v>
      </c>
      <c r="B3277" s="3" t="s">
        <v>1253</v>
      </c>
      <c r="C3277" s="7" t="s">
        <v>381</v>
      </c>
      <c r="D3277" s="7" t="s">
        <v>242</v>
      </c>
      <c r="F3277" s="7" t="s">
        <v>589</v>
      </c>
      <c r="G3277" s="7" t="s">
        <v>1734</v>
      </c>
      <c r="H3277" s="7" t="s">
        <v>1362</v>
      </c>
      <c r="I3277" s="7" t="s">
        <v>1253</v>
      </c>
      <c r="K3277" s="7" t="s">
        <v>750</v>
      </c>
      <c r="L3277" s="11">
        <v>-2.1</v>
      </c>
      <c r="M3277" s="11">
        <v>20215.939999999999</v>
      </c>
      <c r="N3277" s="9">
        <f t="shared" si="130"/>
        <v>-2.1</v>
      </c>
    </row>
    <row r="3278" spans="1:14" ht="12.75" hidden="1" customHeight="1" x14ac:dyDescent="0.2">
      <c r="A3278">
        <v>65061</v>
      </c>
      <c r="B3278" s="3" t="s">
        <v>1253</v>
      </c>
      <c r="C3278" s="7" t="s">
        <v>381</v>
      </c>
      <c r="D3278" s="7" t="s">
        <v>200</v>
      </c>
      <c r="F3278" s="7" t="s">
        <v>589</v>
      </c>
      <c r="G3278" s="7" t="s">
        <v>1734</v>
      </c>
      <c r="H3278" s="7" t="s">
        <v>1362</v>
      </c>
      <c r="I3278" s="7" t="s">
        <v>1253</v>
      </c>
      <c r="K3278" s="7" t="s">
        <v>750</v>
      </c>
      <c r="L3278" s="11">
        <v>81.819999999999993</v>
      </c>
      <c r="M3278" s="11">
        <v>20297.759999999998</v>
      </c>
      <c r="N3278" s="9">
        <f t="shared" si="130"/>
        <v>81.819999999999993</v>
      </c>
    </row>
    <row r="3279" spans="1:14" ht="12.75" hidden="1" customHeight="1" x14ac:dyDescent="0.2">
      <c r="A3279">
        <v>65061</v>
      </c>
      <c r="B3279" s="3" t="s">
        <v>1253</v>
      </c>
      <c r="C3279" s="7" t="s">
        <v>381</v>
      </c>
      <c r="D3279" s="7" t="s">
        <v>242</v>
      </c>
      <c r="F3279" s="7" t="s">
        <v>241</v>
      </c>
      <c r="G3279" s="7" t="s">
        <v>1734</v>
      </c>
      <c r="H3279" s="7" t="s">
        <v>1362</v>
      </c>
      <c r="I3279" s="7" t="s">
        <v>1253</v>
      </c>
      <c r="K3279" s="7" t="s">
        <v>750</v>
      </c>
      <c r="L3279" s="11">
        <v>-42.22</v>
      </c>
      <c r="M3279" s="11">
        <v>20255.54</v>
      </c>
      <c r="N3279" s="9">
        <f t="shared" si="130"/>
        <v>-42.22</v>
      </c>
    </row>
    <row r="3280" spans="1:14" ht="12.75" hidden="1" customHeight="1" x14ac:dyDescent="0.2">
      <c r="A3280">
        <v>65061</v>
      </c>
      <c r="B3280" s="3" t="s">
        <v>1253</v>
      </c>
      <c r="C3280" s="7" t="s">
        <v>381</v>
      </c>
      <c r="D3280" s="7" t="s">
        <v>200</v>
      </c>
      <c r="F3280" s="7" t="s">
        <v>769</v>
      </c>
      <c r="G3280" s="7" t="s">
        <v>1734</v>
      </c>
      <c r="H3280" s="7" t="s">
        <v>1362</v>
      </c>
      <c r="I3280" s="7" t="s">
        <v>1253</v>
      </c>
      <c r="K3280" s="7" t="s">
        <v>750</v>
      </c>
      <c r="L3280" s="11">
        <v>3.69</v>
      </c>
      <c r="M3280" s="11">
        <v>20259.23</v>
      </c>
      <c r="N3280" s="9">
        <f t="shared" si="130"/>
        <v>3.69</v>
      </c>
    </row>
    <row r="3281" spans="1:14" ht="12.75" hidden="1" customHeight="1" x14ac:dyDescent="0.2">
      <c r="A3281">
        <v>65061</v>
      </c>
      <c r="B3281" s="3" t="s">
        <v>1253</v>
      </c>
      <c r="C3281" s="7" t="s">
        <v>381</v>
      </c>
      <c r="D3281" s="7" t="s">
        <v>200</v>
      </c>
      <c r="E3281" s="7">
        <v>1013</v>
      </c>
      <c r="F3281" s="7" t="s">
        <v>751</v>
      </c>
      <c r="G3281" s="7" t="s">
        <v>1734</v>
      </c>
      <c r="H3281" s="7" t="s">
        <v>1362</v>
      </c>
      <c r="I3281" s="7" t="s">
        <v>1253</v>
      </c>
      <c r="K3281" s="7" t="s">
        <v>750</v>
      </c>
      <c r="L3281" s="11">
        <v>53.9</v>
      </c>
      <c r="M3281" s="11">
        <v>20419.189999999999</v>
      </c>
      <c r="N3281" s="9">
        <f t="shared" si="130"/>
        <v>53.9</v>
      </c>
    </row>
    <row r="3282" spans="1:14" ht="12.75" hidden="1" customHeight="1" x14ac:dyDescent="0.2">
      <c r="A3282">
        <v>65061</v>
      </c>
      <c r="B3282" s="3" t="s">
        <v>1253</v>
      </c>
      <c r="C3282" s="7" t="s">
        <v>942</v>
      </c>
      <c r="D3282" s="7" t="s">
        <v>200</v>
      </c>
      <c r="F3282" s="7" t="s">
        <v>944</v>
      </c>
      <c r="G3282" s="7" t="s">
        <v>1734</v>
      </c>
      <c r="H3282" s="7" t="s">
        <v>1362</v>
      </c>
      <c r="I3282" s="7" t="s">
        <v>1253</v>
      </c>
      <c r="K3282" s="7" t="s">
        <v>750</v>
      </c>
      <c r="L3282" s="11">
        <v>6.85</v>
      </c>
      <c r="M3282" s="11">
        <v>20436.599999999999</v>
      </c>
      <c r="N3282" s="9">
        <f t="shared" si="130"/>
        <v>6.85</v>
      </c>
    </row>
    <row r="3283" spans="1:14" ht="12.75" hidden="1" customHeight="1" x14ac:dyDescent="0.2">
      <c r="A3283">
        <v>65061</v>
      </c>
      <c r="B3283" s="3" t="s">
        <v>1253</v>
      </c>
      <c r="C3283" s="7" t="s">
        <v>448</v>
      </c>
      <c r="D3283" s="7" t="s">
        <v>242</v>
      </c>
      <c r="F3283" s="7" t="s">
        <v>336</v>
      </c>
      <c r="G3283" s="7" t="s">
        <v>1734</v>
      </c>
      <c r="H3283" s="7" t="s">
        <v>1362</v>
      </c>
      <c r="I3283" s="7" t="s">
        <v>1253</v>
      </c>
      <c r="K3283" s="7" t="s">
        <v>750</v>
      </c>
      <c r="L3283" s="11">
        <v>-0.08</v>
      </c>
      <c r="M3283" s="11">
        <v>25599.1</v>
      </c>
      <c r="N3283" s="9">
        <f t="shared" si="130"/>
        <v>-0.08</v>
      </c>
    </row>
    <row r="3284" spans="1:14" ht="12.75" hidden="1" customHeight="1" x14ac:dyDescent="0.2">
      <c r="A3284">
        <v>65061</v>
      </c>
      <c r="B3284" s="3" t="s">
        <v>1253</v>
      </c>
      <c r="C3284" s="7" t="s">
        <v>379</v>
      </c>
      <c r="D3284" s="7" t="s">
        <v>242</v>
      </c>
      <c r="F3284" s="7" t="s">
        <v>655</v>
      </c>
      <c r="G3284" s="7" t="s">
        <v>1734</v>
      </c>
      <c r="H3284" s="7" t="s">
        <v>1362</v>
      </c>
      <c r="I3284" s="7" t="s">
        <v>1253</v>
      </c>
      <c r="K3284" s="7" t="s">
        <v>750</v>
      </c>
      <c r="L3284" s="11">
        <v>-16.46</v>
      </c>
      <c r="M3284" s="11">
        <v>25964.92</v>
      </c>
      <c r="N3284" s="9">
        <f t="shared" si="130"/>
        <v>-16.46</v>
      </c>
    </row>
    <row r="3285" spans="1:14" ht="12.75" hidden="1" customHeight="1" x14ac:dyDescent="0.2">
      <c r="A3285">
        <v>65061</v>
      </c>
      <c r="B3285" s="3" t="s">
        <v>1253</v>
      </c>
      <c r="C3285" s="7" t="s">
        <v>379</v>
      </c>
      <c r="D3285" s="7" t="s">
        <v>200</v>
      </c>
      <c r="F3285" s="7" t="s">
        <v>644</v>
      </c>
      <c r="G3285" s="7" t="s">
        <v>1734</v>
      </c>
      <c r="H3285" s="7" t="s">
        <v>1362</v>
      </c>
      <c r="I3285" s="7" t="s">
        <v>1253</v>
      </c>
      <c r="K3285" s="7" t="s">
        <v>750</v>
      </c>
      <c r="L3285" s="11">
        <v>25.2</v>
      </c>
      <c r="M3285" s="11">
        <v>26138.82</v>
      </c>
      <c r="N3285" s="9">
        <f t="shared" si="130"/>
        <v>25.2</v>
      </c>
    </row>
    <row r="3286" spans="1:14" ht="12.75" hidden="1" customHeight="1" x14ac:dyDescent="0.2">
      <c r="A3286">
        <v>65061</v>
      </c>
      <c r="B3286" s="3" t="s">
        <v>1253</v>
      </c>
      <c r="C3286" s="7" t="s">
        <v>926</v>
      </c>
      <c r="D3286" s="7" t="s">
        <v>200</v>
      </c>
      <c r="F3286" s="7" t="s">
        <v>548</v>
      </c>
      <c r="G3286" s="7" t="s">
        <v>1734</v>
      </c>
      <c r="H3286" s="7" t="s">
        <v>1362</v>
      </c>
      <c r="I3286" s="7" t="s">
        <v>1253</v>
      </c>
      <c r="K3286" s="7" t="s">
        <v>750</v>
      </c>
      <c r="L3286" s="11">
        <v>26.39</v>
      </c>
      <c r="M3286" s="11">
        <v>30323.27</v>
      </c>
      <c r="N3286" s="9">
        <f t="shared" ref="N3286:N3316" si="131">IF(A3286&lt;60000,-L3286,+L3286)</f>
        <v>26.39</v>
      </c>
    </row>
    <row r="3287" spans="1:14" ht="12.75" hidden="1" customHeight="1" x14ac:dyDescent="0.2">
      <c r="A3287">
        <v>65061</v>
      </c>
      <c r="B3287" s="3" t="s">
        <v>1253</v>
      </c>
      <c r="C3287" s="7" t="s">
        <v>374</v>
      </c>
      <c r="D3287" s="7" t="s">
        <v>200</v>
      </c>
      <c r="F3287" s="7" t="s">
        <v>265</v>
      </c>
      <c r="G3287" s="7" t="s">
        <v>1734</v>
      </c>
      <c r="H3287" s="7" t="s">
        <v>1362</v>
      </c>
      <c r="I3287" s="7" t="s">
        <v>1253</v>
      </c>
      <c r="K3287" s="7" t="s">
        <v>750</v>
      </c>
      <c r="L3287" s="11">
        <v>7.25</v>
      </c>
      <c r="M3287" s="11">
        <v>31763.77</v>
      </c>
      <c r="N3287" s="9">
        <f t="shared" si="131"/>
        <v>7.25</v>
      </c>
    </row>
    <row r="3288" spans="1:14" ht="12.75" hidden="1" customHeight="1" x14ac:dyDescent="0.2">
      <c r="A3288">
        <v>65061</v>
      </c>
      <c r="B3288" s="3" t="s">
        <v>1253</v>
      </c>
      <c r="C3288" s="7" t="s">
        <v>374</v>
      </c>
      <c r="D3288" s="7" t="s">
        <v>200</v>
      </c>
      <c r="F3288" s="7" t="s">
        <v>265</v>
      </c>
      <c r="G3288" s="7" t="s">
        <v>1734</v>
      </c>
      <c r="H3288" s="7" t="s">
        <v>1362</v>
      </c>
      <c r="I3288" s="7" t="s">
        <v>1253</v>
      </c>
      <c r="K3288" s="7" t="s">
        <v>750</v>
      </c>
      <c r="L3288" s="11">
        <v>89.99</v>
      </c>
      <c r="M3288" s="11">
        <v>31853.759999999998</v>
      </c>
      <c r="N3288" s="9">
        <f t="shared" si="131"/>
        <v>89.99</v>
      </c>
    </row>
    <row r="3289" spans="1:14" ht="12.75" hidden="1" customHeight="1" x14ac:dyDescent="0.2">
      <c r="A3289">
        <v>65061</v>
      </c>
      <c r="B3289" s="3" t="s">
        <v>1253</v>
      </c>
      <c r="C3289" s="7" t="s">
        <v>374</v>
      </c>
      <c r="D3289" s="7" t="s">
        <v>200</v>
      </c>
      <c r="F3289" s="7" t="s">
        <v>265</v>
      </c>
      <c r="G3289" s="7" t="s">
        <v>1734</v>
      </c>
      <c r="H3289" s="7" t="s">
        <v>1362</v>
      </c>
      <c r="I3289" s="7" t="s">
        <v>1253</v>
      </c>
      <c r="K3289" s="7" t="s">
        <v>750</v>
      </c>
      <c r="L3289" s="11">
        <v>5.68</v>
      </c>
      <c r="M3289" s="11">
        <v>31859.439999999999</v>
      </c>
      <c r="N3289" s="9">
        <f t="shared" si="131"/>
        <v>5.68</v>
      </c>
    </row>
    <row r="3290" spans="1:14" ht="12.75" hidden="1" customHeight="1" x14ac:dyDescent="0.2">
      <c r="A3290">
        <v>65061</v>
      </c>
      <c r="B3290" s="3" t="s">
        <v>1253</v>
      </c>
      <c r="C3290" s="7" t="s">
        <v>372</v>
      </c>
      <c r="D3290" s="7" t="s">
        <v>200</v>
      </c>
      <c r="F3290" s="7" t="s">
        <v>265</v>
      </c>
      <c r="G3290" s="7" t="s">
        <v>1734</v>
      </c>
      <c r="H3290" s="7" t="s">
        <v>1362</v>
      </c>
      <c r="I3290" s="7" t="s">
        <v>1253</v>
      </c>
      <c r="K3290" s="7" t="s">
        <v>750</v>
      </c>
      <c r="L3290" s="11">
        <v>23.73</v>
      </c>
      <c r="M3290" s="11">
        <v>32736.880000000001</v>
      </c>
      <c r="N3290" s="9">
        <f t="shared" si="131"/>
        <v>23.73</v>
      </c>
    </row>
    <row r="3291" spans="1:14" ht="12.75" hidden="1" customHeight="1" x14ac:dyDescent="0.2">
      <c r="A3291">
        <v>65061</v>
      </c>
      <c r="B3291" s="3" t="s">
        <v>1253</v>
      </c>
      <c r="C3291" s="7" t="s">
        <v>372</v>
      </c>
      <c r="D3291" s="7" t="s">
        <v>200</v>
      </c>
      <c r="E3291" s="7">
        <v>1014</v>
      </c>
      <c r="F3291" s="7" t="s">
        <v>925</v>
      </c>
      <c r="G3291" s="7" t="s">
        <v>1734</v>
      </c>
      <c r="H3291" s="7" t="s">
        <v>1362</v>
      </c>
      <c r="I3291" s="7" t="s">
        <v>1253</v>
      </c>
      <c r="K3291" s="7" t="s">
        <v>750</v>
      </c>
      <c r="L3291" s="11">
        <v>374.25</v>
      </c>
      <c r="M3291" s="11">
        <v>33111.129999999997</v>
      </c>
      <c r="N3291" s="9">
        <f t="shared" si="131"/>
        <v>374.25</v>
      </c>
    </row>
    <row r="3292" spans="1:14" ht="12.75" hidden="1" customHeight="1" x14ac:dyDescent="0.2">
      <c r="A3292">
        <v>65061</v>
      </c>
      <c r="B3292" s="3" t="s">
        <v>1253</v>
      </c>
      <c r="C3292" s="7" t="s">
        <v>372</v>
      </c>
      <c r="D3292" s="7" t="s">
        <v>200</v>
      </c>
      <c r="F3292" s="7" t="s">
        <v>241</v>
      </c>
      <c r="G3292" s="7" t="s">
        <v>1734</v>
      </c>
      <c r="H3292" s="7" t="s">
        <v>1362</v>
      </c>
      <c r="I3292" s="7" t="s">
        <v>1253</v>
      </c>
      <c r="K3292" s="7" t="s">
        <v>750</v>
      </c>
      <c r="L3292" s="11">
        <v>9.48</v>
      </c>
      <c r="M3292" s="11">
        <v>36802.35</v>
      </c>
      <c r="N3292" s="9">
        <f t="shared" si="131"/>
        <v>9.48</v>
      </c>
    </row>
    <row r="3293" spans="1:14" ht="12.75" hidden="1" customHeight="1" x14ac:dyDescent="0.2">
      <c r="A3293">
        <v>65061</v>
      </c>
      <c r="B3293" s="3" t="s">
        <v>1253</v>
      </c>
      <c r="C3293" s="7" t="s">
        <v>372</v>
      </c>
      <c r="D3293" s="7" t="s">
        <v>200</v>
      </c>
      <c r="F3293" s="7" t="s">
        <v>920</v>
      </c>
      <c r="G3293" s="7" t="s">
        <v>1734</v>
      </c>
      <c r="H3293" s="7" t="s">
        <v>1362</v>
      </c>
      <c r="I3293" s="7" t="s">
        <v>1253</v>
      </c>
      <c r="K3293" s="7" t="s">
        <v>750</v>
      </c>
      <c r="L3293" s="11">
        <v>52.8</v>
      </c>
      <c r="M3293" s="11">
        <v>37278.07</v>
      </c>
      <c r="N3293" s="9">
        <f t="shared" si="131"/>
        <v>52.8</v>
      </c>
    </row>
    <row r="3294" spans="1:14" ht="12.75" hidden="1" customHeight="1" x14ac:dyDescent="0.2">
      <c r="A3294">
        <v>65061</v>
      </c>
      <c r="B3294" s="3" t="s">
        <v>1253</v>
      </c>
      <c r="C3294" s="7" t="s">
        <v>372</v>
      </c>
      <c r="D3294" s="7" t="s">
        <v>200</v>
      </c>
      <c r="F3294" s="7" t="s">
        <v>606</v>
      </c>
      <c r="G3294" s="7" t="s">
        <v>1734</v>
      </c>
      <c r="H3294" s="7" t="s">
        <v>1362</v>
      </c>
      <c r="I3294" s="7" t="s">
        <v>1253</v>
      </c>
      <c r="K3294" s="7" t="s">
        <v>750</v>
      </c>
      <c r="L3294" s="11">
        <v>18.87</v>
      </c>
      <c r="M3294" s="11">
        <v>37296.94</v>
      </c>
      <c r="N3294" s="9">
        <f t="shared" si="131"/>
        <v>18.87</v>
      </c>
    </row>
    <row r="3295" spans="1:14" ht="12.75" hidden="1" customHeight="1" x14ac:dyDescent="0.2">
      <c r="A3295">
        <v>65061</v>
      </c>
      <c r="B3295" s="3" t="s">
        <v>1253</v>
      </c>
      <c r="C3295" s="7" t="s">
        <v>372</v>
      </c>
      <c r="D3295" s="7" t="s">
        <v>200</v>
      </c>
      <c r="F3295" s="7" t="s">
        <v>606</v>
      </c>
      <c r="G3295" s="7" t="s">
        <v>1734</v>
      </c>
      <c r="H3295" s="7" t="s">
        <v>1362</v>
      </c>
      <c r="I3295" s="7" t="s">
        <v>1253</v>
      </c>
      <c r="K3295" s="7" t="s">
        <v>750</v>
      </c>
      <c r="L3295" s="11">
        <v>159.34</v>
      </c>
      <c r="M3295" s="11">
        <v>37456.28</v>
      </c>
      <c r="N3295" s="9">
        <f t="shared" si="131"/>
        <v>159.34</v>
      </c>
    </row>
    <row r="3296" spans="1:14" ht="12.75" hidden="1" customHeight="1" x14ac:dyDescent="0.2">
      <c r="A3296">
        <v>65061</v>
      </c>
      <c r="B3296" s="3" t="s">
        <v>1253</v>
      </c>
      <c r="C3296" s="7" t="s">
        <v>372</v>
      </c>
      <c r="D3296" s="7" t="s">
        <v>200</v>
      </c>
      <c r="F3296" s="7" t="s">
        <v>548</v>
      </c>
      <c r="G3296" s="7" t="s">
        <v>1734</v>
      </c>
      <c r="H3296" s="7" t="s">
        <v>1362</v>
      </c>
      <c r="I3296" s="7" t="s">
        <v>1253</v>
      </c>
      <c r="K3296" s="7" t="s">
        <v>750</v>
      </c>
      <c r="L3296" s="11">
        <v>77.63</v>
      </c>
      <c r="M3296" s="11">
        <v>38231.300000000003</v>
      </c>
      <c r="N3296" s="9">
        <f t="shared" si="131"/>
        <v>77.63</v>
      </c>
    </row>
    <row r="3297" spans="1:14" ht="12.75" hidden="1" customHeight="1" x14ac:dyDescent="0.2">
      <c r="A3297">
        <v>65061</v>
      </c>
      <c r="B3297" s="3" t="s">
        <v>1253</v>
      </c>
      <c r="C3297" s="7" t="s">
        <v>372</v>
      </c>
      <c r="D3297" s="7" t="s">
        <v>200</v>
      </c>
      <c r="F3297" s="7" t="s">
        <v>265</v>
      </c>
      <c r="G3297" s="7" t="s">
        <v>1734</v>
      </c>
      <c r="H3297" s="7" t="s">
        <v>1362</v>
      </c>
      <c r="I3297" s="7" t="s">
        <v>1253</v>
      </c>
      <c r="K3297" s="7" t="s">
        <v>750</v>
      </c>
      <c r="L3297" s="11">
        <v>55.91</v>
      </c>
      <c r="M3297" s="11">
        <v>38229.17</v>
      </c>
      <c r="N3297" s="9">
        <f t="shared" si="131"/>
        <v>55.91</v>
      </c>
    </row>
    <row r="3298" spans="1:14" ht="12.75" hidden="1" customHeight="1" x14ac:dyDescent="0.2">
      <c r="A3298">
        <v>65061</v>
      </c>
      <c r="B3298" s="3" t="s">
        <v>1253</v>
      </c>
      <c r="C3298" s="7" t="s">
        <v>418</v>
      </c>
      <c r="D3298" s="7" t="s">
        <v>200</v>
      </c>
      <c r="F3298" s="7" t="s">
        <v>265</v>
      </c>
      <c r="G3298" s="7" t="s">
        <v>1734</v>
      </c>
      <c r="H3298" s="7" t="s">
        <v>1362</v>
      </c>
      <c r="I3298" s="7" t="s">
        <v>1253</v>
      </c>
      <c r="K3298" s="7" t="s">
        <v>750</v>
      </c>
      <c r="L3298" s="11">
        <v>48.98</v>
      </c>
      <c r="M3298" s="11">
        <v>38278.15</v>
      </c>
      <c r="N3298" s="9">
        <f t="shared" si="131"/>
        <v>48.98</v>
      </c>
    </row>
    <row r="3299" spans="1:14" ht="12.75" hidden="1" customHeight="1" x14ac:dyDescent="0.2">
      <c r="A3299">
        <v>65061</v>
      </c>
      <c r="B3299" s="3" t="s">
        <v>1253</v>
      </c>
      <c r="C3299" s="7" t="s">
        <v>418</v>
      </c>
      <c r="D3299" s="7" t="s">
        <v>200</v>
      </c>
      <c r="F3299" s="7" t="s">
        <v>914</v>
      </c>
      <c r="G3299" s="7" t="s">
        <v>1734</v>
      </c>
      <c r="H3299" s="7" t="s">
        <v>1362</v>
      </c>
      <c r="I3299" s="7" t="s">
        <v>1253</v>
      </c>
      <c r="K3299" s="7" t="s">
        <v>750</v>
      </c>
      <c r="L3299" s="11">
        <v>200.91</v>
      </c>
      <c r="M3299" s="11">
        <v>38844.21</v>
      </c>
      <c r="N3299" s="9">
        <f t="shared" si="131"/>
        <v>200.91</v>
      </c>
    </row>
    <row r="3300" spans="1:14" ht="12.75" hidden="1" customHeight="1" x14ac:dyDescent="0.2">
      <c r="A3300">
        <v>65061</v>
      </c>
      <c r="B3300" s="3" t="s">
        <v>1253</v>
      </c>
      <c r="C3300" s="7" t="s">
        <v>361</v>
      </c>
      <c r="D3300" s="7" t="s">
        <v>242</v>
      </c>
      <c r="F3300" s="7" t="s">
        <v>616</v>
      </c>
      <c r="G3300" s="7" t="s">
        <v>1734</v>
      </c>
      <c r="H3300" s="7" t="s">
        <v>1362</v>
      </c>
      <c r="I3300" s="7" t="s">
        <v>1253</v>
      </c>
      <c r="K3300" s="7" t="s">
        <v>750</v>
      </c>
      <c r="L3300" s="11">
        <v>-26.39</v>
      </c>
      <c r="M3300" s="11">
        <v>44038.16</v>
      </c>
      <c r="N3300" s="9">
        <f t="shared" si="131"/>
        <v>-26.39</v>
      </c>
    </row>
    <row r="3301" spans="1:14" ht="12.75" hidden="1" customHeight="1" x14ac:dyDescent="0.2">
      <c r="A3301">
        <v>65061</v>
      </c>
      <c r="B3301" s="3" t="s">
        <v>1253</v>
      </c>
      <c r="C3301" s="7" t="s">
        <v>361</v>
      </c>
      <c r="D3301" s="7" t="s">
        <v>200</v>
      </c>
      <c r="F3301" s="7" t="s">
        <v>345</v>
      </c>
      <c r="G3301" s="7" t="s">
        <v>1734</v>
      </c>
      <c r="H3301" s="7" t="s">
        <v>1362</v>
      </c>
      <c r="I3301" s="7" t="s">
        <v>1253</v>
      </c>
      <c r="K3301" s="7" t="s">
        <v>750</v>
      </c>
      <c r="L3301" s="11">
        <v>10.53</v>
      </c>
      <c r="M3301" s="11">
        <v>44375.49</v>
      </c>
      <c r="N3301" s="9">
        <f t="shared" si="131"/>
        <v>10.53</v>
      </c>
    </row>
    <row r="3302" spans="1:14" ht="12.75" hidden="1" customHeight="1" x14ac:dyDescent="0.2">
      <c r="A3302">
        <v>65061</v>
      </c>
      <c r="B3302" s="3" t="s">
        <v>1253</v>
      </c>
      <c r="C3302" s="7" t="s">
        <v>897</v>
      </c>
      <c r="D3302" s="7" t="s">
        <v>200</v>
      </c>
      <c r="F3302" s="7" t="s">
        <v>898</v>
      </c>
      <c r="G3302" s="7" t="s">
        <v>1734</v>
      </c>
      <c r="H3302" s="7" t="s">
        <v>1362</v>
      </c>
      <c r="I3302" s="7" t="s">
        <v>1253</v>
      </c>
      <c r="K3302" s="7" t="s">
        <v>750</v>
      </c>
      <c r="L3302" s="11">
        <v>382.56</v>
      </c>
      <c r="M3302" s="11">
        <v>46061.11</v>
      </c>
      <c r="N3302" s="9">
        <f t="shared" si="131"/>
        <v>382.56</v>
      </c>
    </row>
    <row r="3303" spans="1:14" ht="12.75" hidden="1" customHeight="1" x14ac:dyDescent="0.2">
      <c r="A3303">
        <v>65061</v>
      </c>
      <c r="B3303" s="3" t="s">
        <v>1253</v>
      </c>
      <c r="C3303" s="7" t="s">
        <v>359</v>
      </c>
      <c r="D3303" s="7" t="s">
        <v>200</v>
      </c>
      <c r="F3303" s="7" t="s">
        <v>895</v>
      </c>
      <c r="G3303" s="7" t="s">
        <v>1734</v>
      </c>
      <c r="H3303" s="7" t="s">
        <v>1362</v>
      </c>
      <c r="I3303" s="7" t="s">
        <v>1253</v>
      </c>
      <c r="K3303" s="7" t="s">
        <v>750</v>
      </c>
      <c r="L3303" s="11">
        <v>52.1</v>
      </c>
      <c r="M3303" s="11">
        <v>47479.71</v>
      </c>
      <c r="N3303" s="9">
        <f t="shared" si="131"/>
        <v>52.1</v>
      </c>
    </row>
    <row r="3304" spans="1:14" ht="12.75" hidden="1" customHeight="1" x14ac:dyDescent="0.2">
      <c r="A3304">
        <v>65061</v>
      </c>
      <c r="B3304" s="3" t="s">
        <v>1253</v>
      </c>
      <c r="C3304" s="7" t="s">
        <v>359</v>
      </c>
      <c r="D3304" s="7" t="s">
        <v>200</v>
      </c>
      <c r="F3304" s="7" t="s">
        <v>894</v>
      </c>
      <c r="G3304" s="7" t="s">
        <v>1734</v>
      </c>
      <c r="H3304" s="7" t="s">
        <v>1362</v>
      </c>
      <c r="I3304" s="7" t="s">
        <v>1253</v>
      </c>
      <c r="K3304" s="7" t="s">
        <v>750</v>
      </c>
      <c r="L3304" s="11">
        <v>5.27</v>
      </c>
      <c r="M3304" s="11">
        <v>47484.98</v>
      </c>
      <c r="N3304" s="9">
        <f t="shared" si="131"/>
        <v>5.27</v>
      </c>
    </row>
    <row r="3305" spans="1:14" ht="12.75" hidden="1" customHeight="1" x14ac:dyDescent="0.2">
      <c r="A3305">
        <v>65061</v>
      </c>
      <c r="B3305" s="3" t="s">
        <v>1253</v>
      </c>
      <c r="C3305" s="7" t="s">
        <v>356</v>
      </c>
      <c r="D3305" s="7" t="s">
        <v>200</v>
      </c>
      <c r="F3305" s="7" t="s">
        <v>548</v>
      </c>
      <c r="G3305" s="7" t="s">
        <v>1734</v>
      </c>
      <c r="H3305" s="7" t="s">
        <v>1362</v>
      </c>
      <c r="I3305" s="7" t="s">
        <v>1253</v>
      </c>
      <c r="K3305" s="7" t="s">
        <v>750</v>
      </c>
      <c r="L3305" s="11">
        <v>150.26</v>
      </c>
      <c r="M3305" s="11">
        <v>47718.42</v>
      </c>
      <c r="N3305" s="9">
        <f t="shared" si="131"/>
        <v>150.26</v>
      </c>
    </row>
    <row r="3306" spans="1:14" ht="12.75" hidden="1" customHeight="1" x14ac:dyDescent="0.2">
      <c r="A3306">
        <v>65061</v>
      </c>
      <c r="B3306" s="3" t="s">
        <v>1253</v>
      </c>
      <c r="C3306" s="7" t="s">
        <v>353</v>
      </c>
      <c r="D3306" s="7" t="s">
        <v>200</v>
      </c>
      <c r="F3306" s="7" t="s">
        <v>890</v>
      </c>
      <c r="G3306" s="7" t="s">
        <v>1734</v>
      </c>
      <c r="H3306" s="7" t="s">
        <v>1362</v>
      </c>
      <c r="I3306" s="7" t="s">
        <v>1253</v>
      </c>
      <c r="K3306" s="7" t="s">
        <v>750</v>
      </c>
      <c r="L3306" s="11">
        <v>4.62</v>
      </c>
      <c r="M3306" s="11">
        <v>51343.82</v>
      </c>
      <c r="N3306" s="9">
        <f t="shared" si="131"/>
        <v>4.62</v>
      </c>
    </row>
    <row r="3307" spans="1:14" ht="12.75" hidden="1" customHeight="1" x14ac:dyDescent="0.2">
      <c r="A3307">
        <v>65061</v>
      </c>
      <c r="B3307" s="3" t="s">
        <v>1253</v>
      </c>
      <c r="C3307" s="7" t="s">
        <v>353</v>
      </c>
      <c r="D3307" s="7" t="s">
        <v>200</v>
      </c>
      <c r="F3307" s="7" t="s">
        <v>606</v>
      </c>
      <c r="G3307" s="7" t="s">
        <v>1734</v>
      </c>
      <c r="H3307" s="7" t="s">
        <v>1362</v>
      </c>
      <c r="I3307" s="7" t="s">
        <v>1253</v>
      </c>
      <c r="K3307" s="7" t="s">
        <v>750</v>
      </c>
      <c r="L3307" s="11">
        <v>41.02</v>
      </c>
      <c r="M3307" s="11">
        <v>53078.83</v>
      </c>
      <c r="N3307" s="9">
        <f t="shared" si="131"/>
        <v>41.02</v>
      </c>
    </row>
    <row r="3308" spans="1:14" ht="12.75" hidden="1" customHeight="1" x14ac:dyDescent="0.2">
      <c r="A3308">
        <v>65061</v>
      </c>
      <c r="B3308" s="3" t="s">
        <v>1253</v>
      </c>
      <c r="C3308" s="7" t="s">
        <v>353</v>
      </c>
      <c r="D3308" s="7" t="s">
        <v>200</v>
      </c>
      <c r="F3308" s="7" t="s">
        <v>606</v>
      </c>
      <c r="G3308" s="7" t="s">
        <v>1734</v>
      </c>
      <c r="H3308" s="7" t="s">
        <v>1362</v>
      </c>
      <c r="I3308" s="7" t="s">
        <v>1253</v>
      </c>
      <c r="K3308" s="7" t="s">
        <v>750</v>
      </c>
      <c r="L3308" s="11">
        <v>52.35</v>
      </c>
      <c r="M3308" s="11">
        <v>53131.18</v>
      </c>
      <c r="N3308" s="9">
        <f t="shared" si="131"/>
        <v>52.35</v>
      </c>
    </row>
    <row r="3309" spans="1:14" ht="12.75" hidden="1" customHeight="1" x14ac:dyDescent="0.2">
      <c r="A3309">
        <v>65061</v>
      </c>
      <c r="B3309" s="3" t="s">
        <v>1253</v>
      </c>
      <c r="C3309" s="7" t="s">
        <v>334</v>
      </c>
      <c r="D3309" s="7" t="s">
        <v>242</v>
      </c>
      <c r="F3309" s="7" t="s">
        <v>616</v>
      </c>
      <c r="G3309" s="7" t="s">
        <v>1734</v>
      </c>
      <c r="H3309" s="7" t="s">
        <v>1362</v>
      </c>
      <c r="I3309" s="7" t="s">
        <v>1253</v>
      </c>
      <c r="K3309" s="7" t="s">
        <v>750</v>
      </c>
      <c r="L3309" s="11">
        <v>-10.53</v>
      </c>
      <c r="M3309" s="11">
        <v>57709.47</v>
      </c>
      <c r="N3309" s="9">
        <f t="shared" si="131"/>
        <v>-10.53</v>
      </c>
    </row>
    <row r="3310" spans="1:14" ht="12.75" hidden="1" customHeight="1" x14ac:dyDescent="0.2">
      <c r="A3310">
        <v>65061</v>
      </c>
      <c r="B3310" s="3" t="s">
        <v>1253</v>
      </c>
      <c r="C3310" s="7" t="s">
        <v>334</v>
      </c>
      <c r="D3310" s="7" t="s">
        <v>242</v>
      </c>
      <c r="F3310" s="7" t="s">
        <v>606</v>
      </c>
      <c r="G3310" s="7" t="s">
        <v>1734</v>
      </c>
      <c r="H3310" s="7" t="s">
        <v>1362</v>
      </c>
      <c r="I3310" s="7" t="s">
        <v>1253</v>
      </c>
      <c r="K3310" s="7" t="s">
        <v>750</v>
      </c>
      <c r="L3310" s="11">
        <v>-90.76</v>
      </c>
      <c r="M3310" s="11">
        <v>57719.03</v>
      </c>
      <c r="N3310" s="9">
        <f t="shared" si="131"/>
        <v>-90.76</v>
      </c>
    </row>
    <row r="3311" spans="1:14" ht="12.75" hidden="1" customHeight="1" x14ac:dyDescent="0.2">
      <c r="A3311">
        <v>65061</v>
      </c>
      <c r="B3311" s="3" t="s">
        <v>1253</v>
      </c>
      <c r="C3311" s="7" t="s">
        <v>334</v>
      </c>
      <c r="D3311" s="7" t="s">
        <v>242</v>
      </c>
      <c r="F3311" s="7" t="s">
        <v>616</v>
      </c>
      <c r="G3311" s="7" t="s">
        <v>1734</v>
      </c>
      <c r="H3311" s="7" t="s">
        <v>1362</v>
      </c>
      <c r="I3311" s="7" t="s">
        <v>1253</v>
      </c>
      <c r="K3311" s="7" t="s">
        <v>750</v>
      </c>
      <c r="L3311" s="11">
        <v>-6.34</v>
      </c>
      <c r="M3311" s="11">
        <v>57780.160000000003</v>
      </c>
      <c r="N3311" s="9">
        <f t="shared" si="131"/>
        <v>-6.34</v>
      </c>
    </row>
    <row r="3312" spans="1:14" ht="12.75" hidden="1" customHeight="1" x14ac:dyDescent="0.2">
      <c r="A3312">
        <v>65061</v>
      </c>
      <c r="B3312" s="3" t="s">
        <v>1253</v>
      </c>
      <c r="C3312" s="7" t="s">
        <v>334</v>
      </c>
      <c r="D3312" s="7" t="s">
        <v>200</v>
      </c>
      <c r="F3312" s="7" t="s">
        <v>606</v>
      </c>
      <c r="G3312" s="7" t="s">
        <v>1734</v>
      </c>
      <c r="H3312" s="7" t="s">
        <v>1362</v>
      </c>
      <c r="I3312" s="7" t="s">
        <v>1253</v>
      </c>
      <c r="K3312" s="7" t="s">
        <v>750</v>
      </c>
      <c r="L3312" s="11">
        <v>51.5</v>
      </c>
      <c r="M3312" s="11">
        <v>61254.55</v>
      </c>
      <c r="N3312" s="9">
        <f t="shared" si="131"/>
        <v>51.5</v>
      </c>
    </row>
    <row r="3313" spans="1:14" ht="12.75" hidden="1" customHeight="1" x14ac:dyDescent="0.2">
      <c r="A3313">
        <v>65061</v>
      </c>
      <c r="B3313" s="3" t="s">
        <v>1253</v>
      </c>
      <c r="C3313" s="7" t="s">
        <v>749</v>
      </c>
      <c r="D3313" s="7" t="s">
        <v>200</v>
      </c>
      <c r="E3313" s="7">
        <v>1017</v>
      </c>
      <c r="F3313" s="7" t="s">
        <v>751</v>
      </c>
      <c r="G3313" s="7" t="s">
        <v>1734</v>
      </c>
      <c r="H3313" s="7" t="s">
        <v>1362</v>
      </c>
      <c r="I3313" s="7" t="s">
        <v>1253</v>
      </c>
      <c r="K3313" s="7" t="s">
        <v>750</v>
      </c>
      <c r="L3313" s="11">
        <v>473.91</v>
      </c>
      <c r="M3313" s="11">
        <v>124982.09</v>
      </c>
      <c r="N3313" s="9">
        <f t="shared" si="131"/>
        <v>473.91</v>
      </c>
    </row>
    <row r="3314" spans="1:14" ht="12.75" hidden="1" customHeight="1" x14ac:dyDescent="0.2">
      <c r="A3314">
        <v>65062</v>
      </c>
      <c r="B3314" s="3" t="s">
        <v>1254</v>
      </c>
      <c r="C3314" s="7" t="s">
        <v>479</v>
      </c>
      <c r="D3314" s="7" t="s">
        <v>183</v>
      </c>
      <c r="E3314" s="7">
        <v>465</v>
      </c>
      <c r="G3314" s="7" t="s">
        <v>1734</v>
      </c>
      <c r="H3314" s="7" t="s">
        <v>1362</v>
      </c>
      <c r="I3314" s="7" t="s">
        <v>1254</v>
      </c>
      <c r="J3314" s="7" t="s">
        <v>536</v>
      </c>
      <c r="K3314" s="7" t="s">
        <v>180</v>
      </c>
      <c r="L3314" s="11">
        <v>314.52</v>
      </c>
      <c r="M3314" s="11">
        <v>4100.88</v>
      </c>
      <c r="N3314" s="9">
        <f t="shared" si="131"/>
        <v>314.52</v>
      </c>
    </row>
    <row r="3315" spans="1:14" ht="12.75" hidden="1" customHeight="1" x14ac:dyDescent="0.2">
      <c r="A3315">
        <v>65062</v>
      </c>
      <c r="B3315" s="3" t="s">
        <v>1254</v>
      </c>
      <c r="C3315" s="7" t="s">
        <v>266</v>
      </c>
      <c r="D3315" s="7" t="s">
        <v>183</v>
      </c>
      <c r="E3315" s="7">
        <v>510</v>
      </c>
      <c r="G3315" s="7" t="s">
        <v>1734</v>
      </c>
      <c r="H3315" s="7" t="s">
        <v>1362</v>
      </c>
      <c r="I3315" s="7" t="s">
        <v>1254</v>
      </c>
      <c r="J3315" s="7" t="s">
        <v>498</v>
      </c>
      <c r="K3315" s="7" t="s">
        <v>180</v>
      </c>
      <c r="L3315" s="11">
        <v>180</v>
      </c>
      <c r="M3315" s="11">
        <v>24671.63</v>
      </c>
      <c r="N3315" s="9">
        <f t="shared" si="131"/>
        <v>180</v>
      </c>
    </row>
    <row r="3316" spans="1:14" ht="12.75" hidden="1" customHeight="1" x14ac:dyDescent="0.2">
      <c r="A3316">
        <v>65062</v>
      </c>
      <c r="B3316" s="3" t="s">
        <v>1254</v>
      </c>
      <c r="C3316" s="7" t="s">
        <v>266</v>
      </c>
      <c r="D3316" s="7" t="s">
        <v>183</v>
      </c>
      <c r="E3316" s="7">
        <v>510</v>
      </c>
      <c r="G3316" s="7" t="s">
        <v>1734</v>
      </c>
      <c r="H3316" s="7" t="s">
        <v>1362</v>
      </c>
      <c r="I3316" s="7" t="s">
        <v>1254</v>
      </c>
      <c r="J3316" s="7" t="s">
        <v>498</v>
      </c>
      <c r="K3316" s="7" t="s">
        <v>180</v>
      </c>
      <c r="L3316" s="11">
        <v>54.82</v>
      </c>
      <c r="M3316" s="11">
        <v>24726.45</v>
      </c>
      <c r="N3316" s="9">
        <f t="shared" si="131"/>
        <v>54.82</v>
      </c>
    </row>
    <row r="3317" spans="1:14" ht="12.75" customHeight="1" x14ac:dyDescent="0.2">
      <c r="A3317">
        <v>44000</v>
      </c>
      <c r="B3317" s="3" t="s">
        <v>1229</v>
      </c>
      <c r="C3317" s="7" t="s">
        <v>1596</v>
      </c>
      <c r="D3317" s="7" t="s">
        <v>242</v>
      </c>
      <c r="F3317" s="7" t="s">
        <v>665</v>
      </c>
      <c r="G3317" s="7" t="s">
        <v>1573</v>
      </c>
      <c r="H3317" s="7" t="s">
        <v>1359</v>
      </c>
      <c r="I3317" s="7" t="s">
        <v>2148</v>
      </c>
      <c r="J3317" s="39" t="s">
        <v>1689</v>
      </c>
      <c r="K3317" s="39" t="s">
        <v>1179</v>
      </c>
      <c r="L3317" s="40">
        <v>175</v>
      </c>
      <c r="M3317" s="40">
        <v>199089.14</v>
      </c>
      <c r="N3317" s="41">
        <f t="shared" ref="N3317:N3329" si="132">-L3317</f>
        <v>-175</v>
      </c>
    </row>
    <row r="3318" spans="1:14" ht="12.75" customHeight="1" x14ac:dyDescent="0.2">
      <c r="A3318">
        <v>44000</v>
      </c>
      <c r="B3318" s="3" t="s">
        <v>1229</v>
      </c>
      <c r="C3318" s="7" t="s">
        <v>1695</v>
      </c>
      <c r="D3318" s="7" t="s">
        <v>242</v>
      </c>
      <c r="F3318" s="7" t="s">
        <v>665</v>
      </c>
      <c r="G3318" s="7" t="s">
        <v>1573</v>
      </c>
      <c r="H3318" s="7" t="s">
        <v>1359</v>
      </c>
      <c r="I3318" s="7" t="s">
        <v>2148</v>
      </c>
      <c r="J3318" s="39" t="s">
        <v>1689</v>
      </c>
      <c r="K3318" s="39" t="s">
        <v>1179</v>
      </c>
      <c r="L3318" s="40">
        <v>850</v>
      </c>
      <c r="M3318" s="40">
        <v>199939.14</v>
      </c>
      <c r="N3318" s="41">
        <f t="shared" si="132"/>
        <v>-850</v>
      </c>
    </row>
    <row r="3319" spans="1:14" ht="12.75" customHeight="1" x14ac:dyDescent="0.2">
      <c r="A3319">
        <v>44000</v>
      </c>
      <c r="B3319" s="3" t="s">
        <v>1229</v>
      </c>
      <c r="C3319" s="7" t="s">
        <v>1695</v>
      </c>
      <c r="D3319" s="7" t="s">
        <v>242</v>
      </c>
      <c r="F3319" s="7" t="s">
        <v>665</v>
      </c>
      <c r="G3319" s="7" t="s">
        <v>1573</v>
      </c>
      <c r="H3319" s="7" t="s">
        <v>1359</v>
      </c>
      <c r="I3319" s="7" t="s">
        <v>2148</v>
      </c>
      <c r="J3319" s="39" t="s">
        <v>1689</v>
      </c>
      <c r="K3319" s="39" t="s">
        <v>1179</v>
      </c>
      <c r="L3319" s="40">
        <v>400</v>
      </c>
      <c r="M3319" s="40">
        <v>200339.14</v>
      </c>
      <c r="N3319" s="41">
        <f t="shared" si="132"/>
        <v>-400</v>
      </c>
    </row>
    <row r="3320" spans="1:14" ht="12.75" customHeight="1" x14ac:dyDescent="0.2">
      <c r="A3320">
        <v>44000</v>
      </c>
      <c r="B3320" s="3" t="s">
        <v>1229</v>
      </c>
      <c r="C3320" s="7" t="s">
        <v>1600</v>
      </c>
      <c r="D3320" s="7" t="s">
        <v>242</v>
      </c>
      <c r="F3320" s="7" t="s">
        <v>665</v>
      </c>
      <c r="G3320" s="7" t="s">
        <v>1573</v>
      </c>
      <c r="H3320" s="7" t="s">
        <v>1359</v>
      </c>
      <c r="I3320" s="7" t="s">
        <v>2148</v>
      </c>
      <c r="J3320" s="39" t="s">
        <v>1689</v>
      </c>
      <c r="K3320" s="39" t="s">
        <v>1179</v>
      </c>
      <c r="L3320" s="40">
        <v>2070</v>
      </c>
      <c r="M3320" s="40">
        <v>203059.14</v>
      </c>
      <c r="N3320" s="41">
        <f t="shared" si="132"/>
        <v>-2070</v>
      </c>
    </row>
    <row r="3321" spans="1:14" ht="12.75" customHeight="1" x14ac:dyDescent="0.2">
      <c r="A3321">
        <v>44000</v>
      </c>
      <c r="B3321" s="3" t="s">
        <v>1229</v>
      </c>
      <c r="C3321" s="7" t="s">
        <v>1543</v>
      </c>
      <c r="D3321" s="7" t="s">
        <v>242</v>
      </c>
      <c r="F3321" s="7" t="s">
        <v>665</v>
      </c>
      <c r="G3321" s="7" t="s">
        <v>1573</v>
      </c>
      <c r="H3321" s="7" t="s">
        <v>1359</v>
      </c>
      <c r="I3321" s="7" t="s">
        <v>2148</v>
      </c>
      <c r="J3321" s="39" t="s">
        <v>1689</v>
      </c>
      <c r="K3321" s="39" t="s">
        <v>1179</v>
      </c>
      <c r="L3321" s="40">
        <v>144.44</v>
      </c>
      <c r="M3321" s="40">
        <v>203864.88</v>
      </c>
      <c r="N3321" s="41">
        <f t="shared" si="132"/>
        <v>-144.44</v>
      </c>
    </row>
    <row r="3322" spans="1:14" ht="12.75" customHeight="1" x14ac:dyDescent="0.2">
      <c r="A3322">
        <v>44000</v>
      </c>
      <c r="B3322" s="3" t="s">
        <v>1229</v>
      </c>
      <c r="C3322" s="7" t="s">
        <v>1543</v>
      </c>
      <c r="D3322" s="7" t="s">
        <v>183</v>
      </c>
      <c r="E3322" s="7">
        <v>670</v>
      </c>
      <c r="G3322" s="7" t="s">
        <v>1573</v>
      </c>
      <c r="H3322" s="7" t="s">
        <v>1359</v>
      </c>
      <c r="I3322" s="7" t="s">
        <v>2148</v>
      </c>
      <c r="J3322" s="39" t="s">
        <v>1698</v>
      </c>
      <c r="K3322" s="39" t="s">
        <v>180</v>
      </c>
      <c r="L3322" s="40">
        <v>4423</v>
      </c>
      <c r="M3322" s="40">
        <v>208287.88</v>
      </c>
      <c r="N3322" s="41">
        <f t="shared" si="132"/>
        <v>-4423</v>
      </c>
    </row>
    <row r="3323" spans="1:14" ht="12.75" customHeight="1" x14ac:dyDescent="0.2">
      <c r="A3323">
        <v>44000</v>
      </c>
      <c r="B3323" s="3" t="s">
        <v>1229</v>
      </c>
      <c r="C3323" s="7" t="s">
        <v>1543</v>
      </c>
      <c r="D3323" s="7" t="s">
        <v>242</v>
      </c>
      <c r="F3323" s="7" t="s">
        <v>665</v>
      </c>
      <c r="G3323" s="7" t="s">
        <v>1573</v>
      </c>
      <c r="H3323" s="7" t="s">
        <v>1359</v>
      </c>
      <c r="I3323" s="7" t="s">
        <v>2148</v>
      </c>
      <c r="J3323" s="39" t="s">
        <v>1689</v>
      </c>
      <c r="K3323" s="39" t="s">
        <v>1179</v>
      </c>
      <c r="L3323" s="40">
        <v>2818</v>
      </c>
      <c r="M3323" s="40">
        <v>211105.88</v>
      </c>
      <c r="N3323" s="41">
        <f t="shared" si="132"/>
        <v>-2818</v>
      </c>
    </row>
    <row r="3324" spans="1:14" ht="12.75" customHeight="1" x14ac:dyDescent="0.2">
      <c r="A3324">
        <v>44000</v>
      </c>
      <c r="B3324" s="3" t="s">
        <v>1229</v>
      </c>
      <c r="C3324" s="7" t="s">
        <v>1543</v>
      </c>
      <c r="D3324" s="7" t="s">
        <v>242</v>
      </c>
      <c r="F3324" s="7" t="s">
        <v>665</v>
      </c>
      <c r="G3324" s="7" t="s">
        <v>1573</v>
      </c>
      <c r="H3324" s="7" t="s">
        <v>1359</v>
      </c>
      <c r="I3324" s="7" t="s">
        <v>2148</v>
      </c>
      <c r="K3324" s="39" t="s">
        <v>1179</v>
      </c>
      <c r="L3324" s="40">
        <v>2390</v>
      </c>
      <c r="M3324" s="40">
        <v>213620.88</v>
      </c>
      <c r="N3324" s="41">
        <f t="shared" si="132"/>
        <v>-2390</v>
      </c>
    </row>
    <row r="3325" spans="1:14" ht="12.75" hidden="1" customHeight="1" x14ac:dyDescent="0.2">
      <c r="A3325">
        <v>43440</v>
      </c>
      <c r="B3325" s="3" t="s">
        <v>1228</v>
      </c>
      <c r="C3325" s="7" t="s">
        <v>1649</v>
      </c>
      <c r="D3325" s="7" t="s">
        <v>183</v>
      </c>
      <c r="E3325" s="7">
        <v>688</v>
      </c>
      <c r="G3325" s="7" t="s">
        <v>1579</v>
      </c>
      <c r="H3325" s="7" t="s">
        <v>1360</v>
      </c>
      <c r="I3325" s="7" t="s">
        <v>1228</v>
      </c>
      <c r="J3325" s="39" t="s">
        <v>1665</v>
      </c>
      <c r="K3325" s="39" t="s">
        <v>180</v>
      </c>
      <c r="L3325" s="40">
        <v>229</v>
      </c>
      <c r="M3325" s="40">
        <v>36468.53</v>
      </c>
      <c r="N3325" s="41">
        <f t="shared" si="132"/>
        <v>-229</v>
      </c>
    </row>
    <row r="3326" spans="1:14" ht="12.75" customHeight="1" x14ac:dyDescent="0.2">
      <c r="A3326">
        <v>44000</v>
      </c>
      <c r="B3326" s="3" t="s">
        <v>1229</v>
      </c>
      <c r="C3326" s="7" t="s">
        <v>1543</v>
      </c>
      <c r="D3326" s="7" t="s">
        <v>183</v>
      </c>
      <c r="E3326" s="7">
        <v>672</v>
      </c>
      <c r="G3326" s="7" t="s">
        <v>1573</v>
      </c>
      <c r="H3326" s="7" t="s">
        <v>1359</v>
      </c>
      <c r="I3326" s="7" t="s">
        <v>2148</v>
      </c>
      <c r="J3326" s="39" t="s">
        <v>1701</v>
      </c>
      <c r="K3326" s="39" t="s">
        <v>180</v>
      </c>
      <c r="L3326" s="40">
        <v>475</v>
      </c>
      <c r="M3326" s="40">
        <v>214105.88</v>
      </c>
      <c r="N3326" s="41">
        <f t="shared" si="132"/>
        <v>-475</v>
      </c>
    </row>
    <row r="3327" spans="1:14" ht="12.75" customHeight="1" x14ac:dyDescent="0.2">
      <c r="A3327">
        <v>44000</v>
      </c>
      <c r="B3327" s="3" t="s">
        <v>1229</v>
      </c>
      <c r="C3327" s="7" t="s">
        <v>1543</v>
      </c>
      <c r="D3327" s="7" t="s">
        <v>242</v>
      </c>
      <c r="F3327" s="7" t="s">
        <v>665</v>
      </c>
      <c r="G3327" s="7" t="s">
        <v>1573</v>
      </c>
      <c r="H3327" s="7" t="s">
        <v>1359</v>
      </c>
      <c r="I3327" s="7" t="s">
        <v>2148</v>
      </c>
      <c r="J3327" s="39" t="s">
        <v>1689</v>
      </c>
      <c r="K3327" s="39" t="s">
        <v>1179</v>
      </c>
      <c r="L3327" s="40">
        <v>7455.93</v>
      </c>
      <c r="M3327" s="40">
        <v>221561.81</v>
      </c>
      <c r="N3327" s="41">
        <f t="shared" si="132"/>
        <v>-7455.93</v>
      </c>
    </row>
    <row r="3328" spans="1:14" ht="12.75" customHeight="1" x14ac:dyDescent="0.2">
      <c r="A3328">
        <v>44000</v>
      </c>
      <c r="B3328" s="3" t="s">
        <v>1229</v>
      </c>
      <c r="C3328" s="7" t="s">
        <v>1612</v>
      </c>
      <c r="D3328" s="7" t="s">
        <v>242</v>
      </c>
      <c r="F3328" s="7" t="s">
        <v>665</v>
      </c>
      <c r="G3328" s="7" t="s">
        <v>1573</v>
      </c>
      <c r="H3328" s="7" t="s">
        <v>1359</v>
      </c>
      <c r="I3328" s="7" t="s">
        <v>2148</v>
      </c>
      <c r="J3328" s="39" t="s">
        <v>1689</v>
      </c>
      <c r="K3328" s="39" t="s">
        <v>1179</v>
      </c>
      <c r="L3328" s="40">
        <v>351.92</v>
      </c>
      <c r="M3328" s="40">
        <v>222013.73</v>
      </c>
      <c r="N3328" s="41">
        <f t="shared" si="132"/>
        <v>-351.92</v>
      </c>
    </row>
    <row r="3329" spans="1:14" ht="12.75" customHeight="1" x14ac:dyDescent="0.2">
      <c r="A3329">
        <v>44000</v>
      </c>
      <c r="B3329" s="3" t="s">
        <v>1229</v>
      </c>
      <c r="C3329" s="7" t="s">
        <v>1703</v>
      </c>
      <c r="D3329" s="7" t="s">
        <v>242</v>
      </c>
      <c r="F3329" s="7" t="s">
        <v>665</v>
      </c>
      <c r="G3329" s="7" t="s">
        <v>1573</v>
      </c>
      <c r="H3329" s="7" t="s">
        <v>1359</v>
      </c>
      <c r="I3329" s="7" t="s">
        <v>2148</v>
      </c>
      <c r="K3329" s="39" t="s">
        <v>1179</v>
      </c>
      <c r="L3329" s="40">
        <v>57.75</v>
      </c>
      <c r="M3329" s="40">
        <v>222071.48</v>
      </c>
      <c r="N3329" s="41">
        <f t="shared" si="132"/>
        <v>-57.75</v>
      </c>
    </row>
    <row r="3330" spans="1:14" ht="12.75" hidden="1" customHeight="1" x14ac:dyDescent="0.2">
      <c r="A3330">
        <v>65036</v>
      </c>
      <c r="B3330" s="3" t="s">
        <v>1249</v>
      </c>
      <c r="C3330" s="7" t="s">
        <v>1686</v>
      </c>
      <c r="D3330" s="7" t="s">
        <v>221</v>
      </c>
      <c r="F3330" s="7" t="s">
        <v>1816</v>
      </c>
      <c r="G3330" s="7" t="s">
        <v>1579</v>
      </c>
      <c r="H3330" s="7" t="s">
        <v>1362</v>
      </c>
      <c r="I3330" s="7" t="s">
        <v>1249</v>
      </c>
      <c r="K3330" s="39" t="s">
        <v>547</v>
      </c>
      <c r="L3330" s="40">
        <v>38.03</v>
      </c>
      <c r="M3330" s="40">
        <v>5282.94</v>
      </c>
      <c r="N3330" s="40">
        <f t="shared" ref="N3330:N3351" si="133">+L3330</f>
        <v>38.03</v>
      </c>
    </row>
    <row r="3331" spans="1:14" ht="12.75" hidden="1" customHeight="1" x14ac:dyDescent="0.2">
      <c r="A3331">
        <v>65045</v>
      </c>
      <c r="B3331" s="3" t="s">
        <v>1840</v>
      </c>
      <c r="C3331" s="7" t="s">
        <v>1772</v>
      </c>
      <c r="D3331" s="7" t="s">
        <v>221</v>
      </c>
      <c r="F3331" s="7" t="s">
        <v>986</v>
      </c>
      <c r="G3331" s="7" t="s">
        <v>1579</v>
      </c>
      <c r="H3331" s="7" t="s">
        <v>1362</v>
      </c>
      <c r="I3331" s="7" t="s">
        <v>1251</v>
      </c>
      <c r="K3331" s="39" t="s">
        <v>547</v>
      </c>
      <c r="L3331" s="40">
        <v>90</v>
      </c>
      <c r="M3331" s="40">
        <v>4741.3500000000004</v>
      </c>
      <c r="N3331" s="40">
        <f t="shared" si="133"/>
        <v>90</v>
      </c>
    </row>
    <row r="3332" spans="1:14" ht="12.75" hidden="1" customHeight="1" x14ac:dyDescent="0.2">
      <c r="A3332">
        <v>65045</v>
      </c>
      <c r="B3332" s="3" t="s">
        <v>1840</v>
      </c>
      <c r="C3332" s="7" t="s">
        <v>1583</v>
      </c>
      <c r="D3332" s="7" t="s">
        <v>221</v>
      </c>
      <c r="F3332" s="7" t="s">
        <v>986</v>
      </c>
      <c r="G3332" s="7" t="s">
        <v>1579</v>
      </c>
      <c r="H3332" s="7" t="s">
        <v>1362</v>
      </c>
      <c r="I3332" s="7" t="s">
        <v>1251</v>
      </c>
      <c r="K3332" s="39" t="s">
        <v>547</v>
      </c>
      <c r="L3332" s="40">
        <v>90</v>
      </c>
      <c r="M3332" s="40">
        <v>4831.3500000000004</v>
      </c>
      <c r="N3332" s="40">
        <f t="shared" si="133"/>
        <v>90</v>
      </c>
    </row>
    <row r="3333" spans="1:14" ht="12.75" hidden="1" customHeight="1" x14ac:dyDescent="0.2">
      <c r="A3333">
        <v>65045</v>
      </c>
      <c r="B3333" s="3" t="s">
        <v>1840</v>
      </c>
      <c r="C3333" s="7" t="s">
        <v>1695</v>
      </c>
      <c r="D3333" s="7" t="s">
        <v>221</v>
      </c>
      <c r="F3333" s="7" t="s">
        <v>986</v>
      </c>
      <c r="G3333" s="7" t="s">
        <v>1579</v>
      </c>
      <c r="H3333" s="7" t="s">
        <v>1362</v>
      </c>
      <c r="I3333" s="7" t="s">
        <v>1251</v>
      </c>
      <c r="K3333" s="39" t="s">
        <v>547</v>
      </c>
      <c r="L3333" s="40">
        <v>90</v>
      </c>
      <c r="M3333" s="40">
        <v>5628.35</v>
      </c>
      <c r="N3333" s="40">
        <f t="shared" si="133"/>
        <v>90</v>
      </c>
    </row>
    <row r="3334" spans="1:14" ht="12.75" hidden="1" customHeight="1" x14ac:dyDescent="0.2">
      <c r="A3334">
        <v>65045</v>
      </c>
      <c r="B3334" s="3" t="s">
        <v>1840</v>
      </c>
      <c r="C3334" s="7" t="s">
        <v>1622</v>
      </c>
      <c r="D3334" s="7" t="s">
        <v>221</v>
      </c>
      <c r="F3334" s="7" t="s">
        <v>986</v>
      </c>
      <c r="G3334" s="7" t="s">
        <v>1579</v>
      </c>
      <c r="H3334" s="7" t="s">
        <v>1362</v>
      </c>
      <c r="I3334" s="7" t="s">
        <v>1251</v>
      </c>
      <c r="K3334" s="39" t="s">
        <v>547</v>
      </c>
      <c r="L3334" s="40">
        <v>92</v>
      </c>
      <c r="M3334" s="40">
        <v>5855.35</v>
      </c>
      <c r="N3334" s="40">
        <f t="shared" si="133"/>
        <v>92</v>
      </c>
    </row>
    <row r="3335" spans="1:14" ht="12.75" hidden="1" customHeight="1" x14ac:dyDescent="0.2">
      <c r="A3335">
        <v>65061</v>
      </c>
      <c r="B3335" s="3" t="s">
        <v>1844</v>
      </c>
      <c r="C3335" s="7" t="s">
        <v>1737</v>
      </c>
      <c r="D3335" s="7" t="s">
        <v>221</v>
      </c>
      <c r="F3335" s="7" t="s">
        <v>579</v>
      </c>
      <c r="G3335" s="7" t="s">
        <v>1579</v>
      </c>
      <c r="H3335" s="7" t="s">
        <v>1362</v>
      </c>
      <c r="I3335" s="7" t="s">
        <v>1253</v>
      </c>
      <c r="K3335" s="39" t="s">
        <v>547</v>
      </c>
      <c r="L3335" s="40">
        <v>163.86</v>
      </c>
      <c r="M3335" s="40">
        <v>198983.4</v>
      </c>
      <c r="N3335" s="40">
        <f t="shared" si="133"/>
        <v>163.86</v>
      </c>
    </row>
    <row r="3336" spans="1:14" ht="12.75" hidden="1" customHeight="1" x14ac:dyDescent="0.2">
      <c r="A3336">
        <v>65061</v>
      </c>
      <c r="B3336" s="3" t="s">
        <v>1844</v>
      </c>
      <c r="C3336" s="7" t="s">
        <v>1559</v>
      </c>
      <c r="D3336" s="7" t="s">
        <v>221</v>
      </c>
      <c r="F3336" s="7" t="s">
        <v>352</v>
      </c>
      <c r="G3336" s="7" t="s">
        <v>1579</v>
      </c>
      <c r="H3336" s="7" t="s">
        <v>1362</v>
      </c>
      <c r="I3336" s="7" t="s">
        <v>1253</v>
      </c>
      <c r="K3336" s="39" t="s">
        <v>547</v>
      </c>
      <c r="L3336" s="40">
        <v>53.92</v>
      </c>
      <c r="M3336" s="40">
        <v>202458.05</v>
      </c>
      <c r="N3336" s="40">
        <f t="shared" si="133"/>
        <v>53.92</v>
      </c>
    </row>
    <row r="3337" spans="1:14" ht="12.75" hidden="1" customHeight="1" x14ac:dyDescent="0.2">
      <c r="A3337">
        <v>65061</v>
      </c>
      <c r="B3337" s="3" t="s">
        <v>1844</v>
      </c>
      <c r="C3337" s="7" t="s">
        <v>1559</v>
      </c>
      <c r="D3337" s="7" t="s">
        <v>221</v>
      </c>
      <c r="F3337" s="7" t="s">
        <v>625</v>
      </c>
      <c r="G3337" s="7" t="s">
        <v>1579</v>
      </c>
      <c r="H3337" s="7" t="s">
        <v>1362</v>
      </c>
      <c r="I3337" s="7" t="s">
        <v>1253</v>
      </c>
      <c r="K3337" s="39" t="s">
        <v>547</v>
      </c>
      <c r="L3337" s="40">
        <v>84.74</v>
      </c>
      <c r="M3337" s="40">
        <v>202542.79</v>
      </c>
      <c r="N3337" s="40">
        <f t="shared" si="133"/>
        <v>84.74</v>
      </c>
    </row>
    <row r="3338" spans="1:14" ht="12.75" hidden="1" customHeight="1" x14ac:dyDescent="0.2">
      <c r="A3338">
        <v>65061</v>
      </c>
      <c r="B3338" s="3" t="s">
        <v>1844</v>
      </c>
      <c r="C3338" s="7" t="s">
        <v>1559</v>
      </c>
      <c r="D3338" s="7" t="s">
        <v>221</v>
      </c>
      <c r="F3338" s="7" t="s">
        <v>589</v>
      </c>
      <c r="G3338" s="7" t="s">
        <v>1579</v>
      </c>
      <c r="H3338" s="7" t="s">
        <v>1362</v>
      </c>
      <c r="I3338" s="7" t="s">
        <v>1253</v>
      </c>
      <c r="K3338" s="39" t="s">
        <v>547</v>
      </c>
      <c r="L3338" s="40">
        <v>26.05</v>
      </c>
      <c r="M3338" s="40">
        <v>202568.84</v>
      </c>
      <c r="N3338" s="40">
        <f t="shared" si="133"/>
        <v>26.05</v>
      </c>
    </row>
    <row r="3339" spans="1:14" ht="12.75" hidden="1" customHeight="1" x14ac:dyDescent="0.2">
      <c r="A3339">
        <v>65061</v>
      </c>
      <c r="B3339" s="3" t="s">
        <v>1844</v>
      </c>
      <c r="C3339" s="7" t="s">
        <v>1559</v>
      </c>
      <c r="D3339" s="7" t="s">
        <v>221</v>
      </c>
      <c r="F3339" s="7" t="s">
        <v>564</v>
      </c>
      <c r="G3339" s="7" t="s">
        <v>1579</v>
      </c>
      <c r="H3339" s="7" t="s">
        <v>1362</v>
      </c>
      <c r="I3339" s="7" t="s">
        <v>1253</v>
      </c>
      <c r="K3339" s="39" t="s">
        <v>547</v>
      </c>
      <c r="L3339" s="40">
        <v>149.34</v>
      </c>
      <c r="M3339" s="40">
        <v>202718.18</v>
      </c>
      <c r="N3339" s="40">
        <f t="shared" si="133"/>
        <v>149.34</v>
      </c>
    </row>
    <row r="3340" spans="1:14" ht="12.75" hidden="1" customHeight="1" x14ac:dyDescent="0.2">
      <c r="A3340">
        <v>65061</v>
      </c>
      <c r="B3340" s="3" t="s">
        <v>1844</v>
      </c>
      <c r="C3340" s="7" t="s">
        <v>1685</v>
      </c>
      <c r="D3340" s="7" t="s">
        <v>221</v>
      </c>
      <c r="F3340" s="7" t="s">
        <v>1852</v>
      </c>
      <c r="G3340" s="7" t="s">
        <v>1579</v>
      </c>
      <c r="H3340" s="7" t="s">
        <v>1362</v>
      </c>
      <c r="I3340" s="7" t="s">
        <v>1253</v>
      </c>
      <c r="K3340" s="39" t="s">
        <v>547</v>
      </c>
      <c r="L3340" s="40">
        <v>27.14</v>
      </c>
      <c r="M3340" s="40">
        <v>203858.11</v>
      </c>
      <c r="N3340" s="40">
        <f t="shared" si="133"/>
        <v>27.14</v>
      </c>
    </row>
    <row r="3341" spans="1:14" ht="12.75" hidden="1" customHeight="1" x14ac:dyDescent="0.2">
      <c r="A3341">
        <v>65061</v>
      </c>
      <c r="B3341" s="3" t="s">
        <v>1844</v>
      </c>
      <c r="C3341" s="7" t="s">
        <v>1685</v>
      </c>
      <c r="D3341" s="7" t="s">
        <v>221</v>
      </c>
      <c r="F3341" s="7" t="s">
        <v>546</v>
      </c>
      <c r="G3341" s="7" t="s">
        <v>1579</v>
      </c>
      <c r="H3341" s="7" t="s">
        <v>1362</v>
      </c>
      <c r="I3341" s="7" t="s">
        <v>1253</v>
      </c>
      <c r="K3341" s="39" t="s">
        <v>547</v>
      </c>
      <c r="L3341" s="40">
        <v>28.78</v>
      </c>
      <c r="M3341" s="40">
        <v>203875.58</v>
      </c>
      <c r="N3341" s="40">
        <f t="shared" si="133"/>
        <v>28.78</v>
      </c>
    </row>
    <row r="3342" spans="1:14" ht="12.75" hidden="1" customHeight="1" x14ac:dyDescent="0.2">
      <c r="A3342">
        <v>65061</v>
      </c>
      <c r="B3342" s="3" t="s">
        <v>1844</v>
      </c>
      <c r="C3342" s="7" t="s">
        <v>1686</v>
      </c>
      <c r="D3342" s="7" t="s">
        <v>221</v>
      </c>
      <c r="F3342" s="7" t="s">
        <v>571</v>
      </c>
      <c r="G3342" s="7" t="s">
        <v>1579</v>
      </c>
      <c r="H3342" s="7" t="s">
        <v>1362</v>
      </c>
      <c r="I3342" s="7" t="s">
        <v>1253</v>
      </c>
      <c r="K3342" s="39" t="s">
        <v>547</v>
      </c>
      <c r="L3342" s="40">
        <v>24.99</v>
      </c>
      <c r="M3342" s="40">
        <v>204377.1</v>
      </c>
      <c r="N3342" s="40">
        <f t="shared" si="133"/>
        <v>24.99</v>
      </c>
    </row>
    <row r="3343" spans="1:14" ht="12.75" hidden="1" customHeight="1" x14ac:dyDescent="0.2">
      <c r="A3343">
        <v>65061</v>
      </c>
      <c r="B3343" s="3" t="s">
        <v>1844</v>
      </c>
      <c r="C3343" s="7" t="s">
        <v>1663</v>
      </c>
      <c r="D3343" s="7" t="s">
        <v>221</v>
      </c>
      <c r="F3343" s="7" t="s">
        <v>570</v>
      </c>
      <c r="G3343" s="7" t="s">
        <v>1579</v>
      </c>
      <c r="H3343" s="7" t="s">
        <v>1362</v>
      </c>
      <c r="I3343" s="7" t="s">
        <v>1253</v>
      </c>
      <c r="K3343" s="39" t="s">
        <v>547</v>
      </c>
      <c r="L3343" s="40">
        <v>504.26</v>
      </c>
      <c r="M3343" s="40">
        <v>274493.03000000003</v>
      </c>
      <c r="N3343" s="40">
        <f t="shared" si="133"/>
        <v>504.26</v>
      </c>
    </row>
    <row r="3344" spans="1:14" ht="12.75" hidden="1" customHeight="1" x14ac:dyDescent="0.2">
      <c r="A3344">
        <v>65061</v>
      </c>
      <c r="B3344" s="3" t="s">
        <v>1844</v>
      </c>
      <c r="C3344" s="7" t="s">
        <v>1619</v>
      </c>
      <c r="D3344" s="7" t="s">
        <v>221</v>
      </c>
      <c r="F3344" s="7" t="s">
        <v>871</v>
      </c>
      <c r="G3344" s="7" t="s">
        <v>1579</v>
      </c>
      <c r="H3344" s="7" t="s">
        <v>1362</v>
      </c>
      <c r="I3344" s="7" t="s">
        <v>1253</v>
      </c>
      <c r="K3344" s="39" t="s">
        <v>547</v>
      </c>
      <c r="L3344" s="40">
        <v>27.6</v>
      </c>
      <c r="M3344" s="40">
        <v>275220.88</v>
      </c>
      <c r="N3344" s="40">
        <f t="shared" si="133"/>
        <v>27.6</v>
      </c>
    </row>
    <row r="3345" spans="1:14" ht="12.75" hidden="1" customHeight="1" x14ac:dyDescent="0.2">
      <c r="A3345">
        <v>65061</v>
      </c>
      <c r="B3345" s="3" t="s">
        <v>1844</v>
      </c>
      <c r="C3345" s="7" t="s">
        <v>1622</v>
      </c>
      <c r="D3345" s="7" t="s">
        <v>221</v>
      </c>
      <c r="F3345" s="7" t="s">
        <v>1956</v>
      </c>
      <c r="G3345" s="7" t="s">
        <v>1579</v>
      </c>
      <c r="H3345" s="7" t="s">
        <v>1362</v>
      </c>
      <c r="I3345" s="7" t="s">
        <v>1253</v>
      </c>
      <c r="K3345" s="39" t="s">
        <v>547</v>
      </c>
      <c r="L3345" s="40">
        <v>49.99</v>
      </c>
      <c r="M3345" s="40">
        <v>277258.83</v>
      </c>
      <c r="N3345" s="40">
        <f t="shared" si="133"/>
        <v>49.99</v>
      </c>
    </row>
    <row r="3346" spans="1:14" ht="12.75" hidden="1" customHeight="1" x14ac:dyDescent="0.2">
      <c r="A3346">
        <v>65061</v>
      </c>
      <c r="B3346" s="3" t="s">
        <v>1844</v>
      </c>
      <c r="C3346" s="7" t="s">
        <v>1760</v>
      </c>
      <c r="D3346" s="7" t="s">
        <v>221</v>
      </c>
      <c r="F3346" s="7" t="s">
        <v>352</v>
      </c>
      <c r="G3346" s="7" t="s">
        <v>1579</v>
      </c>
      <c r="H3346" s="7" t="s">
        <v>1362</v>
      </c>
      <c r="I3346" s="7" t="s">
        <v>1253</v>
      </c>
      <c r="K3346" s="39" t="s">
        <v>547</v>
      </c>
      <c r="L3346" s="40">
        <v>46.56</v>
      </c>
      <c r="M3346" s="40">
        <v>277528.84999999998</v>
      </c>
      <c r="N3346" s="40">
        <f t="shared" si="133"/>
        <v>46.56</v>
      </c>
    </row>
    <row r="3347" spans="1:14" ht="12.75" hidden="1" customHeight="1" x14ac:dyDescent="0.2">
      <c r="A3347">
        <v>65061</v>
      </c>
      <c r="B3347" s="3" t="s">
        <v>1844</v>
      </c>
      <c r="C3347" s="7" t="s">
        <v>1760</v>
      </c>
      <c r="D3347" s="7" t="s">
        <v>221</v>
      </c>
      <c r="F3347" s="7" t="s">
        <v>625</v>
      </c>
      <c r="G3347" s="7" t="s">
        <v>1579</v>
      </c>
      <c r="H3347" s="7" t="s">
        <v>1362</v>
      </c>
      <c r="I3347" s="7" t="s">
        <v>1253</v>
      </c>
      <c r="K3347" s="39" t="s">
        <v>547</v>
      </c>
      <c r="L3347" s="40">
        <v>154.82</v>
      </c>
      <c r="M3347" s="40">
        <v>277683.67</v>
      </c>
      <c r="N3347" s="40">
        <f t="shared" si="133"/>
        <v>154.82</v>
      </c>
    </row>
    <row r="3348" spans="1:14" ht="12.75" hidden="1" customHeight="1" x14ac:dyDescent="0.2">
      <c r="A3348">
        <v>65061</v>
      </c>
      <c r="B3348" s="3" t="s">
        <v>1844</v>
      </c>
      <c r="C3348" s="7" t="s">
        <v>1761</v>
      </c>
      <c r="D3348" s="7" t="s">
        <v>221</v>
      </c>
      <c r="F3348" s="7" t="s">
        <v>564</v>
      </c>
      <c r="G3348" s="7" t="s">
        <v>1579</v>
      </c>
      <c r="H3348" s="7" t="s">
        <v>1362</v>
      </c>
      <c r="I3348" s="7" t="s">
        <v>1253</v>
      </c>
      <c r="K3348" s="39" t="s">
        <v>547</v>
      </c>
      <c r="L3348" s="40">
        <v>118.41</v>
      </c>
      <c r="M3348" s="40">
        <v>280715.76</v>
      </c>
      <c r="N3348" s="40">
        <f t="shared" si="133"/>
        <v>118.41</v>
      </c>
    </row>
    <row r="3349" spans="1:14" ht="12.75" hidden="1" customHeight="1" x14ac:dyDescent="0.2">
      <c r="A3349">
        <v>65061</v>
      </c>
      <c r="B3349" s="3" t="s">
        <v>1844</v>
      </c>
      <c r="C3349" s="7" t="s">
        <v>1631</v>
      </c>
      <c r="D3349" s="7" t="s">
        <v>221</v>
      </c>
      <c r="F3349" s="7" t="s">
        <v>564</v>
      </c>
      <c r="G3349" s="7" t="s">
        <v>1579</v>
      </c>
      <c r="H3349" s="7" t="s">
        <v>1362</v>
      </c>
      <c r="I3349" s="7" t="s">
        <v>1253</v>
      </c>
      <c r="K3349" s="39" t="s">
        <v>547</v>
      </c>
      <c r="L3349" s="40">
        <v>47.18</v>
      </c>
      <c r="M3349" s="40">
        <v>290101.40000000002</v>
      </c>
      <c r="N3349" s="40">
        <f t="shared" si="133"/>
        <v>47.18</v>
      </c>
    </row>
    <row r="3350" spans="1:14" ht="12.75" hidden="1" customHeight="1" x14ac:dyDescent="0.2">
      <c r="A3350">
        <v>65061</v>
      </c>
      <c r="B3350" s="3" t="s">
        <v>1844</v>
      </c>
      <c r="C3350" s="7" t="s">
        <v>1631</v>
      </c>
      <c r="D3350" s="7" t="s">
        <v>221</v>
      </c>
      <c r="F3350" s="7" t="s">
        <v>564</v>
      </c>
      <c r="G3350" s="7" t="s">
        <v>1579</v>
      </c>
      <c r="H3350" s="7" t="s">
        <v>1362</v>
      </c>
      <c r="I3350" s="7" t="s">
        <v>1253</v>
      </c>
      <c r="K3350" s="39" t="s">
        <v>547</v>
      </c>
      <c r="L3350" s="40">
        <v>25.97</v>
      </c>
      <c r="M3350" s="40">
        <v>290127.37</v>
      </c>
      <c r="N3350" s="40">
        <f t="shared" si="133"/>
        <v>25.97</v>
      </c>
    </row>
    <row r="3351" spans="1:14" ht="12.75" hidden="1" customHeight="1" x14ac:dyDescent="0.2">
      <c r="A3351">
        <v>65062</v>
      </c>
      <c r="B3351" s="3" t="s">
        <v>1254</v>
      </c>
      <c r="C3351" s="7" t="s">
        <v>1649</v>
      </c>
      <c r="D3351" s="7" t="s">
        <v>183</v>
      </c>
      <c r="E3351" s="7">
        <v>688</v>
      </c>
      <c r="G3351" s="7" t="s">
        <v>1579</v>
      </c>
      <c r="H3351" s="7" t="s">
        <v>1362</v>
      </c>
      <c r="I3351" s="7" t="s">
        <v>1254</v>
      </c>
      <c r="J3351" s="39" t="s">
        <v>1665</v>
      </c>
      <c r="K3351" s="39" t="s">
        <v>180</v>
      </c>
      <c r="L3351" s="40">
        <v>229</v>
      </c>
      <c r="M3351" s="40">
        <v>36468.53</v>
      </c>
      <c r="N3351" s="40">
        <f t="shared" si="133"/>
        <v>229</v>
      </c>
    </row>
    <row r="3352" spans="1:14" ht="12.75" customHeight="1" x14ac:dyDescent="0.2">
      <c r="A3352">
        <v>44000</v>
      </c>
      <c r="B3352" s="3" t="s">
        <v>1229</v>
      </c>
      <c r="C3352" s="7" t="s">
        <v>1703</v>
      </c>
      <c r="D3352" s="7" t="s">
        <v>242</v>
      </c>
      <c r="F3352" s="7" t="s">
        <v>665</v>
      </c>
      <c r="G3352" s="7" t="s">
        <v>1573</v>
      </c>
      <c r="H3352" s="7" t="s">
        <v>1359</v>
      </c>
      <c r="I3352" s="7" t="s">
        <v>2148</v>
      </c>
      <c r="K3352" s="39" t="s">
        <v>1179</v>
      </c>
      <c r="L3352" s="40">
        <v>3100</v>
      </c>
      <c r="M3352" s="40">
        <v>225171.48</v>
      </c>
      <c r="N3352" s="41">
        <f>-L3352</f>
        <v>-3100</v>
      </c>
    </row>
    <row r="3353" spans="1:14" ht="12.75" hidden="1" customHeight="1" x14ac:dyDescent="0.2">
      <c r="A3353">
        <v>43430</v>
      </c>
      <c r="B3353" s="3" t="s">
        <v>1226</v>
      </c>
      <c r="C3353" s="7" t="s">
        <v>455</v>
      </c>
      <c r="D3353" s="7" t="s">
        <v>183</v>
      </c>
      <c r="E3353" s="7">
        <v>608</v>
      </c>
      <c r="G3353" s="7" t="s">
        <v>1801</v>
      </c>
      <c r="H3353" s="7" t="s">
        <v>1360</v>
      </c>
      <c r="I3353" s="7" t="s">
        <v>1226</v>
      </c>
      <c r="J3353" s="7" t="s">
        <v>460</v>
      </c>
      <c r="K3353" s="7" t="s">
        <v>180</v>
      </c>
      <c r="L3353" s="11">
        <v>2500</v>
      </c>
      <c r="M3353" s="11">
        <v>15267.5</v>
      </c>
      <c r="N3353" s="9">
        <f t="shared" ref="N3353:N3392" si="134">IF(A3353&lt;60000,-L3353,+L3353)</f>
        <v>-2500</v>
      </c>
    </row>
    <row r="3354" spans="1:14" ht="12.75" hidden="1" customHeight="1" x14ac:dyDescent="0.2">
      <c r="A3354">
        <v>43430</v>
      </c>
      <c r="B3354" s="3" t="s">
        <v>1226</v>
      </c>
      <c r="C3354" s="7" t="s">
        <v>455</v>
      </c>
      <c r="D3354" s="7" t="s">
        <v>183</v>
      </c>
      <c r="E3354" s="7">
        <v>608</v>
      </c>
      <c r="G3354" s="7" t="s">
        <v>1801</v>
      </c>
      <c r="H3354" s="7" t="s">
        <v>1360</v>
      </c>
      <c r="I3354" s="7" t="s">
        <v>1226</v>
      </c>
      <c r="J3354" s="7" t="s">
        <v>459</v>
      </c>
      <c r="K3354" s="7" t="s">
        <v>180</v>
      </c>
      <c r="L3354" s="11">
        <v>1500</v>
      </c>
      <c r="M3354" s="11">
        <v>16972.5</v>
      </c>
      <c r="N3354" s="9">
        <f t="shared" si="134"/>
        <v>-1500</v>
      </c>
    </row>
    <row r="3355" spans="1:14" ht="12.75" hidden="1" customHeight="1" x14ac:dyDescent="0.2">
      <c r="A3355">
        <v>43430</v>
      </c>
      <c r="B3355" s="3" t="s">
        <v>1226</v>
      </c>
      <c r="C3355" s="7" t="s">
        <v>455</v>
      </c>
      <c r="D3355" s="7" t="s">
        <v>183</v>
      </c>
      <c r="E3355" s="7">
        <v>608</v>
      </c>
      <c r="G3355" s="7" t="s">
        <v>1801</v>
      </c>
      <c r="H3355" s="7" t="s">
        <v>1360</v>
      </c>
      <c r="I3355" s="7" t="s">
        <v>1226</v>
      </c>
      <c r="J3355" s="7" t="s">
        <v>457</v>
      </c>
      <c r="K3355" s="7" t="s">
        <v>180</v>
      </c>
      <c r="L3355" s="11">
        <v>600</v>
      </c>
      <c r="M3355" s="11">
        <v>17572.5</v>
      </c>
      <c r="N3355" s="9">
        <f t="shared" si="134"/>
        <v>-600</v>
      </c>
    </row>
    <row r="3356" spans="1:14" ht="12.75" hidden="1" customHeight="1" x14ac:dyDescent="0.2">
      <c r="A3356">
        <v>43440</v>
      </c>
      <c r="B3356" s="3" t="s">
        <v>1228</v>
      </c>
      <c r="C3356" s="7" t="s">
        <v>455</v>
      </c>
      <c r="D3356" s="7" t="s">
        <v>183</v>
      </c>
      <c r="E3356" s="7">
        <v>608</v>
      </c>
      <c r="G3356" s="7" t="s">
        <v>1801</v>
      </c>
      <c r="H3356" s="7" t="s">
        <v>1360</v>
      </c>
      <c r="I3356" s="7" t="s">
        <v>1228</v>
      </c>
      <c r="J3356" s="7" t="s">
        <v>487</v>
      </c>
      <c r="K3356" s="7" t="s">
        <v>180</v>
      </c>
      <c r="L3356" s="11">
        <v>75</v>
      </c>
      <c r="M3356" s="11">
        <v>27675.42</v>
      </c>
      <c r="N3356" s="9">
        <f t="shared" si="134"/>
        <v>-75</v>
      </c>
    </row>
    <row r="3357" spans="1:14" ht="12.75" hidden="1" customHeight="1" x14ac:dyDescent="0.2">
      <c r="A3357">
        <v>43440</v>
      </c>
      <c r="B3357" s="3" t="s">
        <v>1228</v>
      </c>
      <c r="C3357" s="7" t="s">
        <v>455</v>
      </c>
      <c r="D3357" s="7" t="s">
        <v>183</v>
      </c>
      <c r="E3357" s="7">
        <v>608</v>
      </c>
      <c r="G3357" s="7" t="s">
        <v>1801</v>
      </c>
      <c r="H3357" s="7" t="s">
        <v>1360</v>
      </c>
      <c r="I3357" s="7" t="s">
        <v>1228</v>
      </c>
      <c r="J3357" s="7" t="s">
        <v>1152</v>
      </c>
      <c r="K3357" s="7" t="s">
        <v>180</v>
      </c>
      <c r="L3357" s="11">
        <v>200</v>
      </c>
      <c r="M3357" s="11">
        <v>27875.42</v>
      </c>
      <c r="N3357" s="9">
        <f t="shared" si="134"/>
        <v>-200</v>
      </c>
    </row>
    <row r="3358" spans="1:14" ht="12.75" hidden="1" customHeight="1" x14ac:dyDescent="0.2">
      <c r="A3358">
        <v>43440</v>
      </c>
      <c r="B3358" s="3" t="s">
        <v>1228</v>
      </c>
      <c r="C3358" s="7" t="s">
        <v>455</v>
      </c>
      <c r="D3358" s="7" t="s">
        <v>183</v>
      </c>
      <c r="E3358" s="7">
        <v>608</v>
      </c>
      <c r="G3358" s="7" t="s">
        <v>1801</v>
      </c>
      <c r="H3358" s="7" t="s">
        <v>1360</v>
      </c>
      <c r="I3358" s="7" t="s">
        <v>1228</v>
      </c>
      <c r="J3358" s="7" t="s">
        <v>489</v>
      </c>
      <c r="K3358" s="7" t="s">
        <v>180</v>
      </c>
      <c r="L3358" s="11">
        <v>201.75</v>
      </c>
      <c r="M3358" s="11">
        <v>28077.17</v>
      </c>
      <c r="N3358" s="9">
        <f t="shared" si="134"/>
        <v>-201.75</v>
      </c>
    </row>
    <row r="3359" spans="1:14" ht="12.75" hidden="1" customHeight="1" x14ac:dyDescent="0.2">
      <c r="A3359">
        <v>65025</v>
      </c>
      <c r="B3359" s="3" t="s">
        <v>1246</v>
      </c>
      <c r="C3359" s="7" t="s">
        <v>449</v>
      </c>
      <c r="D3359" s="7" t="s">
        <v>200</v>
      </c>
      <c r="F3359" s="7" t="s">
        <v>446</v>
      </c>
      <c r="G3359" s="7" t="s">
        <v>1801</v>
      </c>
      <c r="H3359" s="7" t="s">
        <v>1362</v>
      </c>
      <c r="I3359" s="7" t="s">
        <v>1246</v>
      </c>
      <c r="K3359" s="7" t="s">
        <v>557</v>
      </c>
      <c r="L3359" s="11">
        <v>15</v>
      </c>
      <c r="M3359" s="11">
        <v>15</v>
      </c>
      <c r="N3359" s="9">
        <f t="shared" si="134"/>
        <v>15</v>
      </c>
    </row>
    <row r="3360" spans="1:14" ht="12.75" hidden="1" customHeight="1" x14ac:dyDescent="0.2">
      <c r="A3360">
        <v>65025</v>
      </c>
      <c r="B3360" s="3" t="s">
        <v>1246</v>
      </c>
      <c r="C3360" s="7" t="s">
        <v>379</v>
      </c>
      <c r="D3360" s="7" t="s">
        <v>200</v>
      </c>
      <c r="F3360" s="7" t="s">
        <v>446</v>
      </c>
      <c r="G3360" s="7" t="s">
        <v>1801</v>
      </c>
      <c r="H3360" s="7" t="s">
        <v>1362</v>
      </c>
      <c r="I3360" s="7" t="s">
        <v>1246</v>
      </c>
      <c r="K3360" s="7" t="s">
        <v>557</v>
      </c>
      <c r="L3360" s="11">
        <v>15</v>
      </c>
      <c r="M3360" s="11">
        <v>405.2</v>
      </c>
      <c r="N3360" s="9">
        <f t="shared" si="134"/>
        <v>15</v>
      </c>
    </row>
    <row r="3361" spans="1:14" ht="12.75" hidden="1" customHeight="1" x14ac:dyDescent="0.2">
      <c r="A3361">
        <v>65025</v>
      </c>
      <c r="B3361" s="3" t="s">
        <v>1246</v>
      </c>
      <c r="C3361" s="7" t="s">
        <v>334</v>
      </c>
      <c r="D3361" s="7" t="s">
        <v>200</v>
      </c>
      <c r="F3361" s="7" t="s">
        <v>446</v>
      </c>
      <c r="G3361" s="7" t="s">
        <v>1801</v>
      </c>
      <c r="H3361" s="7" t="s">
        <v>1362</v>
      </c>
      <c r="I3361" s="7" t="s">
        <v>1246</v>
      </c>
      <c r="K3361" s="7" t="s">
        <v>557</v>
      </c>
      <c r="L3361" s="11">
        <v>15</v>
      </c>
      <c r="M3361" s="11">
        <v>520.72</v>
      </c>
      <c r="N3361" s="9">
        <f t="shared" si="134"/>
        <v>15</v>
      </c>
    </row>
    <row r="3362" spans="1:14" ht="12.75" hidden="1" customHeight="1" x14ac:dyDescent="0.2">
      <c r="A3362">
        <v>65025</v>
      </c>
      <c r="B3362" s="3" t="s">
        <v>1246</v>
      </c>
      <c r="C3362" s="7" t="s">
        <v>406</v>
      </c>
      <c r="D3362" s="7" t="s">
        <v>200</v>
      </c>
      <c r="F3362" s="7" t="s">
        <v>446</v>
      </c>
      <c r="G3362" s="7" t="s">
        <v>1801</v>
      </c>
      <c r="H3362" s="7" t="s">
        <v>1362</v>
      </c>
      <c r="I3362" s="7" t="s">
        <v>1246</v>
      </c>
      <c r="K3362" s="7" t="s">
        <v>557</v>
      </c>
      <c r="L3362" s="11">
        <v>12</v>
      </c>
      <c r="M3362" s="11">
        <v>646.66999999999996</v>
      </c>
      <c r="N3362" s="9">
        <f t="shared" si="134"/>
        <v>12</v>
      </c>
    </row>
    <row r="3363" spans="1:14" ht="12.75" hidden="1" customHeight="1" x14ac:dyDescent="0.2">
      <c r="A3363">
        <v>65025</v>
      </c>
      <c r="B3363" s="3" t="s">
        <v>1246</v>
      </c>
      <c r="C3363" s="7" t="s">
        <v>194</v>
      </c>
      <c r="D3363" s="7" t="s">
        <v>221</v>
      </c>
      <c r="F3363" s="7" t="s">
        <v>446</v>
      </c>
      <c r="G3363" s="7" t="s">
        <v>1801</v>
      </c>
      <c r="H3363" s="7" t="s">
        <v>1362</v>
      </c>
      <c r="I3363" s="7" t="s">
        <v>1246</v>
      </c>
      <c r="K3363" s="7" t="s">
        <v>557</v>
      </c>
      <c r="L3363" s="11">
        <v>12</v>
      </c>
      <c r="M3363" s="11">
        <v>899.33</v>
      </c>
      <c r="N3363" s="9">
        <f t="shared" si="134"/>
        <v>12</v>
      </c>
    </row>
    <row r="3364" spans="1:14" ht="12.75" hidden="1" customHeight="1" x14ac:dyDescent="0.2">
      <c r="A3364">
        <v>65025</v>
      </c>
      <c r="B3364" s="3" t="s">
        <v>1246</v>
      </c>
      <c r="C3364" s="7" t="s">
        <v>222</v>
      </c>
      <c r="D3364" s="7" t="s">
        <v>221</v>
      </c>
      <c r="F3364" s="7" t="s">
        <v>446</v>
      </c>
      <c r="G3364" s="7" t="s">
        <v>1801</v>
      </c>
      <c r="H3364" s="7" t="s">
        <v>1362</v>
      </c>
      <c r="I3364" s="7" t="s">
        <v>1246</v>
      </c>
      <c r="K3364" s="7" t="s">
        <v>557</v>
      </c>
      <c r="L3364" s="11">
        <v>12</v>
      </c>
      <c r="M3364" s="11">
        <v>1396.96</v>
      </c>
      <c r="N3364" s="9">
        <f t="shared" si="134"/>
        <v>12</v>
      </c>
    </row>
    <row r="3365" spans="1:14" ht="12.75" hidden="1" customHeight="1" x14ac:dyDescent="0.2">
      <c r="A3365">
        <v>65061</v>
      </c>
      <c r="B3365" s="3" t="s">
        <v>1253</v>
      </c>
      <c r="C3365" s="7" t="s">
        <v>222</v>
      </c>
      <c r="D3365" s="7" t="s">
        <v>221</v>
      </c>
      <c r="F3365" s="7" t="s">
        <v>241</v>
      </c>
      <c r="G3365" s="7" t="s">
        <v>1801</v>
      </c>
      <c r="H3365" s="7" t="s">
        <v>1362</v>
      </c>
      <c r="I3365" s="7" t="s">
        <v>1253</v>
      </c>
      <c r="K3365" s="7" t="s">
        <v>557</v>
      </c>
      <c r="L3365" s="11">
        <v>26.98</v>
      </c>
      <c r="M3365" s="11">
        <v>147899.17000000001</v>
      </c>
      <c r="N3365" s="9">
        <f t="shared" si="134"/>
        <v>26.98</v>
      </c>
    </row>
    <row r="3366" spans="1:14" ht="12.75" hidden="1" customHeight="1" x14ac:dyDescent="0.2">
      <c r="A3366">
        <v>65061</v>
      </c>
      <c r="B3366" s="3" t="s">
        <v>1253</v>
      </c>
      <c r="C3366" s="7" t="s">
        <v>676</v>
      </c>
      <c r="D3366" s="7" t="s">
        <v>221</v>
      </c>
      <c r="F3366" s="7" t="s">
        <v>652</v>
      </c>
      <c r="G3366" s="7" t="s">
        <v>1801</v>
      </c>
      <c r="H3366" s="7" t="s">
        <v>1362</v>
      </c>
      <c r="I3366" s="7" t="s">
        <v>1253</v>
      </c>
      <c r="K3366" s="7" t="s">
        <v>557</v>
      </c>
      <c r="L3366" s="11">
        <v>176.38</v>
      </c>
      <c r="M3366" s="11">
        <v>151203.24</v>
      </c>
      <c r="N3366" s="9">
        <f t="shared" si="134"/>
        <v>176.38</v>
      </c>
    </row>
    <row r="3367" spans="1:14" ht="12.75" hidden="1" customHeight="1" x14ac:dyDescent="0.2">
      <c r="A3367">
        <v>65061</v>
      </c>
      <c r="B3367" s="3" t="s">
        <v>1253</v>
      </c>
      <c r="C3367" s="7" t="s">
        <v>218</v>
      </c>
      <c r="D3367" s="7" t="s">
        <v>221</v>
      </c>
      <c r="F3367" s="7" t="s">
        <v>564</v>
      </c>
      <c r="G3367" s="7" t="s">
        <v>1801</v>
      </c>
      <c r="H3367" s="7" t="s">
        <v>1362</v>
      </c>
      <c r="I3367" s="7" t="s">
        <v>1253</v>
      </c>
      <c r="K3367" s="7" t="s">
        <v>557</v>
      </c>
      <c r="L3367" s="11">
        <v>48.24</v>
      </c>
      <c r="M3367" s="11">
        <v>151603.29</v>
      </c>
      <c r="N3367" s="9">
        <f t="shared" si="134"/>
        <v>48.24</v>
      </c>
    </row>
    <row r="3368" spans="1:14" ht="12.75" hidden="1" customHeight="1" x14ac:dyDescent="0.2">
      <c r="A3368">
        <v>65061</v>
      </c>
      <c r="B3368" s="3" t="s">
        <v>1253</v>
      </c>
      <c r="C3368" s="7" t="s">
        <v>218</v>
      </c>
      <c r="D3368" s="7" t="s">
        <v>221</v>
      </c>
      <c r="F3368" s="7" t="s">
        <v>589</v>
      </c>
      <c r="G3368" s="7" t="s">
        <v>1801</v>
      </c>
      <c r="H3368" s="7" t="s">
        <v>1362</v>
      </c>
      <c r="I3368" s="7" t="s">
        <v>1253</v>
      </c>
      <c r="K3368" s="7" t="s">
        <v>557</v>
      </c>
      <c r="L3368" s="11">
        <v>141.76</v>
      </c>
      <c r="M3368" s="11">
        <v>151745.04999999999</v>
      </c>
      <c r="N3368" s="9">
        <f t="shared" si="134"/>
        <v>141.76</v>
      </c>
    </row>
    <row r="3369" spans="1:14" ht="12.75" hidden="1" customHeight="1" x14ac:dyDescent="0.2">
      <c r="A3369">
        <v>65061</v>
      </c>
      <c r="B3369" s="3" t="s">
        <v>1253</v>
      </c>
      <c r="C3369" s="7" t="s">
        <v>218</v>
      </c>
      <c r="D3369" s="7" t="s">
        <v>221</v>
      </c>
      <c r="F3369" s="7" t="s">
        <v>589</v>
      </c>
      <c r="G3369" s="7" t="s">
        <v>1801</v>
      </c>
      <c r="H3369" s="7" t="s">
        <v>1362</v>
      </c>
      <c r="I3369" s="7" t="s">
        <v>1253</v>
      </c>
      <c r="K3369" s="7" t="s">
        <v>557</v>
      </c>
      <c r="L3369" s="11">
        <v>33.81</v>
      </c>
      <c r="M3369" s="11">
        <v>151778.85999999999</v>
      </c>
      <c r="N3369" s="9">
        <f t="shared" si="134"/>
        <v>33.81</v>
      </c>
    </row>
    <row r="3370" spans="1:14" ht="12.75" hidden="1" customHeight="1" x14ac:dyDescent="0.2">
      <c r="A3370">
        <v>65061</v>
      </c>
      <c r="B3370" s="3" t="s">
        <v>1253</v>
      </c>
      <c r="C3370" s="7" t="s">
        <v>659</v>
      </c>
      <c r="D3370" s="7" t="s">
        <v>221</v>
      </c>
      <c r="F3370" s="7" t="s">
        <v>652</v>
      </c>
      <c r="G3370" s="7" t="s">
        <v>1801</v>
      </c>
      <c r="H3370" s="7" t="s">
        <v>1362</v>
      </c>
      <c r="I3370" s="7" t="s">
        <v>1253</v>
      </c>
      <c r="K3370" s="7" t="s">
        <v>557</v>
      </c>
      <c r="L3370" s="11">
        <v>44.15</v>
      </c>
      <c r="M3370" s="11">
        <v>156378.03</v>
      </c>
      <c r="N3370" s="9">
        <f t="shared" si="134"/>
        <v>44.15</v>
      </c>
    </row>
    <row r="3371" spans="1:14" ht="12.75" hidden="1" customHeight="1" x14ac:dyDescent="0.2">
      <c r="A3371">
        <v>65061</v>
      </c>
      <c r="B3371" s="3" t="s">
        <v>1253</v>
      </c>
      <c r="C3371" s="7" t="s">
        <v>650</v>
      </c>
      <c r="D3371" s="7" t="s">
        <v>221</v>
      </c>
      <c r="F3371" s="7" t="s">
        <v>657</v>
      </c>
      <c r="G3371" s="7" t="s">
        <v>1801</v>
      </c>
      <c r="H3371" s="7" t="s">
        <v>1362</v>
      </c>
      <c r="I3371" s="7" t="s">
        <v>1253</v>
      </c>
      <c r="K3371" s="7" t="s">
        <v>557</v>
      </c>
      <c r="L3371" s="11">
        <v>15</v>
      </c>
      <c r="M3371" s="11">
        <v>163770.82999999999</v>
      </c>
      <c r="N3371" s="9">
        <f t="shared" si="134"/>
        <v>15</v>
      </c>
    </row>
    <row r="3372" spans="1:14" ht="12.75" hidden="1" customHeight="1" x14ac:dyDescent="0.2">
      <c r="A3372">
        <v>65061</v>
      </c>
      <c r="B3372" s="3" t="s">
        <v>1253</v>
      </c>
      <c r="C3372" s="7" t="s">
        <v>650</v>
      </c>
      <c r="D3372" s="7" t="s">
        <v>221</v>
      </c>
      <c r="F3372" s="7" t="s">
        <v>546</v>
      </c>
      <c r="G3372" s="7" t="s">
        <v>1801</v>
      </c>
      <c r="H3372" s="7" t="s">
        <v>1362</v>
      </c>
      <c r="I3372" s="7" t="s">
        <v>1253</v>
      </c>
      <c r="K3372" s="7" t="s">
        <v>557</v>
      </c>
      <c r="L3372" s="11">
        <v>105.66</v>
      </c>
      <c r="M3372" s="11">
        <v>164026.75</v>
      </c>
      <c r="N3372" s="9">
        <f t="shared" si="134"/>
        <v>105.66</v>
      </c>
    </row>
    <row r="3373" spans="1:14" ht="12.75" hidden="1" customHeight="1" x14ac:dyDescent="0.2">
      <c r="A3373">
        <v>65061</v>
      </c>
      <c r="B3373" s="3" t="s">
        <v>1253</v>
      </c>
      <c r="C3373" s="7" t="s">
        <v>650</v>
      </c>
      <c r="D3373" s="7" t="s">
        <v>221</v>
      </c>
      <c r="F3373" s="7" t="s">
        <v>546</v>
      </c>
      <c r="G3373" s="7" t="s">
        <v>1801</v>
      </c>
      <c r="H3373" s="7" t="s">
        <v>1362</v>
      </c>
      <c r="I3373" s="7" t="s">
        <v>1253</v>
      </c>
      <c r="K3373" s="7" t="s">
        <v>557</v>
      </c>
      <c r="L3373" s="11">
        <v>66.11</v>
      </c>
      <c r="M3373" s="11">
        <v>164092.85999999999</v>
      </c>
      <c r="N3373" s="9">
        <f t="shared" si="134"/>
        <v>66.11</v>
      </c>
    </row>
    <row r="3374" spans="1:14" ht="12.75" hidden="1" customHeight="1" x14ac:dyDescent="0.2">
      <c r="A3374">
        <v>65061</v>
      </c>
      <c r="B3374" s="3" t="s">
        <v>1253</v>
      </c>
      <c r="C3374" s="7" t="s">
        <v>650</v>
      </c>
      <c r="D3374" s="7" t="s">
        <v>221</v>
      </c>
      <c r="F3374" s="7" t="s">
        <v>656</v>
      </c>
      <c r="G3374" s="7" t="s">
        <v>1801</v>
      </c>
      <c r="H3374" s="7" t="s">
        <v>1362</v>
      </c>
      <c r="I3374" s="7" t="s">
        <v>1253</v>
      </c>
      <c r="K3374" s="7" t="s">
        <v>557</v>
      </c>
      <c r="L3374" s="11">
        <v>239</v>
      </c>
      <c r="M3374" s="11">
        <v>164331.85999999999</v>
      </c>
      <c r="N3374" s="9">
        <f t="shared" si="134"/>
        <v>239</v>
      </c>
    </row>
    <row r="3375" spans="1:14" ht="12.75" hidden="1" customHeight="1" x14ac:dyDescent="0.2">
      <c r="A3375">
        <v>65061</v>
      </c>
      <c r="B3375" s="3" t="s">
        <v>1253</v>
      </c>
      <c r="C3375" s="7" t="s">
        <v>650</v>
      </c>
      <c r="D3375" s="7" t="s">
        <v>221</v>
      </c>
      <c r="F3375" s="7" t="s">
        <v>652</v>
      </c>
      <c r="G3375" s="7" t="s">
        <v>1801</v>
      </c>
      <c r="H3375" s="7" t="s">
        <v>1362</v>
      </c>
      <c r="I3375" s="7" t="s">
        <v>1253</v>
      </c>
      <c r="K3375" s="7" t="s">
        <v>557</v>
      </c>
      <c r="L3375" s="11">
        <v>50.21</v>
      </c>
      <c r="M3375" s="11">
        <v>165232.59</v>
      </c>
      <c r="N3375" s="9">
        <f t="shared" si="134"/>
        <v>50.21</v>
      </c>
    </row>
    <row r="3376" spans="1:14" ht="12.75" hidden="1" customHeight="1" x14ac:dyDescent="0.2">
      <c r="A3376">
        <v>65061</v>
      </c>
      <c r="B3376" s="3" t="s">
        <v>1253</v>
      </c>
      <c r="C3376" s="7" t="s">
        <v>650</v>
      </c>
      <c r="D3376" s="7" t="s">
        <v>221</v>
      </c>
      <c r="F3376" s="7" t="s">
        <v>570</v>
      </c>
      <c r="G3376" s="7" t="s">
        <v>1801</v>
      </c>
      <c r="H3376" s="7" t="s">
        <v>1362</v>
      </c>
      <c r="I3376" s="7" t="s">
        <v>1253</v>
      </c>
      <c r="K3376" s="7" t="s">
        <v>557</v>
      </c>
      <c r="L3376" s="11">
        <v>249.3</v>
      </c>
      <c r="M3376" s="11">
        <v>165481.89000000001</v>
      </c>
      <c r="N3376" s="9">
        <f t="shared" si="134"/>
        <v>249.3</v>
      </c>
    </row>
    <row r="3377" spans="1:14" ht="12.75" hidden="1" customHeight="1" x14ac:dyDescent="0.2">
      <c r="A3377">
        <v>65061</v>
      </c>
      <c r="B3377" s="3" t="s">
        <v>1253</v>
      </c>
      <c r="C3377" s="7" t="s">
        <v>650</v>
      </c>
      <c r="D3377" s="7" t="s">
        <v>221</v>
      </c>
      <c r="F3377" s="7" t="s">
        <v>651</v>
      </c>
      <c r="G3377" s="7" t="s">
        <v>1801</v>
      </c>
      <c r="H3377" s="7" t="s">
        <v>1362</v>
      </c>
      <c r="I3377" s="7" t="s">
        <v>1253</v>
      </c>
      <c r="K3377" s="7" t="s">
        <v>557</v>
      </c>
      <c r="L3377" s="11">
        <v>400</v>
      </c>
      <c r="M3377" s="11">
        <v>165881.89000000001</v>
      </c>
      <c r="N3377" s="9">
        <f t="shared" si="134"/>
        <v>400</v>
      </c>
    </row>
    <row r="3378" spans="1:14" ht="12.75" hidden="1" customHeight="1" x14ac:dyDescent="0.2">
      <c r="A3378">
        <v>65061</v>
      </c>
      <c r="B3378" s="3" t="s">
        <v>1253</v>
      </c>
      <c r="C3378" s="7" t="s">
        <v>650</v>
      </c>
      <c r="D3378" s="7" t="s">
        <v>221</v>
      </c>
      <c r="F3378" s="7" t="s">
        <v>649</v>
      </c>
      <c r="G3378" s="7" t="s">
        <v>1801</v>
      </c>
      <c r="H3378" s="7" t="s">
        <v>1362</v>
      </c>
      <c r="I3378" s="7" t="s">
        <v>1253</v>
      </c>
      <c r="K3378" s="7" t="s">
        <v>557</v>
      </c>
      <c r="L3378" s="11">
        <v>47.48</v>
      </c>
      <c r="M3378" s="11">
        <v>165983.07</v>
      </c>
      <c r="N3378" s="9">
        <f t="shared" si="134"/>
        <v>47.48</v>
      </c>
    </row>
    <row r="3379" spans="1:14" ht="12.75" hidden="1" customHeight="1" x14ac:dyDescent="0.2">
      <c r="A3379">
        <v>65061</v>
      </c>
      <c r="B3379" s="3" t="s">
        <v>1253</v>
      </c>
      <c r="C3379" s="7" t="s">
        <v>486</v>
      </c>
      <c r="D3379" s="7" t="s">
        <v>242</v>
      </c>
      <c r="F3379" s="7" t="s">
        <v>570</v>
      </c>
      <c r="G3379" s="7" t="s">
        <v>1801</v>
      </c>
      <c r="H3379" s="7" t="s">
        <v>1362</v>
      </c>
      <c r="I3379" s="7" t="s">
        <v>1253</v>
      </c>
      <c r="K3379" s="7" t="s">
        <v>557</v>
      </c>
      <c r="L3379" s="11">
        <v>-43.19</v>
      </c>
      <c r="M3379" s="11">
        <v>169529.94</v>
      </c>
      <c r="N3379" s="9">
        <f t="shared" si="134"/>
        <v>-43.19</v>
      </c>
    </row>
    <row r="3380" spans="1:14" ht="12.75" hidden="1" customHeight="1" x14ac:dyDescent="0.2">
      <c r="A3380">
        <v>65061</v>
      </c>
      <c r="B3380" s="3" t="s">
        <v>1253</v>
      </c>
      <c r="C3380" s="7" t="s">
        <v>214</v>
      </c>
      <c r="D3380" s="7" t="s">
        <v>242</v>
      </c>
      <c r="F3380" s="7" t="s">
        <v>589</v>
      </c>
      <c r="G3380" s="7" t="s">
        <v>1801</v>
      </c>
      <c r="H3380" s="7" t="s">
        <v>1362</v>
      </c>
      <c r="I3380" s="7" t="s">
        <v>1253</v>
      </c>
      <c r="K3380" s="7" t="s">
        <v>557</v>
      </c>
      <c r="L3380" s="11">
        <v>-2.15</v>
      </c>
      <c r="M3380" s="11">
        <v>169715.77</v>
      </c>
      <c r="N3380" s="9">
        <f t="shared" si="134"/>
        <v>-2.15</v>
      </c>
    </row>
    <row r="3381" spans="1:14" ht="12.75" hidden="1" customHeight="1" x14ac:dyDescent="0.2">
      <c r="A3381">
        <v>65061</v>
      </c>
      <c r="B3381" s="3" t="s">
        <v>1253</v>
      </c>
      <c r="C3381" s="7" t="s">
        <v>214</v>
      </c>
      <c r="D3381" s="7" t="s">
        <v>242</v>
      </c>
      <c r="F3381" s="7" t="s">
        <v>589</v>
      </c>
      <c r="G3381" s="7" t="s">
        <v>1801</v>
      </c>
      <c r="H3381" s="7" t="s">
        <v>1362</v>
      </c>
      <c r="I3381" s="7" t="s">
        <v>1253</v>
      </c>
      <c r="K3381" s="7" t="s">
        <v>557</v>
      </c>
      <c r="L3381" s="11">
        <v>-21.59</v>
      </c>
      <c r="M3381" s="11">
        <v>172509.88</v>
      </c>
      <c r="N3381" s="9">
        <f t="shared" si="134"/>
        <v>-21.59</v>
      </c>
    </row>
    <row r="3382" spans="1:14" ht="12.75" hidden="1" customHeight="1" x14ac:dyDescent="0.2">
      <c r="A3382">
        <v>65061</v>
      </c>
      <c r="B3382" s="3" t="s">
        <v>1253</v>
      </c>
      <c r="C3382" s="7" t="s">
        <v>585</v>
      </c>
      <c r="D3382" s="7" t="s">
        <v>200</v>
      </c>
      <c r="E3382" s="7">
        <v>999</v>
      </c>
      <c r="F3382" s="7" t="s">
        <v>587</v>
      </c>
      <c r="G3382" s="7" t="s">
        <v>1801</v>
      </c>
      <c r="H3382" s="7" t="s">
        <v>1362</v>
      </c>
      <c r="I3382" s="7" t="s">
        <v>1253</v>
      </c>
      <c r="K3382" s="7" t="s">
        <v>557</v>
      </c>
      <c r="L3382" s="11">
        <v>527.20000000000005</v>
      </c>
      <c r="M3382" s="11">
        <v>183724.92</v>
      </c>
      <c r="N3382" s="9">
        <f t="shared" si="134"/>
        <v>527.20000000000005</v>
      </c>
    </row>
    <row r="3383" spans="1:14" ht="12.75" hidden="1" customHeight="1" x14ac:dyDescent="0.2">
      <c r="A3383">
        <v>65061</v>
      </c>
      <c r="B3383" s="3" t="s">
        <v>1253</v>
      </c>
      <c r="C3383" s="7" t="s">
        <v>426</v>
      </c>
      <c r="D3383" s="7" t="s">
        <v>221</v>
      </c>
      <c r="F3383" s="7" t="s">
        <v>366</v>
      </c>
      <c r="G3383" s="7" t="s">
        <v>1801</v>
      </c>
      <c r="H3383" s="7" t="s">
        <v>1362</v>
      </c>
      <c r="I3383" s="7" t="s">
        <v>1253</v>
      </c>
      <c r="K3383" s="7" t="s">
        <v>557</v>
      </c>
      <c r="L3383" s="11">
        <v>100</v>
      </c>
      <c r="M3383" s="11">
        <v>189844.55</v>
      </c>
      <c r="N3383" s="9">
        <f t="shared" si="134"/>
        <v>100</v>
      </c>
    </row>
    <row r="3384" spans="1:14" ht="12.75" hidden="1" customHeight="1" x14ac:dyDescent="0.2">
      <c r="A3384">
        <v>65061</v>
      </c>
      <c r="B3384" s="3" t="s">
        <v>1253</v>
      </c>
      <c r="C3384" s="7" t="s">
        <v>426</v>
      </c>
      <c r="D3384" s="7" t="s">
        <v>221</v>
      </c>
      <c r="F3384" s="7" t="s">
        <v>366</v>
      </c>
      <c r="G3384" s="7" t="s">
        <v>1801</v>
      </c>
      <c r="H3384" s="7" t="s">
        <v>1362</v>
      </c>
      <c r="I3384" s="7" t="s">
        <v>1253</v>
      </c>
      <c r="K3384" s="7" t="s">
        <v>557</v>
      </c>
      <c r="L3384" s="11">
        <v>200</v>
      </c>
      <c r="M3384" s="11">
        <v>190044.55</v>
      </c>
      <c r="N3384" s="9">
        <f t="shared" si="134"/>
        <v>200</v>
      </c>
    </row>
    <row r="3385" spans="1:14" ht="12.75" hidden="1" customHeight="1" x14ac:dyDescent="0.2">
      <c r="A3385">
        <v>65061</v>
      </c>
      <c r="B3385" s="3" t="s">
        <v>1253</v>
      </c>
      <c r="C3385" s="7" t="s">
        <v>204</v>
      </c>
      <c r="D3385" s="7" t="s">
        <v>221</v>
      </c>
      <c r="F3385" s="7" t="s">
        <v>366</v>
      </c>
      <c r="G3385" s="7" t="s">
        <v>1801</v>
      </c>
      <c r="H3385" s="7" t="s">
        <v>1362</v>
      </c>
      <c r="I3385" s="7" t="s">
        <v>1253</v>
      </c>
      <c r="K3385" s="7" t="s">
        <v>557</v>
      </c>
      <c r="L3385" s="11">
        <v>40</v>
      </c>
      <c r="M3385" s="11">
        <v>193058.61</v>
      </c>
      <c r="N3385" s="9">
        <f t="shared" si="134"/>
        <v>40</v>
      </c>
    </row>
    <row r="3386" spans="1:14" ht="12.75" hidden="1" customHeight="1" x14ac:dyDescent="0.2">
      <c r="A3386">
        <v>65061</v>
      </c>
      <c r="B3386" s="3" t="s">
        <v>1253</v>
      </c>
      <c r="C3386" s="7" t="s">
        <v>204</v>
      </c>
      <c r="D3386" s="7" t="s">
        <v>221</v>
      </c>
      <c r="F3386" s="7" t="s">
        <v>366</v>
      </c>
      <c r="G3386" s="7" t="s">
        <v>1801</v>
      </c>
      <c r="H3386" s="7" t="s">
        <v>1362</v>
      </c>
      <c r="I3386" s="7" t="s">
        <v>1253</v>
      </c>
      <c r="K3386" s="7" t="s">
        <v>557</v>
      </c>
      <c r="L3386" s="11">
        <v>100</v>
      </c>
      <c r="M3386" s="11">
        <v>193158.61</v>
      </c>
      <c r="N3386" s="9">
        <f t="shared" si="134"/>
        <v>100</v>
      </c>
    </row>
    <row r="3387" spans="1:14" ht="12.75" hidden="1" customHeight="1" x14ac:dyDescent="0.2">
      <c r="A3387">
        <v>65062</v>
      </c>
      <c r="B3387" s="3" t="s">
        <v>1254</v>
      </c>
      <c r="C3387" s="7" t="s">
        <v>455</v>
      </c>
      <c r="D3387" s="7" t="s">
        <v>183</v>
      </c>
      <c r="E3387" s="7">
        <v>608</v>
      </c>
      <c r="G3387" s="7" t="s">
        <v>1801</v>
      </c>
      <c r="H3387" s="7" t="s">
        <v>1362</v>
      </c>
      <c r="I3387" s="7" t="s">
        <v>1254</v>
      </c>
      <c r="J3387" s="7" t="s">
        <v>487</v>
      </c>
      <c r="K3387" s="7" t="s">
        <v>180</v>
      </c>
      <c r="L3387" s="11">
        <v>75</v>
      </c>
      <c r="M3387" s="11">
        <v>28252.73</v>
      </c>
      <c r="N3387" s="9">
        <f t="shared" si="134"/>
        <v>75</v>
      </c>
    </row>
    <row r="3388" spans="1:14" ht="12.75" hidden="1" customHeight="1" x14ac:dyDescent="0.2">
      <c r="A3388">
        <v>65062</v>
      </c>
      <c r="B3388" s="3" t="s">
        <v>1254</v>
      </c>
      <c r="C3388" s="7" t="s">
        <v>455</v>
      </c>
      <c r="D3388" s="7" t="s">
        <v>183</v>
      </c>
      <c r="E3388" s="7">
        <v>608</v>
      </c>
      <c r="G3388" s="7" t="s">
        <v>1801</v>
      </c>
      <c r="H3388" s="7" t="s">
        <v>1362</v>
      </c>
      <c r="I3388" s="7" t="s">
        <v>1254</v>
      </c>
      <c r="J3388" s="7" t="s">
        <v>489</v>
      </c>
      <c r="K3388" s="7" t="s">
        <v>180</v>
      </c>
      <c r="L3388" s="11">
        <v>201.75</v>
      </c>
      <c r="M3388" s="11">
        <v>28454.48</v>
      </c>
      <c r="N3388" s="9">
        <f t="shared" si="134"/>
        <v>201.75</v>
      </c>
    </row>
    <row r="3389" spans="1:14" ht="12.75" hidden="1" customHeight="1" x14ac:dyDescent="0.2">
      <c r="A3389">
        <v>65062</v>
      </c>
      <c r="B3389" s="3" t="s">
        <v>1254</v>
      </c>
      <c r="C3389" s="7" t="s">
        <v>455</v>
      </c>
      <c r="D3389" s="7" t="s">
        <v>183</v>
      </c>
      <c r="E3389" s="7">
        <v>608</v>
      </c>
      <c r="G3389" s="7" t="s">
        <v>1801</v>
      </c>
      <c r="H3389" s="7" t="s">
        <v>1362</v>
      </c>
      <c r="I3389" s="7" t="s">
        <v>1254</v>
      </c>
      <c r="J3389" s="7" t="s">
        <v>488</v>
      </c>
      <c r="K3389" s="7" t="s">
        <v>180</v>
      </c>
      <c r="L3389" s="11">
        <v>200</v>
      </c>
      <c r="M3389" s="11">
        <v>28654.48</v>
      </c>
      <c r="N3389" s="9">
        <f t="shared" si="134"/>
        <v>200</v>
      </c>
    </row>
    <row r="3390" spans="1:14" ht="12.75" hidden="1" customHeight="1" x14ac:dyDescent="0.2">
      <c r="A3390">
        <v>65063</v>
      </c>
      <c r="B3390" s="3" t="s">
        <v>1255</v>
      </c>
      <c r="C3390" s="7" t="s">
        <v>455</v>
      </c>
      <c r="D3390" s="7" t="s">
        <v>183</v>
      </c>
      <c r="E3390" s="7">
        <v>608</v>
      </c>
      <c r="G3390" s="7" t="s">
        <v>1801</v>
      </c>
      <c r="H3390" s="7" t="s">
        <v>1362</v>
      </c>
      <c r="I3390" s="7" t="s">
        <v>1255</v>
      </c>
      <c r="J3390" s="7" t="s">
        <v>460</v>
      </c>
      <c r="K3390" s="7" t="s">
        <v>180</v>
      </c>
      <c r="L3390" s="11">
        <v>2500</v>
      </c>
      <c r="M3390" s="11">
        <v>15267.5</v>
      </c>
      <c r="N3390" s="9">
        <f t="shared" si="134"/>
        <v>2500</v>
      </c>
    </row>
    <row r="3391" spans="1:14" ht="12.75" hidden="1" customHeight="1" x14ac:dyDescent="0.2">
      <c r="A3391">
        <v>65063</v>
      </c>
      <c r="B3391" s="3" t="s">
        <v>1255</v>
      </c>
      <c r="C3391" s="7" t="s">
        <v>455</v>
      </c>
      <c r="D3391" s="7" t="s">
        <v>183</v>
      </c>
      <c r="E3391" s="7">
        <v>608</v>
      </c>
      <c r="G3391" s="7" t="s">
        <v>1801</v>
      </c>
      <c r="H3391" s="7" t="s">
        <v>1362</v>
      </c>
      <c r="I3391" s="7" t="s">
        <v>1255</v>
      </c>
      <c r="J3391" s="7" t="s">
        <v>459</v>
      </c>
      <c r="K3391" s="7" t="s">
        <v>180</v>
      </c>
      <c r="L3391" s="11">
        <v>1500</v>
      </c>
      <c r="M3391" s="11">
        <v>16767.5</v>
      </c>
      <c r="N3391" s="9">
        <f t="shared" si="134"/>
        <v>1500</v>
      </c>
    </row>
    <row r="3392" spans="1:14" ht="12.75" hidden="1" customHeight="1" x14ac:dyDescent="0.2">
      <c r="A3392">
        <v>65063</v>
      </c>
      <c r="B3392" s="3" t="s">
        <v>1255</v>
      </c>
      <c r="C3392" s="7" t="s">
        <v>455</v>
      </c>
      <c r="D3392" s="7" t="s">
        <v>183</v>
      </c>
      <c r="E3392" s="7">
        <v>608</v>
      </c>
      <c r="G3392" s="7" t="s">
        <v>1801</v>
      </c>
      <c r="H3392" s="7" t="s">
        <v>1362</v>
      </c>
      <c r="I3392" s="7" t="s">
        <v>1255</v>
      </c>
      <c r="J3392" s="7" t="s">
        <v>457</v>
      </c>
      <c r="K3392" s="7" t="s">
        <v>180</v>
      </c>
      <c r="L3392" s="11">
        <v>600</v>
      </c>
      <c r="M3392" s="11">
        <v>17367.5</v>
      </c>
      <c r="N3392" s="9">
        <f t="shared" si="134"/>
        <v>600</v>
      </c>
    </row>
    <row r="3393" spans="1:14" ht="12.75" customHeight="1" x14ac:dyDescent="0.2">
      <c r="A3393">
        <v>44000</v>
      </c>
      <c r="B3393" s="3" t="s">
        <v>1229</v>
      </c>
      <c r="C3393" s="7" t="s">
        <v>1703</v>
      </c>
      <c r="D3393" s="7" t="s">
        <v>242</v>
      </c>
      <c r="F3393" s="7" t="s">
        <v>665</v>
      </c>
      <c r="G3393" s="7" t="s">
        <v>1573</v>
      </c>
      <c r="H3393" s="7" t="s">
        <v>1359</v>
      </c>
      <c r="I3393" s="7" t="s">
        <v>2148</v>
      </c>
      <c r="K3393" s="39" t="s">
        <v>1179</v>
      </c>
      <c r="L3393" s="40">
        <v>72.22</v>
      </c>
      <c r="M3393" s="40">
        <v>225243.7</v>
      </c>
      <c r="N3393" s="41">
        <f>-L3393</f>
        <v>-72.22</v>
      </c>
    </row>
    <row r="3394" spans="1:14" ht="12.75" customHeight="1" x14ac:dyDescent="0.2">
      <c r="A3394">
        <v>44000</v>
      </c>
      <c r="B3394" s="3" t="s">
        <v>1229</v>
      </c>
      <c r="C3394" s="7" t="s">
        <v>1704</v>
      </c>
      <c r="D3394" s="7" t="s">
        <v>242</v>
      </c>
      <c r="F3394" s="7" t="s">
        <v>665</v>
      </c>
      <c r="G3394" s="7" t="s">
        <v>1573</v>
      </c>
      <c r="H3394" s="7" t="s">
        <v>1359</v>
      </c>
      <c r="I3394" s="7" t="s">
        <v>2148</v>
      </c>
      <c r="J3394" s="39" t="s">
        <v>1689</v>
      </c>
      <c r="K3394" s="39" t="s">
        <v>1179</v>
      </c>
      <c r="L3394" s="40">
        <v>150</v>
      </c>
      <c r="M3394" s="40">
        <v>225393.7</v>
      </c>
      <c r="N3394" s="41">
        <f>-L3394</f>
        <v>-150</v>
      </c>
    </row>
    <row r="3395" spans="1:14" ht="12.75" hidden="1" customHeight="1" x14ac:dyDescent="0.2">
      <c r="A3395">
        <v>67001</v>
      </c>
      <c r="B3395" s="3" t="s">
        <v>1268</v>
      </c>
      <c r="C3395" s="7" t="s">
        <v>222</v>
      </c>
      <c r="D3395" s="7" t="s">
        <v>221</v>
      </c>
      <c r="F3395" s="7" t="s">
        <v>223</v>
      </c>
      <c r="G3395" s="7" t="s">
        <v>1586</v>
      </c>
      <c r="H3395" s="70" t="s">
        <v>2129</v>
      </c>
      <c r="I3395" s="7" t="s">
        <v>1268</v>
      </c>
      <c r="K3395" s="7" t="s">
        <v>219</v>
      </c>
      <c r="L3395" s="11">
        <v>38.340000000000003</v>
      </c>
      <c r="M3395" s="11">
        <v>57000.59</v>
      </c>
      <c r="N3395" s="9">
        <f>IF(A3395&lt;60000,-L3395,+L3395)</f>
        <v>38.340000000000003</v>
      </c>
    </row>
    <row r="3396" spans="1:14" ht="12.75" hidden="1" customHeight="1" x14ac:dyDescent="0.2">
      <c r="A3396">
        <v>67001</v>
      </c>
      <c r="B3396" s="3" t="s">
        <v>1268</v>
      </c>
      <c r="C3396" s="7" t="s">
        <v>222</v>
      </c>
      <c r="D3396" s="7" t="s">
        <v>221</v>
      </c>
      <c r="F3396" s="7" t="s">
        <v>220</v>
      </c>
      <c r="G3396" s="7" t="s">
        <v>1586</v>
      </c>
      <c r="H3396" s="70" t="s">
        <v>2129</v>
      </c>
      <c r="I3396" s="7" t="s">
        <v>1268</v>
      </c>
      <c r="K3396" s="7" t="s">
        <v>219</v>
      </c>
      <c r="L3396" s="11">
        <v>2.68</v>
      </c>
      <c r="M3396" s="11">
        <v>57003.27</v>
      </c>
      <c r="N3396" s="9">
        <f>IF(A3396&lt;60000,-L3396,+L3396)</f>
        <v>2.68</v>
      </c>
    </row>
    <row r="3397" spans="1:14" ht="12.75" hidden="1" customHeight="1" x14ac:dyDescent="0.2">
      <c r="A3397">
        <v>67001</v>
      </c>
      <c r="B3397" s="3" t="s">
        <v>1268</v>
      </c>
      <c r="C3397" s="7" t="s">
        <v>222</v>
      </c>
      <c r="D3397" s="7" t="s">
        <v>221</v>
      </c>
      <c r="F3397" s="7" t="s">
        <v>220</v>
      </c>
      <c r="G3397" s="7" t="s">
        <v>1586</v>
      </c>
      <c r="H3397" s="70" t="s">
        <v>2129</v>
      </c>
      <c r="I3397" s="7" t="s">
        <v>1268</v>
      </c>
      <c r="K3397" s="7" t="s">
        <v>219</v>
      </c>
      <c r="L3397" s="11">
        <v>26.34</v>
      </c>
      <c r="M3397" s="11">
        <v>57029.61</v>
      </c>
      <c r="N3397" s="9">
        <f>IF(A3397&lt;60000,-L3397,+L3397)</f>
        <v>26.34</v>
      </c>
    </row>
    <row r="3398" spans="1:14" ht="12.75" hidden="1" customHeight="1" x14ac:dyDescent="0.2">
      <c r="A3398">
        <v>67001</v>
      </c>
      <c r="B3398" s="3" t="s">
        <v>1268</v>
      </c>
      <c r="C3398" s="7" t="s">
        <v>218</v>
      </c>
      <c r="D3398" s="7" t="s">
        <v>200</v>
      </c>
      <c r="E3398" s="7">
        <v>469</v>
      </c>
      <c r="F3398" s="7" t="s">
        <v>217</v>
      </c>
      <c r="G3398" s="7" t="s">
        <v>1586</v>
      </c>
      <c r="H3398" s="70" t="s">
        <v>2129</v>
      </c>
      <c r="I3398" s="7" t="s">
        <v>1268</v>
      </c>
      <c r="J3398" s="7" t="s">
        <v>215</v>
      </c>
      <c r="K3398" s="7" t="s">
        <v>198</v>
      </c>
      <c r="L3398" s="11">
        <v>0</v>
      </c>
      <c r="M3398" s="11">
        <v>57029.61</v>
      </c>
      <c r="N3398" s="9">
        <f>IF(A3398&lt;60000,-L3398,+L3398)</f>
        <v>0</v>
      </c>
    </row>
    <row r="3399" spans="1:14" ht="12.75" customHeight="1" x14ac:dyDescent="0.2">
      <c r="A3399">
        <v>44000</v>
      </c>
      <c r="B3399" s="3" t="s">
        <v>1229</v>
      </c>
      <c r="C3399" s="7" t="s">
        <v>1619</v>
      </c>
      <c r="D3399" s="7" t="s">
        <v>242</v>
      </c>
      <c r="F3399" s="7" t="s">
        <v>1708</v>
      </c>
      <c r="G3399" s="7" t="s">
        <v>1573</v>
      </c>
      <c r="H3399" s="7" t="s">
        <v>1359</v>
      </c>
      <c r="I3399" s="7" t="s">
        <v>2148</v>
      </c>
      <c r="J3399" s="39" t="s">
        <v>1689</v>
      </c>
      <c r="K3399" s="39" t="s">
        <v>1179</v>
      </c>
      <c r="L3399" s="40">
        <v>500</v>
      </c>
      <c r="M3399" s="40">
        <v>227843.7</v>
      </c>
      <c r="N3399" s="41">
        <f>-L3399</f>
        <v>-500</v>
      </c>
    </row>
    <row r="3400" spans="1:14" ht="12.75" hidden="1" customHeight="1" x14ac:dyDescent="0.2">
      <c r="A3400">
        <v>65015</v>
      </c>
      <c r="B3400" s="3" t="s">
        <v>1244</v>
      </c>
      <c r="C3400" s="7" t="s">
        <v>1789</v>
      </c>
      <c r="D3400" s="7" t="s">
        <v>221</v>
      </c>
      <c r="F3400" s="7" t="s">
        <v>1056</v>
      </c>
      <c r="G3400" s="7" t="s">
        <v>1560</v>
      </c>
      <c r="H3400" s="43" t="s">
        <v>1362</v>
      </c>
      <c r="I3400" s="7" t="s">
        <v>1244</v>
      </c>
      <c r="K3400" s="39" t="s">
        <v>596</v>
      </c>
      <c r="L3400" s="40">
        <v>539.20000000000005</v>
      </c>
      <c r="M3400" s="40">
        <v>10897.33</v>
      </c>
      <c r="N3400" s="40">
        <f t="shared" ref="N3400:N3407" si="135">+L3400</f>
        <v>539.20000000000005</v>
      </c>
    </row>
    <row r="3401" spans="1:14" ht="12.75" hidden="1" customHeight="1" x14ac:dyDescent="0.2">
      <c r="A3401">
        <v>65025</v>
      </c>
      <c r="B3401" s="3" t="s">
        <v>1246</v>
      </c>
      <c r="C3401" s="7" t="s">
        <v>1556</v>
      </c>
      <c r="D3401" s="7" t="s">
        <v>221</v>
      </c>
      <c r="F3401" s="7" t="s">
        <v>446</v>
      </c>
      <c r="G3401" s="7" t="s">
        <v>1560</v>
      </c>
      <c r="H3401" s="7" t="s">
        <v>1362</v>
      </c>
      <c r="I3401" s="7" t="s">
        <v>1246</v>
      </c>
      <c r="K3401" s="39" t="s">
        <v>596</v>
      </c>
      <c r="L3401" s="40">
        <v>16</v>
      </c>
      <c r="M3401" s="40">
        <v>1807.52</v>
      </c>
      <c r="N3401" s="40">
        <f t="shared" si="135"/>
        <v>16</v>
      </c>
    </row>
    <row r="3402" spans="1:14" ht="12.75" hidden="1" customHeight="1" x14ac:dyDescent="0.2">
      <c r="A3402">
        <v>65025</v>
      </c>
      <c r="B3402" s="3" t="s">
        <v>1246</v>
      </c>
      <c r="C3402" s="7" t="s">
        <v>1803</v>
      </c>
      <c r="D3402" s="7" t="s">
        <v>221</v>
      </c>
      <c r="F3402" s="7" t="s">
        <v>446</v>
      </c>
      <c r="G3402" s="7" t="s">
        <v>1560</v>
      </c>
      <c r="H3402" s="7" t="s">
        <v>1362</v>
      </c>
      <c r="I3402" s="7" t="s">
        <v>1246</v>
      </c>
      <c r="K3402" s="39" t="s">
        <v>596</v>
      </c>
      <c r="L3402" s="40">
        <v>16</v>
      </c>
      <c r="M3402" s="40">
        <v>1947.17</v>
      </c>
      <c r="N3402" s="40">
        <f t="shared" si="135"/>
        <v>16</v>
      </c>
    </row>
    <row r="3403" spans="1:14" ht="12.75" hidden="1" customHeight="1" x14ac:dyDescent="0.2">
      <c r="A3403">
        <v>65025</v>
      </c>
      <c r="B3403" s="3" t="s">
        <v>1246</v>
      </c>
      <c r="C3403" s="7" t="s">
        <v>1804</v>
      </c>
      <c r="D3403" s="7" t="s">
        <v>221</v>
      </c>
      <c r="F3403" s="7" t="s">
        <v>446</v>
      </c>
      <c r="G3403" s="7" t="s">
        <v>1560</v>
      </c>
      <c r="H3403" s="7" t="s">
        <v>1362</v>
      </c>
      <c r="I3403" s="7" t="s">
        <v>1246</v>
      </c>
      <c r="K3403" s="39" t="s">
        <v>596</v>
      </c>
      <c r="L3403" s="40">
        <v>16</v>
      </c>
      <c r="M3403" s="40">
        <v>2239.1999999999998</v>
      </c>
      <c r="N3403" s="40">
        <f t="shared" si="135"/>
        <v>16</v>
      </c>
    </row>
    <row r="3404" spans="1:14" ht="12.75" hidden="1" customHeight="1" x14ac:dyDescent="0.2">
      <c r="A3404">
        <v>65025</v>
      </c>
      <c r="B3404" s="3" t="s">
        <v>1246</v>
      </c>
      <c r="C3404" s="7" t="s">
        <v>1600</v>
      </c>
      <c r="D3404" s="7" t="s">
        <v>242</v>
      </c>
      <c r="F3404" s="7" t="s">
        <v>446</v>
      </c>
      <c r="G3404" s="7" t="s">
        <v>1560</v>
      </c>
      <c r="H3404" s="7" t="s">
        <v>1362</v>
      </c>
      <c r="I3404" s="7" t="s">
        <v>1246</v>
      </c>
      <c r="K3404" s="39" t="s">
        <v>596</v>
      </c>
      <c r="L3404" s="40">
        <v>-16</v>
      </c>
      <c r="M3404" s="40">
        <v>2310.1999999999998</v>
      </c>
      <c r="N3404" s="40">
        <f t="shared" si="135"/>
        <v>-16</v>
      </c>
    </row>
    <row r="3405" spans="1:14" ht="12.75" hidden="1" customHeight="1" x14ac:dyDescent="0.2">
      <c r="A3405">
        <v>65025</v>
      </c>
      <c r="B3405" s="3" t="s">
        <v>1246</v>
      </c>
      <c r="C3405" s="7" t="s">
        <v>1619</v>
      </c>
      <c r="D3405" s="7" t="s">
        <v>221</v>
      </c>
      <c r="F3405" s="7" t="s">
        <v>446</v>
      </c>
      <c r="G3405" s="7" t="s">
        <v>1560</v>
      </c>
      <c r="H3405" s="7" t="s">
        <v>1362</v>
      </c>
      <c r="I3405" s="7" t="s">
        <v>1246</v>
      </c>
      <c r="K3405" s="39" t="s">
        <v>596</v>
      </c>
      <c r="L3405" s="40">
        <v>16</v>
      </c>
      <c r="M3405" s="40">
        <v>2392.1</v>
      </c>
      <c r="N3405" s="40">
        <f t="shared" si="135"/>
        <v>16</v>
      </c>
    </row>
    <row r="3406" spans="1:14" ht="12.75" hidden="1" customHeight="1" x14ac:dyDescent="0.2">
      <c r="A3406">
        <v>65061</v>
      </c>
      <c r="B3406" s="3" t="s">
        <v>1844</v>
      </c>
      <c r="C3406" s="7" t="s">
        <v>1695</v>
      </c>
      <c r="D3406" s="7" t="s">
        <v>242</v>
      </c>
      <c r="F3406" s="7" t="s">
        <v>570</v>
      </c>
      <c r="G3406" s="7" t="s">
        <v>1560</v>
      </c>
      <c r="H3406" s="7" t="s">
        <v>1362</v>
      </c>
      <c r="I3406" s="7" t="s">
        <v>1253</v>
      </c>
      <c r="K3406" s="39" t="s">
        <v>596</v>
      </c>
      <c r="L3406" s="40">
        <v>-539.47</v>
      </c>
      <c r="M3406" s="40">
        <v>249545.29</v>
      </c>
      <c r="N3406" s="40">
        <f t="shared" si="135"/>
        <v>-539.47</v>
      </c>
    </row>
    <row r="3407" spans="1:14" ht="12.75" hidden="1" customHeight="1" x14ac:dyDescent="0.2">
      <c r="A3407">
        <v>65061</v>
      </c>
      <c r="B3407" s="3" t="s">
        <v>1844</v>
      </c>
      <c r="C3407" s="7" t="s">
        <v>1680</v>
      </c>
      <c r="D3407" s="7" t="s">
        <v>221</v>
      </c>
      <c r="F3407" s="7" t="s">
        <v>1971</v>
      </c>
      <c r="G3407" s="7" t="s">
        <v>1560</v>
      </c>
      <c r="H3407" s="7" t="s">
        <v>1362</v>
      </c>
      <c r="I3407" s="7" t="s">
        <v>1253</v>
      </c>
      <c r="K3407" s="39" t="s">
        <v>596</v>
      </c>
      <c r="L3407" s="40">
        <v>1.49</v>
      </c>
      <c r="M3407" s="40">
        <v>291456.67</v>
      </c>
      <c r="N3407" s="40">
        <f t="shared" si="135"/>
        <v>1.49</v>
      </c>
    </row>
    <row r="3408" spans="1:14" ht="12.75" customHeight="1" x14ac:dyDescent="0.2">
      <c r="A3408">
        <v>44000</v>
      </c>
      <c r="B3408" s="3" t="s">
        <v>1229</v>
      </c>
      <c r="C3408" s="7" t="s">
        <v>1617</v>
      </c>
      <c r="D3408" s="7" t="s">
        <v>183</v>
      </c>
      <c r="E3408" s="7">
        <v>689</v>
      </c>
      <c r="G3408" s="7" t="s">
        <v>1552</v>
      </c>
      <c r="H3408" s="7" t="s">
        <v>1359</v>
      </c>
      <c r="I3408" s="7" t="s">
        <v>2148</v>
      </c>
      <c r="J3408" s="39" t="s">
        <v>1706</v>
      </c>
      <c r="K3408" s="39" t="s">
        <v>180</v>
      </c>
      <c r="L3408" s="40">
        <v>100</v>
      </c>
      <c r="M3408" s="40">
        <v>225718.7</v>
      </c>
      <c r="N3408" s="41">
        <f>-L3408</f>
        <v>-100</v>
      </c>
    </row>
    <row r="3409" spans="1:14" ht="12.75" customHeight="1" x14ac:dyDescent="0.2">
      <c r="A3409">
        <v>44000</v>
      </c>
      <c r="B3409" s="3" t="s">
        <v>1229</v>
      </c>
      <c r="C3409" s="7" t="s">
        <v>1709</v>
      </c>
      <c r="D3409" s="7" t="s">
        <v>242</v>
      </c>
      <c r="F3409" s="7" t="s">
        <v>665</v>
      </c>
      <c r="G3409" s="7" t="s">
        <v>1552</v>
      </c>
      <c r="H3409" s="7" t="s">
        <v>1359</v>
      </c>
      <c r="I3409" s="7" t="s">
        <v>2148</v>
      </c>
      <c r="J3409" s="39" t="s">
        <v>1711</v>
      </c>
      <c r="K3409" s="39" t="s">
        <v>1172</v>
      </c>
      <c r="L3409" s="40">
        <v>357</v>
      </c>
      <c r="M3409" s="40">
        <v>228300.7</v>
      </c>
      <c r="N3409" s="41">
        <f>-L3409</f>
        <v>-357</v>
      </c>
    </row>
    <row r="3410" spans="1:14" ht="12.75" hidden="1" customHeight="1" x14ac:dyDescent="0.2">
      <c r="A3410">
        <v>65025</v>
      </c>
      <c r="B3410" s="3" t="s">
        <v>1246</v>
      </c>
      <c r="C3410" s="7" t="s">
        <v>1556</v>
      </c>
      <c r="D3410" s="7" t="s">
        <v>221</v>
      </c>
      <c r="F3410" s="7" t="s">
        <v>446</v>
      </c>
      <c r="G3410" s="7" t="s">
        <v>1637</v>
      </c>
      <c r="H3410" s="7" t="s">
        <v>1362</v>
      </c>
      <c r="I3410" s="7" t="s">
        <v>1246</v>
      </c>
      <c r="K3410" s="39" t="s">
        <v>917</v>
      </c>
      <c r="L3410" s="40">
        <v>15</v>
      </c>
      <c r="M3410" s="40">
        <v>1748.52</v>
      </c>
      <c r="N3410" s="40">
        <f t="shared" ref="N3410:N3418" si="136">+L3410</f>
        <v>15</v>
      </c>
    </row>
    <row r="3411" spans="1:14" ht="12.75" hidden="1" customHeight="1" x14ac:dyDescent="0.2">
      <c r="A3411">
        <v>65025</v>
      </c>
      <c r="B3411" s="3" t="s">
        <v>1246</v>
      </c>
      <c r="C3411" s="7" t="s">
        <v>1803</v>
      </c>
      <c r="D3411" s="7" t="s">
        <v>221</v>
      </c>
      <c r="F3411" s="7" t="s">
        <v>446</v>
      </c>
      <c r="G3411" s="7" t="s">
        <v>1637</v>
      </c>
      <c r="H3411" s="7" t="s">
        <v>1362</v>
      </c>
      <c r="I3411" s="7" t="s">
        <v>1246</v>
      </c>
      <c r="K3411" s="39" t="s">
        <v>917</v>
      </c>
      <c r="L3411" s="40">
        <v>15</v>
      </c>
      <c r="M3411" s="40">
        <v>1992.17</v>
      </c>
      <c r="N3411" s="40">
        <f t="shared" si="136"/>
        <v>15</v>
      </c>
    </row>
    <row r="3412" spans="1:14" ht="12.75" hidden="1" customHeight="1" x14ac:dyDescent="0.2">
      <c r="A3412">
        <v>65025</v>
      </c>
      <c r="B3412" s="3" t="s">
        <v>1246</v>
      </c>
      <c r="C3412" s="7" t="s">
        <v>1804</v>
      </c>
      <c r="D3412" s="7" t="s">
        <v>221</v>
      </c>
      <c r="F3412" s="7" t="s">
        <v>446</v>
      </c>
      <c r="G3412" s="7" t="s">
        <v>1637</v>
      </c>
      <c r="H3412" s="7" t="s">
        <v>1362</v>
      </c>
      <c r="I3412" s="7" t="s">
        <v>1246</v>
      </c>
      <c r="K3412" s="39" t="s">
        <v>917</v>
      </c>
      <c r="L3412" s="40">
        <v>15</v>
      </c>
      <c r="M3412" s="40">
        <v>2209.1999999999998</v>
      </c>
      <c r="N3412" s="40">
        <f t="shared" si="136"/>
        <v>15</v>
      </c>
    </row>
    <row r="3413" spans="1:14" ht="12.75" hidden="1" customHeight="1" x14ac:dyDescent="0.2">
      <c r="A3413">
        <v>65025</v>
      </c>
      <c r="B3413" s="3" t="s">
        <v>1246</v>
      </c>
      <c r="C3413" s="7" t="s">
        <v>1619</v>
      </c>
      <c r="D3413" s="7" t="s">
        <v>221</v>
      </c>
      <c r="F3413" s="7" t="s">
        <v>446</v>
      </c>
      <c r="G3413" s="7" t="s">
        <v>1637</v>
      </c>
      <c r="H3413" s="7" t="s">
        <v>1362</v>
      </c>
      <c r="I3413" s="7" t="s">
        <v>1246</v>
      </c>
      <c r="K3413" s="39" t="s">
        <v>917</v>
      </c>
      <c r="L3413" s="40">
        <v>15</v>
      </c>
      <c r="M3413" s="40">
        <v>2437.1</v>
      </c>
      <c r="N3413" s="40">
        <f t="shared" si="136"/>
        <v>15</v>
      </c>
    </row>
    <row r="3414" spans="1:14" ht="12.75" hidden="1" customHeight="1" x14ac:dyDescent="0.2">
      <c r="A3414">
        <v>65061</v>
      </c>
      <c r="B3414" s="3" t="s">
        <v>1844</v>
      </c>
      <c r="C3414" s="7" t="s">
        <v>1631</v>
      </c>
      <c r="D3414" s="7" t="s">
        <v>221</v>
      </c>
      <c r="F3414" s="7" t="s">
        <v>934</v>
      </c>
      <c r="G3414" s="7" t="s">
        <v>1637</v>
      </c>
      <c r="H3414" s="7" t="s">
        <v>1362</v>
      </c>
      <c r="I3414" s="7" t="s">
        <v>1253</v>
      </c>
      <c r="K3414" s="39" t="s">
        <v>917</v>
      </c>
      <c r="L3414" s="40">
        <v>400</v>
      </c>
      <c r="M3414" s="40">
        <v>290660.63</v>
      </c>
      <c r="N3414" s="40">
        <f t="shared" si="136"/>
        <v>400</v>
      </c>
    </row>
    <row r="3415" spans="1:14" ht="12.75" hidden="1" customHeight="1" x14ac:dyDescent="0.2">
      <c r="A3415">
        <v>65061</v>
      </c>
      <c r="B3415" s="3" t="s">
        <v>1844</v>
      </c>
      <c r="C3415" s="7" t="s">
        <v>1631</v>
      </c>
      <c r="D3415" s="7" t="s">
        <v>221</v>
      </c>
      <c r="F3415" s="7" t="s">
        <v>595</v>
      </c>
      <c r="G3415" s="7" t="s">
        <v>1637</v>
      </c>
      <c r="H3415" s="7" t="s">
        <v>1362</v>
      </c>
      <c r="I3415" s="7" t="s">
        <v>1253</v>
      </c>
      <c r="K3415" s="39" t="s">
        <v>917</v>
      </c>
      <c r="L3415" s="40">
        <v>16.05</v>
      </c>
      <c r="M3415" s="40">
        <v>290676.68</v>
      </c>
      <c r="N3415" s="40">
        <f t="shared" si="136"/>
        <v>16.05</v>
      </c>
    </row>
    <row r="3416" spans="1:14" ht="12.75" hidden="1" customHeight="1" x14ac:dyDescent="0.2">
      <c r="A3416">
        <v>65061</v>
      </c>
      <c r="B3416" s="3" t="s">
        <v>1844</v>
      </c>
      <c r="C3416" s="7" t="s">
        <v>1638</v>
      </c>
      <c r="D3416" s="7" t="s">
        <v>221</v>
      </c>
      <c r="F3416" s="7" t="s">
        <v>734</v>
      </c>
      <c r="G3416" s="7" t="s">
        <v>1637</v>
      </c>
      <c r="H3416" s="7" t="s">
        <v>1362</v>
      </c>
      <c r="I3416" s="7" t="s">
        <v>1253</v>
      </c>
      <c r="K3416" s="39" t="s">
        <v>917</v>
      </c>
      <c r="L3416" s="40">
        <v>9.0299999999999994</v>
      </c>
      <c r="M3416" s="40">
        <v>295630.18</v>
      </c>
      <c r="N3416" s="40">
        <f t="shared" si="136"/>
        <v>9.0299999999999994</v>
      </c>
    </row>
    <row r="3417" spans="1:14" ht="12.75" hidden="1" customHeight="1" x14ac:dyDescent="0.2">
      <c r="A3417">
        <v>65061</v>
      </c>
      <c r="B3417" s="3" t="s">
        <v>1844</v>
      </c>
      <c r="C3417" s="7" t="s">
        <v>1638</v>
      </c>
      <c r="D3417" s="7" t="s">
        <v>221</v>
      </c>
      <c r="F3417" s="7" t="s">
        <v>241</v>
      </c>
      <c r="G3417" s="7" t="s">
        <v>1637</v>
      </c>
      <c r="H3417" s="7" t="s">
        <v>1362</v>
      </c>
      <c r="I3417" s="7" t="s">
        <v>1253</v>
      </c>
      <c r="K3417" s="39" t="s">
        <v>917</v>
      </c>
      <c r="L3417" s="40">
        <v>41.64</v>
      </c>
      <c r="M3417" s="40">
        <v>295671.82</v>
      </c>
      <c r="N3417" s="40">
        <f t="shared" si="136"/>
        <v>41.64</v>
      </c>
    </row>
    <row r="3418" spans="1:14" ht="12.75" hidden="1" customHeight="1" x14ac:dyDescent="0.2">
      <c r="A3418">
        <v>65095</v>
      </c>
      <c r="B3418" s="3" t="s">
        <v>1259</v>
      </c>
      <c r="C3418" s="7" t="s">
        <v>1646</v>
      </c>
      <c r="D3418" s="7" t="s">
        <v>183</v>
      </c>
      <c r="E3418" s="7">
        <v>746</v>
      </c>
      <c r="G3418" s="7" t="s">
        <v>1637</v>
      </c>
      <c r="H3418" s="43" t="s">
        <v>1361</v>
      </c>
      <c r="I3418" s="7" t="s">
        <v>1259</v>
      </c>
      <c r="J3418" s="39" t="s">
        <v>425</v>
      </c>
      <c r="K3418" s="39" t="s">
        <v>180</v>
      </c>
      <c r="L3418" s="40">
        <v>2.37</v>
      </c>
      <c r="M3418" s="40">
        <v>1108.3800000000001</v>
      </c>
      <c r="N3418" s="40">
        <f t="shared" si="136"/>
        <v>2.37</v>
      </c>
    </row>
    <row r="3419" spans="1:14" ht="12.75" customHeight="1" x14ac:dyDescent="0.2">
      <c r="A3419">
        <v>44000</v>
      </c>
      <c r="B3419" s="3" t="s">
        <v>1229</v>
      </c>
      <c r="C3419" s="7" t="s">
        <v>1626</v>
      </c>
      <c r="D3419" s="7" t="s">
        <v>242</v>
      </c>
      <c r="F3419" s="7" t="s">
        <v>665</v>
      </c>
      <c r="G3419" s="7" t="s">
        <v>1552</v>
      </c>
      <c r="H3419" s="7" t="s">
        <v>1359</v>
      </c>
      <c r="I3419" s="7" t="s">
        <v>2148</v>
      </c>
      <c r="J3419" s="39" t="s">
        <v>1711</v>
      </c>
      <c r="K3419" s="39" t="s">
        <v>1172</v>
      </c>
      <c r="L3419" s="40">
        <v>1205</v>
      </c>
      <c r="M3419" s="40">
        <v>229505.7</v>
      </c>
      <c r="N3419" s="41">
        <f>-L3419</f>
        <v>-1205</v>
      </c>
    </row>
    <row r="3420" spans="1:14" ht="12.75" customHeight="1" x14ac:dyDescent="0.2">
      <c r="A3420">
        <v>44000</v>
      </c>
      <c r="B3420" s="3" t="s">
        <v>1229</v>
      </c>
      <c r="C3420" s="7" t="s">
        <v>1629</v>
      </c>
      <c r="D3420" s="7" t="s">
        <v>183</v>
      </c>
      <c r="E3420" s="7">
        <v>716</v>
      </c>
      <c r="G3420" s="7" t="s">
        <v>1552</v>
      </c>
      <c r="H3420" s="7" t="s">
        <v>1359</v>
      </c>
      <c r="I3420" s="7" t="s">
        <v>2148</v>
      </c>
      <c r="J3420" s="39" t="s">
        <v>1714</v>
      </c>
      <c r="K3420" s="39" t="s">
        <v>180</v>
      </c>
      <c r="L3420" s="40">
        <v>450</v>
      </c>
      <c r="M3420" s="40">
        <v>231048.2</v>
      </c>
      <c r="N3420" s="41">
        <f>-L3420</f>
        <v>-450</v>
      </c>
    </row>
    <row r="3421" spans="1:14" ht="12.75" customHeight="1" x14ac:dyDescent="0.2">
      <c r="A3421">
        <v>44000</v>
      </c>
      <c r="B3421" s="3" t="s">
        <v>1229</v>
      </c>
      <c r="C3421" s="7" t="s">
        <v>1631</v>
      </c>
      <c r="D3421" s="7" t="s">
        <v>183</v>
      </c>
      <c r="E3421" s="7">
        <v>724</v>
      </c>
      <c r="G3421" s="7" t="s">
        <v>1552</v>
      </c>
      <c r="H3421" s="7" t="s">
        <v>1359</v>
      </c>
      <c r="I3421" s="7" t="s">
        <v>2148</v>
      </c>
      <c r="J3421" s="39" t="s">
        <v>1715</v>
      </c>
      <c r="K3421" s="39" t="s">
        <v>180</v>
      </c>
      <c r="L3421" s="40">
        <v>552</v>
      </c>
      <c r="M3421" s="40">
        <v>231600.2</v>
      </c>
      <c r="N3421" s="41">
        <f>-L3421</f>
        <v>-552</v>
      </c>
    </row>
    <row r="3422" spans="1:14" ht="12.75" customHeight="1" x14ac:dyDescent="0.2">
      <c r="A3422">
        <v>44000</v>
      </c>
      <c r="B3422" s="3" t="s">
        <v>1229</v>
      </c>
      <c r="C3422" s="7" t="s">
        <v>1631</v>
      </c>
      <c r="D3422" s="7" t="s">
        <v>242</v>
      </c>
      <c r="F3422" s="7" t="s">
        <v>665</v>
      </c>
      <c r="G3422" s="7" t="s">
        <v>1552</v>
      </c>
      <c r="H3422" s="7" t="s">
        <v>1359</v>
      </c>
      <c r="I3422" s="7" t="s">
        <v>2148</v>
      </c>
      <c r="J3422" s="39" t="s">
        <v>1711</v>
      </c>
      <c r="K3422" s="39" t="s">
        <v>1172</v>
      </c>
      <c r="L3422" s="40">
        <v>2175</v>
      </c>
      <c r="M3422" s="40">
        <v>233865.2</v>
      </c>
      <c r="N3422" s="41">
        <f>-L3422</f>
        <v>-2175</v>
      </c>
    </row>
    <row r="3423" spans="1:14" ht="12.75" hidden="1" customHeight="1" x14ac:dyDescent="0.2">
      <c r="A3423">
        <v>65025</v>
      </c>
      <c r="B3423" s="3" t="s">
        <v>1246</v>
      </c>
      <c r="C3423" s="7" t="s">
        <v>449</v>
      </c>
      <c r="D3423" s="7" t="s">
        <v>200</v>
      </c>
      <c r="F3423" s="7" t="s">
        <v>446</v>
      </c>
      <c r="G3423" s="7" t="s">
        <v>1637</v>
      </c>
      <c r="H3423" s="7" t="s">
        <v>1362</v>
      </c>
      <c r="I3423" s="7" t="s">
        <v>1246</v>
      </c>
      <c r="K3423" s="7" t="s">
        <v>917</v>
      </c>
      <c r="L3423" s="11">
        <v>15</v>
      </c>
      <c r="M3423" s="11">
        <v>45</v>
      </c>
      <c r="N3423" s="9">
        <f t="shared" ref="N3423:N3449" si="137">IF(A3423&lt;60000,-L3423,+L3423)</f>
        <v>15</v>
      </c>
    </row>
    <row r="3424" spans="1:14" ht="12.75" hidden="1" customHeight="1" x14ac:dyDescent="0.2">
      <c r="A3424">
        <v>65025</v>
      </c>
      <c r="B3424" s="3" t="s">
        <v>1246</v>
      </c>
      <c r="C3424" s="7" t="s">
        <v>406</v>
      </c>
      <c r="D3424" s="7" t="s">
        <v>200</v>
      </c>
      <c r="F3424" s="7" t="s">
        <v>446</v>
      </c>
      <c r="G3424" s="7" t="s">
        <v>1637</v>
      </c>
      <c r="H3424" s="7" t="s">
        <v>1362</v>
      </c>
      <c r="I3424" s="7" t="s">
        <v>1246</v>
      </c>
      <c r="K3424" s="7" t="s">
        <v>917</v>
      </c>
      <c r="L3424" s="11">
        <v>15</v>
      </c>
      <c r="M3424" s="11">
        <v>718.62</v>
      </c>
      <c r="N3424" s="9">
        <f t="shared" si="137"/>
        <v>15</v>
      </c>
    </row>
    <row r="3425" spans="1:14" ht="12.75" hidden="1" customHeight="1" x14ac:dyDescent="0.2">
      <c r="A3425">
        <v>65025</v>
      </c>
      <c r="B3425" s="3" t="s">
        <v>1246</v>
      </c>
      <c r="C3425" s="7" t="s">
        <v>194</v>
      </c>
      <c r="D3425" s="7" t="s">
        <v>221</v>
      </c>
      <c r="F3425" s="7" t="s">
        <v>446</v>
      </c>
      <c r="G3425" s="7" t="s">
        <v>1637</v>
      </c>
      <c r="H3425" s="7" t="s">
        <v>1362</v>
      </c>
      <c r="I3425" s="7" t="s">
        <v>1246</v>
      </c>
      <c r="K3425" s="7" t="s">
        <v>917</v>
      </c>
      <c r="L3425" s="11">
        <v>15</v>
      </c>
      <c r="M3425" s="11">
        <v>875.33</v>
      </c>
      <c r="N3425" s="9">
        <f t="shared" si="137"/>
        <v>15</v>
      </c>
    </row>
    <row r="3426" spans="1:14" ht="12.75" hidden="1" customHeight="1" x14ac:dyDescent="0.2">
      <c r="A3426">
        <v>65025</v>
      </c>
      <c r="B3426" s="3" t="s">
        <v>1246</v>
      </c>
      <c r="C3426" s="7" t="s">
        <v>222</v>
      </c>
      <c r="D3426" s="7" t="s">
        <v>221</v>
      </c>
      <c r="F3426" s="7" t="s">
        <v>446</v>
      </c>
      <c r="G3426" s="7" t="s">
        <v>1637</v>
      </c>
      <c r="H3426" s="7" t="s">
        <v>1362</v>
      </c>
      <c r="I3426" s="7" t="s">
        <v>1246</v>
      </c>
      <c r="K3426" s="7" t="s">
        <v>917</v>
      </c>
      <c r="L3426" s="11">
        <v>15</v>
      </c>
      <c r="M3426" s="11">
        <v>1552.91</v>
      </c>
      <c r="N3426" s="9">
        <f t="shared" si="137"/>
        <v>15</v>
      </c>
    </row>
    <row r="3427" spans="1:14" ht="12.75" hidden="1" customHeight="1" x14ac:dyDescent="0.2">
      <c r="A3427">
        <v>65040</v>
      </c>
      <c r="B3427" s="3" t="s">
        <v>1250</v>
      </c>
      <c r="C3427" s="7" t="s">
        <v>214</v>
      </c>
      <c r="D3427" s="7" t="s">
        <v>221</v>
      </c>
      <c r="F3427" s="7" t="s">
        <v>1006</v>
      </c>
      <c r="G3427" s="7" t="s">
        <v>1637</v>
      </c>
      <c r="H3427" s="7" t="s">
        <v>1362</v>
      </c>
      <c r="I3427" s="7" t="s">
        <v>1250</v>
      </c>
      <c r="K3427" s="7" t="s">
        <v>917</v>
      </c>
      <c r="L3427" s="11">
        <v>22</v>
      </c>
      <c r="M3427" s="11">
        <v>1681.34</v>
      </c>
      <c r="N3427" s="9">
        <f t="shared" si="137"/>
        <v>22</v>
      </c>
    </row>
    <row r="3428" spans="1:14" ht="12.75" hidden="1" customHeight="1" x14ac:dyDescent="0.2">
      <c r="A3428">
        <v>65061</v>
      </c>
      <c r="B3428" s="3" t="s">
        <v>1253</v>
      </c>
      <c r="C3428" s="7" t="s">
        <v>384</v>
      </c>
      <c r="D3428" s="7" t="s">
        <v>200</v>
      </c>
      <c r="F3428" s="7" t="s">
        <v>570</v>
      </c>
      <c r="G3428" s="7" t="s">
        <v>1637</v>
      </c>
      <c r="H3428" s="7" t="s">
        <v>1362</v>
      </c>
      <c r="I3428" s="7" t="s">
        <v>1253</v>
      </c>
      <c r="K3428" s="7" t="s">
        <v>917</v>
      </c>
      <c r="L3428" s="11">
        <v>73.73</v>
      </c>
      <c r="M3428" s="11">
        <v>9951.4500000000007</v>
      </c>
      <c r="N3428" s="9">
        <f t="shared" si="137"/>
        <v>73.73</v>
      </c>
    </row>
    <row r="3429" spans="1:14" ht="12.75" hidden="1" customHeight="1" x14ac:dyDescent="0.2">
      <c r="A3429">
        <v>65061</v>
      </c>
      <c r="B3429" s="3" t="s">
        <v>1253</v>
      </c>
      <c r="C3429" s="7" t="s">
        <v>384</v>
      </c>
      <c r="D3429" s="7" t="s">
        <v>200</v>
      </c>
      <c r="F3429" s="7" t="s">
        <v>648</v>
      </c>
      <c r="G3429" s="7" t="s">
        <v>1637</v>
      </c>
      <c r="H3429" s="7" t="s">
        <v>1362</v>
      </c>
      <c r="I3429" s="7" t="s">
        <v>1253</v>
      </c>
      <c r="K3429" s="7" t="s">
        <v>917</v>
      </c>
      <c r="L3429" s="11">
        <v>8.0299999999999994</v>
      </c>
      <c r="M3429" s="11">
        <v>9983.69</v>
      </c>
      <c r="N3429" s="9">
        <f t="shared" si="137"/>
        <v>8.0299999999999994</v>
      </c>
    </row>
    <row r="3430" spans="1:14" ht="12.75" hidden="1" customHeight="1" x14ac:dyDescent="0.2">
      <c r="A3430">
        <v>65061</v>
      </c>
      <c r="B3430" s="3" t="s">
        <v>1253</v>
      </c>
      <c r="C3430" s="7" t="s">
        <v>384</v>
      </c>
      <c r="D3430" s="7" t="s">
        <v>200</v>
      </c>
      <c r="F3430" s="7" t="s">
        <v>570</v>
      </c>
      <c r="G3430" s="7" t="s">
        <v>1637</v>
      </c>
      <c r="H3430" s="7" t="s">
        <v>1362</v>
      </c>
      <c r="I3430" s="7" t="s">
        <v>1253</v>
      </c>
      <c r="K3430" s="7" t="s">
        <v>917</v>
      </c>
      <c r="L3430" s="11">
        <v>9.74</v>
      </c>
      <c r="M3430" s="11">
        <v>9993.43</v>
      </c>
      <c r="N3430" s="9">
        <f t="shared" si="137"/>
        <v>9.74</v>
      </c>
    </row>
    <row r="3431" spans="1:14" ht="12.75" hidden="1" customHeight="1" x14ac:dyDescent="0.2">
      <c r="A3431">
        <v>65061</v>
      </c>
      <c r="B3431" s="3" t="s">
        <v>1253</v>
      </c>
      <c r="C3431" s="7" t="s">
        <v>384</v>
      </c>
      <c r="D3431" s="7" t="s">
        <v>200</v>
      </c>
      <c r="F3431" s="7" t="s">
        <v>241</v>
      </c>
      <c r="G3431" s="7" t="s">
        <v>1637</v>
      </c>
      <c r="H3431" s="7" t="s">
        <v>1362</v>
      </c>
      <c r="I3431" s="7" t="s">
        <v>1253</v>
      </c>
      <c r="K3431" s="7" t="s">
        <v>917</v>
      </c>
      <c r="L3431" s="11">
        <v>54.56</v>
      </c>
      <c r="M3431" s="11">
        <v>12812.75</v>
      </c>
      <c r="N3431" s="9">
        <f t="shared" si="137"/>
        <v>54.56</v>
      </c>
    </row>
    <row r="3432" spans="1:14" ht="12.75" hidden="1" customHeight="1" x14ac:dyDescent="0.2">
      <c r="A3432">
        <v>65061</v>
      </c>
      <c r="B3432" s="3" t="s">
        <v>1253</v>
      </c>
      <c r="C3432" s="7" t="s">
        <v>942</v>
      </c>
      <c r="D3432" s="7" t="s">
        <v>200</v>
      </c>
      <c r="F3432" s="7" t="s">
        <v>241</v>
      </c>
      <c r="G3432" s="7" t="s">
        <v>1637</v>
      </c>
      <c r="H3432" s="7" t="s">
        <v>1362</v>
      </c>
      <c r="I3432" s="7" t="s">
        <v>1253</v>
      </c>
      <c r="K3432" s="7" t="s">
        <v>917</v>
      </c>
      <c r="L3432" s="11">
        <v>22.61</v>
      </c>
      <c r="M3432" s="11">
        <v>20459.21</v>
      </c>
      <c r="N3432" s="9">
        <f t="shared" si="137"/>
        <v>22.61</v>
      </c>
    </row>
    <row r="3433" spans="1:14" ht="12.75" hidden="1" customHeight="1" x14ac:dyDescent="0.2">
      <c r="A3433">
        <v>65061</v>
      </c>
      <c r="B3433" s="3" t="s">
        <v>1253</v>
      </c>
      <c r="C3433" s="7" t="s">
        <v>942</v>
      </c>
      <c r="D3433" s="7" t="s">
        <v>200</v>
      </c>
      <c r="F3433" s="7" t="s">
        <v>241</v>
      </c>
      <c r="G3433" s="7" t="s">
        <v>1637</v>
      </c>
      <c r="H3433" s="7" t="s">
        <v>1362</v>
      </c>
      <c r="I3433" s="7" t="s">
        <v>1253</v>
      </c>
      <c r="K3433" s="7" t="s">
        <v>917</v>
      </c>
      <c r="L3433" s="11">
        <v>90.95</v>
      </c>
      <c r="M3433" s="11">
        <v>20704.61</v>
      </c>
      <c r="N3433" s="9">
        <f t="shared" si="137"/>
        <v>90.95</v>
      </c>
    </row>
    <row r="3434" spans="1:14" ht="12.75" hidden="1" customHeight="1" x14ac:dyDescent="0.2">
      <c r="A3434">
        <v>65061</v>
      </c>
      <c r="B3434" s="3" t="s">
        <v>1253</v>
      </c>
      <c r="C3434" s="7" t="s">
        <v>942</v>
      </c>
      <c r="D3434" s="7" t="s">
        <v>200</v>
      </c>
      <c r="F3434" s="7" t="s">
        <v>548</v>
      </c>
      <c r="G3434" s="7" t="s">
        <v>1637</v>
      </c>
      <c r="H3434" s="7" t="s">
        <v>1362</v>
      </c>
      <c r="I3434" s="7" t="s">
        <v>1253</v>
      </c>
      <c r="K3434" s="7" t="s">
        <v>917</v>
      </c>
      <c r="L3434" s="11">
        <v>27.74</v>
      </c>
      <c r="M3434" s="11">
        <v>20881.43</v>
      </c>
      <c r="N3434" s="9">
        <f t="shared" si="137"/>
        <v>27.74</v>
      </c>
    </row>
    <row r="3435" spans="1:14" ht="12.75" hidden="1" customHeight="1" x14ac:dyDescent="0.2">
      <c r="A3435">
        <v>65061</v>
      </c>
      <c r="B3435" s="3" t="s">
        <v>1253</v>
      </c>
      <c r="C3435" s="7" t="s">
        <v>939</v>
      </c>
      <c r="D3435" s="7" t="s">
        <v>200</v>
      </c>
      <c r="F3435" s="7" t="s">
        <v>941</v>
      </c>
      <c r="G3435" s="7" t="s">
        <v>1637</v>
      </c>
      <c r="H3435" s="7" t="s">
        <v>1362</v>
      </c>
      <c r="I3435" s="7" t="s">
        <v>1253</v>
      </c>
      <c r="K3435" s="7" t="s">
        <v>917</v>
      </c>
      <c r="L3435" s="11">
        <v>16.37</v>
      </c>
      <c r="M3435" s="11">
        <v>21122.720000000001</v>
      </c>
      <c r="N3435" s="9">
        <f t="shared" si="137"/>
        <v>16.37</v>
      </c>
    </row>
    <row r="3436" spans="1:14" ht="12.75" hidden="1" customHeight="1" x14ac:dyDescent="0.2">
      <c r="A3436">
        <v>65061</v>
      </c>
      <c r="B3436" s="3" t="s">
        <v>1253</v>
      </c>
      <c r="C3436" s="7" t="s">
        <v>932</v>
      </c>
      <c r="D3436" s="7" t="s">
        <v>200</v>
      </c>
      <c r="F3436" s="7" t="s">
        <v>570</v>
      </c>
      <c r="G3436" s="7" t="s">
        <v>1637</v>
      </c>
      <c r="H3436" s="7" t="s">
        <v>1362</v>
      </c>
      <c r="I3436" s="7" t="s">
        <v>1253</v>
      </c>
      <c r="K3436" s="7" t="s">
        <v>917</v>
      </c>
      <c r="L3436" s="11">
        <v>105.89</v>
      </c>
      <c r="M3436" s="11">
        <v>23219.599999999999</v>
      </c>
      <c r="N3436" s="9">
        <f t="shared" si="137"/>
        <v>105.89</v>
      </c>
    </row>
    <row r="3437" spans="1:14" ht="12.75" hidden="1" customHeight="1" x14ac:dyDescent="0.2">
      <c r="A3437">
        <v>65061</v>
      </c>
      <c r="B3437" s="3" t="s">
        <v>1253</v>
      </c>
      <c r="C3437" s="7" t="s">
        <v>932</v>
      </c>
      <c r="D3437" s="7" t="s">
        <v>200</v>
      </c>
      <c r="F3437" s="7" t="s">
        <v>241</v>
      </c>
      <c r="G3437" s="7" t="s">
        <v>1637</v>
      </c>
      <c r="H3437" s="7" t="s">
        <v>1362</v>
      </c>
      <c r="I3437" s="7" t="s">
        <v>1253</v>
      </c>
      <c r="K3437" s="7" t="s">
        <v>917</v>
      </c>
      <c r="L3437" s="11">
        <v>9.61</v>
      </c>
      <c r="M3437" s="11">
        <v>23272.03</v>
      </c>
      <c r="N3437" s="9">
        <f t="shared" si="137"/>
        <v>9.61</v>
      </c>
    </row>
    <row r="3438" spans="1:14" ht="12.75" hidden="1" customHeight="1" x14ac:dyDescent="0.2">
      <c r="A3438">
        <v>65061</v>
      </c>
      <c r="B3438" s="3" t="s">
        <v>1253</v>
      </c>
      <c r="C3438" s="7" t="s">
        <v>932</v>
      </c>
      <c r="D3438" s="7" t="s">
        <v>200</v>
      </c>
      <c r="F3438" s="7" t="s">
        <v>934</v>
      </c>
      <c r="G3438" s="7" t="s">
        <v>1637</v>
      </c>
      <c r="H3438" s="7" t="s">
        <v>1362</v>
      </c>
      <c r="I3438" s="7" t="s">
        <v>1253</v>
      </c>
      <c r="K3438" s="7" t="s">
        <v>917</v>
      </c>
      <c r="L3438" s="11">
        <v>371</v>
      </c>
      <c r="M3438" s="11">
        <v>24519.81</v>
      </c>
      <c r="N3438" s="9">
        <f t="shared" si="137"/>
        <v>371</v>
      </c>
    </row>
    <row r="3439" spans="1:14" ht="12.75" hidden="1" customHeight="1" x14ac:dyDescent="0.2">
      <c r="A3439">
        <v>65061</v>
      </c>
      <c r="B3439" s="3" t="s">
        <v>1253</v>
      </c>
      <c r="C3439" s="7" t="s">
        <v>448</v>
      </c>
      <c r="D3439" s="7" t="s">
        <v>200</v>
      </c>
      <c r="F3439" s="7" t="s">
        <v>241</v>
      </c>
      <c r="G3439" s="7" t="s">
        <v>1637</v>
      </c>
      <c r="H3439" s="7" t="s">
        <v>1362</v>
      </c>
      <c r="I3439" s="7" t="s">
        <v>1253</v>
      </c>
      <c r="K3439" s="7" t="s">
        <v>917</v>
      </c>
      <c r="L3439" s="11">
        <v>9.6199999999999992</v>
      </c>
      <c r="M3439" s="11">
        <v>25573.24</v>
      </c>
      <c r="N3439" s="9">
        <f t="shared" si="137"/>
        <v>9.6199999999999992</v>
      </c>
    </row>
    <row r="3440" spans="1:14" ht="12.75" hidden="1" customHeight="1" x14ac:dyDescent="0.2">
      <c r="A3440">
        <v>65061</v>
      </c>
      <c r="B3440" s="3" t="s">
        <v>1253</v>
      </c>
      <c r="C3440" s="7" t="s">
        <v>379</v>
      </c>
      <c r="D3440" s="7" t="s">
        <v>200</v>
      </c>
      <c r="F3440" s="7" t="s">
        <v>648</v>
      </c>
      <c r="G3440" s="7" t="s">
        <v>1637</v>
      </c>
      <c r="H3440" s="7" t="s">
        <v>1362</v>
      </c>
      <c r="I3440" s="7" t="s">
        <v>1253</v>
      </c>
      <c r="K3440" s="7" t="s">
        <v>917</v>
      </c>
      <c r="L3440" s="11">
        <v>26.74</v>
      </c>
      <c r="M3440" s="11">
        <v>27890.12</v>
      </c>
      <c r="N3440" s="9">
        <f t="shared" si="137"/>
        <v>26.74</v>
      </c>
    </row>
    <row r="3441" spans="1:14" ht="12.75" hidden="1" customHeight="1" x14ac:dyDescent="0.2">
      <c r="A3441">
        <v>65061</v>
      </c>
      <c r="B3441" s="3" t="s">
        <v>1253</v>
      </c>
      <c r="C3441" s="7" t="s">
        <v>379</v>
      </c>
      <c r="D3441" s="7" t="s">
        <v>200</v>
      </c>
      <c r="F3441" s="7" t="s">
        <v>568</v>
      </c>
      <c r="G3441" s="7" t="s">
        <v>1637</v>
      </c>
      <c r="H3441" s="7" t="s">
        <v>1362</v>
      </c>
      <c r="I3441" s="7" t="s">
        <v>1253</v>
      </c>
      <c r="K3441" s="7" t="s">
        <v>917</v>
      </c>
      <c r="L3441" s="11">
        <v>111.27</v>
      </c>
      <c r="M3441" s="11">
        <v>28070.080000000002</v>
      </c>
      <c r="N3441" s="9">
        <f t="shared" si="137"/>
        <v>111.27</v>
      </c>
    </row>
    <row r="3442" spans="1:14" ht="12.75" hidden="1" customHeight="1" x14ac:dyDescent="0.2">
      <c r="A3442">
        <v>65061</v>
      </c>
      <c r="B3442" s="3" t="s">
        <v>1253</v>
      </c>
      <c r="C3442" s="7" t="s">
        <v>379</v>
      </c>
      <c r="D3442" s="7" t="s">
        <v>200</v>
      </c>
      <c r="F3442" s="7" t="s">
        <v>265</v>
      </c>
      <c r="G3442" s="7" t="s">
        <v>1637</v>
      </c>
      <c r="H3442" s="7" t="s">
        <v>1362</v>
      </c>
      <c r="I3442" s="7" t="s">
        <v>1253</v>
      </c>
      <c r="K3442" s="7" t="s">
        <v>917</v>
      </c>
      <c r="L3442" s="11">
        <v>482.2</v>
      </c>
      <c r="M3442" s="11">
        <v>28552.28</v>
      </c>
      <c r="N3442" s="9">
        <f t="shared" si="137"/>
        <v>482.2</v>
      </c>
    </row>
    <row r="3443" spans="1:14" ht="12.75" hidden="1" customHeight="1" x14ac:dyDescent="0.2">
      <c r="A3443">
        <v>65061</v>
      </c>
      <c r="B3443" s="3" t="s">
        <v>1253</v>
      </c>
      <c r="C3443" s="7" t="s">
        <v>926</v>
      </c>
      <c r="D3443" s="7" t="s">
        <v>200</v>
      </c>
      <c r="F3443" s="7" t="s">
        <v>241</v>
      </c>
      <c r="G3443" s="7" t="s">
        <v>1637</v>
      </c>
      <c r="H3443" s="7" t="s">
        <v>1362</v>
      </c>
      <c r="I3443" s="7" t="s">
        <v>1253</v>
      </c>
      <c r="K3443" s="7" t="s">
        <v>917</v>
      </c>
      <c r="L3443" s="11">
        <v>29.4</v>
      </c>
      <c r="M3443" s="11">
        <v>29904.49</v>
      </c>
      <c r="N3443" s="9">
        <f t="shared" si="137"/>
        <v>29.4</v>
      </c>
    </row>
    <row r="3444" spans="1:14" ht="12.75" hidden="1" customHeight="1" x14ac:dyDescent="0.2">
      <c r="A3444">
        <v>65061</v>
      </c>
      <c r="B3444" s="3" t="s">
        <v>1253</v>
      </c>
      <c r="C3444" s="7" t="s">
        <v>374</v>
      </c>
      <c r="D3444" s="7" t="s">
        <v>200</v>
      </c>
      <c r="F3444" s="7" t="s">
        <v>546</v>
      </c>
      <c r="G3444" s="7" t="s">
        <v>1637</v>
      </c>
      <c r="H3444" s="7" t="s">
        <v>1362</v>
      </c>
      <c r="I3444" s="7" t="s">
        <v>1253</v>
      </c>
      <c r="K3444" s="7" t="s">
        <v>917</v>
      </c>
      <c r="L3444" s="11">
        <v>55.78</v>
      </c>
      <c r="M3444" s="11">
        <v>32326.15</v>
      </c>
      <c r="N3444" s="9">
        <f t="shared" si="137"/>
        <v>55.78</v>
      </c>
    </row>
    <row r="3445" spans="1:14" ht="12.75" hidden="1" customHeight="1" x14ac:dyDescent="0.2">
      <c r="A3445">
        <v>65061</v>
      </c>
      <c r="B3445" s="3" t="s">
        <v>1253</v>
      </c>
      <c r="C3445" s="7" t="s">
        <v>374</v>
      </c>
      <c r="D3445" s="7" t="s">
        <v>200</v>
      </c>
      <c r="F3445" s="7" t="s">
        <v>548</v>
      </c>
      <c r="G3445" s="7" t="s">
        <v>1637</v>
      </c>
      <c r="H3445" s="7" t="s">
        <v>1362</v>
      </c>
      <c r="I3445" s="7" t="s">
        <v>1253</v>
      </c>
      <c r="K3445" s="7" t="s">
        <v>917</v>
      </c>
      <c r="L3445" s="11">
        <v>35.090000000000003</v>
      </c>
      <c r="M3445" s="11">
        <v>32713.15</v>
      </c>
      <c r="N3445" s="9">
        <f t="shared" si="137"/>
        <v>35.090000000000003</v>
      </c>
    </row>
    <row r="3446" spans="1:14" ht="12.75" hidden="1" customHeight="1" x14ac:dyDescent="0.2">
      <c r="A3446">
        <v>65061</v>
      </c>
      <c r="B3446" s="3" t="s">
        <v>1253</v>
      </c>
      <c r="C3446" s="7" t="s">
        <v>372</v>
      </c>
      <c r="D3446" s="7" t="s">
        <v>200</v>
      </c>
      <c r="F3446" s="7" t="s">
        <v>564</v>
      </c>
      <c r="G3446" s="7" t="s">
        <v>1637</v>
      </c>
      <c r="H3446" s="7" t="s">
        <v>1362</v>
      </c>
      <c r="I3446" s="7" t="s">
        <v>1253</v>
      </c>
      <c r="K3446" s="7" t="s">
        <v>917</v>
      </c>
      <c r="L3446" s="11">
        <v>10.67</v>
      </c>
      <c r="M3446" s="11">
        <v>36119.1</v>
      </c>
      <c r="N3446" s="9">
        <f t="shared" si="137"/>
        <v>10.67</v>
      </c>
    </row>
    <row r="3447" spans="1:14" ht="12.75" hidden="1" customHeight="1" x14ac:dyDescent="0.2">
      <c r="A3447">
        <v>65061</v>
      </c>
      <c r="B3447" s="3" t="s">
        <v>1253</v>
      </c>
      <c r="C3447" s="7" t="s">
        <v>372</v>
      </c>
      <c r="D3447" s="7" t="s">
        <v>200</v>
      </c>
      <c r="F3447" s="7" t="s">
        <v>355</v>
      </c>
      <c r="G3447" s="7" t="s">
        <v>1637</v>
      </c>
      <c r="H3447" s="7" t="s">
        <v>1362</v>
      </c>
      <c r="I3447" s="7" t="s">
        <v>1253</v>
      </c>
      <c r="K3447" s="7" t="s">
        <v>917</v>
      </c>
      <c r="L3447" s="11">
        <v>8.01</v>
      </c>
      <c r="M3447" s="11">
        <v>36409.86</v>
      </c>
      <c r="N3447" s="9">
        <f t="shared" si="137"/>
        <v>8.01</v>
      </c>
    </row>
    <row r="3448" spans="1:14" ht="12.75" hidden="1" customHeight="1" x14ac:dyDescent="0.2">
      <c r="A3448">
        <v>65061</v>
      </c>
      <c r="B3448" s="3" t="s">
        <v>1253</v>
      </c>
      <c r="C3448" s="7" t="s">
        <v>372</v>
      </c>
      <c r="D3448" s="7" t="s">
        <v>200</v>
      </c>
      <c r="F3448" s="7" t="s">
        <v>241</v>
      </c>
      <c r="G3448" s="7" t="s">
        <v>1637</v>
      </c>
      <c r="H3448" s="7" t="s">
        <v>1362</v>
      </c>
      <c r="I3448" s="7" t="s">
        <v>1253</v>
      </c>
      <c r="K3448" s="7" t="s">
        <v>917</v>
      </c>
      <c r="L3448" s="11">
        <v>141.16</v>
      </c>
      <c r="M3448" s="11">
        <v>36792.870000000003</v>
      </c>
      <c r="N3448" s="9">
        <f t="shared" si="137"/>
        <v>141.16</v>
      </c>
    </row>
    <row r="3449" spans="1:14" ht="12.75" hidden="1" customHeight="1" x14ac:dyDescent="0.2">
      <c r="A3449">
        <v>65061</v>
      </c>
      <c r="B3449" s="3" t="s">
        <v>1253</v>
      </c>
      <c r="C3449" s="7" t="s">
        <v>372</v>
      </c>
      <c r="D3449" s="7" t="s">
        <v>200</v>
      </c>
      <c r="F3449" s="7" t="s">
        <v>918</v>
      </c>
      <c r="G3449" s="7" t="s">
        <v>1637</v>
      </c>
      <c r="H3449" s="7" t="s">
        <v>1362</v>
      </c>
      <c r="I3449" s="7" t="s">
        <v>1253</v>
      </c>
      <c r="K3449" s="7" t="s">
        <v>917</v>
      </c>
      <c r="L3449" s="11">
        <v>25.68</v>
      </c>
      <c r="M3449" s="11">
        <v>37515.24</v>
      </c>
      <c r="N3449" s="9">
        <f t="shared" si="137"/>
        <v>25.68</v>
      </c>
    </row>
    <row r="3450" spans="1:14" ht="12.75" customHeight="1" x14ac:dyDescent="0.2">
      <c r="A3450">
        <v>44000</v>
      </c>
      <c r="B3450" s="3" t="s">
        <v>1229</v>
      </c>
      <c r="C3450" s="7" t="s">
        <v>1638</v>
      </c>
      <c r="D3450" s="7" t="s">
        <v>183</v>
      </c>
      <c r="E3450" s="7">
        <v>733</v>
      </c>
      <c r="G3450" s="7" t="s">
        <v>1552</v>
      </c>
      <c r="H3450" s="7" t="s">
        <v>1359</v>
      </c>
      <c r="I3450" s="7" t="s">
        <v>2148</v>
      </c>
      <c r="J3450" s="39" t="s">
        <v>1711</v>
      </c>
      <c r="K3450" s="39" t="s">
        <v>180</v>
      </c>
      <c r="L3450" s="40">
        <v>450</v>
      </c>
      <c r="M3450" s="40">
        <v>235185.2</v>
      </c>
      <c r="N3450" s="41">
        <f>-L3450</f>
        <v>-450</v>
      </c>
    </row>
    <row r="3451" spans="1:14" ht="12.75" customHeight="1" x14ac:dyDescent="0.2">
      <c r="A3451">
        <v>44000</v>
      </c>
      <c r="B3451" s="3" t="s">
        <v>1229</v>
      </c>
      <c r="C3451" s="7" t="s">
        <v>1722</v>
      </c>
      <c r="D3451" s="7" t="s">
        <v>242</v>
      </c>
      <c r="F3451" s="7" t="s">
        <v>665</v>
      </c>
      <c r="G3451" s="7" t="s">
        <v>1552</v>
      </c>
      <c r="H3451" s="7" t="s">
        <v>1359</v>
      </c>
      <c r="I3451" s="7" t="s">
        <v>2148</v>
      </c>
      <c r="J3451" s="39" t="s">
        <v>1723</v>
      </c>
      <c r="K3451" s="39" t="s">
        <v>1172</v>
      </c>
      <c r="L3451" s="40">
        <v>2781</v>
      </c>
      <c r="M3451" s="40">
        <v>238560.68</v>
      </c>
      <c r="N3451" s="41">
        <f>-L3451</f>
        <v>-2781</v>
      </c>
    </row>
    <row r="3452" spans="1:14" ht="12.75" customHeight="1" x14ac:dyDescent="0.2">
      <c r="A3452">
        <v>44000</v>
      </c>
      <c r="B3452" s="3" t="s">
        <v>1229</v>
      </c>
      <c r="C3452" s="7" t="s">
        <v>1550</v>
      </c>
      <c r="D3452" s="7" t="s">
        <v>242</v>
      </c>
      <c r="F3452" s="7" t="s">
        <v>665</v>
      </c>
      <c r="G3452" s="7" t="s">
        <v>1552</v>
      </c>
      <c r="H3452" s="7" t="s">
        <v>1359</v>
      </c>
      <c r="I3452" s="7" t="s">
        <v>2148</v>
      </c>
      <c r="K3452" s="39" t="s">
        <v>1172</v>
      </c>
      <c r="L3452" s="40">
        <v>100</v>
      </c>
      <c r="M3452" s="40">
        <v>239252.98</v>
      </c>
      <c r="N3452" s="41">
        <f>-L3452</f>
        <v>-100</v>
      </c>
    </row>
    <row r="3453" spans="1:14" ht="12.75" hidden="1" customHeight="1" x14ac:dyDescent="0.2">
      <c r="A3453">
        <v>65025</v>
      </c>
      <c r="B3453" s="3" t="s">
        <v>1246</v>
      </c>
      <c r="C3453" s="7" t="s">
        <v>449</v>
      </c>
      <c r="D3453" s="7" t="s">
        <v>200</v>
      </c>
      <c r="F3453" s="7" t="s">
        <v>446</v>
      </c>
      <c r="G3453" s="7" t="s">
        <v>1605</v>
      </c>
      <c r="H3453" s="7" t="s">
        <v>1362</v>
      </c>
      <c r="I3453" s="7" t="s">
        <v>1246</v>
      </c>
      <c r="K3453" s="7" t="s">
        <v>1040</v>
      </c>
      <c r="L3453" s="11">
        <v>16</v>
      </c>
      <c r="M3453" s="11">
        <v>93</v>
      </c>
      <c r="N3453" s="9">
        <f t="shared" ref="N3453:N3482" si="138">IF(A3453&lt;60000,-L3453,+L3453)</f>
        <v>16</v>
      </c>
    </row>
    <row r="3454" spans="1:14" ht="12.75" hidden="1" customHeight="1" x14ac:dyDescent="0.2">
      <c r="A3454">
        <v>65025</v>
      </c>
      <c r="B3454" s="3" t="s">
        <v>1246</v>
      </c>
      <c r="C3454" s="7" t="s">
        <v>194</v>
      </c>
      <c r="D3454" s="7" t="s">
        <v>221</v>
      </c>
      <c r="F3454" s="7" t="s">
        <v>446</v>
      </c>
      <c r="G3454" s="7" t="s">
        <v>1605</v>
      </c>
      <c r="H3454" s="7" t="s">
        <v>1362</v>
      </c>
      <c r="I3454" s="7" t="s">
        <v>1246</v>
      </c>
      <c r="K3454" s="7" t="s">
        <v>1040</v>
      </c>
      <c r="L3454" s="11">
        <v>16</v>
      </c>
      <c r="M3454" s="11">
        <v>977.33</v>
      </c>
      <c r="N3454" s="9">
        <f t="shared" si="138"/>
        <v>16</v>
      </c>
    </row>
    <row r="3455" spans="1:14" ht="12.75" hidden="1" customHeight="1" x14ac:dyDescent="0.2">
      <c r="A3455">
        <v>65025</v>
      </c>
      <c r="B3455" s="3" t="s">
        <v>1246</v>
      </c>
      <c r="C3455" s="7" t="s">
        <v>222</v>
      </c>
      <c r="D3455" s="7" t="s">
        <v>221</v>
      </c>
      <c r="F3455" s="7" t="s">
        <v>446</v>
      </c>
      <c r="G3455" s="7" t="s">
        <v>1605</v>
      </c>
      <c r="H3455" s="7" t="s">
        <v>1362</v>
      </c>
      <c r="I3455" s="7" t="s">
        <v>1246</v>
      </c>
      <c r="K3455" s="7" t="s">
        <v>1040</v>
      </c>
      <c r="L3455" s="11">
        <v>16</v>
      </c>
      <c r="M3455" s="11">
        <v>1507.91</v>
      </c>
      <c r="N3455" s="9">
        <f t="shared" si="138"/>
        <v>16</v>
      </c>
    </row>
    <row r="3456" spans="1:14" ht="12.75" customHeight="1" x14ac:dyDescent="0.2">
      <c r="A3456">
        <v>44000</v>
      </c>
      <c r="B3456" s="3" t="s">
        <v>1229</v>
      </c>
      <c r="C3456" s="7" t="s">
        <v>388</v>
      </c>
      <c r="D3456" s="7" t="s">
        <v>242</v>
      </c>
      <c r="F3456" s="7" t="s">
        <v>665</v>
      </c>
      <c r="G3456" s="7" t="s">
        <v>1610</v>
      </c>
      <c r="H3456" s="7" t="s">
        <v>1359</v>
      </c>
      <c r="I3456" s="7" t="s">
        <v>2148</v>
      </c>
      <c r="K3456" s="7" t="s">
        <v>245</v>
      </c>
      <c r="L3456" s="11">
        <v>3000</v>
      </c>
      <c r="M3456" s="11">
        <v>3390</v>
      </c>
      <c r="N3456" s="9">
        <f t="shared" si="138"/>
        <v>-3000</v>
      </c>
    </row>
    <row r="3457" spans="1:14" ht="12.75" hidden="1" customHeight="1" x14ac:dyDescent="0.2">
      <c r="A3457">
        <v>65025</v>
      </c>
      <c r="B3457" s="3" t="s">
        <v>1246</v>
      </c>
      <c r="C3457" s="7" t="s">
        <v>379</v>
      </c>
      <c r="D3457" s="7" t="s">
        <v>200</v>
      </c>
      <c r="F3457" s="7" t="s">
        <v>446</v>
      </c>
      <c r="G3457" s="7" t="s">
        <v>1641</v>
      </c>
      <c r="H3457" s="7" t="s">
        <v>1362</v>
      </c>
      <c r="I3457" s="7" t="s">
        <v>1246</v>
      </c>
      <c r="K3457" s="7" t="s">
        <v>936</v>
      </c>
      <c r="L3457" s="11">
        <v>16</v>
      </c>
      <c r="M3457" s="11">
        <v>374.2</v>
      </c>
      <c r="N3457" s="9">
        <f t="shared" si="138"/>
        <v>16</v>
      </c>
    </row>
    <row r="3458" spans="1:14" ht="12.75" hidden="1" customHeight="1" x14ac:dyDescent="0.2">
      <c r="A3458">
        <v>65025</v>
      </c>
      <c r="B3458" s="3" t="s">
        <v>1246</v>
      </c>
      <c r="C3458" s="7" t="s">
        <v>334</v>
      </c>
      <c r="D3458" s="7" t="s">
        <v>200</v>
      </c>
      <c r="F3458" s="7" t="s">
        <v>446</v>
      </c>
      <c r="G3458" s="7" t="s">
        <v>1641</v>
      </c>
      <c r="H3458" s="7" t="s">
        <v>1362</v>
      </c>
      <c r="I3458" s="7" t="s">
        <v>1246</v>
      </c>
      <c r="K3458" s="7" t="s">
        <v>936</v>
      </c>
      <c r="L3458" s="11">
        <v>16</v>
      </c>
      <c r="M3458" s="11">
        <v>572.66999999999996</v>
      </c>
      <c r="N3458" s="9">
        <f t="shared" si="138"/>
        <v>16</v>
      </c>
    </row>
    <row r="3459" spans="1:14" ht="12.75" hidden="1" customHeight="1" x14ac:dyDescent="0.2">
      <c r="A3459">
        <v>65025</v>
      </c>
      <c r="B3459" s="3" t="s">
        <v>1246</v>
      </c>
      <c r="C3459" s="7" t="s">
        <v>406</v>
      </c>
      <c r="D3459" s="7" t="s">
        <v>200</v>
      </c>
      <c r="F3459" s="7" t="s">
        <v>446</v>
      </c>
      <c r="G3459" s="7" t="s">
        <v>1641</v>
      </c>
      <c r="H3459" s="7" t="s">
        <v>1362</v>
      </c>
      <c r="I3459" s="7" t="s">
        <v>1246</v>
      </c>
      <c r="K3459" s="7" t="s">
        <v>936</v>
      </c>
      <c r="L3459" s="11">
        <v>16</v>
      </c>
      <c r="M3459" s="11">
        <v>604.66999999999996</v>
      </c>
      <c r="N3459" s="9">
        <f t="shared" si="138"/>
        <v>16</v>
      </c>
    </row>
    <row r="3460" spans="1:14" ht="12.75" hidden="1" customHeight="1" x14ac:dyDescent="0.2">
      <c r="A3460">
        <v>65025</v>
      </c>
      <c r="B3460" s="3" t="s">
        <v>1246</v>
      </c>
      <c r="C3460" s="7" t="s">
        <v>194</v>
      </c>
      <c r="D3460" s="7" t="s">
        <v>221</v>
      </c>
      <c r="F3460" s="7" t="s">
        <v>446</v>
      </c>
      <c r="G3460" s="7" t="s">
        <v>1641</v>
      </c>
      <c r="H3460" s="7" t="s">
        <v>1362</v>
      </c>
      <c r="I3460" s="7" t="s">
        <v>1246</v>
      </c>
      <c r="K3460" s="7" t="s">
        <v>936</v>
      </c>
      <c r="L3460" s="11">
        <v>16</v>
      </c>
      <c r="M3460" s="11">
        <v>945.33</v>
      </c>
      <c r="N3460" s="9">
        <f t="shared" si="138"/>
        <v>16</v>
      </c>
    </row>
    <row r="3461" spans="1:14" ht="12.75" hidden="1" customHeight="1" x14ac:dyDescent="0.2">
      <c r="A3461">
        <v>65025</v>
      </c>
      <c r="B3461" s="3" t="s">
        <v>1246</v>
      </c>
      <c r="C3461" s="7" t="s">
        <v>222</v>
      </c>
      <c r="D3461" s="7" t="s">
        <v>221</v>
      </c>
      <c r="F3461" s="7" t="s">
        <v>446</v>
      </c>
      <c r="G3461" s="7" t="s">
        <v>1641</v>
      </c>
      <c r="H3461" s="7" t="s">
        <v>1362</v>
      </c>
      <c r="I3461" s="7" t="s">
        <v>1246</v>
      </c>
      <c r="K3461" s="7" t="s">
        <v>936</v>
      </c>
      <c r="L3461" s="11">
        <v>16</v>
      </c>
      <c r="M3461" s="11">
        <v>1568.91</v>
      </c>
      <c r="N3461" s="9">
        <f t="shared" si="138"/>
        <v>16</v>
      </c>
    </row>
    <row r="3462" spans="1:14" ht="12.75" hidden="1" customHeight="1" x14ac:dyDescent="0.2">
      <c r="A3462">
        <v>65061</v>
      </c>
      <c r="B3462" s="3" t="s">
        <v>1253</v>
      </c>
      <c r="C3462" s="7" t="s">
        <v>939</v>
      </c>
      <c r="D3462" s="7" t="s">
        <v>200</v>
      </c>
      <c r="E3462" s="7">
        <v>1001</v>
      </c>
      <c r="F3462" s="7" t="s">
        <v>938</v>
      </c>
      <c r="G3462" s="7" t="s">
        <v>1641</v>
      </c>
      <c r="H3462" s="7" t="s">
        <v>1362</v>
      </c>
      <c r="I3462" s="7" t="s">
        <v>1253</v>
      </c>
      <c r="K3462" s="7" t="s">
        <v>936</v>
      </c>
      <c r="L3462" s="11">
        <v>307.10000000000002</v>
      </c>
      <c r="M3462" s="11">
        <v>23113.71</v>
      </c>
      <c r="N3462" s="9">
        <f t="shared" si="138"/>
        <v>307.10000000000002</v>
      </c>
    </row>
    <row r="3463" spans="1:14" ht="12.75" customHeight="1" x14ac:dyDescent="0.2">
      <c r="A3463">
        <v>44000</v>
      </c>
      <c r="B3463" s="3" t="s">
        <v>1229</v>
      </c>
      <c r="C3463" s="7" t="s">
        <v>384</v>
      </c>
      <c r="D3463" s="7" t="s">
        <v>242</v>
      </c>
      <c r="F3463" s="7" t="s">
        <v>665</v>
      </c>
      <c r="G3463" s="7" t="s">
        <v>1610</v>
      </c>
      <c r="H3463" s="7" t="s">
        <v>1359</v>
      </c>
      <c r="I3463" s="7" t="s">
        <v>2148</v>
      </c>
      <c r="K3463" s="7" t="s">
        <v>245</v>
      </c>
      <c r="L3463" s="11">
        <v>1700</v>
      </c>
      <c r="M3463" s="11">
        <v>5215</v>
      </c>
      <c r="N3463" s="9">
        <f t="shared" si="138"/>
        <v>-1700</v>
      </c>
    </row>
    <row r="3464" spans="1:14" ht="12.75" customHeight="1" x14ac:dyDescent="0.2">
      <c r="A3464">
        <v>44000</v>
      </c>
      <c r="B3464" s="3" t="s">
        <v>1229</v>
      </c>
      <c r="C3464" s="7" t="s">
        <v>381</v>
      </c>
      <c r="D3464" s="7" t="s">
        <v>242</v>
      </c>
      <c r="F3464" s="7" t="s">
        <v>665</v>
      </c>
      <c r="G3464" s="7" t="s">
        <v>1610</v>
      </c>
      <c r="H3464" s="7" t="s">
        <v>1359</v>
      </c>
      <c r="I3464" s="7" t="s">
        <v>2148</v>
      </c>
      <c r="K3464" s="7" t="s">
        <v>245</v>
      </c>
      <c r="L3464" s="11">
        <v>2200</v>
      </c>
      <c r="M3464" s="11">
        <v>7440</v>
      </c>
      <c r="N3464" s="9">
        <f t="shared" si="138"/>
        <v>-2200</v>
      </c>
    </row>
    <row r="3465" spans="1:14" ht="12.75" customHeight="1" x14ac:dyDescent="0.2">
      <c r="A3465">
        <v>44000</v>
      </c>
      <c r="B3465" s="3" t="s">
        <v>1229</v>
      </c>
      <c r="C3465" s="7" t="s">
        <v>377</v>
      </c>
      <c r="D3465" s="7" t="s">
        <v>242</v>
      </c>
      <c r="F3465" s="7" t="s">
        <v>665</v>
      </c>
      <c r="G3465" s="7" t="s">
        <v>1610</v>
      </c>
      <c r="H3465" s="7" t="s">
        <v>1359</v>
      </c>
      <c r="I3465" s="7" t="s">
        <v>2148</v>
      </c>
      <c r="K3465" s="7" t="s">
        <v>245</v>
      </c>
      <c r="L3465" s="11">
        <v>3000</v>
      </c>
      <c r="M3465" s="11">
        <v>10440</v>
      </c>
      <c r="N3465" s="9">
        <f t="shared" si="138"/>
        <v>-3000</v>
      </c>
    </row>
    <row r="3466" spans="1:14" ht="12.75" customHeight="1" x14ac:dyDescent="0.2">
      <c r="A3466">
        <v>44000</v>
      </c>
      <c r="B3466" s="3" t="s">
        <v>1229</v>
      </c>
      <c r="C3466" s="7" t="s">
        <v>926</v>
      </c>
      <c r="D3466" s="7" t="s">
        <v>242</v>
      </c>
      <c r="F3466" s="7" t="s">
        <v>665</v>
      </c>
      <c r="G3466" s="7" t="s">
        <v>1610</v>
      </c>
      <c r="H3466" s="7" t="s">
        <v>1359</v>
      </c>
      <c r="I3466" s="7" t="s">
        <v>2148</v>
      </c>
      <c r="K3466" s="7" t="s">
        <v>245</v>
      </c>
      <c r="L3466" s="11">
        <v>3000</v>
      </c>
      <c r="M3466" s="11">
        <v>13440</v>
      </c>
      <c r="N3466" s="9">
        <f t="shared" si="138"/>
        <v>-3000</v>
      </c>
    </row>
    <row r="3467" spans="1:14" ht="12.75" customHeight="1" x14ac:dyDescent="0.2">
      <c r="A3467">
        <v>44000</v>
      </c>
      <c r="B3467" s="3" t="s">
        <v>1229</v>
      </c>
      <c r="C3467" s="7" t="s">
        <v>376</v>
      </c>
      <c r="D3467" s="7" t="s">
        <v>242</v>
      </c>
      <c r="F3467" s="7" t="s">
        <v>665</v>
      </c>
      <c r="G3467" s="7" t="s">
        <v>1610</v>
      </c>
      <c r="H3467" s="7" t="s">
        <v>1359</v>
      </c>
      <c r="I3467" s="7" t="s">
        <v>2148</v>
      </c>
      <c r="K3467" s="7" t="s">
        <v>245</v>
      </c>
      <c r="L3467" s="11">
        <v>1600</v>
      </c>
      <c r="M3467" s="11">
        <v>15040</v>
      </c>
      <c r="N3467" s="9">
        <f t="shared" si="138"/>
        <v>-1600</v>
      </c>
    </row>
    <row r="3468" spans="1:14" ht="12.75" customHeight="1" x14ac:dyDescent="0.2">
      <c r="A3468">
        <v>44000</v>
      </c>
      <c r="B3468" s="3" t="s">
        <v>1229</v>
      </c>
      <c r="C3468" s="7" t="s">
        <v>372</v>
      </c>
      <c r="D3468" s="7" t="s">
        <v>242</v>
      </c>
      <c r="F3468" s="7" t="s">
        <v>665</v>
      </c>
      <c r="G3468" s="7" t="s">
        <v>1610</v>
      </c>
      <c r="H3468" s="7" t="s">
        <v>1359</v>
      </c>
      <c r="I3468" s="7" t="s">
        <v>2148</v>
      </c>
      <c r="K3468" s="7" t="s">
        <v>245</v>
      </c>
      <c r="L3468" s="11">
        <v>2400</v>
      </c>
      <c r="M3468" s="11">
        <v>17440</v>
      </c>
      <c r="N3468" s="9">
        <f t="shared" si="138"/>
        <v>-2400</v>
      </c>
    </row>
    <row r="3469" spans="1:14" ht="12.75" customHeight="1" x14ac:dyDescent="0.2">
      <c r="A3469">
        <v>44000</v>
      </c>
      <c r="B3469" s="3" t="s">
        <v>1229</v>
      </c>
      <c r="C3469" s="7" t="s">
        <v>372</v>
      </c>
      <c r="D3469" s="7" t="s">
        <v>242</v>
      </c>
      <c r="F3469" s="7" t="s">
        <v>665</v>
      </c>
      <c r="G3469" s="7" t="s">
        <v>1610</v>
      </c>
      <c r="H3469" s="7" t="s">
        <v>1359</v>
      </c>
      <c r="I3469" s="7" t="s">
        <v>2148</v>
      </c>
      <c r="K3469" s="7" t="s">
        <v>245</v>
      </c>
      <c r="L3469" s="11">
        <v>1100</v>
      </c>
      <c r="M3469" s="11">
        <v>18540</v>
      </c>
      <c r="N3469" s="9">
        <f t="shared" si="138"/>
        <v>-1100</v>
      </c>
    </row>
    <row r="3470" spans="1:14" ht="12.75" customHeight="1" x14ac:dyDescent="0.2">
      <c r="A3470">
        <v>44000</v>
      </c>
      <c r="B3470" s="3" t="s">
        <v>1229</v>
      </c>
      <c r="C3470" s="7" t="s">
        <v>369</v>
      </c>
      <c r="D3470" s="7" t="s">
        <v>242</v>
      </c>
      <c r="F3470" s="7" t="s">
        <v>665</v>
      </c>
      <c r="G3470" s="7" t="s">
        <v>1610</v>
      </c>
      <c r="H3470" s="7" t="s">
        <v>1359</v>
      </c>
      <c r="I3470" s="7" t="s">
        <v>2148</v>
      </c>
      <c r="K3470" s="7" t="s">
        <v>245</v>
      </c>
      <c r="L3470" s="11">
        <v>1500</v>
      </c>
      <c r="M3470" s="11">
        <v>20040</v>
      </c>
      <c r="N3470" s="9">
        <f t="shared" si="138"/>
        <v>-1500</v>
      </c>
    </row>
    <row r="3471" spans="1:14" ht="12.75" customHeight="1" x14ac:dyDescent="0.2">
      <c r="A3471">
        <v>44000</v>
      </c>
      <c r="B3471" s="3" t="s">
        <v>1229</v>
      </c>
      <c r="C3471" s="7" t="s">
        <v>361</v>
      </c>
      <c r="D3471" s="7" t="s">
        <v>242</v>
      </c>
      <c r="F3471" s="7" t="s">
        <v>665</v>
      </c>
      <c r="G3471" s="7" t="s">
        <v>1610</v>
      </c>
      <c r="H3471" s="7" t="s">
        <v>1359</v>
      </c>
      <c r="I3471" s="7" t="s">
        <v>2148</v>
      </c>
      <c r="K3471" s="7" t="s">
        <v>245</v>
      </c>
      <c r="L3471" s="11">
        <v>4500</v>
      </c>
      <c r="M3471" s="11">
        <v>24540</v>
      </c>
      <c r="N3471" s="9">
        <f t="shared" si="138"/>
        <v>-4500</v>
      </c>
    </row>
    <row r="3472" spans="1:14" ht="12.75" customHeight="1" x14ac:dyDescent="0.2">
      <c r="A3472">
        <v>44000</v>
      </c>
      <c r="B3472" s="3" t="s">
        <v>1229</v>
      </c>
      <c r="C3472" s="7" t="s">
        <v>361</v>
      </c>
      <c r="D3472" s="7" t="s">
        <v>242</v>
      </c>
      <c r="F3472" s="7" t="s">
        <v>665</v>
      </c>
      <c r="G3472" s="7" t="s">
        <v>1610</v>
      </c>
      <c r="H3472" s="7" t="s">
        <v>1359</v>
      </c>
      <c r="I3472" s="7" t="s">
        <v>2148</v>
      </c>
      <c r="K3472" s="7" t="s">
        <v>245</v>
      </c>
      <c r="L3472" s="11">
        <v>2015</v>
      </c>
      <c r="M3472" s="11">
        <v>26555</v>
      </c>
      <c r="N3472" s="9">
        <f t="shared" si="138"/>
        <v>-2015</v>
      </c>
    </row>
    <row r="3473" spans="1:14" ht="12.75" customHeight="1" x14ac:dyDescent="0.2">
      <c r="A3473">
        <v>44000</v>
      </c>
      <c r="B3473" s="3" t="s">
        <v>1229</v>
      </c>
      <c r="C3473" s="7" t="s">
        <v>356</v>
      </c>
      <c r="D3473" s="7" t="s">
        <v>242</v>
      </c>
      <c r="F3473" s="7" t="s">
        <v>665</v>
      </c>
      <c r="G3473" s="7" t="s">
        <v>1610</v>
      </c>
      <c r="H3473" s="7" t="s">
        <v>1359</v>
      </c>
      <c r="I3473" s="7" t="s">
        <v>2148</v>
      </c>
      <c r="K3473" s="7" t="s">
        <v>245</v>
      </c>
      <c r="L3473" s="11">
        <v>650</v>
      </c>
      <c r="M3473" s="11">
        <v>27205</v>
      </c>
      <c r="N3473" s="9">
        <f t="shared" si="138"/>
        <v>-650</v>
      </c>
    </row>
    <row r="3474" spans="1:14" ht="12.75" customHeight="1" x14ac:dyDescent="0.2">
      <c r="A3474">
        <v>44000</v>
      </c>
      <c r="B3474" s="3" t="s">
        <v>1229</v>
      </c>
      <c r="C3474" s="7" t="s">
        <v>353</v>
      </c>
      <c r="D3474" s="7" t="s">
        <v>242</v>
      </c>
      <c r="F3474" s="7" t="s">
        <v>665</v>
      </c>
      <c r="G3474" s="7" t="s">
        <v>1610</v>
      </c>
      <c r="H3474" s="7" t="s">
        <v>1359</v>
      </c>
      <c r="I3474" s="7" t="s">
        <v>2148</v>
      </c>
      <c r="K3474" s="7" t="s">
        <v>245</v>
      </c>
      <c r="L3474" s="11">
        <v>2400</v>
      </c>
      <c r="M3474" s="11">
        <v>29605</v>
      </c>
      <c r="N3474" s="9">
        <f t="shared" si="138"/>
        <v>-2400</v>
      </c>
    </row>
    <row r="3475" spans="1:14" ht="12.75" customHeight="1" x14ac:dyDescent="0.2">
      <c r="A3475">
        <v>44000</v>
      </c>
      <c r="B3475" s="3" t="s">
        <v>1229</v>
      </c>
      <c r="C3475" s="7" t="s">
        <v>353</v>
      </c>
      <c r="D3475" s="7" t="s">
        <v>242</v>
      </c>
      <c r="F3475" s="7" t="s">
        <v>665</v>
      </c>
      <c r="G3475" s="7" t="s">
        <v>1610</v>
      </c>
      <c r="H3475" s="7" t="s">
        <v>1359</v>
      </c>
      <c r="I3475" s="7" t="s">
        <v>2148</v>
      </c>
      <c r="K3475" s="7" t="s">
        <v>245</v>
      </c>
      <c r="L3475" s="11">
        <v>1500</v>
      </c>
      <c r="M3475" s="11">
        <v>31105</v>
      </c>
      <c r="N3475" s="9">
        <f t="shared" si="138"/>
        <v>-1500</v>
      </c>
    </row>
    <row r="3476" spans="1:14" ht="12.75" customHeight="1" x14ac:dyDescent="0.2">
      <c r="A3476">
        <v>44000</v>
      </c>
      <c r="B3476" s="3" t="s">
        <v>1229</v>
      </c>
      <c r="C3476" s="7" t="s">
        <v>348</v>
      </c>
      <c r="D3476" s="7" t="s">
        <v>242</v>
      </c>
      <c r="F3476" s="7" t="s">
        <v>665</v>
      </c>
      <c r="G3476" s="7" t="s">
        <v>1610</v>
      </c>
      <c r="H3476" s="7" t="s">
        <v>1359</v>
      </c>
      <c r="I3476" s="7" t="s">
        <v>2148</v>
      </c>
      <c r="K3476" s="7" t="s">
        <v>245</v>
      </c>
      <c r="L3476" s="11">
        <v>2300</v>
      </c>
      <c r="M3476" s="11">
        <v>33405</v>
      </c>
      <c r="N3476" s="9">
        <f t="shared" si="138"/>
        <v>-2300</v>
      </c>
    </row>
    <row r="3477" spans="1:14" ht="12.75" customHeight="1" x14ac:dyDescent="0.2">
      <c r="A3477">
        <v>44000</v>
      </c>
      <c r="B3477" s="3" t="s">
        <v>1229</v>
      </c>
      <c r="C3477" s="7" t="s">
        <v>334</v>
      </c>
      <c r="D3477" s="7" t="s">
        <v>242</v>
      </c>
      <c r="F3477" s="7" t="s">
        <v>665</v>
      </c>
      <c r="G3477" s="7" t="s">
        <v>1610</v>
      </c>
      <c r="H3477" s="7" t="s">
        <v>1359</v>
      </c>
      <c r="I3477" s="7" t="s">
        <v>2148</v>
      </c>
      <c r="K3477" s="7" t="s">
        <v>245</v>
      </c>
      <c r="L3477" s="11">
        <v>3000</v>
      </c>
      <c r="M3477" s="11">
        <v>36405</v>
      </c>
      <c r="N3477" s="9">
        <f t="shared" si="138"/>
        <v>-3000</v>
      </c>
    </row>
    <row r="3478" spans="1:14" ht="12.75" customHeight="1" x14ac:dyDescent="0.2">
      <c r="A3478">
        <v>44000</v>
      </c>
      <c r="B3478" s="3" t="s">
        <v>1229</v>
      </c>
      <c r="C3478" s="7" t="s">
        <v>868</v>
      </c>
      <c r="D3478" s="7" t="s">
        <v>200</v>
      </c>
      <c r="F3478" s="7" t="s">
        <v>1149</v>
      </c>
      <c r="G3478" s="7" t="s">
        <v>1610</v>
      </c>
      <c r="H3478" s="7" t="s">
        <v>1359</v>
      </c>
      <c r="I3478" s="7" t="s">
        <v>2148</v>
      </c>
      <c r="K3478" s="7" t="s">
        <v>245</v>
      </c>
      <c r="L3478" s="11">
        <v>-100</v>
      </c>
      <c r="M3478" s="11">
        <v>45355</v>
      </c>
      <c r="N3478" s="9">
        <f t="shared" si="138"/>
        <v>100</v>
      </c>
    </row>
    <row r="3479" spans="1:14" ht="12.75" customHeight="1" x14ac:dyDescent="0.2">
      <c r="A3479">
        <v>44000</v>
      </c>
      <c r="B3479" s="3" t="s">
        <v>1229</v>
      </c>
      <c r="C3479" s="7" t="s">
        <v>323</v>
      </c>
      <c r="D3479" s="7" t="s">
        <v>242</v>
      </c>
      <c r="F3479" s="7" t="s">
        <v>325</v>
      </c>
      <c r="G3479" s="7" t="s">
        <v>1610</v>
      </c>
      <c r="H3479" s="7" t="s">
        <v>1359</v>
      </c>
      <c r="I3479" s="7" t="s">
        <v>2148</v>
      </c>
      <c r="K3479" s="7" t="s">
        <v>245</v>
      </c>
      <c r="L3479" s="11">
        <v>90720</v>
      </c>
      <c r="M3479" s="11">
        <v>136075</v>
      </c>
      <c r="N3479" s="9">
        <f t="shared" si="138"/>
        <v>-90720</v>
      </c>
    </row>
    <row r="3480" spans="1:14" ht="12.75" customHeight="1" x14ac:dyDescent="0.2">
      <c r="A3480">
        <v>44000</v>
      </c>
      <c r="B3480" s="3" t="s">
        <v>1229</v>
      </c>
      <c r="C3480" s="7" t="s">
        <v>849</v>
      </c>
      <c r="D3480" s="7" t="s">
        <v>242</v>
      </c>
      <c r="F3480" s="7" t="s">
        <v>665</v>
      </c>
      <c r="G3480" s="7" t="s">
        <v>1610</v>
      </c>
      <c r="H3480" s="7" t="s">
        <v>1359</v>
      </c>
      <c r="I3480" s="7" t="s">
        <v>2148</v>
      </c>
      <c r="K3480" s="7" t="s">
        <v>245</v>
      </c>
      <c r="L3480" s="11">
        <v>4665</v>
      </c>
      <c r="M3480" s="11">
        <v>141125</v>
      </c>
      <c r="N3480" s="9">
        <f t="shared" si="138"/>
        <v>-4665</v>
      </c>
    </row>
    <row r="3481" spans="1:14" ht="12.75" customHeight="1" x14ac:dyDescent="0.2">
      <c r="A3481">
        <v>44000</v>
      </c>
      <c r="B3481" s="3" t="s">
        <v>1229</v>
      </c>
      <c r="C3481" s="7" t="s">
        <v>308</v>
      </c>
      <c r="D3481" s="7" t="s">
        <v>242</v>
      </c>
      <c r="F3481" s="7" t="s">
        <v>665</v>
      </c>
      <c r="G3481" s="7" t="s">
        <v>1610</v>
      </c>
      <c r="H3481" s="7" t="s">
        <v>1359</v>
      </c>
      <c r="I3481" s="7" t="s">
        <v>2148</v>
      </c>
      <c r="K3481" s="7" t="s">
        <v>245</v>
      </c>
      <c r="L3481" s="11">
        <v>8200</v>
      </c>
      <c r="M3481" s="11">
        <v>150492.93</v>
      </c>
      <c r="N3481" s="9">
        <f t="shared" si="138"/>
        <v>-8200</v>
      </c>
    </row>
    <row r="3482" spans="1:14" ht="12.75" customHeight="1" x14ac:dyDescent="0.2">
      <c r="A3482">
        <v>44000</v>
      </c>
      <c r="B3482" s="3" t="s">
        <v>1229</v>
      </c>
      <c r="C3482" s="7" t="s">
        <v>280</v>
      </c>
      <c r="D3482" s="7" t="s">
        <v>200</v>
      </c>
      <c r="E3482" s="7">
        <v>1065</v>
      </c>
      <c r="F3482" s="7" t="s">
        <v>1140</v>
      </c>
      <c r="G3482" s="7" t="s">
        <v>1610</v>
      </c>
      <c r="H3482" s="7" t="s">
        <v>1359</v>
      </c>
      <c r="I3482" s="7" t="s">
        <v>2148</v>
      </c>
      <c r="K3482" s="7" t="s">
        <v>245</v>
      </c>
      <c r="L3482" s="11">
        <v>-500</v>
      </c>
      <c r="M3482" s="11">
        <v>161765.25</v>
      </c>
      <c r="N3482" s="9">
        <f t="shared" si="138"/>
        <v>500</v>
      </c>
    </row>
    <row r="3483" spans="1:14" ht="12.75" customHeight="1" x14ac:dyDescent="0.2">
      <c r="A3483">
        <v>44000</v>
      </c>
      <c r="B3483" s="3" t="s">
        <v>1229</v>
      </c>
      <c r="C3483" s="7" t="s">
        <v>1728</v>
      </c>
      <c r="D3483" s="7" t="s">
        <v>242</v>
      </c>
      <c r="F3483" s="7" t="s">
        <v>665</v>
      </c>
      <c r="G3483" s="7" t="s">
        <v>1554</v>
      </c>
      <c r="H3483" s="7" t="s">
        <v>1359</v>
      </c>
      <c r="I3483" s="7" t="s">
        <v>2148</v>
      </c>
      <c r="J3483" s="39" t="s">
        <v>1729</v>
      </c>
      <c r="K3483" s="39" t="s">
        <v>1181</v>
      </c>
      <c r="L3483" s="40">
        <v>1355</v>
      </c>
      <c r="M3483" s="40">
        <v>245607.98</v>
      </c>
      <c r="N3483" s="41">
        <f>-L3483</f>
        <v>-1355</v>
      </c>
    </row>
    <row r="3484" spans="1:14" ht="12.75" customHeight="1" x14ac:dyDescent="0.2">
      <c r="A3484">
        <v>44000</v>
      </c>
      <c r="B3484" s="3" t="s">
        <v>1229</v>
      </c>
      <c r="C3484" s="7" t="s">
        <v>978</v>
      </c>
      <c r="D3484" s="7" t="s">
        <v>242</v>
      </c>
      <c r="F3484" s="7" t="s">
        <v>665</v>
      </c>
      <c r="G3484" s="7" t="s">
        <v>182</v>
      </c>
      <c r="H3484" s="7" t="s">
        <v>1359</v>
      </c>
      <c r="I3484" s="7" t="s">
        <v>2148</v>
      </c>
      <c r="J3484" s="7" t="s">
        <v>1148</v>
      </c>
      <c r="K3484" s="7" t="s">
        <v>198</v>
      </c>
      <c r="L3484" s="11">
        <v>390</v>
      </c>
      <c r="M3484" s="11">
        <v>390</v>
      </c>
      <c r="N3484" s="9">
        <f t="shared" ref="N3484:N3547" si="139">IF(A3484&lt;60000,-L3484,+L3484)</f>
        <v>-390</v>
      </c>
    </row>
    <row r="3485" spans="1:14" ht="12.75" customHeight="1" x14ac:dyDescent="0.2">
      <c r="A3485">
        <v>44000</v>
      </c>
      <c r="B3485" s="3" t="s">
        <v>1229</v>
      </c>
      <c r="C3485" s="7" t="s">
        <v>965</v>
      </c>
      <c r="D3485" s="7" t="s">
        <v>242</v>
      </c>
      <c r="G3485" s="7" t="s">
        <v>182</v>
      </c>
      <c r="H3485" s="7" t="s">
        <v>1359</v>
      </c>
      <c r="I3485" s="7" t="s">
        <v>2148</v>
      </c>
      <c r="J3485" s="7" t="s">
        <v>1148</v>
      </c>
      <c r="K3485" s="7" t="s">
        <v>198</v>
      </c>
      <c r="L3485" s="11">
        <v>100</v>
      </c>
      <c r="M3485" s="11">
        <v>3490</v>
      </c>
      <c r="N3485" s="9">
        <f t="shared" si="139"/>
        <v>-100</v>
      </c>
    </row>
    <row r="3486" spans="1:14" ht="12.75" customHeight="1" x14ac:dyDescent="0.2">
      <c r="A3486">
        <v>44000</v>
      </c>
      <c r="B3486" s="3" t="s">
        <v>1229</v>
      </c>
      <c r="C3486" s="7" t="s">
        <v>965</v>
      </c>
      <c r="D3486" s="7" t="s">
        <v>242</v>
      </c>
      <c r="G3486" s="7" t="s">
        <v>182</v>
      </c>
      <c r="H3486" s="7" t="s">
        <v>1359</v>
      </c>
      <c r="I3486" s="7" t="s">
        <v>2148</v>
      </c>
      <c r="J3486" s="7" t="s">
        <v>1148</v>
      </c>
      <c r="K3486" s="7" t="s">
        <v>198</v>
      </c>
      <c r="L3486" s="11">
        <v>25</v>
      </c>
      <c r="M3486" s="11">
        <v>3515</v>
      </c>
      <c r="N3486" s="9">
        <f t="shared" si="139"/>
        <v>-25</v>
      </c>
    </row>
    <row r="3487" spans="1:14" ht="12.75" customHeight="1" x14ac:dyDescent="0.2">
      <c r="A3487">
        <v>44000</v>
      </c>
      <c r="B3487" s="3" t="s">
        <v>1229</v>
      </c>
      <c r="C3487" s="7" t="s">
        <v>381</v>
      </c>
      <c r="D3487" s="7" t="s">
        <v>242</v>
      </c>
      <c r="G3487" s="7" t="s">
        <v>182</v>
      </c>
      <c r="H3487" s="7" t="s">
        <v>1359</v>
      </c>
      <c r="I3487" s="7" t="s">
        <v>2148</v>
      </c>
      <c r="J3487" s="7" t="s">
        <v>1148</v>
      </c>
      <c r="K3487" s="7" t="s">
        <v>198</v>
      </c>
      <c r="L3487" s="11">
        <v>25</v>
      </c>
      <c r="M3487" s="11">
        <v>5240</v>
      </c>
      <c r="N3487" s="9">
        <f t="shared" si="139"/>
        <v>-25</v>
      </c>
    </row>
    <row r="3488" spans="1:14" ht="12.75" customHeight="1" x14ac:dyDescent="0.2">
      <c r="A3488">
        <v>44000</v>
      </c>
      <c r="B3488" s="3" t="s">
        <v>1229</v>
      </c>
      <c r="C3488" s="7" t="s">
        <v>415</v>
      </c>
      <c r="D3488" s="7" t="s">
        <v>242</v>
      </c>
      <c r="G3488" s="7" t="s">
        <v>182</v>
      </c>
      <c r="H3488" s="7" t="s">
        <v>1359</v>
      </c>
      <c r="I3488" s="7" t="s">
        <v>2148</v>
      </c>
      <c r="J3488" s="7" t="s">
        <v>1148</v>
      </c>
      <c r="K3488" s="7" t="s">
        <v>198</v>
      </c>
      <c r="L3488" s="11">
        <v>35</v>
      </c>
      <c r="M3488" s="11">
        <v>136460</v>
      </c>
      <c r="N3488" s="9">
        <f t="shared" si="139"/>
        <v>-35</v>
      </c>
    </row>
    <row r="3489" spans="1:14" ht="12.75" customHeight="1" x14ac:dyDescent="0.2">
      <c r="A3489">
        <v>44000</v>
      </c>
      <c r="B3489" s="3" t="s">
        <v>1229</v>
      </c>
      <c r="C3489" s="7" t="s">
        <v>429</v>
      </c>
      <c r="D3489" s="7" t="s">
        <v>183</v>
      </c>
      <c r="E3489" s="7">
        <v>564</v>
      </c>
      <c r="G3489" s="7" t="s">
        <v>182</v>
      </c>
      <c r="H3489" s="7" t="s">
        <v>1359</v>
      </c>
      <c r="I3489" s="7" t="s">
        <v>2148</v>
      </c>
      <c r="J3489" s="7" t="s">
        <v>208</v>
      </c>
      <c r="K3489" s="7" t="s">
        <v>180</v>
      </c>
      <c r="L3489" s="11">
        <v>305</v>
      </c>
      <c r="M3489" s="11">
        <v>170980.52</v>
      </c>
      <c r="N3489" s="9">
        <f t="shared" si="139"/>
        <v>-305</v>
      </c>
    </row>
    <row r="3490" spans="1:14" ht="12.75" hidden="1" customHeight="1" x14ac:dyDescent="0.2">
      <c r="A3490">
        <v>62130</v>
      </c>
      <c r="B3490" s="3" t="s">
        <v>1236</v>
      </c>
      <c r="C3490" s="7" t="s">
        <v>344</v>
      </c>
      <c r="D3490" s="7" t="s">
        <v>200</v>
      </c>
      <c r="F3490" s="7" t="s">
        <v>1095</v>
      </c>
      <c r="G3490" s="7" t="s">
        <v>1568</v>
      </c>
      <c r="H3490" s="7" t="s">
        <v>1369</v>
      </c>
      <c r="I3490" s="7" t="s">
        <v>1236</v>
      </c>
      <c r="J3490" s="7" t="s">
        <v>1094</v>
      </c>
      <c r="K3490" s="7" t="s">
        <v>225</v>
      </c>
      <c r="L3490" s="11">
        <v>299</v>
      </c>
      <c r="M3490" s="11">
        <v>446.45</v>
      </c>
      <c r="N3490" s="9">
        <f t="shared" si="139"/>
        <v>299</v>
      </c>
    </row>
    <row r="3491" spans="1:14" ht="12.75" hidden="1" customHeight="1" x14ac:dyDescent="0.2">
      <c r="A3491">
        <v>65015</v>
      </c>
      <c r="B3491" s="3" t="s">
        <v>1244</v>
      </c>
      <c r="C3491" s="7" t="s">
        <v>361</v>
      </c>
      <c r="D3491" s="7" t="s">
        <v>200</v>
      </c>
      <c r="F3491" s="7" t="s">
        <v>1049</v>
      </c>
      <c r="G3491" s="7" t="s">
        <v>1568</v>
      </c>
      <c r="H3491" s="7" t="s">
        <v>1362</v>
      </c>
      <c r="I3491" s="7" t="s">
        <v>1244</v>
      </c>
      <c r="K3491" s="7" t="s">
        <v>225</v>
      </c>
      <c r="L3491" s="11">
        <v>86.04</v>
      </c>
      <c r="M3491" s="11">
        <v>1392.43</v>
      </c>
      <c r="N3491" s="9">
        <f t="shared" si="139"/>
        <v>86.04</v>
      </c>
    </row>
    <row r="3492" spans="1:14" ht="12.75" hidden="1" customHeight="1" x14ac:dyDescent="0.2">
      <c r="A3492">
        <v>65015</v>
      </c>
      <c r="B3492" s="3" t="s">
        <v>1244</v>
      </c>
      <c r="C3492" s="7" t="s">
        <v>361</v>
      </c>
      <c r="D3492" s="7" t="s">
        <v>200</v>
      </c>
      <c r="F3492" s="7" t="s">
        <v>1059</v>
      </c>
      <c r="G3492" s="7" t="s">
        <v>1568</v>
      </c>
      <c r="H3492" s="7" t="s">
        <v>1362</v>
      </c>
      <c r="I3492" s="7" t="s">
        <v>1244</v>
      </c>
      <c r="K3492" s="7" t="s">
        <v>225</v>
      </c>
      <c r="L3492" s="11">
        <v>180.78</v>
      </c>
      <c r="M3492" s="11">
        <v>1573.21</v>
      </c>
      <c r="N3492" s="9">
        <f t="shared" si="139"/>
        <v>180.78</v>
      </c>
    </row>
    <row r="3493" spans="1:14" ht="12.75" hidden="1" customHeight="1" x14ac:dyDescent="0.2">
      <c r="A3493">
        <v>65015</v>
      </c>
      <c r="B3493" s="3" t="s">
        <v>1244</v>
      </c>
      <c r="C3493" s="7" t="s">
        <v>239</v>
      </c>
      <c r="D3493" s="7" t="s">
        <v>221</v>
      </c>
      <c r="F3493" s="7" t="s">
        <v>1049</v>
      </c>
      <c r="G3493" s="7" t="s">
        <v>1568</v>
      </c>
      <c r="H3493" s="7" t="s">
        <v>1362</v>
      </c>
      <c r="I3493" s="7" t="s">
        <v>1244</v>
      </c>
      <c r="K3493" s="7" t="s">
        <v>225</v>
      </c>
      <c r="L3493" s="11">
        <v>86.03</v>
      </c>
      <c r="M3493" s="11">
        <v>3052.68</v>
      </c>
      <c r="N3493" s="9">
        <f t="shared" si="139"/>
        <v>86.03</v>
      </c>
    </row>
    <row r="3494" spans="1:14" ht="12.75" hidden="1" customHeight="1" x14ac:dyDescent="0.2">
      <c r="A3494">
        <v>65015</v>
      </c>
      <c r="B3494" s="3" t="s">
        <v>1244</v>
      </c>
      <c r="C3494" s="7" t="s">
        <v>650</v>
      </c>
      <c r="D3494" s="7" t="s">
        <v>221</v>
      </c>
      <c r="F3494" s="7" t="s">
        <v>1049</v>
      </c>
      <c r="G3494" s="7" t="s">
        <v>1568</v>
      </c>
      <c r="H3494" s="7" t="s">
        <v>1362</v>
      </c>
      <c r="I3494" s="7" t="s">
        <v>1244</v>
      </c>
      <c r="K3494" s="7" t="s">
        <v>225</v>
      </c>
      <c r="L3494" s="11">
        <v>91.97</v>
      </c>
      <c r="M3494" s="11">
        <v>3201.64</v>
      </c>
      <c r="N3494" s="9">
        <f t="shared" si="139"/>
        <v>91.97</v>
      </c>
    </row>
    <row r="3495" spans="1:14" ht="12.75" hidden="1" customHeight="1" x14ac:dyDescent="0.2">
      <c r="A3495">
        <v>65020</v>
      </c>
      <c r="B3495" s="3" t="s">
        <v>1245</v>
      </c>
      <c r="C3495" s="7" t="s">
        <v>201</v>
      </c>
      <c r="D3495" s="7" t="s">
        <v>200</v>
      </c>
      <c r="F3495" s="7" t="s">
        <v>300</v>
      </c>
      <c r="G3495" s="7" t="s">
        <v>1568</v>
      </c>
      <c r="H3495" s="7" t="s">
        <v>1362</v>
      </c>
      <c r="I3495" s="7" t="s">
        <v>1245</v>
      </c>
      <c r="K3495" s="7" t="s">
        <v>225</v>
      </c>
      <c r="L3495" s="11">
        <v>32.67</v>
      </c>
      <c r="M3495" s="11">
        <v>1059.68</v>
      </c>
      <c r="N3495" s="9">
        <f t="shared" si="139"/>
        <v>32.67</v>
      </c>
    </row>
    <row r="3496" spans="1:14" ht="12.75" hidden="1" customHeight="1" x14ac:dyDescent="0.2">
      <c r="A3496">
        <v>65025</v>
      </c>
      <c r="B3496" s="3" t="s">
        <v>1246</v>
      </c>
      <c r="C3496" s="7" t="s">
        <v>379</v>
      </c>
      <c r="D3496" s="7" t="s">
        <v>200</v>
      </c>
      <c r="F3496" s="7" t="s">
        <v>446</v>
      </c>
      <c r="G3496" s="7" t="s">
        <v>1568</v>
      </c>
      <c r="H3496" s="7" t="s">
        <v>1362</v>
      </c>
      <c r="I3496" s="7" t="s">
        <v>1246</v>
      </c>
      <c r="K3496" s="7" t="s">
        <v>258</v>
      </c>
      <c r="L3496" s="11">
        <v>6.2</v>
      </c>
      <c r="M3496" s="11">
        <v>217.2</v>
      </c>
      <c r="N3496" s="9">
        <f t="shared" si="139"/>
        <v>6.2</v>
      </c>
    </row>
    <row r="3497" spans="1:14" ht="12.75" hidden="1" customHeight="1" x14ac:dyDescent="0.2">
      <c r="A3497">
        <v>65030</v>
      </c>
      <c r="B3497" s="3" t="s">
        <v>1247</v>
      </c>
      <c r="C3497" s="7" t="s">
        <v>305</v>
      </c>
      <c r="D3497" s="7" t="s">
        <v>200</v>
      </c>
      <c r="F3497" s="7" t="s">
        <v>275</v>
      </c>
      <c r="G3497" s="7" t="s">
        <v>1568</v>
      </c>
      <c r="H3497" s="7" t="s">
        <v>1362</v>
      </c>
      <c r="I3497" s="7" t="s">
        <v>1247</v>
      </c>
      <c r="K3497" s="7" t="s">
        <v>225</v>
      </c>
      <c r="L3497" s="11">
        <v>234.76</v>
      </c>
      <c r="M3497" s="11">
        <v>684.67</v>
      </c>
      <c r="N3497" s="9">
        <f t="shared" si="139"/>
        <v>234.76</v>
      </c>
    </row>
    <row r="3498" spans="1:14" ht="12.75" hidden="1" customHeight="1" x14ac:dyDescent="0.2">
      <c r="A3498">
        <v>65036</v>
      </c>
      <c r="B3498" s="3" t="s">
        <v>1249</v>
      </c>
      <c r="C3498" s="7" t="s">
        <v>381</v>
      </c>
      <c r="D3498" s="7" t="s">
        <v>200</v>
      </c>
      <c r="F3498" s="7" t="s">
        <v>1027</v>
      </c>
      <c r="G3498" s="7" t="s">
        <v>1568</v>
      </c>
      <c r="H3498" s="7" t="s">
        <v>1362</v>
      </c>
      <c r="I3498" s="7" t="s">
        <v>1249</v>
      </c>
      <c r="K3498" s="7" t="s">
        <v>225</v>
      </c>
      <c r="L3498" s="11">
        <v>140.11000000000001</v>
      </c>
      <c r="M3498" s="11">
        <v>264.04000000000002</v>
      </c>
      <c r="N3498" s="9">
        <f t="shared" si="139"/>
        <v>140.11000000000001</v>
      </c>
    </row>
    <row r="3499" spans="1:14" ht="12.75" hidden="1" customHeight="1" x14ac:dyDescent="0.2">
      <c r="A3499">
        <v>65036</v>
      </c>
      <c r="B3499" s="3" t="s">
        <v>1249</v>
      </c>
      <c r="C3499" s="7" t="s">
        <v>907</v>
      </c>
      <c r="D3499" s="7" t="s">
        <v>200</v>
      </c>
      <c r="F3499" s="7" t="s">
        <v>1025</v>
      </c>
      <c r="G3499" s="7" t="s">
        <v>1568</v>
      </c>
      <c r="H3499" s="7" t="s">
        <v>1362</v>
      </c>
      <c r="I3499" s="7" t="s">
        <v>1249</v>
      </c>
      <c r="K3499" s="7" t="s">
        <v>225</v>
      </c>
      <c r="L3499" s="11">
        <v>35</v>
      </c>
      <c r="M3499" s="11">
        <v>657.91</v>
      </c>
      <c r="N3499" s="9">
        <f t="shared" si="139"/>
        <v>35</v>
      </c>
    </row>
    <row r="3500" spans="1:14" ht="12.75" hidden="1" customHeight="1" x14ac:dyDescent="0.2">
      <c r="A3500">
        <v>65036</v>
      </c>
      <c r="B3500" s="3" t="s">
        <v>1249</v>
      </c>
      <c r="C3500" s="7" t="s">
        <v>222</v>
      </c>
      <c r="D3500" s="7" t="s">
        <v>200</v>
      </c>
      <c r="E3500" s="7">
        <v>1114</v>
      </c>
      <c r="F3500" s="7" t="s">
        <v>279</v>
      </c>
      <c r="G3500" s="7" t="s">
        <v>1568</v>
      </c>
      <c r="H3500" s="7" t="s">
        <v>1362</v>
      </c>
      <c r="I3500" s="7" t="s">
        <v>1249</v>
      </c>
      <c r="K3500" s="7" t="s">
        <v>225</v>
      </c>
      <c r="L3500" s="11">
        <v>69.260000000000005</v>
      </c>
      <c r="M3500" s="11">
        <v>4945.8</v>
      </c>
      <c r="N3500" s="9">
        <f t="shared" si="139"/>
        <v>69.260000000000005</v>
      </c>
    </row>
    <row r="3501" spans="1:14" ht="12.75" hidden="1" customHeight="1" x14ac:dyDescent="0.2">
      <c r="A3501">
        <v>65040</v>
      </c>
      <c r="B3501" s="3" t="s">
        <v>1250</v>
      </c>
      <c r="C3501" s="7" t="s">
        <v>952</v>
      </c>
      <c r="D3501" s="7" t="s">
        <v>200</v>
      </c>
      <c r="F3501" s="7" t="s">
        <v>220</v>
      </c>
      <c r="G3501" s="7" t="s">
        <v>1568</v>
      </c>
      <c r="H3501" s="7" t="s">
        <v>1362</v>
      </c>
      <c r="I3501" s="7" t="s">
        <v>1250</v>
      </c>
      <c r="K3501" s="7" t="s">
        <v>225</v>
      </c>
      <c r="L3501" s="11">
        <v>60.79</v>
      </c>
      <c r="M3501" s="11">
        <v>630.30999999999995</v>
      </c>
      <c r="N3501" s="9">
        <f t="shared" si="139"/>
        <v>60.79</v>
      </c>
    </row>
    <row r="3502" spans="1:14" ht="12.75" hidden="1" customHeight="1" x14ac:dyDescent="0.2">
      <c r="A3502">
        <v>65040</v>
      </c>
      <c r="B3502" s="3" t="s">
        <v>1250</v>
      </c>
      <c r="C3502" s="7" t="s">
        <v>193</v>
      </c>
      <c r="D3502" s="7" t="s">
        <v>200</v>
      </c>
      <c r="E3502" s="7">
        <v>1111</v>
      </c>
      <c r="F3502" s="7" t="s">
        <v>220</v>
      </c>
      <c r="G3502" s="7" t="s">
        <v>1568</v>
      </c>
      <c r="H3502" s="7" t="s">
        <v>1362</v>
      </c>
      <c r="I3502" s="7" t="s">
        <v>1250</v>
      </c>
      <c r="K3502" s="7" t="s">
        <v>225</v>
      </c>
      <c r="L3502" s="11">
        <v>83.83</v>
      </c>
      <c r="M3502" s="11">
        <v>1438.49</v>
      </c>
      <c r="N3502" s="9">
        <f t="shared" si="139"/>
        <v>83.83</v>
      </c>
    </row>
    <row r="3503" spans="1:14" ht="12.75" hidden="1" customHeight="1" x14ac:dyDescent="0.2">
      <c r="A3503">
        <v>65045</v>
      </c>
      <c r="B3503" s="3" t="s">
        <v>1251</v>
      </c>
      <c r="C3503" s="7" t="s">
        <v>545</v>
      </c>
      <c r="D3503" s="7" t="s">
        <v>200</v>
      </c>
      <c r="F3503" s="7" t="s">
        <v>1003</v>
      </c>
      <c r="G3503" s="7" t="s">
        <v>1568</v>
      </c>
      <c r="H3503" s="7" t="s">
        <v>1362</v>
      </c>
      <c r="I3503" s="7" t="s">
        <v>1251</v>
      </c>
      <c r="K3503" s="7" t="s">
        <v>225</v>
      </c>
      <c r="L3503" s="11">
        <v>437</v>
      </c>
      <c r="M3503" s="11">
        <v>522</v>
      </c>
      <c r="N3503" s="9">
        <f t="shared" si="139"/>
        <v>437</v>
      </c>
    </row>
    <row r="3504" spans="1:14" ht="12.75" hidden="1" customHeight="1" x14ac:dyDescent="0.2">
      <c r="A3504">
        <v>65045</v>
      </c>
      <c r="B3504" s="3" t="s">
        <v>1251</v>
      </c>
      <c r="C3504" s="7" t="s">
        <v>379</v>
      </c>
      <c r="D3504" s="7" t="s">
        <v>200</v>
      </c>
      <c r="F3504" s="7" t="s">
        <v>1003</v>
      </c>
      <c r="G3504" s="7" t="s">
        <v>1568</v>
      </c>
      <c r="H3504" s="7" t="s">
        <v>1362</v>
      </c>
      <c r="I3504" s="7" t="s">
        <v>1251</v>
      </c>
      <c r="K3504" s="7" t="s">
        <v>225</v>
      </c>
      <c r="L3504" s="11">
        <v>437</v>
      </c>
      <c r="M3504" s="11">
        <v>1181</v>
      </c>
      <c r="N3504" s="9">
        <f t="shared" si="139"/>
        <v>437</v>
      </c>
    </row>
    <row r="3505" spans="1:14" ht="12.75" hidden="1" customHeight="1" x14ac:dyDescent="0.2">
      <c r="A3505">
        <v>65045</v>
      </c>
      <c r="B3505" s="3" t="s">
        <v>1251</v>
      </c>
      <c r="C3505" s="7" t="s">
        <v>334</v>
      </c>
      <c r="D3505" s="7" t="s">
        <v>200</v>
      </c>
      <c r="F3505" s="7" t="s">
        <v>1003</v>
      </c>
      <c r="G3505" s="7" t="s">
        <v>1568</v>
      </c>
      <c r="H3505" s="7" t="s">
        <v>1362</v>
      </c>
      <c r="I3505" s="7" t="s">
        <v>1251</v>
      </c>
      <c r="K3505" s="7" t="s">
        <v>225</v>
      </c>
      <c r="L3505" s="11">
        <v>437</v>
      </c>
      <c r="M3505" s="11">
        <v>1753</v>
      </c>
      <c r="N3505" s="9">
        <f t="shared" si="139"/>
        <v>437</v>
      </c>
    </row>
    <row r="3506" spans="1:14" ht="12.75" hidden="1" customHeight="1" x14ac:dyDescent="0.2">
      <c r="A3506">
        <v>65045</v>
      </c>
      <c r="B3506" s="3" t="s">
        <v>1251</v>
      </c>
      <c r="C3506" s="7" t="s">
        <v>319</v>
      </c>
      <c r="D3506" s="7" t="s">
        <v>200</v>
      </c>
      <c r="F3506" s="7" t="s">
        <v>1003</v>
      </c>
      <c r="G3506" s="7" t="s">
        <v>1568</v>
      </c>
      <c r="H3506" s="7" t="s">
        <v>1362</v>
      </c>
      <c r="I3506" s="7" t="s">
        <v>1251</v>
      </c>
      <c r="K3506" s="7" t="s">
        <v>225</v>
      </c>
      <c r="L3506" s="11">
        <v>250.35</v>
      </c>
      <c r="M3506" s="11">
        <v>2093.35</v>
      </c>
      <c r="N3506" s="9">
        <f t="shared" si="139"/>
        <v>250.35</v>
      </c>
    </row>
    <row r="3507" spans="1:14" ht="12.75" hidden="1" customHeight="1" x14ac:dyDescent="0.2">
      <c r="A3507">
        <v>65045</v>
      </c>
      <c r="B3507" s="3" t="s">
        <v>1251</v>
      </c>
      <c r="C3507" s="7" t="s">
        <v>293</v>
      </c>
      <c r="D3507" s="7" t="s">
        <v>200</v>
      </c>
      <c r="F3507" s="7" t="s">
        <v>1003</v>
      </c>
      <c r="G3507" s="7" t="s">
        <v>1568</v>
      </c>
      <c r="H3507" s="7" t="s">
        <v>1362</v>
      </c>
      <c r="I3507" s="7" t="s">
        <v>1251</v>
      </c>
      <c r="K3507" s="7" t="s">
        <v>225</v>
      </c>
      <c r="L3507" s="11">
        <v>437</v>
      </c>
      <c r="M3507" s="11">
        <v>2665.35</v>
      </c>
      <c r="N3507" s="9">
        <f t="shared" si="139"/>
        <v>437</v>
      </c>
    </row>
    <row r="3508" spans="1:14" ht="12.75" hidden="1" customHeight="1" x14ac:dyDescent="0.2">
      <c r="A3508">
        <v>65045</v>
      </c>
      <c r="B3508" s="3" t="s">
        <v>1251</v>
      </c>
      <c r="C3508" s="7" t="s">
        <v>239</v>
      </c>
      <c r="D3508" s="7" t="s">
        <v>221</v>
      </c>
      <c r="F3508" s="7" t="s">
        <v>1003</v>
      </c>
      <c r="G3508" s="7" t="s">
        <v>1568</v>
      </c>
      <c r="H3508" s="7" t="s">
        <v>1362</v>
      </c>
      <c r="I3508" s="7" t="s">
        <v>1251</v>
      </c>
      <c r="K3508" s="7" t="s">
        <v>225</v>
      </c>
      <c r="L3508" s="11">
        <v>437</v>
      </c>
      <c r="M3508" s="11">
        <v>3327.35</v>
      </c>
      <c r="N3508" s="9">
        <f t="shared" si="139"/>
        <v>437</v>
      </c>
    </row>
    <row r="3509" spans="1:14" ht="12.75" hidden="1" customHeight="1" x14ac:dyDescent="0.2">
      <c r="A3509">
        <v>65045</v>
      </c>
      <c r="B3509" s="3" t="s">
        <v>1251</v>
      </c>
      <c r="C3509" s="7" t="s">
        <v>676</v>
      </c>
      <c r="D3509" s="7" t="s">
        <v>221</v>
      </c>
      <c r="F3509" s="7" t="s">
        <v>1003</v>
      </c>
      <c r="G3509" s="7" t="s">
        <v>1568</v>
      </c>
      <c r="H3509" s="7" t="s">
        <v>1362</v>
      </c>
      <c r="I3509" s="7" t="s">
        <v>1251</v>
      </c>
      <c r="K3509" s="7" t="s">
        <v>225</v>
      </c>
      <c r="L3509" s="11">
        <v>437</v>
      </c>
      <c r="M3509" s="11">
        <v>3854.35</v>
      </c>
      <c r="N3509" s="9">
        <f t="shared" si="139"/>
        <v>437</v>
      </c>
    </row>
    <row r="3510" spans="1:14" ht="12.75" hidden="1" customHeight="1" x14ac:dyDescent="0.2">
      <c r="A3510">
        <v>65050</v>
      </c>
      <c r="B3510" s="3" t="s">
        <v>1252</v>
      </c>
      <c r="C3510" s="7" t="s">
        <v>377</v>
      </c>
      <c r="D3510" s="7" t="s">
        <v>200</v>
      </c>
      <c r="F3510" s="7" t="s">
        <v>1000</v>
      </c>
      <c r="G3510" s="7" t="s">
        <v>1568</v>
      </c>
      <c r="H3510" s="7" t="s">
        <v>1362</v>
      </c>
      <c r="I3510" s="7" t="s">
        <v>1252</v>
      </c>
      <c r="K3510" s="7" t="s">
        <v>225</v>
      </c>
      <c r="L3510" s="11">
        <v>59.95</v>
      </c>
      <c r="M3510" s="11">
        <v>166.01</v>
      </c>
      <c r="N3510" s="9">
        <f t="shared" si="139"/>
        <v>59.95</v>
      </c>
    </row>
    <row r="3511" spans="1:14" ht="12.75" hidden="1" customHeight="1" x14ac:dyDescent="0.2">
      <c r="A3511">
        <v>65050</v>
      </c>
      <c r="B3511" s="3" t="s">
        <v>1252</v>
      </c>
      <c r="C3511" s="7" t="s">
        <v>196</v>
      </c>
      <c r="D3511" s="7" t="s">
        <v>200</v>
      </c>
      <c r="E3511" s="7">
        <v>1100</v>
      </c>
      <c r="F3511" s="7" t="s">
        <v>999</v>
      </c>
      <c r="G3511" s="7" t="s">
        <v>1568</v>
      </c>
      <c r="H3511" s="7" t="s">
        <v>1362</v>
      </c>
      <c r="I3511" s="7" t="s">
        <v>1252</v>
      </c>
      <c r="K3511" s="7" t="s">
        <v>225</v>
      </c>
      <c r="L3511" s="11">
        <v>359.9</v>
      </c>
      <c r="M3511" s="11">
        <v>525.91</v>
      </c>
      <c r="N3511" s="9">
        <f t="shared" si="139"/>
        <v>359.9</v>
      </c>
    </row>
    <row r="3512" spans="1:14" ht="12.75" hidden="1" customHeight="1" x14ac:dyDescent="0.2">
      <c r="A3512">
        <v>65061</v>
      </c>
      <c r="B3512" s="3" t="s">
        <v>1253</v>
      </c>
      <c r="C3512" s="7" t="s">
        <v>449</v>
      </c>
      <c r="D3512" s="7" t="s">
        <v>242</v>
      </c>
      <c r="F3512" s="7" t="s">
        <v>991</v>
      </c>
      <c r="G3512" s="7" t="s">
        <v>1568</v>
      </c>
      <c r="H3512" s="7" t="s">
        <v>1362</v>
      </c>
      <c r="I3512" s="7" t="s">
        <v>1253</v>
      </c>
      <c r="J3512" s="7" t="s">
        <v>990</v>
      </c>
      <c r="K3512" s="7" t="s">
        <v>225</v>
      </c>
      <c r="L3512" s="11">
        <v>-35.200000000000003</v>
      </c>
      <c r="M3512" s="11">
        <v>-9159.84</v>
      </c>
      <c r="N3512" s="9">
        <f t="shared" si="139"/>
        <v>-35.200000000000003</v>
      </c>
    </row>
    <row r="3513" spans="1:14" ht="12.75" hidden="1" customHeight="1" x14ac:dyDescent="0.2">
      <c r="A3513">
        <v>65061</v>
      </c>
      <c r="B3513" s="3" t="s">
        <v>1253</v>
      </c>
      <c r="C3513" s="7" t="s">
        <v>384</v>
      </c>
      <c r="D3513" s="7" t="s">
        <v>200</v>
      </c>
      <c r="E3513" s="7">
        <v>1095</v>
      </c>
      <c r="F3513" s="7" t="s">
        <v>719</v>
      </c>
      <c r="G3513" s="7" t="s">
        <v>1568</v>
      </c>
      <c r="H3513" s="7" t="s">
        <v>1362</v>
      </c>
      <c r="I3513" s="7" t="s">
        <v>1253</v>
      </c>
      <c r="K3513" s="7" t="s">
        <v>225</v>
      </c>
      <c r="L3513" s="11">
        <v>10</v>
      </c>
      <c r="M3513" s="11">
        <v>10003.43</v>
      </c>
      <c r="N3513" s="9">
        <f t="shared" si="139"/>
        <v>10</v>
      </c>
    </row>
    <row r="3514" spans="1:14" ht="12.75" hidden="1" customHeight="1" x14ac:dyDescent="0.2">
      <c r="A3514">
        <v>65061</v>
      </c>
      <c r="B3514" s="3" t="s">
        <v>1253</v>
      </c>
      <c r="C3514" s="7" t="s">
        <v>384</v>
      </c>
      <c r="D3514" s="7" t="s">
        <v>200</v>
      </c>
      <c r="F3514" s="7" t="s">
        <v>887</v>
      </c>
      <c r="G3514" s="7" t="s">
        <v>1568</v>
      </c>
      <c r="H3514" s="7" t="s">
        <v>1362</v>
      </c>
      <c r="I3514" s="7" t="s">
        <v>1253</v>
      </c>
      <c r="K3514" s="7" t="s">
        <v>225</v>
      </c>
      <c r="L3514" s="11">
        <v>40</v>
      </c>
      <c r="M3514" s="11">
        <v>11620.64</v>
      </c>
      <c r="N3514" s="9">
        <f t="shared" si="139"/>
        <v>40</v>
      </c>
    </row>
    <row r="3515" spans="1:14" ht="12.75" hidden="1" customHeight="1" x14ac:dyDescent="0.2">
      <c r="A3515">
        <v>65061</v>
      </c>
      <c r="B3515" s="3" t="s">
        <v>1253</v>
      </c>
      <c r="C3515" s="7" t="s">
        <v>383</v>
      </c>
      <c r="D3515" s="7" t="s">
        <v>200</v>
      </c>
      <c r="E3515" s="7">
        <v>1096</v>
      </c>
      <c r="F3515" s="7" t="s">
        <v>947</v>
      </c>
      <c r="G3515" s="7" t="s">
        <v>1568</v>
      </c>
      <c r="H3515" s="7" t="s">
        <v>1362</v>
      </c>
      <c r="I3515" s="7" t="s">
        <v>1253</v>
      </c>
      <c r="K3515" s="7" t="s">
        <v>225</v>
      </c>
      <c r="L3515" s="11">
        <v>670.13</v>
      </c>
      <c r="M3515" s="11">
        <v>18819.66</v>
      </c>
      <c r="N3515" s="9">
        <f t="shared" si="139"/>
        <v>670.13</v>
      </c>
    </row>
    <row r="3516" spans="1:14" ht="12.75" hidden="1" customHeight="1" x14ac:dyDescent="0.2">
      <c r="A3516">
        <v>65061</v>
      </c>
      <c r="B3516" s="3" t="s">
        <v>1253</v>
      </c>
      <c r="C3516" s="7" t="s">
        <v>381</v>
      </c>
      <c r="D3516" s="7" t="s">
        <v>200</v>
      </c>
      <c r="F3516" s="7" t="s">
        <v>945</v>
      </c>
      <c r="G3516" s="7" t="s">
        <v>1568</v>
      </c>
      <c r="H3516" s="7" t="s">
        <v>1362</v>
      </c>
      <c r="I3516" s="7" t="s">
        <v>1253</v>
      </c>
      <c r="K3516" s="7" t="s">
        <v>225</v>
      </c>
      <c r="L3516" s="11">
        <v>17.95</v>
      </c>
      <c r="M3516" s="11">
        <v>20332.84</v>
      </c>
      <c r="N3516" s="9">
        <f t="shared" si="139"/>
        <v>17.95</v>
      </c>
    </row>
    <row r="3517" spans="1:14" ht="12.75" hidden="1" customHeight="1" x14ac:dyDescent="0.2">
      <c r="A3517">
        <v>65061</v>
      </c>
      <c r="B3517" s="3" t="s">
        <v>1253</v>
      </c>
      <c r="C3517" s="7" t="s">
        <v>939</v>
      </c>
      <c r="D3517" s="7" t="s">
        <v>200</v>
      </c>
      <c r="F3517" s="7" t="s">
        <v>873</v>
      </c>
      <c r="G3517" s="7" t="s">
        <v>1568</v>
      </c>
      <c r="H3517" s="7" t="s">
        <v>1362</v>
      </c>
      <c r="I3517" s="7" t="s">
        <v>1253</v>
      </c>
      <c r="K3517" s="7" t="s">
        <v>225</v>
      </c>
      <c r="L3517" s="11">
        <v>183.74</v>
      </c>
      <c r="M3517" s="11">
        <v>21971.18</v>
      </c>
      <c r="N3517" s="9">
        <f t="shared" si="139"/>
        <v>183.74</v>
      </c>
    </row>
    <row r="3518" spans="1:14" ht="12.75" hidden="1" customHeight="1" x14ac:dyDescent="0.2">
      <c r="A3518">
        <v>65061</v>
      </c>
      <c r="B3518" s="3" t="s">
        <v>1253</v>
      </c>
      <c r="C3518" s="7" t="s">
        <v>376</v>
      </c>
      <c r="D3518" s="7" t="s">
        <v>200</v>
      </c>
      <c r="E3518" s="7">
        <v>1097</v>
      </c>
      <c r="F3518" s="7" t="s">
        <v>228</v>
      </c>
      <c r="G3518" s="7" t="s">
        <v>1568</v>
      </c>
      <c r="H3518" s="7" t="s">
        <v>1362</v>
      </c>
      <c r="I3518" s="7" t="s">
        <v>1253</v>
      </c>
      <c r="K3518" s="7" t="s">
        <v>225</v>
      </c>
      <c r="L3518" s="11">
        <v>147.15</v>
      </c>
      <c r="M3518" s="11">
        <v>30538.78</v>
      </c>
      <c r="N3518" s="9">
        <f t="shared" si="139"/>
        <v>147.15</v>
      </c>
    </row>
    <row r="3519" spans="1:14" ht="12.75" hidden="1" customHeight="1" x14ac:dyDescent="0.2">
      <c r="A3519">
        <v>65061</v>
      </c>
      <c r="B3519" s="3" t="s">
        <v>1253</v>
      </c>
      <c r="C3519" s="7" t="s">
        <v>372</v>
      </c>
      <c r="D3519" s="7" t="s">
        <v>200</v>
      </c>
      <c r="F3519" s="7" t="s">
        <v>915</v>
      </c>
      <c r="G3519" s="7" t="s">
        <v>1568</v>
      </c>
      <c r="H3519" s="7" t="s">
        <v>1362</v>
      </c>
      <c r="I3519" s="7" t="s">
        <v>1253</v>
      </c>
      <c r="K3519" s="7" t="s">
        <v>225</v>
      </c>
      <c r="L3519" s="11">
        <v>1</v>
      </c>
      <c r="M3519" s="11">
        <v>38232.300000000003</v>
      </c>
      <c r="N3519" s="9">
        <f t="shared" si="139"/>
        <v>1</v>
      </c>
    </row>
    <row r="3520" spans="1:14" ht="12.75" hidden="1" customHeight="1" x14ac:dyDescent="0.2">
      <c r="A3520">
        <v>65061</v>
      </c>
      <c r="B3520" s="3" t="s">
        <v>1253</v>
      </c>
      <c r="C3520" s="7" t="s">
        <v>369</v>
      </c>
      <c r="D3520" s="7" t="s">
        <v>200</v>
      </c>
      <c r="F3520" s="7" t="s">
        <v>265</v>
      </c>
      <c r="G3520" s="7" t="s">
        <v>1568</v>
      </c>
      <c r="H3520" s="7" t="s">
        <v>1362</v>
      </c>
      <c r="I3520" s="7" t="s">
        <v>1253</v>
      </c>
      <c r="K3520" s="7" t="s">
        <v>225</v>
      </c>
      <c r="L3520" s="11">
        <v>19.989999999999998</v>
      </c>
      <c r="M3520" s="11">
        <v>39120.089999999997</v>
      </c>
      <c r="N3520" s="9">
        <f t="shared" si="139"/>
        <v>19.989999999999998</v>
      </c>
    </row>
    <row r="3521" spans="1:14" ht="12.75" hidden="1" customHeight="1" x14ac:dyDescent="0.2">
      <c r="A3521">
        <v>65061</v>
      </c>
      <c r="B3521" s="3" t="s">
        <v>1253</v>
      </c>
      <c r="C3521" s="7" t="s">
        <v>369</v>
      </c>
      <c r="D3521" s="7" t="s">
        <v>200</v>
      </c>
      <c r="F3521" s="7" t="s">
        <v>265</v>
      </c>
      <c r="G3521" s="7" t="s">
        <v>1568</v>
      </c>
      <c r="H3521" s="7" t="s">
        <v>1362</v>
      </c>
      <c r="I3521" s="7" t="s">
        <v>1253</v>
      </c>
      <c r="K3521" s="7" t="s">
        <v>225</v>
      </c>
      <c r="L3521" s="11">
        <v>65.19</v>
      </c>
      <c r="M3521" s="11">
        <v>39185.279999999999</v>
      </c>
      <c r="N3521" s="9">
        <f t="shared" si="139"/>
        <v>65.19</v>
      </c>
    </row>
    <row r="3522" spans="1:14" ht="12.75" hidden="1" customHeight="1" x14ac:dyDescent="0.2">
      <c r="A3522">
        <v>65061</v>
      </c>
      <c r="B3522" s="3" t="s">
        <v>1253</v>
      </c>
      <c r="C3522" s="7" t="s">
        <v>369</v>
      </c>
      <c r="D3522" s="7" t="s">
        <v>200</v>
      </c>
      <c r="F3522" s="7" t="s">
        <v>265</v>
      </c>
      <c r="G3522" s="7" t="s">
        <v>1568</v>
      </c>
      <c r="H3522" s="7" t="s">
        <v>1362</v>
      </c>
      <c r="I3522" s="7" t="s">
        <v>1253</v>
      </c>
      <c r="K3522" s="7" t="s">
        <v>225</v>
      </c>
      <c r="L3522" s="11">
        <v>130.13999999999999</v>
      </c>
      <c r="M3522" s="11">
        <v>39315.42</v>
      </c>
      <c r="N3522" s="9">
        <f t="shared" si="139"/>
        <v>130.13999999999999</v>
      </c>
    </row>
    <row r="3523" spans="1:14" ht="12.75" hidden="1" customHeight="1" x14ac:dyDescent="0.2">
      <c r="A3523">
        <v>65061</v>
      </c>
      <c r="B3523" s="3" t="s">
        <v>1253</v>
      </c>
      <c r="C3523" s="7" t="s">
        <v>369</v>
      </c>
      <c r="D3523" s="7" t="s">
        <v>200</v>
      </c>
      <c r="F3523" s="7" t="s">
        <v>888</v>
      </c>
      <c r="G3523" s="7" t="s">
        <v>1568</v>
      </c>
      <c r="H3523" s="7" t="s">
        <v>1362</v>
      </c>
      <c r="I3523" s="7" t="s">
        <v>1253</v>
      </c>
      <c r="K3523" s="7" t="s">
        <v>225</v>
      </c>
      <c r="L3523" s="11">
        <v>125.8</v>
      </c>
      <c r="M3523" s="11">
        <v>39506.75</v>
      </c>
      <c r="N3523" s="9">
        <f t="shared" si="139"/>
        <v>125.8</v>
      </c>
    </row>
    <row r="3524" spans="1:14" ht="12.75" hidden="1" customHeight="1" x14ac:dyDescent="0.2">
      <c r="A3524">
        <v>65061</v>
      </c>
      <c r="B3524" s="3" t="s">
        <v>1253</v>
      </c>
      <c r="C3524" s="7" t="s">
        <v>369</v>
      </c>
      <c r="D3524" s="7" t="s">
        <v>200</v>
      </c>
      <c r="F3524" s="7" t="s">
        <v>846</v>
      </c>
      <c r="G3524" s="7" t="s">
        <v>1568</v>
      </c>
      <c r="H3524" s="7" t="s">
        <v>1362</v>
      </c>
      <c r="I3524" s="7" t="s">
        <v>1253</v>
      </c>
      <c r="K3524" s="7" t="s">
        <v>225</v>
      </c>
      <c r="L3524" s="11">
        <v>132.19</v>
      </c>
      <c r="M3524" s="11">
        <v>40191.760000000002</v>
      </c>
      <c r="N3524" s="9">
        <f t="shared" si="139"/>
        <v>132.19</v>
      </c>
    </row>
    <row r="3525" spans="1:14" ht="12.75" hidden="1" customHeight="1" x14ac:dyDescent="0.2">
      <c r="A3525">
        <v>65061</v>
      </c>
      <c r="B3525" s="3" t="s">
        <v>1253</v>
      </c>
      <c r="C3525" s="7" t="s">
        <v>361</v>
      </c>
      <c r="D3525" s="7" t="s">
        <v>200</v>
      </c>
      <c r="F3525" s="7" t="s">
        <v>846</v>
      </c>
      <c r="G3525" s="7" t="s">
        <v>1568</v>
      </c>
      <c r="H3525" s="7" t="s">
        <v>1362</v>
      </c>
      <c r="I3525" s="7" t="s">
        <v>1253</v>
      </c>
      <c r="K3525" s="7" t="s">
        <v>225</v>
      </c>
      <c r="L3525" s="11">
        <v>78.069999999999993</v>
      </c>
      <c r="M3525" s="11">
        <v>43974.5</v>
      </c>
      <c r="N3525" s="9">
        <f t="shared" si="139"/>
        <v>78.069999999999993</v>
      </c>
    </row>
    <row r="3526" spans="1:14" ht="12.75" hidden="1" customHeight="1" x14ac:dyDescent="0.2">
      <c r="A3526">
        <v>65061</v>
      </c>
      <c r="B3526" s="3" t="s">
        <v>1253</v>
      </c>
      <c r="C3526" s="7" t="s">
        <v>356</v>
      </c>
      <c r="D3526" s="7" t="s">
        <v>200</v>
      </c>
      <c r="E3526" s="7">
        <v>1104</v>
      </c>
      <c r="F3526" s="7" t="s">
        <v>660</v>
      </c>
      <c r="G3526" s="7" t="s">
        <v>1568</v>
      </c>
      <c r="H3526" s="7" t="s">
        <v>1362</v>
      </c>
      <c r="I3526" s="7" t="s">
        <v>1253</v>
      </c>
      <c r="K3526" s="7" t="s">
        <v>225</v>
      </c>
      <c r="L3526" s="11">
        <v>2980.51</v>
      </c>
      <c r="M3526" s="11">
        <v>50860.81</v>
      </c>
      <c r="N3526" s="9">
        <f t="shared" si="139"/>
        <v>2980.51</v>
      </c>
    </row>
    <row r="3527" spans="1:14" ht="12.75" hidden="1" customHeight="1" x14ac:dyDescent="0.2">
      <c r="A3527">
        <v>65061</v>
      </c>
      <c r="B3527" s="3" t="s">
        <v>1253</v>
      </c>
      <c r="C3527" s="7" t="s">
        <v>353</v>
      </c>
      <c r="D3527" s="7" t="s">
        <v>242</v>
      </c>
      <c r="F3527" s="7" t="s">
        <v>888</v>
      </c>
      <c r="G3527" s="7" t="s">
        <v>1568</v>
      </c>
      <c r="H3527" s="7" t="s">
        <v>1362</v>
      </c>
      <c r="I3527" s="7" t="s">
        <v>1253</v>
      </c>
      <c r="K3527" s="7" t="s">
        <v>225</v>
      </c>
      <c r="L3527" s="11">
        <v>-125.8</v>
      </c>
      <c r="M3527" s="11">
        <v>53005.38</v>
      </c>
      <c r="N3527" s="9">
        <f t="shared" si="139"/>
        <v>-125.8</v>
      </c>
    </row>
    <row r="3528" spans="1:14" ht="12.75" hidden="1" customHeight="1" x14ac:dyDescent="0.2">
      <c r="A3528">
        <v>65061</v>
      </c>
      <c r="B3528" s="3" t="s">
        <v>1253</v>
      </c>
      <c r="C3528" s="7" t="s">
        <v>351</v>
      </c>
      <c r="D3528" s="7" t="s">
        <v>200</v>
      </c>
      <c r="E3528" s="7">
        <v>1105</v>
      </c>
      <c r="F3528" s="7" t="s">
        <v>279</v>
      </c>
      <c r="G3528" s="7" t="s">
        <v>1568</v>
      </c>
      <c r="H3528" s="7" t="s">
        <v>1362</v>
      </c>
      <c r="I3528" s="7" t="s">
        <v>1253</v>
      </c>
      <c r="K3528" s="7" t="s">
        <v>225</v>
      </c>
      <c r="L3528" s="11">
        <v>223.59</v>
      </c>
      <c r="M3528" s="11">
        <v>54494.63</v>
      </c>
      <c r="N3528" s="9">
        <f t="shared" si="139"/>
        <v>223.59</v>
      </c>
    </row>
    <row r="3529" spans="1:14" ht="12.75" hidden="1" customHeight="1" x14ac:dyDescent="0.2">
      <c r="A3529">
        <v>65061</v>
      </c>
      <c r="B3529" s="3" t="s">
        <v>1253</v>
      </c>
      <c r="C3529" s="7" t="s">
        <v>344</v>
      </c>
      <c r="D3529" s="7" t="s">
        <v>200</v>
      </c>
      <c r="E3529" s="7">
        <v>1107</v>
      </c>
      <c r="F3529" s="7" t="s">
        <v>723</v>
      </c>
      <c r="G3529" s="7" t="s">
        <v>1568</v>
      </c>
      <c r="H3529" s="7" t="s">
        <v>1362</v>
      </c>
      <c r="I3529" s="7" t="s">
        <v>1253</v>
      </c>
      <c r="K3529" s="7" t="s">
        <v>225</v>
      </c>
      <c r="L3529" s="11">
        <v>43.19</v>
      </c>
      <c r="M3529" s="11">
        <v>57217.78</v>
      </c>
      <c r="N3529" s="9">
        <f t="shared" si="139"/>
        <v>43.19</v>
      </c>
    </row>
    <row r="3530" spans="1:14" ht="12.75" hidden="1" customHeight="1" x14ac:dyDescent="0.2">
      <c r="A3530">
        <v>65061</v>
      </c>
      <c r="B3530" s="3" t="s">
        <v>1253</v>
      </c>
      <c r="C3530" s="7" t="s">
        <v>323</v>
      </c>
      <c r="D3530" s="7" t="s">
        <v>200</v>
      </c>
      <c r="F3530" s="7" t="s">
        <v>289</v>
      </c>
      <c r="G3530" s="7" t="s">
        <v>1568</v>
      </c>
      <c r="H3530" s="7" t="s">
        <v>1362</v>
      </c>
      <c r="I3530" s="7" t="s">
        <v>1253</v>
      </c>
      <c r="K3530" s="7" t="s">
        <v>225</v>
      </c>
      <c r="L3530" s="11">
        <v>15.2</v>
      </c>
      <c r="M3530" s="11">
        <v>65649.13</v>
      </c>
      <c r="N3530" s="9">
        <f t="shared" si="139"/>
        <v>15.2</v>
      </c>
    </row>
    <row r="3531" spans="1:14" ht="12.75" hidden="1" customHeight="1" x14ac:dyDescent="0.2">
      <c r="A3531">
        <v>65061</v>
      </c>
      <c r="B3531" s="3" t="s">
        <v>1253</v>
      </c>
      <c r="C3531" s="7" t="s">
        <v>319</v>
      </c>
      <c r="D3531" s="7" t="s">
        <v>200</v>
      </c>
      <c r="F3531" s="7" t="s">
        <v>564</v>
      </c>
      <c r="G3531" s="7" t="s">
        <v>1568</v>
      </c>
      <c r="H3531" s="7" t="s">
        <v>1362</v>
      </c>
      <c r="I3531" s="7" t="s">
        <v>1253</v>
      </c>
      <c r="K3531" s="7" t="s">
        <v>225</v>
      </c>
      <c r="L3531" s="11">
        <v>25</v>
      </c>
      <c r="M3531" s="11">
        <v>67835.91</v>
      </c>
      <c r="N3531" s="9">
        <f t="shared" si="139"/>
        <v>25</v>
      </c>
    </row>
    <row r="3532" spans="1:14" ht="12.75" hidden="1" customHeight="1" x14ac:dyDescent="0.2">
      <c r="A3532">
        <v>65061</v>
      </c>
      <c r="B3532" s="3" t="s">
        <v>1253</v>
      </c>
      <c r="C3532" s="7" t="s">
        <v>319</v>
      </c>
      <c r="D3532" s="7" t="s">
        <v>242</v>
      </c>
      <c r="F3532" s="7" t="s">
        <v>564</v>
      </c>
      <c r="G3532" s="7" t="s">
        <v>1568</v>
      </c>
      <c r="H3532" s="7" t="s">
        <v>1362</v>
      </c>
      <c r="I3532" s="7" t="s">
        <v>1253</v>
      </c>
      <c r="K3532" s="7" t="s">
        <v>225</v>
      </c>
      <c r="L3532" s="11">
        <v>-4.38</v>
      </c>
      <c r="M3532" s="11">
        <v>67831.53</v>
      </c>
      <c r="N3532" s="9">
        <f t="shared" si="139"/>
        <v>-4.38</v>
      </c>
    </row>
    <row r="3533" spans="1:14" ht="12.75" hidden="1" customHeight="1" x14ac:dyDescent="0.2">
      <c r="A3533">
        <v>65061</v>
      </c>
      <c r="B3533" s="3" t="s">
        <v>1253</v>
      </c>
      <c r="C3533" s="7" t="s">
        <v>845</v>
      </c>
      <c r="D3533" s="7" t="s">
        <v>200</v>
      </c>
      <c r="E3533" s="7">
        <v>1108</v>
      </c>
      <c r="F3533" s="7" t="s">
        <v>844</v>
      </c>
      <c r="G3533" s="7" t="s">
        <v>1568</v>
      </c>
      <c r="H3533" s="7" t="s">
        <v>1362</v>
      </c>
      <c r="I3533" s="7" t="s">
        <v>1253</v>
      </c>
      <c r="K3533" s="7" t="s">
        <v>225</v>
      </c>
      <c r="L3533" s="11">
        <v>55.57</v>
      </c>
      <c r="M3533" s="11">
        <v>74745.259999999995</v>
      </c>
      <c r="N3533" s="9">
        <f t="shared" si="139"/>
        <v>55.57</v>
      </c>
    </row>
    <row r="3534" spans="1:14" ht="12.75" hidden="1" customHeight="1" x14ac:dyDescent="0.2">
      <c r="A3534">
        <v>65061</v>
      </c>
      <c r="B3534" s="3" t="s">
        <v>1253</v>
      </c>
      <c r="C3534" s="7" t="s">
        <v>843</v>
      </c>
      <c r="D3534" s="7" t="s">
        <v>200</v>
      </c>
      <c r="F3534" s="7" t="s">
        <v>805</v>
      </c>
      <c r="G3534" s="7" t="s">
        <v>1568</v>
      </c>
      <c r="H3534" s="7" t="s">
        <v>1362</v>
      </c>
      <c r="I3534" s="7" t="s">
        <v>1253</v>
      </c>
      <c r="K3534" s="7" t="s">
        <v>225</v>
      </c>
      <c r="L3534" s="11">
        <v>108.95</v>
      </c>
      <c r="M3534" s="11">
        <v>74854.210000000006</v>
      </c>
      <c r="N3534" s="9">
        <f t="shared" si="139"/>
        <v>108.95</v>
      </c>
    </row>
    <row r="3535" spans="1:14" ht="12.75" hidden="1" customHeight="1" x14ac:dyDescent="0.2">
      <c r="A3535">
        <v>65061</v>
      </c>
      <c r="B3535" s="3" t="s">
        <v>1253</v>
      </c>
      <c r="C3535" s="7" t="s">
        <v>308</v>
      </c>
      <c r="D3535" s="7" t="s">
        <v>200</v>
      </c>
      <c r="F3535" s="7" t="s">
        <v>265</v>
      </c>
      <c r="G3535" s="7" t="s">
        <v>1568</v>
      </c>
      <c r="H3535" s="7" t="s">
        <v>1362</v>
      </c>
      <c r="I3535" s="7" t="s">
        <v>1253</v>
      </c>
      <c r="K3535" s="7" t="s">
        <v>225</v>
      </c>
      <c r="L3535" s="11">
        <v>53.28</v>
      </c>
      <c r="M3535" s="11">
        <v>75023.67</v>
      </c>
      <c r="N3535" s="9">
        <f t="shared" si="139"/>
        <v>53.28</v>
      </c>
    </row>
    <row r="3536" spans="1:14" ht="12.75" hidden="1" customHeight="1" x14ac:dyDescent="0.2">
      <c r="A3536">
        <v>65061</v>
      </c>
      <c r="B3536" s="3" t="s">
        <v>1253</v>
      </c>
      <c r="C3536" s="7" t="s">
        <v>308</v>
      </c>
      <c r="D3536" s="7" t="s">
        <v>200</v>
      </c>
      <c r="F3536" s="7" t="s">
        <v>805</v>
      </c>
      <c r="G3536" s="7" t="s">
        <v>1568</v>
      </c>
      <c r="H3536" s="7" t="s">
        <v>1362</v>
      </c>
      <c r="I3536" s="7" t="s">
        <v>1253</v>
      </c>
      <c r="K3536" s="7" t="s">
        <v>225</v>
      </c>
      <c r="L3536" s="11">
        <v>54.45</v>
      </c>
      <c r="M3536" s="11">
        <v>75078.12</v>
      </c>
      <c r="N3536" s="9">
        <f t="shared" si="139"/>
        <v>54.45</v>
      </c>
    </row>
    <row r="3537" spans="1:14" ht="12.75" hidden="1" customHeight="1" x14ac:dyDescent="0.2">
      <c r="A3537">
        <v>65061</v>
      </c>
      <c r="B3537" s="3" t="s">
        <v>1253</v>
      </c>
      <c r="C3537" s="7" t="s">
        <v>308</v>
      </c>
      <c r="D3537" s="7" t="s">
        <v>200</v>
      </c>
      <c r="F3537" s="7" t="s">
        <v>840</v>
      </c>
      <c r="G3537" s="7" t="s">
        <v>1568</v>
      </c>
      <c r="H3537" s="7" t="s">
        <v>1362</v>
      </c>
      <c r="I3537" s="7" t="s">
        <v>1253</v>
      </c>
      <c r="K3537" s="7" t="s">
        <v>225</v>
      </c>
      <c r="L3537" s="11">
        <v>2.71</v>
      </c>
      <c r="M3537" s="11">
        <v>75281.34</v>
      </c>
      <c r="N3537" s="9">
        <f t="shared" si="139"/>
        <v>2.71</v>
      </c>
    </row>
    <row r="3538" spans="1:14" ht="12.75" hidden="1" customHeight="1" x14ac:dyDescent="0.2">
      <c r="A3538">
        <v>65061</v>
      </c>
      <c r="B3538" s="3" t="s">
        <v>1253</v>
      </c>
      <c r="C3538" s="7" t="s">
        <v>308</v>
      </c>
      <c r="D3538" s="7" t="s">
        <v>200</v>
      </c>
      <c r="F3538" s="7" t="s">
        <v>548</v>
      </c>
      <c r="G3538" s="7" t="s">
        <v>1568</v>
      </c>
      <c r="H3538" s="7" t="s">
        <v>1362</v>
      </c>
      <c r="I3538" s="7" t="s">
        <v>1253</v>
      </c>
      <c r="K3538" s="7" t="s">
        <v>225</v>
      </c>
      <c r="L3538" s="11">
        <v>384.84</v>
      </c>
      <c r="M3538" s="11">
        <v>75666.179999999993</v>
      </c>
      <c r="N3538" s="9">
        <f t="shared" si="139"/>
        <v>384.84</v>
      </c>
    </row>
    <row r="3539" spans="1:14" ht="12.75" hidden="1" customHeight="1" x14ac:dyDescent="0.2">
      <c r="A3539">
        <v>65061</v>
      </c>
      <c r="B3539" s="3" t="s">
        <v>1253</v>
      </c>
      <c r="C3539" s="7" t="s">
        <v>308</v>
      </c>
      <c r="D3539" s="7" t="s">
        <v>200</v>
      </c>
      <c r="F3539" s="7" t="s">
        <v>805</v>
      </c>
      <c r="G3539" s="7" t="s">
        <v>1568</v>
      </c>
      <c r="H3539" s="7" t="s">
        <v>1362</v>
      </c>
      <c r="I3539" s="7" t="s">
        <v>1253</v>
      </c>
      <c r="K3539" s="7" t="s">
        <v>225</v>
      </c>
      <c r="L3539" s="11">
        <v>98</v>
      </c>
      <c r="M3539" s="11">
        <v>75764.179999999993</v>
      </c>
      <c r="N3539" s="9">
        <f t="shared" si="139"/>
        <v>98</v>
      </c>
    </row>
    <row r="3540" spans="1:14" ht="12.75" hidden="1" customHeight="1" x14ac:dyDescent="0.2">
      <c r="A3540">
        <v>65061</v>
      </c>
      <c r="B3540" s="3" t="s">
        <v>1253</v>
      </c>
      <c r="C3540" s="7" t="s">
        <v>302</v>
      </c>
      <c r="D3540" s="7" t="s">
        <v>200</v>
      </c>
      <c r="F3540" s="7" t="s">
        <v>835</v>
      </c>
      <c r="G3540" s="7" t="s">
        <v>1568</v>
      </c>
      <c r="H3540" s="7" t="s">
        <v>1362</v>
      </c>
      <c r="I3540" s="7" t="s">
        <v>1253</v>
      </c>
      <c r="K3540" s="7" t="s">
        <v>225</v>
      </c>
      <c r="L3540" s="11">
        <v>65.38</v>
      </c>
      <c r="M3540" s="11">
        <v>78216.13</v>
      </c>
      <c r="N3540" s="9">
        <f t="shared" si="139"/>
        <v>65.38</v>
      </c>
    </row>
    <row r="3541" spans="1:14" ht="12.75" hidden="1" customHeight="1" x14ac:dyDescent="0.2">
      <c r="A3541">
        <v>65061</v>
      </c>
      <c r="B3541" s="3" t="s">
        <v>1253</v>
      </c>
      <c r="C3541" s="7" t="s">
        <v>302</v>
      </c>
      <c r="D3541" s="7" t="s">
        <v>200</v>
      </c>
      <c r="F3541" s="7" t="s">
        <v>570</v>
      </c>
      <c r="G3541" s="7" t="s">
        <v>1568</v>
      </c>
      <c r="H3541" s="7" t="s">
        <v>1362</v>
      </c>
      <c r="I3541" s="7" t="s">
        <v>1253</v>
      </c>
      <c r="K3541" s="7" t="s">
        <v>225</v>
      </c>
      <c r="L3541" s="11">
        <v>953.46</v>
      </c>
      <c r="M3541" s="11">
        <v>79344.59</v>
      </c>
      <c r="N3541" s="9">
        <f t="shared" si="139"/>
        <v>953.46</v>
      </c>
    </row>
    <row r="3542" spans="1:14" ht="12.75" hidden="1" customHeight="1" x14ac:dyDescent="0.2">
      <c r="A3542">
        <v>65061</v>
      </c>
      <c r="B3542" s="3" t="s">
        <v>1253</v>
      </c>
      <c r="C3542" s="7" t="s">
        <v>302</v>
      </c>
      <c r="D3542" s="7" t="s">
        <v>200</v>
      </c>
      <c r="F3542" s="7" t="s">
        <v>570</v>
      </c>
      <c r="G3542" s="7" t="s">
        <v>1568</v>
      </c>
      <c r="H3542" s="7" t="s">
        <v>1362</v>
      </c>
      <c r="I3542" s="7" t="s">
        <v>1253</v>
      </c>
      <c r="K3542" s="7" t="s">
        <v>225</v>
      </c>
      <c r="L3542" s="11">
        <v>611.9</v>
      </c>
      <c r="M3542" s="11">
        <v>80006.490000000005</v>
      </c>
      <c r="N3542" s="9">
        <f t="shared" si="139"/>
        <v>611.9</v>
      </c>
    </row>
    <row r="3543" spans="1:14" ht="12.75" hidden="1" customHeight="1" x14ac:dyDescent="0.2">
      <c r="A3543">
        <v>65061</v>
      </c>
      <c r="B3543" s="3" t="s">
        <v>1253</v>
      </c>
      <c r="C3543" s="7" t="s">
        <v>825</v>
      </c>
      <c r="D3543" s="7" t="s">
        <v>200</v>
      </c>
      <c r="F3543" s="7" t="s">
        <v>827</v>
      </c>
      <c r="G3543" s="7" t="s">
        <v>1568</v>
      </c>
      <c r="H3543" s="7" t="s">
        <v>1362</v>
      </c>
      <c r="I3543" s="7" t="s">
        <v>1253</v>
      </c>
      <c r="K3543" s="7" t="s">
        <v>225</v>
      </c>
      <c r="L3543" s="11">
        <v>23.71</v>
      </c>
      <c r="M3543" s="11">
        <v>80225.19</v>
      </c>
      <c r="N3543" s="9">
        <f t="shared" si="139"/>
        <v>23.71</v>
      </c>
    </row>
    <row r="3544" spans="1:14" ht="12.75" hidden="1" customHeight="1" x14ac:dyDescent="0.2">
      <c r="A3544">
        <v>65061</v>
      </c>
      <c r="B3544" s="3" t="s">
        <v>1253</v>
      </c>
      <c r="C3544" s="7" t="s">
        <v>825</v>
      </c>
      <c r="D3544" s="7" t="s">
        <v>200</v>
      </c>
      <c r="F3544" s="7" t="s">
        <v>826</v>
      </c>
      <c r="G3544" s="7" t="s">
        <v>1568</v>
      </c>
      <c r="H3544" s="7" t="s">
        <v>1362</v>
      </c>
      <c r="I3544" s="7" t="s">
        <v>1253</v>
      </c>
      <c r="K3544" s="7" t="s">
        <v>225</v>
      </c>
      <c r="L3544" s="11">
        <v>81.3</v>
      </c>
      <c r="M3544" s="11">
        <v>80306.490000000005</v>
      </c>
      <c r="N3544" s="9">
        <f t="shared" si="139"/>
        <v>81.3</v>
      </c>
    </row>
    <row r="3545" spans="1:14" ht="12.75" hidden="1" customHeight="1" x14ac:dyDescent="0.2">
      <c r="A3545">
        <v>65061</v>
      </c>
      <c r="B3545" s="3" t="s">
        <v>1253</v>
      </c>
      <c r="C3545" s="7" t="s">
        <v>825</v>
      </c>
      <c r="D3545" s="7" t="s">
        <v>200</v>
      </c>
      <c r="F3545" s="7" t="s">
        <v>241</v>
      </c>
      <c r="G3545" s="7" t="s">
        <v>1568</v>
      </c>
      <c r="H3545" s="7" t="s">
        <v>1362</v>
      </c>
      <c r="I3545" s="7" t="s">
        <v>1253</v>
      </c>
      <c r="K3545" s="7" t="s">
        <v>225</v>
      </c>
      <c r="L3545" s="11">
        <v>161.41999999999999</v>
      </c>
      <c r="M3545" s="11">
        <v>80467.91</v>
      </c>
      <c r="N3545" s="9">
        <f t="shared" si="139"/>
        <v>161.41999999999999</v>
      </c>
    </row>
    <row r="3546" spans="1:14" ht="12.75" hidden="1" customHeight="1" x14ac:dyDescent="0.2">
      <c r="A3546">
        <v>65061</v>
      </c>
      <c r="B3546" s="3" t="s">
        <v>1253</v>
      </c>
      <c r="C3546" s="7" t="s">
        <v>298</v>
      </c>
      <c r="D3546" s="7" t="s">
        <v>200</v>
      </c>
      <c r="F3546" s="7" t="s">
        <v>564</v>
      </c>
      <c r="G3546" s="7" t="s">
        <v>1568</v>
      </c>
      <c r="H3546" s="7" t="s">
        <v>1362</v>
      </c>
      <c r="I3546" s="7" t="s">
        <v>1253</v>
      </c>
      <c r="K3546" s="7" t="s">
        <v>225</v>
      </c>
      <c r="L3546" s="11">
        <v>421.43</v>
      </c>
      <c r="M3546" s="11">
        <v>80954.34</v>
      </c>
      <c r="N3546" s="9">
        <f t="shared" si="139"/>
        <v>421.43</v>
      </c>
    </row>
    <row r="3547" spans="1:14" ht="12.75" hidden="1" customHeight="1" x14ac:dyDescent="0.2">
      <c r="A3547">
        <v>65061</v>
      </c>
      <c r="B3547" s="3" t="s">
        <v>1253</v>
      </c>
      <c r="C3547" s="7" t="s">
        <v>298</v>
      </c>
      <c r="D3547" s="7" t="s">
        <v>200</v>
      </c>
      <c r="F3547" s="7" t="s">
        <v>352</v>
      </c>
      <c r="G3547" s="7" t="s">
        <v>1568</v>
      </c>
      <c r="H3547" s="7" t="s">
        <v>1362</v>
      </c>
      <c r="I3547" s="7" t="s">
        <v>1253</v>
      </c>
      <c r="K3547" s="7" t="s">
        <v>225</v>
      </c>
      <c r="L3547" s="11">
        <v>71.97</v>
      </c>
      <c r="M3547" s="11">
        <v>81069.11</v>
      </c>
      <c r="N3547" s="9">
        <f t="shared" si="139"/>
        <v>71.97</v>
      </c>
    </row>
    <row r="3548" spans="1:14" ht="12.75" hidden="1" customHeight="1" x14ac:dyDescent="0.2">
      <c r="A3548">
        <v>65061</v>
      </c>
      <c r="B3548" s="3" t="s">
        <v>1253</v>
      </c>
      <c r="C3548" s="7" t="s">
        <v>298</v>
      </c>
      <c r="D3548" s="7" t="s">
        <v>200</v>
      </c>
      <c r="F3548" s="7" t="s">
        <v>822</v>
      </c>
      <c r="G3548" s="7" t="s">
        <v>1568</v>
      </c>
      <c r="H3548" s="7" t="s">
        <v>1362</v>
      </c>
      <c r="I3548" s="7" t="s">
        <v>1253</v>
      </c>
      <c r="K3548" s="7" t="s">
        <v>225</v>
      </c>
      <c r="L3548" s="11">
        <v>134.07</v>
      </c>
      <c r="M3548" s="11">
        <v>81306.64</v>
      </c>
      <c r="N3548" s="9">
        <f t="shared" ref="N3548:N3611" si="140">IF(A3548&lt;60000,-L3548,+L3548)</f>
        <v>134.07</v>
      </c>
    </row>
    <row r="3549" spans="1:14" ht="12.75" hidden="1" customHeight="1" x14ac:dyDescent="0.2">
      <c r="A3549">
        <v>65061</v>
      </c>
      <c r="B3549" s="3" t="s">
        <v>1253</v>
      </c>
      <c r="C3549" s="7" t="s">
        <v>298</v>
      </c>
      <c r="D3549" s="7" t="s">
        <v>200</v>
      </c>
      <c r="F3549" s="7" t="s">
        <v>571</v>
      </c>
      <c r="G3549" s="7" t="s">
        <v>1568</v>
      </c>
      <c r="H3549" s="7" t="s">
        <v>1362</v>
      </c>
      <c r="I3549" s="7" t="s">
        <v>1253</v>
      </c>
      <c r="K3549" s="7" t="s">
        <v>225</v>
      </c>
      <c r="L3549" s="11">
        <v>465.75</v>
      </c>
      <c r="M3549" s="11">
        <v>82105.78</v>
      </c>
      <c r="N3549" s="9">
        <f t="shared" si="140"/>
        <v>465.75</v>
      </c>
    </row>
    <row r="3550" spans="1:14" ht="12.75" hidden="1" customHeight="1" x14ac:dyDescent="0.2">
      <c r="A3550">
        <v>65061</v>
      </c>
      <c r="B3550" s="3" t="s">
        <v>1253</v>
      </c>
      <c r="C3550" s="7" t="s">
        <v>298</v>
      </c>
      <c r="D3550" s="7" t="s">
        <v>200</v>
      </c>
      <c r="F3550" s="7" t="s">
        <v>819</v>
      </c>
      <c r="G3550" s="7" t="s">
        <v>1568</v>
      </c>
      <c r="H3550" s="7" t="s">
        <v>1362</v>
      </c>
      <c r="I3550" s="7" t="s">
        <v>1253</v>
      </c>
      <c r="K3550" s="7" t="s">
        <v>225</v>
      </c>
      <c r="L3550" s="11">
        <v>57.9</v>
      </c>
      <c r="M3550" s="11">
        <v>82303.77</v>
      </c>
      <c r="N3550" s="9">
        <f t="shared" si="140"/>
        <v>57.9</v>
      </c>
    </row>
    <row r="3551" spans="1:14" ht="12.75" hidden="1" customHeight="1" x14ac:dyDescent="0.2">
      <c r="A3551">
        <v>65061</v>
      </c>
      <c r="B3551" s="3" t="s">
        <v>1253</v>
      </c>
      <c r="C3551" s="7" t="s">
        <v>298</v>
      </c>
      <c r="D3551" s="7" t="s">
        <v>200</v>
      </c>
      <c r="F3551" s="7" t="s">
        <v>690</v>
      </c>
      <c r="G3551" s="7" t="s">
        <v>1568</v>
      </c>
      <c r="H3551" s="7" t="s">
        <v>1362</v>
      </c>
      <c r="I3551" s="7" t="s">
        <v>1253</v>
      </c>
      <c r="K3551" s="7" t="s">
        <v>225</v>
      </c>
      <c r="L3551" s="11">
        <v>86.04</v>
      </c>
      <c r="M3551" s="11">
        <v>82389.81</v>
      </c>
      <c r="N3551" s="9">
        <f t="shared" si="140"/>
        <v>86.04</v>
      </c>
    </row>
    <row r="3552" spans="1:14" ht="12.75" hidden="1" customHeight="1" x14ac:dyDescent="0.2">
      <c r="A3552">
        <v>65061</v>
      </c>
      <c r="B3552" s="3" t="s">
        <v>1253</v>
      </c>
      <c r="C3552" s="7" t="s">
        <v>298</v>
      </c>
      <c r="D3552" s="7" t="s">
        <v>200</v>
      </c>
      <c r="F3552" s="7" t="s">
        <v>564</v>
      </c>
      <c r="G3552" s="7" t="s">
        <v>1568</v>
      </c>
      <c r="H3552" s="7" t="s">
        <v>1362</v>
      </c>
      <c r="I3552" s="7" t="s">
        <v>1253</v>
      </c>
      <c r="K3552" s="7" t="s">
        <v>225</v>
      </c>
      <c r="L3552" s="11">
        <v>63.73</v>
      </c>
      <c r="M3552" s="11">
        <v>82453.539999999994</v>
      </c>
      <c r="N3552" s="9">
        <f t="shared" si="140"/>
        <v>63.73</v>
      </c>
    </row>
    <row r="3553" spans="1:14" ht="12.75" hidden="1" customHeight="1" x14ac:dyDescent="0.2">
      <c r="A3553">
        <v>65061</v>
      </c>
      <c r="B3553" s="3" t="s">
        <v>1253</v>
      </c>
      <c r="C3553" s="7" t="s">
        <v>406</v>
      </c>
      <c r="D3553" s="7" t="s">
        <v>200</v>
      </c>
      <c r="F3553" s="7" t="s">
        <v>549</v>
      </c>
      <c r="G3553" s="7" t="s">
        <v>1568</v>
      </c>
      <c r="H3553" s="7" t="s">
        <v>1362</v>
      </c>
      <c r="I3553" s="7" t="s">
        <v>1253</v>
      </c>
      <c r="K3553" s="7" t="s">
        <v>225</v>
      </c>
      <c r="L3553" s="11">
        <v>261.97000000000003</v>
      </c>
      <c r="M3553" s="11">
        <v>83420.460000000006</v>
      </c>
      <c r="N3553" s="9">
        <f t="shared" si="140"/>
        <v>261.97000000000003</v>
      </c>
    </row>
    <row r="3554" spans="1:14" ht="12.75" hidden="1" customHeight="1" x14ac:dyDescent="0.2">
      <c r="A3554">
        <v>65061</v>
      </c>
      <c r="B3554" s="3" t="s">
        <v>1253</v>
      </c>
      <c r="C3554" s="7" t="s">
        <v>406</v>
      </c>
      <c r="D3554" s="7" t="s">
        <v>200</v>
      </c>
      <c r="E3554" s="7">
        <v>1109</v>
      </c>
      <c r="F3554" s="7" t="s">
        <v>719</v>
      </c>
      <c r="G3554" s="7" t="s">
        <v>1568</v>
      </c>
      <c r="H3554" s="7" t="s">
        <v>1362</v>
      </c>
      <c r="I3554" s="7" t="s">
        <v>1253</v>
      </c>
      <c r="K3554" s="7" t="s">
        <v>225</v>
      </c>
      <c r="L3554" s="11">
        <v>76.8</v>
      </c>
      <c r="M3554" s="11">
        <v>83590.710000000006</v>
      </c>
      <c r="N3554" s="9">
        <f t="shared" si="140"/>
        <v>76.8</v>
      </c>
    </row>
    <row r="3555" spans="1:14" ht="12.75" hidden="1" customHeight="1" x14ac:dyDescent="0.2">
      <c r="A3555">
        <v>65061</v>
      </c>
      <c r="B3555" s="3" t="s">
        <v>1253</v>
      </c>
      <c r="C3555" s="7" t="s">
        <v>284</v>
      </c>
      <c r="D3555" s="7" t="s">
        <v>242</v>
      </c>
      <c r="F3555" s="7" t="s">
        <v>805</v>
      </c>
      <c r="G3555" s="7" t="s">
        <v>1568</v>
      </c>
      <c r="H3555" s="7" t="s">
        <v>1362</v>
      </c>
      <c r="I3555" s="7" t="s">
        <v>1253</v>
      </c>
      <c r="K3555" s="7" t="s">
        <v>225</v>
      </c>
      <c r="L3555" s="11">
        <v>-54.45</v>
      </c>
      <c r="M3555" s="11">
        <v>90468.77</v>
      </c>
      <c r="N3555" s="9">
        <f t="shared" si="140"/>
        <v>-54.45</v>
      </c>
    </row>
    <row r="3556" spans="1:14" ht="12.75" hidden="1" customHeight="1" x14ac:dyDescent="0.2">
      <c r="A3556">
        <v>65061</v>
      </c>
      <c r="B3556" s="3" t="s">
        <v>1253</v>
      </c>
      <c r="C3556" s="7" t="s">
        <v>794</v>
      </c>
      <c r="D3556" s="7" t="s">
        <v>242</v>
      </c>
      <c r="F3556" s="7" t="s">
        <v>564</v>
      </c>
      <c r="G3556" s="7" t="s">
        <v>1568</v>
      </c>
      <c r="H3556" s="7" t="s">
        <v>1362</v>
      </c>
      <c r="I3556" s="7" t="s">
        <v>1253</v>
      </c>
      <c r="K3556" s="7" t="s">
        <v>225</v>
      </c>
      <c r="L3556" s="11">
        <v>-36.979999999999997</v>
      </c>
      <c r="M3556" s="11">
        <v>97558.399999999994</v>
      </c>
      <c r="N3556" s="9">
        <f t="shared" si="140"/>
        <v>-36.979999999999997</v>
      </c>
    </row>
    <row r="3557" spans="1:14" ht="12.75" hidden="1" customHeight="1" x14ac:dyDescent="0.2">
      <c r="A3557">
        <v>65061</v>
      </c>
      <c r="B3557" s="3" t="s">
        <v>1253</v>
      </c>
      <c r="C3557" s="7" t="s">
        <v>270</v>
      </c>
      <c r="D3557" s="7" t="s">
        <v>200</v>
      </c>
      <c r="F3557" s="7" t="s">
        <v>241</v>
      </c>
      <c r="G3557" s="7" t="s">
        <v>1568</v>
      </c>
      <c r="H3557" s="7" t="s">
        <v>1362</v>
      </c>
      <c r="I3557" s="7" t="s">
        <v>1253</v>
      </c>
      <c r="K3557" s="7" t="s">
        <v>225</v>
      </c>
      <c r="L3557" s="11">
        <v>38.14</v>
      </c>
      <c r="M3557" s="11">
        <v>101693.94</v>
      </c>
      <c r="N3557" s="9">
        <f t="shared" si="140"/>
        <v>38.14</v>
      </c>
    </row>
    <row r="3558" spans="1:14" ht="12.75" hidden="1" customHeight="1" x14ac:dyDescent="0.2">
      <c r="A3558">
        <v>65061</v>
      </c>
      <c r="B3558" s="3" t="s">
        <v>1253</v>
      </c>
      <c r="C3558" s="7" t="s">
        <v>267</v>
      </c>
      <c r="D3558" s="7" t="s">
        <v>200</v>
      </c>
      <c r="F3558" s="7" t="s">
        <v>265</v>
      </c>
      <c r="G3558" s="7" t="s">
        <v>1568</v>
      </c>
      <c r="H3558" s="7" t="s">
        <v>1362</v>
      </c>
      <c r="I3558" s="7" t="s">
        <v>1253</v>
      </c>
      <c r="K3558" s="7" t="s">
        <v>225</v>
      </c>
      <c r="L3558" s="11">
        <v>60.7</v>
      </c>
      <c r="M3558" s="11">
        <v>102162.91</v>
      </c>
      <c r="N3558" s="9">
        <f t="shared" si="140"/>
        <v>60.7</v>
      </c>
    </row>
    <row r="3559" spans="1:14" ht="12.75" hidden="1" customHeight="1" x14ac:dyDescent="0.2">
      <c r="A3559">
        <v>65061</v>
      </c>
      <c r="B3559" s="3" t="s">
        <v>1253</v>
      </c>
      <c r="C3559" s="7" t="s">
        <v>267</v>
      </c>
      <c r="D3559" s="7" t="s">
        <v>200</v>
      </c>
      <c r="F3559" s="7" t="s">
        <v>265</v>
      </c>
      <c r="G3559" s="7" t="s">
        <v>1568</v>
      </c>
      <c r="H3559" s="7" t="s">
        <v>1362</v>
      </c>
      <c r="I3559" s="7" t="s">
        <v>1253</v>
      </c>
      <c r="K3559" s="7" t="s">
        <v>225</v>
      </c>
      <c r="L3559" s="11">
        <v>52.47</v>
      </c>
      <c r="M3559" s="11">
        <v>102215.38</v>
      </c>
      <c r="N3559" s="9">
        <f t="shared" si="140"/>
        <v>52.47</v>
      </c>
    </row>
    <row r="3560" spans="1:14" ht="12.75" hidden="1" customHeight="1" x14ac:dyDescent="0.2">
      <c r="A3560">
        <v>65061</v>
      </c>
      <c r="B3560" s="3" t="s">
        <v>1253</v>
      </c>
      <c r="C3560" s="7" t="s">
        <v>266</v>
      </c>
      <c r="D3560" s="7" t="s">
        <v>200</v>
      </c>
      <c r="F3560" s="7" t="s">
        <v>265</v>
      </c>
      <c r="G3560" s="7" t="s">
        <v>1568</v>
      </c>
      <c r="H3560" s="7" t="s">
        <v>1362</v>
      </c>
      <c r="I3560" s="7" t="s">
        <v>1253</v>
      </c>
      <c r="K3560" s="7" t="s">
        <v>225</v>
      </c>
      <c r="L3560" s="11">
        <v>17.41</v>
      </c>
      <c r="M3560" s="11">
        <v>103744.11</v>
      </c>
      <c r="N3560" s="9">
        <f t="shared" si="140"/>
        <v>17.41</v>
      </c>
    </row>
    <row r="3561" spans="1:14" ht="12.75" hidden="1" customHeight="1" x14ac:dyDescent="0.2">
      <c r="A3561">
        <v>65061</v>
      </c>
      <c r="B3561" s="3" t="s">
        <v>1253</v>
      </c>
      <c r="C3561" s="7" t="s">
        <v>257</v>
      </c>
      <c r="D3561" s="7" t="s">
        <v>200</v>
      </c>
      <c r="F3561" s="7" t="s">
        <v>243</v>
      </c>
      <c r="G3561" s="7" t="s">
        <v>1568</v>
      </c>
      <c r="H3561" s="7" t="s">
        <v>1362</v>
      </c>
      <c r="I3561" s="7" t="s">
        <v>1253</v>
      </c>
      <c r="K3561" s="7" t="s">
        <v>225</v>
      </c>
      <c r="L3561" s="11">
        <v>38.67</v>
      </c>
      <c r="M3561" s="11">
        <v>105432.99</v>
      </c>
      <c r="N3561" s="9">
        <f t="shared" si="140"/>
        <v>38.67</v>
      </c>
    </row>
    <row r="3562" spans="1:14" ht="12.75" hidden="1" customHeight="1" x14ac:dyDescent="0.2">
      <c r="A3562">
        <v>65061</v>
      </c>
      <c r="B3562" s="3" t="s">
        <v>1253</v>
      </c>
      <c r="C3562" s="7" t="s">
        <v>257</v>
      </c>
      <c r="D3562" s="7" t="s">
        <v>200</v>
      </c>
      <c r="F3562" s="7" t="s">
        <v>223</v>
      </c>
      <c r="G3562" s="7" t="s">
        <v>1568</v>
      </c>
      <c r="H3562" s="7" t="s">
        <v>1362</v>
      </c>
      <c r="I3562" s="7" t="s">
        <v>1253</v>
      </c>
      <c r="K3562" s="7" t="s">
        <v>225</v>
      </c>
      <c r="L3562" s="11">
        <v>16.559999999999999</v>
      </c>
      <c r="M3562" s="11">
        <v>106829.5</v>
      </c>
      <c r="N3562" s="9">
        <f t="shared" si="140"/>
        <v>16.559999999999999</v>
      </c>
    </row>
    <row r="3563" spans="1:14" ht="12.75" hidden="1" customHeight="1" x14ac:dyDescent="0.2">
      <c r="A3563">
        <v>65061</v>
      </c>
      <c r="B3563" s="3" t="s">
        <v>1253</v>
      </c>
      <c r="C3563" s="7" t="s">
        <v>257</v>
      </c>
      <c r="D3563" s="7" t="s">
        <v>200</v>
      </c>
      <c r="F3563" s="7" t="s">
        <v>241</v>
      </c>
      <c r="G3563" s="7" t="s">
        <v>1568</v>
      </c>
      <c r="H3563" s="7" t="s">
        <v>1362</v>
      </c>
      <c r="I3563" s="7" t="s">
        <v>1253</v>
      </c>
      <c r="K3563" s="7" t="s">
        <v>225</v>
      </c>
      <c r="L3563" s="11">
        <v>175.41</v>
      </c>
      <c r="M3563" s="11">
        <v>108116.86</v>
      </c>
      <c r="N3563" s="9">
        <f t="shared" si="140"/>
        <v>175.41</v>
      </c>
    </row>
    <row r="3564" spans="1:14" ht="12.75" hidden="1" customHeight="1" x14ac:dyDescent="0.2">
      <c r="A3564">
        <v>65061</v>
      </c>
      <c r="B3564" s="3" t="s">
        <v>1253</v>
      </c>
      <c r="C3564" s="7" t="s">
        <v>417</v>
      </c>
      <c r="D3564" s="7" t="s">
        <v>200</v>
      </c>
      <c r="F3564" s="7" t="s">
        <v>265</v>
      </c>
      <c r="G3564" s="7" t="s">
        <v>1568</v>
      </c>
      <c r="H3564" s="7" t="s">
        <v>1362</v>
      </c>
      <c r="I3564" s="7" t="s">
        <v>1253</v>
      </c>
      <c r="K3564" s="7" t="s">
        <v>225</v>
      </c>
      <c r="L3564" s="11">
        <v>107.42</v>
      </c>
      <c r="M3564" s="11">
        <v>110647.85</v>
      </c>
      <c r="N3564" s="9">
        <f t="shared" si="140"/>
        <v>107.42</v>
      </c>
    </row>
    <row r="3565" spans="1:14" ht="12.75" hidden="1" customHeight="1" x14ac:dyDescent="0.2">
      <c r="A3565">
        <v>65061</v>
      </c>
      <c r="B3565" s="3" t="s">
        <v>1253</v>
      </c>
      <c r="C3565" s="7" t="s">
        <v>755</v>
      </c>
      <c r="D3565" s="7" t="s">
        <v>221</v>
      </c>
      <c r="F3565" s="7" t="s">
        <v>289</v>
      </c>
      <c r="G3565" s="7" t="s">
        <v>1568</v>
      </c>
      <c r="H3565" s="7" t="s">
        <v>1362</v>
      </c>
      <c r="I3565" s="7" t="s">
        <v>1253</v>
      </c>
      <c r="K3565" s="7" t="s">
        <v>225</v>
      </c>
      <c r="L3565" s="11">
        <v>15.2</v>
      </c>
      <c r="M3565" s="11">
        <v>121997.12</v>
      </c>
      <c r="N3565" s="9">
        <f t="shared" si="140"/>
        <v>15.2</v>
      </c>
    </row>
    <row r="3566" spans="1:14" ht="12.75" hidden="1" customHeight="1" x14ac:dyDescent="0.2">
      <c r="A3566">
        <v>65061</v>
      </c>
      <c r="B3566" s="3" t="s">
        <v>1253</v>
      </c>
      <c r="C3566" s="7" t="s">
        <v>238</v>
      </c>
      <c r="D3566" s="7" t="s">
        <v>221</v>
      </c>
      <c r="F3566" s="7" t="s">
        <v>624</v>
      </c>
      <c r="G3566" s="7" t="s">
        <v>1568</v>
      </c>
      <c r="H3566" s="7" t="s">
        <v>1362</v>
      </c>
      <c r="I3566" s="7" t="s">
        <v>1253</v>
      </c>
      <c r="K3566" s="7" t="s">
        <v>225</v>
      </c>
      <c r="L3566" s="11">
        <v>1855.62</v>
      </c>
      <c r="M3566" s="11">
        <v>131427.84</v>
      </c>
      <c r="N3566" s="9">
        <f t="shared" si="140"/>
        <v>1855.62</v>
      </c>
    </row>
    <row r="3567" spans="1:14" ht="12.75" hidden="1" customHeight="1" x14ac:dyDescent="0.2">
      <c r="A3567">
        <v>65061</v>
      </c>
      <c r="B3567" s="3" t="s">
        <v>1253</v>
      </c>
      <c r="C3567" s="7" t="s">
        <v>233</v>
      </c>
      <c r="D3567" s="7" t="s">
        <v>200</v>
      </c>
      <c r="E3567" s="7">
        <v>1113</v>
      </c>
      <c r="F3567" s="7" t="s">
        <v>733</v>
      </c>
      <c r="G3567" s="7" t="s">
        <v>1568</v>
      </c>
      <c r="H3567" s="7" t="s">
        <v>1362</v>
      </c>
      <c r="I3567" s="7" t="s">
        <v>1253</v>
      </c>
      <c r="K3567" s="7" t="s">
        <v>225</v>
      </c>
      <c r="L3567" s="11">
        <v>415.23</v>
      </c>
      <c r="M3567" s="11">
        <v>132766.22</v>
      </c>
      <c r="N3567" s="9">
        <f t="shared" si="140"/>
        <v>415.23</v>
      </c>
    </row>
    <row r="3568" spans="1:14" ht="12.75" hidden="1" customHeight="1" x14ac:dyDescent="0.2">
      <c r="A3568">
        <v>65061</v>
      </c>
      <c r="B3568" s="3" t="s">
        <v>1253</v>
      </c>
      <c r="C3568" s="7" t="s">
        <v>233</v>
      </c>
      <c r="D3568" s="7" t="s">
        <v>221</v>
      </c>
      <c r="F3568" s="7" t="s">
        <v>732</v>
      </c>
      <c r="G3568" s="7" t="s">
        <v>1568</v>
      </c>
      <c r="H3568" s="7" t="s">
        <v>1362</v>
      </c>
      <c r="I3568" s="7" t="s">
        <v>1253</v>
      </c>
      <c r="K3568" s="7" t="s">
        <v>225</v>
      </c>
      <c r="L3568" s="11">
        <v>33.9</v>
      </c>
      <c r="M3568" s="11">
        <v>133030.15</v>
      </c>
      <c r="N3568" s="9">
        <f t="shared" si="140"/>
        <v>33.9</v>
      </c>
    </row>
    <row r="3569" spans="1:14" ht="12.75" hidden="1" customHeight="1" x14ac:dyDescent="0.2">
      <c r="A3569">
        <v>65061</v>
      </c>
      <c r="B3569" s="3" t="s">
        <v>1253</v>
      </c>
      <c r="C3569" s="7" t="s">
        <v>233</v>
      </c>
      <c r="D3569" s="7" t="s">
        <v>221</v>
      </c>
      <c r="F3569" s="7" t="s">
        <v>725</v>
      </c>
      <c r="G3569" s="7" t="s">
        <v>1568</v>
      </c>
      <c r="H3569" s="7" t="s">
        <v>1362</v>
      </c>
      <c r="I3569" s="7" t="s">
        <v>1253</v>
      </c>
      <c r="K3569" s="7" t="s">
        <v>225</v>
      </c>
      <c r="L3569" s="11">
        <v>23</v>
      </c>
      <c r="M3569" s="11">
        <v>135828.47</v>
      </c>
      <c r="N3569" s="9">
        <f t="shared" si="140"/>
        <v>23</v>
      </c>
    </row>
    <row r="3570" spans="1:14" ht="12.75" hidden="1" customHeight="1" x14ac:dyDescent="0.2">
      <c r="A3570">
        <v>65061</v>
      </c>
      <c r="B3570" s="3" t="s">
        <v>1253</v>
      </c>
      <c r="C3570" s="7" t="s">
        <v>193</v>
      </c>
      <c r="D3570" s="7" t="s">
        <v>200</v>
      </c>
      <c r="E3570" s="7">
        <v>1117</v>
      </c>
      <c r="F3570" s="7" t="s">
        <v>723</v>
      </c>
      <c r="G3570" s="7" t="s">
        <v>1568</v>
      </c>
      <c r="H3570" s="7" t="s">
        <v>1362</v>
      </c>
      <c r="I3570" s="7" t="s">
        <v>1253</v>
      </c>
      <c r="K3570" s="7" t="s">
        <v>225</v>
      </c>
      <c r="L3570" s="11">
        <v>72.56</v>
      </c>
      <c r="M3570" s="11">
        <v>136020.67000000001</v>
      </c>
      <c r="N3570" s="9">
        <f t="shared" si="140"/>
        <v>72.56</v>
      </c>
    </row>
    <row r="3571" spans="1:14" ht="12.75" hidden="1" customHeight="1" x14ac:dyDescent="0.2">
      <c r="A3571">
        <v>65061</v>
      </c>
      <c r="B3571" s="3" t="s">
        <v>1253</v>
      </c>
      <c r="C3571" s="7" t="s">
        <v>193</v>
      </c>
      <c r="D3571" s="7" t="s">
        <v>221</v>
      </c>
      <c r="F3571" s="7" t="s">
        <v>720</v>
      </c>
      <c r="G3571" s="7" t="s">
        <v>1568</v>
      </c>
      <c r="H3571" s="7" t="s">
        <v>1362</v>
      </c>
      <c r="I3571" s="7" t="s">
        <v>1253</v>
      </c>
      <c r="K3571" s="7" t="s">
        <v>225</v>
      </c>
      <c r="L3571" s="11">
        <v>69.14</v>
      </c>
      <c r="M3571" s="11">
        <v>136601.67000000001</v>
      </c>
      <c r="N3571" s="9">
        <f t="shared" si="140"/>
        <v>69.14</v>
      </c>
    </row>
    <row r="3572" spans="1:14" ht="12.75" hidden="1" customHeight="1" x14ac:dyDescent="0.2">
      <c r="A3572">
        <v>65061</v>
      </c>
      <c r="B3572" s="3" t="s">
        <v>1253</v>
      </c>
      <c r="C3572" s="7" t="s">
        <v>193</v>
      </c>
      <c r="D3572" s="7" t="s">
        <v>221</v>
      </c>
      <c r="F3572" s="7" t="s">
        <v>241</v>
      </c>
      <c r="G3572" s="7" t="s">
        <v>1568</v>
      </c>
      <c r="H3572" s="7" t="s">
        <v>1362</v>
      </c>
      <c r="I3572" s="7" t="s">
        <v>1253</v>
      </c>
      <c r="K3572" s="7" t="s">
        <v>225</v>
      </c>
      <c r="L3572" s="11">
        <v>91.16</v>
      </c>
      <c r="M3572" s="11">
        <v>136692.82999999999</v>
      </c>
      <c r="N3572" s="9">
        <f t="shared" si="140"/>
        <v>91.16</v>
      </c>
    </row>
    <row r="3573" spans="1:14" ht="12.75" hidden="1" customHeight="1" x14ac:dyDescent="0.2">
      <c r="A3573">
        <v>65061</v>
      </c>
      <c r="B3573" s="3" t="s">
        <v>1253</v>
      </c>
      <c r="C3573" s="7" t="s">
        <v>193</v>
      </c>
      <c r="D3573" s="7" t="s">
        <v>200</v>
      </c>
      <c r="E3573" s="7">
        <v>1112</v>
      </c>
      <c r="F3573" s="7" t="s">
        <v>719</v>
      </c>
      <c r="G3573" s="7" t="s">
        <v>1568</v>
      </c>
      <c r="H3573" s="7" t="s">
        <v>1362</v>
      </c>
      <c r="I3573" s="7" t="s">
        <v>1253</v>
      </c>
      <c r="K3573" s="7" t="s">
        <v>225</v>
      </c>
      <c r="L3573" s="11">
        <v>76.8</v>
      </c>
      <c r="M3573" s="11">
        <v>136769.63</v>
      </c>
      <c r="N3573" s="9">
        <f t="shared" si="140"/>
        <v>76.8</v>
      </c>
    </row>
    <row r="3574" spans="1:14" ht="12.75" hidden="1" customHeight="1" x14ac:dyDescent="0.2">
      <c r="A3574">
        <v>65061</v>
      </c>
      <c r="B3574" s="3" t="s">
        <v>1253</v>
      </c>
      <c r="C3574" s="7" t="s">
        <v>710</v>
      </c>
      <c r="D3574" s="7" t="s">
        <v>221</v>
      </c>
      <c r="F3574" s="7" t="s">
        <v>715</v>
      </c>
      <c r="G3574" s="7" t="s">
        <v>1568</v>
      </c>
      <c r="H3574" s="7" t="s">
        <v>1362</v>
      </c>
      <c r="I3574" s="7" t="s">
        <v>1253</v>
      </c>
      <c r="K3574" s="7" t="s">
        <v>225</v>
      </c>
      <c r="L3574" s="11">
        <v>286.49</v>
      </c>
      <c r="M3574" s="11">
        <v>138743.29</v>
      </c>
      <c r="N3574" s="9">
        <f t="shared" si="140"/>
        <v>286.49</v>
      </c>
    </row>
    <row r="3575" spans="1:14" ht="12.75" hidden="1" customHeight="1" x14ac:dyDescent="0.2">
      <c r="A3575">
        <v>65061</v>
      </c>
      <c r="B3575" s="3" t="s">
        <v>1253</v>
      </c>
      <c r="C3575" s="7" t="s">
        <v>710</v>
      </c>
      <c r="D3575" s="7" t="s">
        <v>221</v>
      </c>
      <c r="F3575" s="7" t="s">
        <v>624</v>
      </c>
      <c r="G3575" s="7" t="s">
        <v>1568</v>
      </c>
      <c r="H3575" s="7" t="s">
        <v>1362</v>
      </c>
      <c r="I3575" s="7" t="s">
        <v>1253</v>
      </c>
      <c r="K3575" s="7" t="s">
        <v>225</v>
      </c>
      <c r="L3575" s="11">
        <v>380.97</v>
      </c>
      <c r="M3575" s="11">
        <v>139124.26</v>
      </c>
      <c r="N3575" s="9">
        <f t="shared" si="140"/>
        <v>380.97</v>
      </c>
    </row>
    <row r="3576" spans="1:14" ht="12.75" hidden="1" customHeight="1" x14ac:dyDescent="0.2">
      <c r="A3576">
        <v>65061</v>
      </c>
      <c r="B3576" s="3" t="s">
        <v>1253</v>
      </c>
      <c r="C3576" s="7" t="s">
        <v>710</v>
      </c>
      <c r="D3576" s="7" t="s">
        <v>221</v>
      </c>
      <c r="F3576" s="7" t="s">
        <v>570</v>
      </c>
      <c r="G3576" s="7" t="s">
        <v>1568</v>
      </c>
      <c r="H3576" s="7" t="s">
        <v>1362</v>
      </c>
      <c r="I3576" s="7" t="s">
        <v>1253</v>
      </c>
      <c r="K3576" s="7" t="s">
        <v>225</v>
      </c>
      <c r="L3576" s="11">
        <v>440.12</v>
      </c>
      <c r="M3576" s="11">
        <v>139564.38</v>
      </c>
      <c r="N3576" s="9">
        <f t="shared" si="140"/>
        <v>440.12</v>
      </c>
    </row>
    <row r="3577" spans="1:14" ht="12.75" hidden="1" customHeight="1" x14ac:dyDescent="0.2">
      <c r="A3577">
        <v>65061</v>
      </c>
      <c r="B3577" s="3" t="s">
        <v>1253</v>
      </c>
      <c r="C3577" s="7" t="s">
        <v>224</v>
      </c>
      <c r="D3577" s="7" t="s">
        <v>221</v>
      </c>
      <c r="F3577" s="7" t="s">
        <v>568</v>
      </c>
      <c r="G3577" s="7" t="s">
        <v>1568</v>
      </c>
      <c r="H3577" s="7" t="s">
        <v>1362</v>
      </c>
      <c r="I3577" s="7" t="s">
        <v>1253</v>
      </c>
      <c r="K3577" s="7" t="s">
        <v>225</v>
      </c>
      <c r="L3577" s="11">
        <v>58.57</v>
      </c>
      <c r="M3577" s="11">
        <v>143018.79999999999</v>
      </c>
      <c r="N3577" s="9">
        <f t="shared" si="140"/>
        <v>58.57</v>
      </c>
    </row>
    <row r="3578" spans="1:14" ht="12.75" hidden="1" customHeight="1" x14ac:dyDescent="0.2">
      <c r="A3578">
        <v>65061</v>
      </c>
      <c r="B3578" s="3" t="s">
        <v>1253</v>
      </c>
      <c r="C3578" s="7" t="s">
        <v>493</v>
      </c>
      <c r="D3578" s="7" t="s">
        <v>221</v>
      </c>
      <c r="F3578" s="7" t="s">
        <v>568</v>
      </c>
      <c r="G3578" s="7" t="s">
        <v>1568</v>
      </c>
      <c r="H3578" s="7" t="s">
        <v>1362</v>
      </c>
      <c r="I3578" s="7" t="s">
        <v>1253</v>
      </c>
      <c r="K3578" s="7" t="s">
        <v>225</v>
      </c>
      <c r="L3578" s="11">
        <v>26.02</v>
      </c>
      <c r="M3578" s="11">
        <v>143044.82</v>
      </c>
      <c r="N3578" s="9">
        <f t="shared" si="140"/>
        <v>26.02</v>
      </c>
    </row>
    <row r="3579" spans="1:14" ht="12.75" hidden="1" customHeight="1" x14ac:dyDescent="0.2">
      <c r="A3579">
        <v>65061</v>
      </c>
      <c r="B3579" s="3" t="s">
        <v>1253</v>
      </c>
      <c r="C3579" s="7" t="s">
        <v>701</v>
      </c>
      <c r="D3579" s="7" t="s">
        <v>221</v>
      </c>
      <c r="F3579" s="7" t="s">
        <v>241</v>
      </c>
      <c r="G3579" s="7" t="s">
        <v>1568</v>
      </c>
      <c r="H3579" s="7" t="s">
        <v>1362</v>
      </c>
      <c r="I3579" s="7" t="s">
        <v>1253</v>
      </c>
      <c r="K3579" s="7" t="s">
        <v>225</v>
      </c>
      <c r="L3579" s="11">
        <v>54.45</v>
      </c>
      <c r="M3579" s="11">
        <v>144462.23000000001</v>
      </c>
      <c r="N3579" s="9">
        <f t="shared" si="140"/>
        <v>54.45</v>
      </c>
    </row>
    <row r="3580" spans="1:14" ht="12.75" hidden="1" customHeight="1" x14ac:dyDescent="0.2">
      <c r="A3580">
        <v>65061</v>
      </c>
      <c r="B3580" s="3" t="s">
        <v>1253</v>
      </c>
      <c r="C3580" s="7" t="s">
        <v>698</v>
      </c>
      <c r="D3580" s="7" t="s">
        <v>221</v>
      </c>
      <c r="F3580" s="7" t="s">
        <v>568</v>
      </c>
      <c r="G3580" s="7" t="s">
        <v>1568</v>
      </c>
      <c r="H3580" s="7" t="s">
        <v>1362</v>
      </c>
      <c r="I3580" s="7" t="s">
        <v>1253</v>
      </c>
      <c r="K3580" s="7" t="s">
        <v>225</v>
      </c>
      <c r="L3580" s="11">
        <v>66.930000000000007</v>
      </c>
      <c r="M3580" s="11">
        <v>144818.78</v>
      </c>
      <c r="N3580" s="9">
        <f t="shared" si="140"/>
        <v>66.930000000000007</v>
      </c>
    </row>
    <row r="3581" spans="1:14" ht="12.75" hidden="1" customHeight="1" x14ac:dyDescent="0.2">
      <c r="A3581">
        <v>65061</v>
      </c>
      <c r="B3581" s="3" t="s">
        <v>1253</v>
      </c>
      <c r="C3581" s="7" t="s">
        <v>698</v>
      </c>
      <c r="D3581" s="7" t="s">
        <v>242</v>
      </c>
      <c r="F3581" s="7" t="s">
        <v>568</v>
      </c>
      <c r="G3581" s="7" t="s">
        <v>1568</v>
      </c>
      <c r="H3581" s="7" t="s">
        <v>1362</v>
      </c>
      <c r="I3581" s="7" t="s">
        <v>1253</v>
      </c>
      <c r="K3581" s="7" t="s">
        <v>225</v>
      </c>
      <c r="L3581" s="11">
        <v>-58.84</v>
      </c>
      <c r="M3581" s="11">
        <v>144988.04</v>
      </c>
      <c r="N3581" s="9">
        <f t="shared" si="140"/>
        <v>-58.84</v>
      </c>
    </row>
    <row r="3582" spans="1:14" ht="12.75" hidden="1" customHeight="1" x14ac:dyDescent="0.2">
      <c r="A3582">
        <v>65061</v>
      </c>
      <c r="B3582" s="3" t="s">
        <v>1253</v>
      </c>
      <c r="C3582" s="7" t="s">
        <v>698</v>
      </c>
      <c r="D3582" s="7" t="s">
        <v>221</v>
      </c>
      <c r="F3582" s="7" t="s">
        <v>699</v>
      </c>
      <c r="G3582" s="7" t="s">
        <v>1568</v>
      </c>
      <c r="H3582" s="7" t="s">
        <v>1362</v>
      </c>
      <c r="I3582" s="7" t="s">
        <v>1253</v>
      </c>
      <c r="K3582" s="7" t="s">
        <v>225</v>
      </c>
      <c r="L3582" s="11">
        <v>411.8</v>
      </c>
      <c r="M3582" s="11">
        <v>145399.84</v>
      </c>
      <c r="N3582" s="9">
        <f t="shared" si="140"/>
        <v>411.8</v>
      </c>
    </row>
    <row r="3583" spans="1:14" ht="12.75" hidden="1" customHeight="1" x14ac:dyDescent="0.2">
      <c r="A3583">
        <v>65061</v>
      </c>
      <c r="B3583" s="3" t="s">
        <v>1253</v>
      </c>
      <c r="C3583" s="7" t="s">
        <v>430</v>
      </c>
      <c r="D3583" s="7" t="s">
        <v>221</v>
      </c>
      <c r="F3583" s="7" t="s">
        <v>648</v>
      </c>
      <c r="G3583" s="7" t="s">
        <v>1568</v>
      </c>
      <c r="H3583" s="7" t="s">
        <v>1362</v>
      </c>
      <c r="I3583" s="7" t="s">
        <v>1253</v>
      </c>
      <c r="K3583" s="7" t="s">
        <v>225</v>
      </c>
      <c r="L3583" s="11">
        <v>44.62</v>
      </c>
      <c r="M3583" s="11">
        <v>146136.21</v>
      </c>
      <c r="N3583" s="9">
        <f t="shared" si="140"/>
        <v>44.62</v>
      </c>
    </row>
    <row r="3584" spans="1:14" ht="12.75" hidden="1" customHeight="1" x14ac:dyDescent="0.2">
      <c r="A3584">
        <v>65061</v>
      </c>
      <c r="B3584" s="3" t="s">
        <v>1253</v>
      </c>
      <c r="C3584" s="7" t="s">
        <v>430</v>
      </c>
      <c r="D3584" s="7" t="s">
        <v>221</v>
      </c>
      <c r="F3584" s="7" t="s">
        <v>548</v>
      </c>
      <c r="G3584" s="7" t="s">
        <v>1568</v>
      </c>
      <c r="H3584" s="7" t="s">
        <v>1362</v>
      </c>
      <c r="I3584" s="7" t="s">
        <v>1253</v>
      </c>
      <c r="K3584" s="7" t="s">
        <v>225</v>
      </c>
      <c r="L3584" s="11">
        <v>70.75</v>
      </c>
      <c r="M3584" s="11">
        <v>146206.96</v>
      </c>
      <c r="N3584" s="9">
        <f t="shared" si="140"/>
        <v>70.75</v>
      </c>
    </row>
    <row r="3585" spans="1:14" ht="12.75" hidden="1" customHeight="1" x14ac:dyDescent="0.2">
      <c r="A3585">
        <v>65061</v>
      </c>
      <c r="B3585" s="3" t="s">
        <v>1253</v>
      </c>
      <c r="C3585" s="7" t="s">
        <v>442</v>
      </c>
      <c r="D3585" s="7" t="s">
        <v>200</v>
      </c>
      <c r="E3585" s="7">
        <v>1118</v>
      </c>
      <c r="F3585" s="7" t="s">
        <v>692</v>
      </c>
      <c r="G3585" s="7" t="s">
        <v>1568</v>
      </c>
      <c r="H3585" s="7" t="s">
        <v>1362</v>
      </c>
      <c r="I3585" s="7" t="s">
        <v>1253</v>
      </c>
      <c r="K3585" s="7" t="s">
        <v>225</v>
      </c>
      <c r="L3585" s="11">
        <v>425</v>
      </c>
      <c r="M3585" s="11">
        <v>147094.10999999999</v>
      </c>
      <c r="N3585" s="9">
        <f t="shared" si="140"/>
        <v>425</v>
      </c>
    </row>
    <row r="3586" spans="1:14" ht="12.75" hidden="1" customHeight="1" x14ac:dyDescent="0.2">
      <c r="A3586">
        <v>65061</v>
      </c>
      <c r="B3586" s="3" t="s">
        <v>1253</v>
      </c>
      <c r="C3586" s="7" t="s">
        <v>442</v>
      </c>
      <c r="D3586" s="7" t="s">
        <v>221</v>
      </c>
      <c r="F3586" s="7" t="s">
        <v>352</v>
      </c>
      <c r="G3586" s="7" t="s">
        <v>1568</v>
      </c>
      <c r="H3586" s="7" t="s">
        <v>1362</v>
      </c>
      <c r="I3586" s="7" t="s">
        <v>1253</v>
      </c>
      <c r="K3586" s="7" t="s">
        <v>225</v>
      </c>
      <c r="L3586" s="11">
        <v>15.03</v>
      </c>
      <c r="M3586" s="11">
        <v>147231.29</v>
      </c>
      <c r="N3586" s="9">
        <f t="shared" si="140"/>
        <v>15.03</v>
      </c>
    </row>
    <row r="3587" spans="1:14" ht="12.75" hidden="1" customHeight="1" x14ac:dyDescent="0.2">
      <c r="A3587">
        <v>65061</v>
      </c>
      <c r="B3587" s="3" t="s">
        <v>1253</v>
      </c>
      <c r="C3587" s="7" t="s">
        <v>191</v>
      </c>
      <c r="D3587" s="7" t="s">
        <v>221</v>
      </c>
      <c r="F3587" s="7" t="s">
        <v>595</v>
      </c>
      <c r="G3587" s="7" t="s">
        <v>1568</v>
      </c>
      <c r="H3587" s="7" t="s">
        <v>1362</v>
      </c>
      <c r="I3587" s="7" t="s">
        <v>1253</v>
      </c>
      <c r="K3587" s="7" t="s">
        <v>225</v>
      </c>
      <c r="L3587" s="11">
        <v>89.97</v>
      </c>
      <c r="M3587" s="11">
        <v>147321.26</v>
      </c>
      <c r="N3587" s="9">
        <f t="shared" si="140"/>
        <v>89.97</v>
      </c>
    </row>
    <row r="3588" spans="1:14" ht="12.75" hidden="1" customHeight="1" x14ac:dyDescent="0.2">
      <c r="A3588">
        <v>65061</v>
      </c>
      <c r="B3588" s="3" t="s">
        <v>1253</v>
      </c>
      <c r="C3588" s="7" t="s">
        <v>191</v>
      </c>
      <c r="D3588" s="7" t="s">
        <v>221</v>
      </c>
      <c r="F3588" s="7" t="s">
        <v>355</v>
      </c>
      <c r="G3588" s="7" t="s">
        <v>1568</v>
      </c>
      <c r="H3588" s="7" t="s">
        <v>1362</v>
      </c>
      <c r="I3588" s="7" t="s">
        <v>1253</v>
      </c>
      <c r="K3588" s="7" t="s">
        <v>225</v>
      </c>
      <c r="L3588" s="11">
        <v>41.13</v>
      </c>
      <c r="M3588" s="11">
        <v>147449.35999999999</v>
      </c>
      <c r="N3588" s="9">
        <f t="shared" si="140"/>
        <v>41.13</v>
      </c>
    </row>
    <row r="3589" spans="1:14" ht="12.75" hidden="1" customHeight="1" x14ac:dyDescent="0.2">
      <c r="A3589">
        <v>65061</v>
      </c>
      <c r="B3589" s="3" t="s">
        <v>1253</v>
      </c>
      <c r="C3589" s="7" t="s">
        <v>222</v>
      </c>
      <c r="D3589" s="7" t="s">
        <v>221</v>
      </c>
      <c r="F3589" s="7" t="s">
        <v>573</v>
      </c>
      <c r="G3589" s="7" t="s">
        <v>1568</v>
      </c>
      <c r="H3589" s="7" t="s">
        <v>1362</v>
      </c>
      <c r="I3589" s="7" t="s">
        <v>1253</v>
      </c>
      <c r="K3589" s="7" t="s">
        <v>225</v>
      </c>
      <c r="L3589" s="11">
        <v>123.74</v>
      </c>
      <c r="M3589" s="11">
        <v>147800.01999999999</v>
      </c>
      <c r="N3589" s="9">
        <f t="shared" si="140"/>
        <v>123.74</v>
      </c>
    </row>
    <row r="3590" spans="1:14" ht="12.75" hidden="1" customHeight="1" x14ac:dyDescent="0.2">
      <c r="A3590">
        <v>65061</v>
      </c>
      <c r="B3590" s="3" t="s">
        <v>1253</v>
      </c>
      <c r="C3590" s="7" t="s">
        <v>222</v>
      </c>
      <c r="D3590" s="7" t="s">
        <v>221</v>
      </c>
      <c r="F3590" s="7" t="s">
        <v>241</v>
      </c>
      <c r="G3590" s="7" t="s">
        <v>1568</v>
      </c>
      <c r="H3590" s="7" t="s">
        <v>1362</v>
      </c>
      <c r="I3590" s="7" t="s">
        <v>1253</v>
      </c>
      <c r="K3590" s="7" t="s">
        <v>225</v>
      </c>
      <c r="L3590" s="11">
        <v>15.17</v>
      </c>
      <c r="M3590" s="11">
        <v>147815.19</v>
      </c>
      <c r="N3590" s="9">
        <f t="shared" si="140"/>
        <v>15.17</v>
      </c>
    </row>
    <row r="3591" spans="1:14" ht="12.75" hidden="1" customHeight="1" x14ac:dyDescent="0.2">
      <c r="A3591">
        <v>65061</v>
      </c>
      <c r="B3591" s="3" t="s">
        <v>1253</v>
      </c>
      <c r="C3591" s="7" t="s">
        <v>222</v>
      </c>
      <c r="D3591" s="7" t="s">
        <v>221</v>
      </c>
      <c r="F3591" s="7" t="s">
        <v>690</v>
      </c>
      <c r="G3591" s="7" t="s">
        <v>1568</v>
      </c>
      <c r="H3591" s="7" t="s">
        <v>1362</v>
      </c>
      <c r="I3591" s="7" t="s">
        <v>1253</v>
      </c>
      <c r="K3591" s="7" t="s">
        <v>225</v>
      </c>
      <c r="L3591" s="11">
        <v>57</v>
      </c>
      <c r="M3591" s="11">
        <v>147872.19</v>
      </c>
      <c r="N3591" s="9">
        <f t="shared" si="140"/>
        <v>57</v>
      </c>
    </row>
    <row r="3592" spans="1:14" ht="12.75" hidden="1" customHeight="1" x14ac:dyDescent="0.2">
      <c r="A3592">
        <v>65061</v>
      </c>
      <c r="B3592" s="3" t="s">
        <v>1253</v>
      </c>
      <c r="C3592" s="7" t="s">
        <v>429</v>
      </c>
      <c r="D3592" s="7" t="s">
        <v>221</v>
      </c>
      <c r="F3592" s="7" t="s">
        <v>666</v>
      </c>
      <c r="G3592" s="7" t="s">
        <v>1568</v>
      </c>
      <c r="H3592" s="7" t="s">
        <v>1362</v>
      </c>
      <c r="I3592" s="7" t="s">
        <v>1253</v>
      </c>
      <c r="K3592" s="7" t="s">
        <v>225</v>
      </c>
      <c r="L3592" s="11">
        <v>20.86</v>
      </c>
      <c r="M3592" s="11">
        <v>155690.75</v>
      </c>
      <c r="N3592" s="9">
        <f t="shared" si="140"/>
        <v>20.86</v>
      </c>
    </row>
    <row r="3593" spans="1:14" ht="12.75" hidden="1" customHeight="1" x14ac:dyDescent="0.2">
      <c r="A3593">
        <v>65061</v>
      </c>
      <c r="B3593" s="3" t="s">
        <v>1253</v>
      </c>
      <c r="C3593" s="7" t="s">
        <v>429</v>
      </c>
      <c r="D3593" s="7" t="s">
        <v>221</v>
      </c>
      <c r="F3593" s="7" t="s">
        <v>564</v>
      </c>
      <c r="G3593" s="7" t="s">
        <v>1568</v>
      </c>
      <c r="H3593" s="7" t="s">
        <v>1362</v>
      </c>
      <c r="I3593" s="7" t="s">
        <v>1253</v>
      </c>
      <c r="K3593" s="7" t="s">
        <v>225</v>
      </c>
      <c r="L3593" s="11">
        <v>149.32</v>
      </c>
      <c r="M3593" s="11">
        <v>155840.07</v>
      </c>
      <c r="N3593" s="9">
        <f t="shared" si="140"/>
        <v>149.32</v>
      </c>
    </row>
    <row r="3594" spans="1:14" ht="12.75" hidden="1" customHeight="1" x14ac:dyDescent="0.2">
      <c r="A3594">
        <v>65061</v>
      </c>
      <c r="B3594" s="3" t="s">
        <v>1253</v>
      </c>
      <c r="C3594" s="7" t="s">
        <v>659</v>
      </c>
      <c r="D3594" s="7" t="s">
        <v>221</v>
      </c>
      <c r="F3594" s="7" t="s">
        <v>661</v>
      </c>
      <c r="G3594" s="7" t="s">
        <v>1568</v>
      </c>
      <c r="H3594" s="7" t="s">
        <v>1362</v>
      </c>
      <c r="I3594" s="7" t="s">
        <v>1253</v>
      </c>
      <c r="K3594" s="7" t="s">
        <v>225</v>
      </c>
      <c r="L3594" s="11">
        <v>51.38</v>
      </c>
      <c r="M3594" s="11">
        <v>156457.76</v>
      </c>
      <c r="N3594" s="9">
        <f t="shared" si="140"/>
        <v>51.38</v>
      </c>
    </row>
    <row r="3595" spans="1:14" ht="12.75" hidden="1" customHeight="1" x14ac:dyDescent="0.2">
      <c r="A3595">
        <v>65061</v>
      </c>
      <c r="B3595" s="3" t="s">
        <v>1253</v>
      </c>
      <c r="C3595" s="7" t="s">
        <v>659</v>
      </c>
      <c r="D3595" s="7" t="s">
        <v>221</v>
      </c>
      <c r="F3595" s="7" t="s">
        <v>265</v>
      </c>
      <c r="G3595" s="7" t="s">
        <v>1568</v>
      </c>
      <c r="H3595" s="7" t="s">
        <v>1362</v>
      </c>
      <c r="I3595" s="7" t="s">
        <v>1253</v>
      </c>
      <c r="K3595" s="7" t="s">
        <v>225</v>
      </c>
      <c r="L3595" s="11">
        <v>23.98</v>
      </c>
      <c r="M3595" s="11">
        <v>156481.74</v>
      </c>
      <c r="N3595" s="9">
        <f t="shared" si="140"/>
        <v>23.98</v>
      </c>
    </row>
    <row r="3596" spans="1:14" ht="12.75" hidden="1" customHeight="1" x14ac:dyDescent="0.2">
      <c r="A3596">
        <v>65061</v>
      </c>
      <c r="B3596" s="3" t="s">
        <v>1253</v>
      </c>
      <c r="C3596" s="7" t="s">
        <v>659</v>
      </c>
      <c r="D3596" s="7" t="s">
        <v>221</v>
      </c>
      <c r="F3596" s="7" t="s">
        <v>564</v>
      </c>
      <c r="G3596" s="7" t="s">
        <v>1568</v>
      </c>
      <c r="H3596" s="7" t="s">
        <v>1362</v>
      </c>
      <c r="I3596" s="7" t="s">
        <v>1253</v>
      </c>
      <c r="K3596" s="7" t="s">
        <v>225</v>
      </c>
      <c r="L3596" s="11">
        <v>76.37</v>
      </c>
      <c r="M3596" s="11">
        <v>156558.10999999999</v>
      </c>
      <c r="N3596" s="9">
        <f t="shared" si="140"/>
        <v>76.37</v>
      </c>
    </row>
    <row r="3597" spans="1:14" ht="12.75" hidden="1" customHeight="1" x14ac:dyDescent="0.2">
      <c r="A3597">
        <v>65061</v>
      </c>
      <c r="B3597" s="3" t="s">
        <v>1253</v>
      </c>
      <c r="C3597" s="7" t="s">
        <v>659</v>
      </c>
      <c r="D3597" s="7" t="s">
        <v>221</v>
      </c>
      <c r="F3597" s="7" t="s">
        <v>564</v>
      </c>
      <c r="G3597" s="7" t="s">
        <v>1568</v>
      </c>
      <c r="H3597" s="7" t="s">
        <v>1362</v>
      </c>
      <c r="I3597" s="7" t="s">
        <v>1253</v>
      </c>
      <c r="K3597" s="7" t="s">
        <v>225</v>
      </c>
      <c r="L3597" s="11">
        <v>12.56</v>
      </c>
      <c r="M3597" s="11">
        <v>156570.67000000001</v>
      </c>
      <c r="N3597" s="9">
        <f t="shared" si="140"/>
        <v>12.56</v>
      </c>
    </row>
    <row r="3598" spans="1:14" ht="12.75" hidden="1" customHeight="1" x14ac:dyDescent="0.2">
      <c r="A3598">
        <v>65061</v>
      </c>
      <c r="B3598" s="3" t="s">
        <v>1253</v>
      </c>
      <c r="C3598" s="7" t="s">
        <v>659</v>
      </c>
      <c r="D3598" s="7" t="s">
        <v>221</v>
      </c>
      <c r="F3598" s="7" t="s">
        <v>571</v>
      </c>
      <c r="G3598" s="7" t="s">
        <v>1568</v>
      </c>
      <c r="H3598" s="7" t="s">
        <v>1362</v>
      </c>
      <c r="I3598" s="7" t="s">
        <v>1253</v>
      </c>
      <c r="K3598" s="7" t="s">
        <v>225</v>
      </c>
      <c r="L3598" s="11">
        <v>178.39</v>
      </c>
      <c r="M3598" s="11">
        <v>156749.06</v>
      </c>
      <c r="N3598" s="9">
        <f t="shared" si="140"/>
        <v>178.39</v>
      </c>
    </row>
    <row r="3599" spans="1:14" ht="12.75" hidden="1" customHeight="1" x14ac:dyDescent="0.2">
      <c r="A3599">
        <v>65061</v>
      </c>
      <c r="B3599" s="3" t="s">
        <v>1253</v>
      </c>
      <c r="C3599" s="7" t="s">
        <v>659</v>
      </c>
      <c r="D3599" s="7" t="s">
        <v>221</v>
      </c>
      <c r="F3599" s="7" t="s">
        <v>571</v>
      </c>
      <c r="G3599" s="7" t="s">
        <v>1568</v>
      </c>
      <c r="H3599" s="7" t="s">
        <v>1362</v>
      </c>
      <c r="I3599" s="7" t="s">
        <v>1253</v>
      </c>
      <c r="K3599" s="7" t="s">
        <v>225</v>
      </c>
      <c r="L3599" s="11">
        <v>36.68</v>
      </c>
      <c r="M3599" s="11">
        <v>156785.74</v>
      </c>
      <c r="N3599" s="9">
        <f t="shared" si="140"/>
        <v>36.68</v>
      </c>
    </row>
    <row r="3600" spans="1:14" ht="12.75" hidden="1" customHeight="1" x14ac:dyDescent="0.2">
      <c r="A3600">
        <v>65061</v>
      </c>
      <c r="B3600" s="3" t="s">
        <v>1253</v>
      </c>
      <c r="C3600" s="7" t="s">
        <v>659</v>
      </c>
      <c r="D3600" s="7" t="s">
        <v>221</v>
      </c>
      <c r="F3600" s="7" t="s">
        <v>564</v>
      </c>
      <c r="G3600" s="7" t="s">
        <v>1568</v>
      </c>
      <c r="H3600" s="7" t="s">
        <v>1362</v>
      </c>
      <c r="I3600" s="7" t="s">
        <v>1253</v>
      </c>
      <c r="K3600" s="7" t="s">
        <v>225</v>
      </c>
      <c r="L3600" s="11">
        <v>12.44</v>
      </c>
      <c r="M3600" s="11">
        <v>156798.18</v>
      </c>
      <c r="N3600" s="9">
        <f t="shared" si="140"/>
        <v>12.44</v>
      </c>
    </row>
    <row r="3601" spans="1:14" ht="12.75" hidden="1" customHeight="1" x14ac:dyDescent="0.2">
      <c r="A3601">
        <v>65061</v>
      </c>
      <c r="B3601" s="3" t="s">
        <v>1253</v>
      </c>
      <c r="C3601" s="7" t="s">
        <v>659</v>
      </c>
      <c r="D3601" s="7" t="s">
        <v>221</v>
      </c>
      <c r="F3601" s="7" t="s">
        <v>570</v>
      </c>
      <c r="G3601" s="7" t="s">
        <v>1568</v>
      </c>
      <c r="H3601" s="7" t="s">
        <v>1362</v>
      </c>
      <c r="I3601" s="7" t="s">
        <v>1253</v>
      </c>
      <c r="K3601" s="7" t="s">
        <v>225</v>
      </c>
      <c r="L3601" s="11">
        <v>638.47</v>
      </c>
      <c r="M3601" s="11">
        <v>157436.65</v>
      </c>
      <c r="N3601" s="9">
        <f t="shared" si="140"/>
        <v>638.47</v>
      </c>
    </row>
    <row r="3602" spans="1:14" ht="12.75" hidden="1" customHeight="1" x14ac:dyDescent="0.2">
      <c r="A3602">
        <v>65061</v>
      </c>
      <c r="B3602" s="3" t="s">
        <v>1253</v>
      </c>
      <c r="C3602" s="7" t="s">
        <v>659</v>
      </c>
      <c r="D3602" s="7" t="s">
        <v>200</v>
      </c>
      <c r="E3602" s="7">
        <v>1119</v>
      </c>
      <c r="F3602" s="7" t="s">
        <v>660</v>
      </c>
      <c r="G3602" s="7" t="s">
        <v>1568</v>
      </c>
      <c r="H3602" s="7" t="s">
        <v>1362</v>
      </c>
      <c r="I3602" s="7" t="s">
        <v>1253</v>
      </c>
      <c r="K3602" s="7" t="s">
        <v>225</v>
      </c>
      <c r="L3602" s="11">
        <v>6163.83</v>
      </c>
      <c r="M3602" s="11">
        <v>163600.48000000001</v>
      </c>
      <c r="N3602" s="9">
        <f t="shared" si="140"/>
        <v>6163.83</v>
      </c>
    </row>
    <row r="3603" spans="1:14" ht="12.75" hidden="1" customHeight="1" x14ac:dyDescent="0.2">
      <c r="A3603">
        <v>65061</v>
      </c>
      <c r="B3603" s="3" t="s">
        <v>1253</v>
      </c>
      <c r="C3603" s="7" t="s">
        <v>650</v>
      </c>
      <c r="D3603" s="7" t="s">
        <v>221</v>
      </c>
      <c r="F3603" s="7" t="s">
        <v>548</v>
      </c>
      <c r="G3603" s="7" t="s">
        <v>1568</v>
      </c>
      <c r="H3603" s="7" t="s">
        <v>1362</v>
      </c>
      <c r="I3603" s="7" t="s">
        <v>1253</v>
      </c>
      <c r="K3603" s="7" t="s">
        <v>225</v>
      </c>
      <c r="L3603" s="11">
        <v>150.26</v>
      </c>
      <c r="M3603" s="11">
        <v>163921.09</v>
      </c>
      <c r="N3603" s="9">
        <f t="shared" si="140"/>
        <v>150.26</v>
      </c>
    </row>
    <row r="3604" spans="1:14" ht="12.75" hidden="1" customHeight="1" x14ac:dyDescent="0.2">
      <c r="A3604">
        <v>65061</v>
      </c>
      <c r="B3604" s="3" t="s">
        <v>1253</v>
      </c>
      <c r="C3604" s="7" t="s">
        <v>650</v>
      </c>
      <c r="D3604" s="7" t="s">
        <v>221</v>
      </c>
      <c r="F3604" s="7" t="s">
        <v>562</v>
      </c>
      <c r="G3604" s="7" t="s">
        <v>1568</v>
      </c>
      <c r="H3604" s="7" t="s">
        <v>1362</v>
      </c>
      <c r="I3604" s="7" t="s">
        <v>1253</v>
      </c>
      <c r="K3604" s="7" t="s">
        <v>225</v>
      </c>
      <c r="L3604" s="11">
        <v>53.7</v>
      </c>
      <c r="M3604" s="11">
        <v>165935.59</v>
      </c>
      <c r="N3604" s="9">
        <f t="shared" si="140"/>
        <v>53.7</v>
      </c>
    </row>
    <row r="3605" spans="1:14" ht="12.75" hidden="1" customHeight="1" x14ac:dyDescent="0.2">
      <c r="A3605">
        <v>65061</v>
      </c>
      <c r="B3605" s="3" t="s">
        <v>1253</v>
      </c>
      <c r="C3605" s="7" t="s">
        <v>645</v>
      </c>
      <c r="D3605" s="7" t="s">
        <v>242</v>
      </c>
      <c r="F3605" s="7" t="s">
        <v>648</v>
      </c>
      <c r="G3605" s="7" t="s">
        <v>1568</v>
      </c>
      <c r="H3605" s="7" t="s">
        <v>1362</v>
      </c>
      <c r="I3605" s="7" t="s">
        <v>1253</v>
      </c>
      <c r="K3605" s="7" t="s">
        <v>225</v>
      </c>
      <c r="L3605" s="11">
        <v>-18.5</v>
      </c>
      <c r="M3605" s="11">
        <v>165809.63</v>
      </c>
      <c r="N3605" s="9">
        <f t="shared" si="140"/>
        <v>-18.5</v>
      </c>
    </row>
    <row r="3606" spans="1:14" ht="12.75" hidden="1" customHeight="1" x14ac:dyDescent="0.2">
      <c r="A3606">
        <v>65061</v>
      </c>
      <c r="B3606" s="3" t="s">
        <v>1253</v>
      </c>
      <c r="C3606" s="7" t="s">
        <v>639</v>
      </c>
      <c r="D3606" s="7" t="s">
        <v>242</v>
      </c>
      <c r="F3606" s="7" t="s">
        <v>241</v>
      </c>
      <c r="G3606" s="7" t="s">
        <v>1568</v>
      </c>
      <c r="H3606" s="7" t="s">
        <v>1362</v>
      </c>
      <c r="I3606" s="7" t="s">
        <v>1253</v>
      </c>
      <c r="K3606" s="7" t="s">
        <v>225</v>
      </c>
      <c r="L3606" s="11">
        <v>-14.96</v>
      </c>
      <c r="M3606" s="11">
        <v>168694.71</v>
      </c>
      <c r="N3606" s="9">
        <f t="shared" si="140"/>
        <v>-14.96</v>
      </c>
    </row>
    <row r="3607" spans="1:14" ht="12.75" hidden="1" customHeight="1" x14ac:dyDescent="0.2">
      <c r="A3607">
        <v>65061</v>
      </c>
      <c r="B3607" s="3" t="s">
        <v>1253</v>
      </c>
      <c r="C3607" s="7" t="s">
        <v>637</v>
      </c>
      <c r="D3607" s="7" t="s">
        <v>221</v>
      </c>
      <c r="F3607" s="7" t="s">
        <v>265</v>
      </c>
      <c r="G3607" s="7" t="s">
        <v>1568</v>
      </c>
      <c r="H3607" s="7" t="s">
        <v>1362</v>
      </c>
      <c r="I3607" s="7" t="s">
        <v>1253</v>
      </c>
      <c r="K3607" s="7" t="s">
        <v>225</v>
      </c>
      <c r="L3607" s="11">
        <v>29.98</v>
      </c>
      <c r="M3607" s="11">
        <v>169435.27</v>
      </c>
      <c r="N3607" s="9">
        <f t="shared" si="140"/>
        <v>29.98</v>
      </c>
    </row>
    <row r="3608" spans="1:14" ht="12.75" hidden="1" customHeight="1" x14ac:dyDescent="0.2">
      <c r="A3608">
        <v>65061</v>
      </c>
      <c r="B3608" s="3" t="s">
        <v>1253</v>
      </c>
      <c r="C3608" s="7" t="s">
        <v>427</v>
      </c>
      <c r="D3608" s="7" t="s">
        <v>221</v>
      </c>
      <c r="F3608" s="7" t="s">
        <v>626</v>
      </c>
      <c r="G3608" s="7" t="s">
        <v>1568</v>
      </c>
      <c r="H3608" s="7" t="s">
        <v>1362</v>
      </c>
      <c r="I3608" s="7" t="s">
        <v>1253</v>
      </c>
      <c r="K3608" s="7" t="s">
        <v>225</v>
      </c>
      <c r="L3608" s="11">
        <v>9.8000000000000007</v>
      </c>
      <c r="M3608" s="11">
        <v>172939.71</v>
      </c>
      <c r="N3608" s="9">
        <f t="shared" si="140"/>
        <v>9.8000000000000007</v>
      </c>
    </row>
    <row r="3609" spans="1:14" ht="12.75" hidden="1" customHeight="1" x14ac:dyDescent="0.2">
      <c r="A3609">
        <v>65061</v>
      </c>
      <c r="B3609" s="3" t="s">
        <v>1253</v>
      </c>
      <c r="C3609" s="7" t="s">
        <v>617</v>
      </c>
      <c r="D3609" s="7" t="s">
        <v>221</v>
      </c>
      <c r="F3609" s="7" t="s">
        <v>265</v>
      </c>
      <c r="G3609" s="7" t="s">
        <v>1568</v>
      </c>
      <c r="H3609" s="7" t="s">
        <v>1362</v>
      </c>
      <c r="I3609" s="7" t="s">
        <v>1253</v>
      </c>
      <c r="K3609" s="7" t="s">
        <v>225</v>
      </c>
      <c r="L3609" s="11">
        <v>24.38</v>
      </c>
      <c r="M3609" s="11">
        <v>175446.91</v>
      </c>
      <c r="N3609" s="9">
        <f t="shared" si="140"/>
        <v>24.38</v>
      </c>
    </row>
    <row r="3610" spans="1:14" ht="12.75" hidden="1" customHeight="1" x14ac:dyDescent="0.2">
      <c r="A3610">
        <v>65061</v>
      </c>
      <c r="B3610" s="3" t="s">
        <v>1253</v>
      </c>
      <c r="C3610" s="7" t="s">
        <v>617</v>
      </c>
      <c r="D3610" s="7" t="s">
        <v>200</v>
      </c>
      <c r="E3610" s="7">
        <v>1120</v>
      </c>
      <c r="F3610" s="7" t="s">
        <v>623</v>
      </c>
      <c r="G3610" s="7" t="s">
        <v>1568</v>
      </c>
      <c r="H3610" s="7" t="s">
        <v>1362</v>
      </c>
      <c r="I3610" s="7" t="s">
        <v>1253</v>
      </c>
      <c r="K3610" s="7" t="s">
        <v>225</v>
      </c>
      <c r="L3610" s="11">
        <v>1812.84</v>
      </c>
      <c r="M3610" s="11">
        <v>177259.75</v>
      </c>
      <c r="N3610" s="9">
        <f t="shared" si="140"/>
        <v>1812.84</v>
      </c>
    </row>
    <row r="3611" spans="1:14" ht="12.75" hidden="1" customHeight="1" x14ac:dyDescent="0.2">
      <c r="A3611">
        <v>65061</v>
      </c>
      <c r="B3611" s="3" t="s">
        <v>1253</v>
      </c>
      <c r="C3611" s="7" t="s">
        <v>617</v>
      </c>
      <c r="D3611" s="7" t="s">
        <v>221</v>
      </c>
      <c r="F3611" s="7" t="s">
        <v>265</v>
      </c>
      <c r="G3611" s="7" t="s">
        <v>1568</v>
      </c>
      <c r="H3611" s="7" t="s">
        <v>1362</v>
      </c>
      <c r="I3611" s="7" t="s">
        <v>1253</v>
      </c>
      <c r="K3611" s="7" t="s">
        <v>225</v>
      </c>
      <c r="L3611" s="11">
        <v>40.14</v>
      </c>
      <c r="M3611" s="11">
        <v>179538.68</v>
      </c>
      <c r="N3611" s="9">
        <f t="shared" si="140"/>
        <v>40.14</v>
      </c>
    </row>
    <row r="3612" spans="1:14" ht="12.75" hidden="1" customHeight="1" x14ac:dyDescent="0.2">
      <c r="A3612">
        <v>65061</v>
      </c>
      <c r="B3612" s="3" t="s">
        <v>1253</v>
      </c>
      <c r="C3612" s="7" t="s">
        <v>617</v>
      </c>
      <c r="D3612" s="7" t="s">
        <v>221</v>
      </c>
      <c r="F3612" s="7" t="s">
        <v>241</v>
      </c>
      <c r="G3612" s="7" t="s">
        <v>1568</v>
      </c>
      <c r="H3612" s="7" t="s">
        <v>1362</v>
      </c>
      <c r="I3612" s="7" t="s">
        <v>1253</v>
      </c>
      <c r="K3612" s="7" t="s">
        <v>225</v>
      </c>
      <c r="L3612" s="11">
        <v>265.93</v>
      </c>
      <c r="M3612" s="11">
        <v>179804.61</v>
      </c>
      <c r="N3612" s="9">
        <f t="shared" ref="N3612:N3675" si="141">IF(A3612&lt;60000,-L3612,+L3612)</f>
        <v>265.93</v>
      </c>
    </row>
    <row r="3613" spans="1:14" ht="12.75" hidden="1" customHeight="1" x14ac:dyDescent="0.2">
      <c r="A3613">
        <v>65061</v>
      </c>
      <c r="B3613" s="3" t="s">
        <v>1253</v>
      </c>
      <c r="C3613" s="7" t="s">
        <v>617</v>
      </c>
      <c r="D3613" s="7" t="s">
        <v>221</v>
      </c>
      <c r="F3613" s="7" t="s">
        <v>352</v>
      </c>
      <c r="G3613" s="7" t="s">
        <v>1568</v>
      </c>
      <c r="H3613" s="7" t="s">
        <v>1362</v>
      </c>
      <c r="I3613" s="7" t="s">
        <v>1253</v>
      </c>
      <c r="K3613" s="7" t="s">
        <v>225</v>
      </c>
      <c r="L3613" s="11">
        <v>94.18</v>
      </c>
      <c r="M3613" s="11">
        <v>179898.79</v>
      </c>
      <c r="N3613" s="9">
        <f t="shared" si="141"/>
        <v>94.18</v>
      </c>
    </row>
    <row r="3614" spans="1:14" ht="12.75" hidden="1" customHeight="1" x14ac:dyDescent="0.2">
      <c r="A3614">
        <v>65061</v>
      </c>
      <c r="B3614" s="3" t="s">
        <v>1253</v>
      </c>
      <c r="C3614" s="7" t="s">
        <v>611</v>
      </c>
      <c r="D3614" s="7" t="s">
        <v>221</v>
      </c>
      <c r="F3614" s="7" t="s">
        <v>613</v>
      </c>
      <c r="G3614" s="7" t="s">
        <v>1568</v>
      </c>
      <c r="H3614" s="7" t="s">
        <v>1362</v>
      </c>
      <c r="I3614" s="7" t="s">
        <v>1253</v>
      </c>
      <c r="K3614" s="7" t="s">
        <v>225</v>
      </c>
      <c r="L3614" s="11">
        <v>8</v>
      </c>
      <c r="M3614" s="11">
        <v>179979.64</v>
      </c>
      <c r="N3614" s="9">
        <f t="shared" si="141"/>
        <v>8</v>
      </c>
    </row>
    <row r="3615" spans="1:14" ht="12.75" hidden="1" customHeight="1" x14ac:dyDescent="0.2">
      <c r="A3615">
        <v>65061</v>
      </c>
      <c r="B3615" s="3" t="s">
        <v>1253</v>
      </c>
      <c r="C3615" s="7" t="s">
        <v>611</v>
      </c>
      <c r="D3615" s="7" t="s">
        <v>221</v>
      </c>
      <c r="F3615" s="7" t="s">
        <v>612</v>
      </c>
      <c r="G3615" s="7" t="s">
        <v>1568</v>
      </c>
      <c r="H3615" s="7" t="s">
        <v>1362</v>
      </c>
      <c r="I3615" s="7" t="s">
        <v>1253</v>
      </c>
      <c r="K3615" s="7" t="s">
        <v>225</v>
      </c>
      <c r="L3615" s="11">
        <v>54.13</v>
      </c>
      <c r="M3615" s="11">
        <v>180033.77</v>
      </c>
      <c r="N3615" s="9">
        <f t="shared" si="141"/>
        <v>54.13</v>
      </c>
    </row>
    <row r="3616" spans="1:14" ht="12.75" hidden="1" customHeight="1" x14ac:dyDescent="0.2">
      <c r="A3616">
        <v>65061</v>
      </c>
      <c r="B3616" s="3" t="s">
        <v>1253</v>
      </c>
      <c r="C3616" s="7" t="s">
        <v>611</v>
      </c>
      <c r="D3616" s="7" t="s">
        <v>221</v>
      </c>
      <c r="F3616" s="7" t="s">
        <v>610</v>
      </c>
      <c r="G3616" s="7" t="s">
        <v>1568</v>
      </c>
      <c r="H3616" s="7" t="s">
        <v>1362</v>
      </c>
      <c r="I3616" s="7" t="s">
        <v>1253</v>
      </c>
      <c r="K3616" s="7" t="s">
        <v>225</v>
      </c>
      <c r="L3616" s="11">
        <v>147</v>
      </c>
      <c r="M3616" s="11">
        <v>180180.77</v>
      </c>
      <c r="N3616" s="9">
        <f t="shared" si="141"/>
        <v>147</v>
      </c>
    </row>
    <row r="3617" spans="1:14" ht="12.75" hidden="1" customHeight="1" x14ac:dyDescent="0.2">
      <c r="A3617">
        <v>65061</v>
      </c>
      <c r="B3617" s="3" t="s">
        <v>1253</v>
      </c>
      <c r="C3617" s="7" t="s">
        <v>434</v>
      </c>
      <c r="D3617" s="7" t="s">
        <v>221</v>
      </c>
      <c r="F3617" s="7" t="s">
        <v>609</v>
      </c>
      <c r="G3617" s="7" t="s">
        <v>1568</v>
      </c>
      <c r="H3617" s="7" t="s">
        <v>1362</v>
      </c>
      <c r="I3617" s="7" t="s">
        <v>1253</v>
      </c>
      <c r="K3617" s="7" t="s">
        <v>225</v>
      </c>
      <c r="L3617" s="11">
        <v>428</v>
      </c>
      <c r="M3617" s="11">
        <v>180608.77</v>
      </c>
      <c r="N3617" s="9">
        <f t="shared" si="141"/>
        <v>428</v>
      </c>
    </row>
    <row r="3618" spans="1:14" ht="12.75" hidden="1" customHeight="1" x14ac:dyDescent="0.2">
      <c r="A3618">
        <v>65061</v>
      </c>
      <c r="B3618" s="3" t="s">
        <v>1253</v>
      </c>
      <c r="C3618" s="7" t="s">
        <v>434</v>
      </c>
      <c r="D3618" s="7" t="s">
        <v>221</v>
      </c>
      <c r="F3618" s="7" t="s">
        <v>608</v>
      </c>
      <c r="G3618" s="7" t="s">
        <v>1568</v>
      </c>
      <c r="H3618" s="7" t="s">
        <v>1362</v>
      </c>
      <c r="I3618" s="7" t="s">
        <v>1253</v>
      </c>
      <c r="K3618" s="7" t="s">
        <v>225</v>
      </c>
      <c r="L3618" s="11">
        <v>47.41</v>
      </c>
      <c r="M3618" s="11">
        <v>180656.18</v>
      </c>
      <c r="N3618" s="9">
        <f t="shared" si="141"/>
        <v>47.41</v>
      </c>
    </row>
    <row r="3619" spans="1:14" ht="12.75" hidden="1" customHeight="1" x14ac:dyDescent="0.2">
      <c r="A3619">
        <v>65061</v>
      </c>
      <c r="B3619" s="3" t="s">
        <v>1253</v>
      </c>
      <c r="C3619" s="7" t="s">
        <v>434</v>
      </c>
      <c r="D3619" s="7" t="s">
        <v>200</v>
      </c>
      <c r="E3619" s="7">
        <v>1121</v>
      </c>
      <c r="F3619" s="7" t="s">
        <v>607</v>
      </c>
      <c r="G3619" s="7" t="s">
        <v>1568</v>
      </c>
      <c r="H3619" s="7" t="s">
        <v>1362</v>
      </c>
      <c r="I3619" s="7" t="s">
        <v>1253</v>
      </c>
      <c r="K3619" s="7" t="s">
        <v>225</v>
      </c>
      <c r="L3619" s="11">
        <v>79.17</v>
      </c>
      <c r="M3619" s="11">
        <v>180735.35</v>
      </c>
      <c r="N3619" s="9">
        <f t="shared" si="141"/>
        <v>79.17</v>
      </c>
    </row>
    <row r="3620" spans="1:14" ht="12.75" hidden="1" customHeight="1" x14ac:dyDescent="0.2">
      <c r="A3620">
        <v>65061</v>
      </c>
      <c r="B3620" s="3" t="s">
        <v>1253</v>
      </c>
      <c r="C3620" s="7" t="s">
        <v>434</v>
      </c>
      <c r="D3620" s="7" t="s">
        <v>221</v>
      </c>
      <c r="F3620" s="7" t="s">
        <v>241</v>
      </c>
      <c r="G3620" s="7" t="s">
        <v>1568</v>
      </c>
      <c r="H3620" s="7" t="s">
        <v>1362</v>
      </c>
      <c r="I3620" s="7" t="s">
        <v>1253</v>
      </c>
      <c r="K3620" s="7" t="s">
        <v>225</v>
      </c>
      <c r="L3620" s="11">
        <v>37.96</v>
      </c>
      <c r="M3620" s="11">
        <v>181248.59</v>
      </c>
      <c r="N3620" s="9">
        <f t="shared" si="141"/>
        <v>37.96</v>
      </c>
    </row>
    <row r="3621" spans="1:14" ht="12.75" hidden="1" customHeight="1" x14ac:dyDescent="0.2">
      <c r="A3621">
        <v>65061</v>
      </c>
      <c r="B3621" s="3" t="s">
        <v>1253</v>
      </c>
      <c r="C3621" s="7" t="s">
        <v>434</v>
      </c>
      <c r="D3621" s="7" t="s">
        <v>221</v>
      </c>
      <c r="F3621" s="7" t="s">
        <v>241</v>
      </c>
      <c r="G3621" s="7" t="s">
        <v>1568</v>
      </c>
      <c r="H3621" s="7" t="s">
        <v>1362</v>
      </c>
      <c r="I3621" s="7" t="s">
        <v>1253</v>
      </c>
      <c r="K3621" s="7" t="s">
        <v>225</v>
      </c>
      <c r="L3621" s="11">
        <v>54.24</v>
      </c>
      <c r="M3621" s="11">
        <v>181302.83</v>
      </c>
      <c r="N3621" s="9">
        <f t="shared" si="141"/>
        <v>54.24</v>
      </c>
    </row>
    <row r="3622" spans="1:14" ht="12.75" hidden="1" customHeight="1" x14ac:dyDescent="0.2">
      <c r="A3622">
        <v>65061</v>
      </c>
      <c r="B3622" s="3" t="s">
        <v>1253</v>
      </c>
      <c r="C3622" s="7" t="s">
        <v>576</v>
      </c>
      <c r="D3622" s="7" t="s">
        <v>221</v>
      </c>
      <c r="F3622" s="7" t="s">
        <v>569</v>
      </c>
      <c r="G3622" s="7" t="s">
        <v>1568</v>
      </c>
      <c r="H3622" s="7" t="s">
        <v>1362</v>
      </c>
      <c r="I3622" s="7" t="s">
        <v>1253</v>
      </c>
      <c r="K3622" s="7" t="s">
        <v>225</v>
      </c>
      <c r="L3622" s="11">
        <v>20</v>
      </c>
      <c r="M3622" s="11">
        <v>184849.91</v>
      </c>
      <c r="N3622" s="9">
        <f t="shared" si="141"/>
        <v>20</v>
      </c>
    </row>
    <row r="3623" spans="1:14" ht="12.75" hidden="1" customHeight="1" x14ac:dyDescent="0.2">
      <c r="A3623">
        <v>65061</v>
      </c>
      <c r="B3623" s="3" t="s">
        <v>1253</v>
      </c>
      <c r="C3623" s="7" t="s">
        <v>576</v>
      </c>
      <c r="D3623" s="7" t="s">
        <v>221</v>
      </c>
      <c r="F3623" s="7" t="s">
        <v>569</v>
      </c>
      <c r="G3623" s="7" t="s">
        <v>1568</v>
      </c>
      <c r="H3623" s="7" t="s">
        <v>1362</v>
      </c>
      <c r="I3623" s="7" t="s">
        <v>1253</v>
      </c>
      <c r="K3623" s="7" t="s">
        <v>225</v>
      </c>
      <c r="L3623" s="11">
        <v>17</v>
      </c>
      <c r="M3623" s="11">
        <v>185339.81</v>
      </c>
      <c r="N3623" s="9">
        <f t="shared" si="141"/>
        <v>17</v>
      </c>
    </row>
    <row r="3624" spans="1:14" ht="12.75" hidden="1" customHeight="1" x14ac:dyDescent="0.2">
      <c r="A3624">
        <v>65061</v>
      </c>
      <c r="B3624" s="3" t="s">
        <v>1253</v>
      </c>
      <c r="C3624" s="7" t="s">
        <v>576</v>
      </c>
      <c r="D3624" s="7" t="s">
        <v>200</v>
      </c>
      <c r="E3624" s="7">
        <v>1125</v>
      </c>
      <c r="F3624" s="7" t="s">
        <v>279</v>
      </c>
      <c r="G3624" s="7" t="s">
        <v>1568</v>
      </c>
      <c r="H3624" s="7" t="s">
        <v>1362</v>
      </c>
      <c r="I3624" s="7" t="s">
        <v>1253</v>
      </c>
      <c r="K3624" s="7" t="s">
        <v>225</v>
      </c>
      <c r="L3624" s="11">
        <v>1500</v>
      </c>
      <c r="M3624" s="11">
        <v>186839.81</v>
      </c>
      <c r="N3624" s="9">
        <f t="shared" si="141"/>
        <v>1500</v>
      </c>
    </row>
    <row r="3625" spans="1:14" ht="12.75" hidden="1" customHeight="1" x14ac:dyDescent="0.2">
      <c r="A3625">
        <v>65061</v>
      </c>
      <c r="B3625" s="3" t="s">
        <v>1253</v>
      </c>
      <c r="C3625" s="7" t="s">
        <v>426</v>
      </c>
      <c r="D3625" s="7" t="s">
        <v>221</v>
      </c>
      <c r="F3625" s="7" t="s">
        <v>570</v>
      </c>
      <c r="G3625" s="7" t="s">
        <v>1568</v>
      </c>
      <c r="H3625" s="7" t="s">
        <v>1362</v>
      </c>
      <c r="I3625" s="7" t="s">
        <v>1253</v>
      </c>
      <c r="K3625" s="7" t="s">
        <v>225</v>
      </c>
      <c r="L3625" s="11">
        <v>58.58</v>
      </c>
      <c r="M3625" s="11">
        <v>190103.13</v>
      </c>
      <c r="N3625" s="9">
        <f t="shared" si="141"/>
        <v>58.58</v>
      </c>
    </row>
    <row r="3626" spans="1:14" ht="12.75" hidden="1" customHeight="1" x14ac:dyDescent="0.2">
      <c r="A3626">
        <v>65061</v>
      </c>
      <c r="B3626" s="3" t="s">
        <v>1253</v>
      </c>
      <c r="C3626" s="7" t="s">
        <v>426</v>
      </c>
      <c r="D3626" s="7" t="s">
        <v>221</v>
      </c>
      <c r="F3626" s="7" t="s">
        <v>569</v>
      </c>
      <c r="G3626" s="7" t="s">
        <v>1568</v>
      </c>
      <c r="H3626" s="7" t="s">
        <v>1362</v>
      </c>
      <c r="I3626" s="7" t="s">
        <v>1253</v>
      </c>
      <c r="K3626" s="7" t="s">
        <v>225</v>
      </c>
      <c r="L3626" s="11">
        <v>32.950000000000003</v>
      </c>
      <c r="M3626" s="11">
        <v>190136.08</v>
      </c>
      <c r="N3626" s="9">
        <f t="shared" si="141"/>
        <v>32.950000000000003</v>
      </c>
    </row>
    <row r="3627" spans="1:14" ht="12.75" hidden="1" customHeight="1" x14ac:dyDescent="0.2">
      <c r="A3627">
        <v>65061</v>
      </c>
      <c r="B3627" s="3" t="s">
        <v>1253</v>
      </c>
      <c r="C3627" s="7" t="s">
        <v>207</v>
      </c>
      <c r="D3627" s="7" t="s">
        <v>221</v>
      </c>
      <c r="F3627" s="7" t="s">
        <v>564</v>
      </c>
      <c r="G3627" s="7" t="s">
        <v>1568</v>
      </c>
      <c r="H3627" s="7" t="s">
        <v>1362</v>
      </c>
      <c r="I3627" s="7" t="s">
        <v>1253</v>
      </c>
      <c r="K3627" s="7" t="s">
        <v>225</v>
      </c>
      <c r="L3627" s="11">
        <v>737.83</v>
      </c>
      <c r="M3627" s="11">
        <v>192391.98</v>
      </c>
      <c r="N3627" s="9">
        <f t="shared" si="141"/>
        <v>737.83</v>
      </c>
    </row>
    <row r="3628" spans="1:14" ht="12.75" hidden="1" customHeight="1" x14ac:dyDescent="0.2">
      <c r="A3628">
        <v>65061</v>
      </c>
      <c r="B3628" s="3" t="s">
        <v>1253</v>
      </c>
      <c r="C3628" s="7" t="s">
        <v>207</v>
      </c>
      <c r="D3628" s="7" t="s">
        <v>221</v>
      </c>
      <c r="F3628" s="7" t="s">
        <v>241</v>
      </c>
      <c r="G3628" s="7" t="s">
        <v>1568</v>
      </c>
      <c r="H3628" s="7" t="s">
        <v>1362</v>
      </c>
      <c r="I3628" s="7" t="s">
        <v>1253</v>
      </c>
      <c r="K3628" s="7" t="s">
        <v>225</v>
      </c>
      <c r="L3628" s="11">
        <v>91.51</v>
      </c>
      <c r="M3628" s="11">
        <v>192483.49</v>
      </c>
      <c r="N3628" s="9">
        <f t="shared" si="141"/>
        <v>91.51</v>
      </c>
    </row>
    <row r="3629" spans="1:14" ht="12.75" hidden="1" customHeight="1" x14ac:dyDescent="0.2">
      <c r="A3629">
        <v>65061</v>
      </c>
      <c r="B3629" s="3" t="s">
        <v>1253</v>
      </c>
      <c r="C3629" s="7" t="s">
        <v>204</v>
      </c>
      <c r="D3629" s="7" t="s">
        <v>221</v>
      </c>
      <c r="F3629" s="7" t="s">
        <v>265</v>
      </c>
      <c r="G3629" s="7" t="s">
        <v>1568</v>
      </c>
      <c r="H3629" s="7" t="s">
        <v>1362</v>
      </c>
      <c r="I3629" s="7" t="s">
        <v>1253</v>
      </c>
      <c r="K3629" s="7" t="s">
        <v>225</v>
      </c>
      <c r="L3629" s="11">
        <v>23.99</v>
      </c>
      <c r="M3629" s="11">
        <v>193182.6</v>
      </c>
      <c r="N3629" s="9">
        <f t="shared" si="141"/>
        <v>23.99</v>
      </c>
    </row>
    <row r="3630" spans="1:14" ht="12.75" hidden="1" customHeight="1" x14ac:dyDescent="0.2">
      <c r="A3630">
        <v>65061</v>
      </c>
      <c r="B3630" s="3" t="s">
        <v>1253</v>
      </c>
      <c r="C3630" s="7" t="s">
        <v>204</v>
      </c>
      <c r="D3630" s="7" t="s">
        <v>221</v>
      </c>
      <c r="F3630" s="7" t="s">
        <v>265</v>
      </c>
      <c r="G3630" s="7" t="s">
        <v>1568</v>
      </c>
      <c r="H3630" s="7" t="s">
        <v>1362</v>
      </c>
      <c r="I3630" s="7" t="s">
        <v>1253</v>
      </c>
      <c r="K3630" s="7" t="s">
        <v>225</v>
      </c>
      <c r="L3630" s="11">
        <v>77.739999999999995</v>
      </c>
      <c r="M3630" s="11">
        <v>193390.74</v>
      </c>
      <c r="N3630" s="9">
        <f t="shared" si="141"/>
        <v>77.739999999999995</v>
      </c>
    </row>
    <row r="3631" spans="1:14" ht="12.75" hidden="1" customHeight="1" x14ac:dyDescent="0.2">
      <c r="A3631">
        <v>65061</v>
      </c>
      <c r="B3631" s="3" t="s">
        <v>1253</v>
      </c>
      <c r="C3631" s="7" t="s">
        <v>204</v>
      </c>
      <c r="D3631" s="7" t="s">
        <v>221</v>
      </c>
      <c r="F3631" s="7" t="s">
        <v>546</v>
      </c>
      <c r="G3631" s="7" t="s">
        <v>1568</v>
      </c>
      <c r="H3631" s="7" t="s">
        <v>1362</v>
      </c>
      <c r="I3631" s="7" t="s">
        <v>1253</v>
      </c>
      <c r="K3631" s="7" t="s">
        <v>225</v>
      </c>
      <c r="L3631" s="11">
        <v>30.71</v>
      </c>
      <c r="M3631" s="11">
        <v>195012.71</v>
      </c>
      <c r="N3631" s="9">
        <f t="shared" si="141"/>
        <v>30.71</v>
      </c>
    </row>
    <row r="3632" spans="1:14" ht="12.75" hidden="1" customHeight="1" x14ac:dyDescent="0.2">
      <c r="A3632">
        <v>65090</v>
      </c>
      <c r="B3632" s="3" t="s">
        <v>1258</v>
      </c>
      <c r="C3632" s="7" t="s">
        <v>434</v>
      </c>
      <c r="D3632" s="7" t="s">
        <v>200</v>
      </c>
      <c r="E3632" s="7">
        <v>1124</v>
      </c>
      <c r="F3632" s="7" t="s">
        <v>433</v>
      </c>
      <c r="G3632" s="7" t="s">
        <v>1568</v>
      </c>
      <c r="H3632" s="7" t="s">
        <v>1362</v>
      </c>
      <c r="I3632" s="7" t="s">
        <v>1258</v>
      </c>
      <c r="K3632" s="7" t="s">
        <v>225</v>
      </c>
      <c r="L3632" s="11">
        <v>525.29</v>
      </c>
      <c r="M3632" s="11">
        <v>1033.6199999999999</v>
      </c>
      <c r="N3632" s="9">
        <f t="shared" si="141"/>
        <v>525.29</v>
      </c>
    </row>
    <row r="3633" spans="1:14" ht="12.75" hidden="1" customHeight="1" x14ac:dyDescent="0.2">
      <c r="A3633">
        <v>66800</v>
      </c>
      <c r="B3633" s="3" t="s">
        <v>1365</v>
      </c>
      <c r="C3633" s="7" t="s">
        <v>391</v>
      </c>
      <c r="D3633" s="7" t="s">
        <v>190</v>
      </c>
      <c r="E3633" s="7" t="s">
        <v>189</v>
      </c>
      <c r="F3633" s="7" t="s">
        <v>188</v>
      </c>
      <c r="G3633" s="7" t="s">
        <v>1568</v>
      </c>
      <c r="H3633" s="7" t="s">
        <v>1369</v>
      </c>
      <c r="I3633" s="7" t="s">
        <v>1366</v>
      </c>
      <c r="J3633" s="7" t="s">
        <v>411</v>
      </c>
      <c r="K3633" s="7" t="s">
        <v>186</v>
      </c>
      <c r="L3633" s="11">
        <v>83.63</v>
      </c>
      <c r="M3633" s="11">
        <v>133.36000000000001</v>
      </c>
      <c r="N3633" s="9">
        <f t="shared" si="141"/>
        <v>83.63</v>
      </c>
    </row>
    <row r="3634" spans="1:14" ht="12.75" hidden="1" customHeight="1" x14ac:dyDescent="0.2">
      <c r="A3634">
        <v>66800</v>
      </c>
      <c r="B3634" s="3" t="s">
        <v>1365</v>
      </c>
      <c r="C3634" s="7" t="s">
        <v>393</v>
      </c>
      <c r="D3634" s="7" t="s">
        <v>190</v>
      </c>
      <c r="E3634" s="7" t="s">
        <v>189</v>
      </c>
      <c r="F3634" s="7" t="s">
        <v>188</v>
      </c>
      <c r="G3634" s="7" t="s">
        <v>1568</v>
      </c>
      <c r="H3634" s="7" t="s">
        <v>1369</v>
      </c>
      <c r="I3634" s="7" t="s">
        <v>1366</v>
      </c>
      <c r="J3634" s="7" t="s">
        <v>411</v>
      </c>
      <c r="K3634" s="7" t="s">
        <v>186</v>
      </c>
      <c r="L3634" s="11">
        <v>83.62</v>
      </c>
      <c r="M3634" s="11">
        <v>567.6</v>
      </c>
      <c r="N3634" s="9">
        <f t="shared" si="141"/>
        <v>83.62</v>
      </c>
    </row>
    <row r="3635" spans="1:14" ht="12.75" hidden="1" customHeight="1" x14ac:dyDescent="0.2">
      <c r="A3635">
        <v>66800</v>
      </c>
      <c r="B3635" s="3" t="s">
        <v>1365</v>
      </c>
      <c r="C3635" s="7" t="s">
        <v>410</v>
      </c>
      <c r="D3635" s="7" t="s">
        <v>190</v>
      </c>
      <c r="E3635" s="7" t="s">
        <v>189</v>
      </c>
      <c r="F3635" s="7" t="s">
        <v>188</v>
      </c>
      <c r="G3635" s="7" t="s">
        <v>1568</v>
      </c>
      <c r="H3635" s="7" t="s">
        <v>1369</v>
      </c>
      <c r="I3635" s="7" t="s">
        <v>1366</v>
      </c>
      <c r="J3635" s="7" t="s">
        <v>411</v>
      </c>
      <c r="K3635" s="7" t="s">
        <v>186</v>
      </c>
      <c r="L3635" s="11">
        <v>83.63</v>
      </c>
      <c r="M3635" s="11">
        <v>1728.6</v>
      </c>
      <c r="N3635" s="9">
        <f t="shared" si="141"/>
        <v>83.63</v>
      </c>
    </row>
    <row r="3636" spans="1:14" ht="12.75" hidden="1" customHeight="1" x14ac:dyDescent="0.2">
      <c r="A3636">
        <v>66800</v>
      </c>
      <c r="B3636" s="3" t="s">
        <v>1365</v>
      </c>
      <c r="C3636" s="7" t="s">
        <v>409</v>
      </c>
      <c r="D3636" s="7" t="s">
        <v>190</v>
      </c>
      <c r="E3636" s="7" t="s">
        <v>189</v>
      </c>
      <c r="F3636" s="7" t="s">
        <v>188</v>
      </c>
      <c r="G3636" s="7" t="s">
        <v>1568</v>
      </c>
      <c r="H3636" s="7" t="s">
        <v>1369</v>
      </c>
      <c r="I3636" s="7" t="s">
        <v>1366</v>
      </c>
      <c r="J3636" s="7" t="s">
        <v>411</v>
      </c>
      <c r="K3636" s="7" t="s">
        <v>186</v>
      </c>
      <c r="L3636" s="11">
        <v>83.62</v>
      </c>
      <c r="M3636" s="11">
        <v>1812.22</v>
      </c>
      <c r="N3636" s="9">
        <f t="shared" si="141"/>
        <v>83.62</v>
      </c>
    </row>
    <row r="3637" spans="1:14" ht="12.75" hidden="1" customHeight="1" x14ac:dyDescent="0.2">
      <c r="A3637">
        <v>66800</v>
      </c>
      <c r="B3637" s="3" t="s">
        <v>1365</v>
      </c>
      <c r="C3637" s="7" t="s">
        <v>408</v>
      </c>
      <c r="D3637" s="7" t="s">
        <v>190</v>
      </c>
      <c r="E3637" s="7" t="s">
        <v>189</v>
      </c>
      <c r="F3637" s="7" t="s">
        <v>188</v>
      </c>
      <c r="G3637" s="7" t="s">
        <v>1568</v>
      </c>
      <c r="H3637" s="7" t="s">
        <v>1369</v>
      </c>
      <c r="I3637" s="7" t="s">
        <v>1366</v>
      </c>
      <c r="J3637" s="7" t="s">
        <v>411</v>
      </c>
      <c r="K3637" s="7" t="s">
        <v>186</v>
      </c>
      <c r="L3637" s="11">
        <v>83.63</v>
      </c>
      <c r="M3637" s="11">
        <v>2131.73</v>
      </c>
      <c r="N3637" s="9">
        <f t="shared" si="141"/>
        <v>83.63</v>
      </c>
    </row>
    <row r="3638" spans="1:14" ht="12.75" hidden="1" customHeight="1" x14ac:dyDescent="0.2">
      <c r="A3638">
        <v>66800</v>
      </c>
      <c r="B3638" s="3" t="s">
        <v>1365</v>
      </c>
      <c r="C3638" s="7" t="s">
        <v>407</v>
      </c>
      <c r="D3638" s="7" t="s">
        <v>190</v>
      </c>
      <c r="E3638" s="7" t="s">
        <v>189</v>
      </c>
      <c r="F3638" s="7" t="s">
        <v>188</v>
      </c>
      <c r="G3638" s="7" t="s">
        <v>1568</v>
      </c>
      <c r="H3638" s="7" t="s">
        <v>1369</v>
      </c>
      <c r="I3638" s="7" t="s">
        <v>1366</v>
      </c>
      <c r="J3638" s="7" t="s">
        <v>411</v>
      </c>
      <c r="K3638" s="7" t="s">
        <v>186</v>
      </c>
      <c r="L3638" s="11">
        <v>83.62</v>
      </c>
      <c r="M3638" s="11">
        <v>2687.1</v>
      </c>
      <c r="N3638" s="9">
        <f t="shared" si="141"/>
        <v>83.62</v>
      </c>
    </row>
    <row r="3639" spans="1:14" ht="12.75" hidden="1" customHeight="1" x14ac:dyDescent="0.2">
      <c r="A3639">
        <v>66800</v>
      </c>
      <c r="B3639" s="3" t="s">
        <v>1365</v>
      </c>
      <c r="C3639" s="7" t="s">
        <v>406</v>
      </c>
      <c r="D3639" s="7" t="s">
        <v>190</v>
      </c>
      <c r="E3639" s="7" t="s">
        <v>189</v>
      </c>
      <c r="F3639" s="7" t="s">
        <v>188</v>
      </c>
      <c r="G3639" s="7" t="s">
        <v>1568</v>
      </c>
      <c r="H3639" s="7" t="s">
        <v>1369</v>
      </c>
      <c r="I3639" s="7" t="s">
        <v>1366</v>
      </c>
      <c r="J3639" s="7" t="s">
        <v>411</v>
      </c>
      <c r="K3639" s="7" t="s">
        <v>186</v>
      </c>
      <c r="L3639" s="11">
        <v>83.63</v>
      </c>
      <c r="M3639" s="11">
        <v>2923.73</v>
      </c>
      <c r="N3639" s="9">
        <f t="shared" si="141"/>
        <v>83.63</v>
      </c>
    </row>
    <row r="3640" spans="1:14" ht="12.75" hidden="1" customHeight="1" x14ac:dyDescent="0.2">
      <c r="A3640">
        <v>66800</v>
      </c>
      <c r="B3640" s="3" t="s">
        <v>1365</v>
      </c>
      <c r="C3640" s="7" t="s">
        <v>196</v>
      </c>
      <c r="D3640" s="7" t="s">
        <v>190</v>
      </c>
      <c r="E3640" s="7" t="s">
        <v>189</v>
      </c>
      <c r="F3640" s="7" t="s">
        <v>188</v>
      </c>
      <c r="G3640" s="7" t="s">
        <v>1568</v>
      </c>
      <c r="H3640" s="7" t="s">
        <v>1369</v>
      </c>
      <c r="I3640" s="7" t="s">
        <v>1366</v>
      </c>
      <c r="J3640" s="7" t="s">
        <v>411</v>
      </c>
      <c r="K3640" s="7" t="s">
        <v>186</v>
      </c>
      <c r="L3640" s="11">
        <v>83.62</v>
      </c>
      <c r="M3640" s="11">
        <v>3243.22</v>
      </c>
      <c r="N3640" s="9">
        <f t="shared" si="141"/>
        <v>83.62</v>
      </c>
    </row>
    <row r="3641" spans="1:14" ht="12.75" hidden="1" customHeight="1" x14ac:dyDescent="0.2">
      <c r="A3641">
        <v>66800</v>
      </c>
      <c r="B3641" s="3" t="s">
        <v>1365</v>
      </c>
      <c r="C3641" s="7" t="s">
        <v>194</v>
      </c>
      <c r="D3641" s="7" t="s">
        <v>190</v>
      </c>
      <c r="E3641" s="7" t="s">
        <v>189</v>
      </c>
      <c r="F3641" s="7" t="s">
        <v>188</v>
      </c>
      <c r="G3641" s="7" t="s">
        <v>1568</v>
      </c>
      <c r="H3641" s="7" t="s">
        <v>1369</v>
      </c>
      <c r="I3641" s="7" t="s">
        <v>1366</v>
      </c>
      <c r="J3641" s="7" t="s">
        <v>411</v>
      </c>
      <c r="K3641" s="7" t="s">
        <v>186</v>
      </c>
      <c r="L3641" s="11">
        <v>83.63</v>
      </c>
      <c r="M3641" s="11">
        <v>3645.6</v>
      </c>
      <c r="N3641" s="9">
        <f t="shared" si="141"/>
        <v>83.63</v>
      </c>
    </row>
    <row r="3642" spans="1:14" ht="12.75" hidden="1" customHeight="1" x14ac:dyDescent="0.2">
      <c r="A3642">
        <v>66800</v>
      </c>
      <c r="B3642" s="3" t="s">
        <v>1365</v>
      </c>
      <c r="C3642" s="7" t="s">
        <v>193</v>
      </c>
      <c r="D3642" s="7" t="s">
        <v>190</v>
      </c>
      <c r="E3642" s="7" t="s">
        <v>189</v>
      </c>
      <c r="F3642" s="7" t="s">
        <v>188</v>
      </c>
      <c r="G3642" s="7" t="s">
        <v>1568</v>
      </c>
      <c r="H3642" s="7" t="s">
        <v>1369</v>
      </c>
      <c r="I3642" s="7" t="s">
        <v>1366</v>
      </c>
      <c r="J3642" s="7" t="s">
        <v>411</v>
      </c>
      <c r="K3642" s="7" t="s">
        <v>186</v>
      </c>
      <c r="L3642" s="11">
        <v>66.12</v>
      </c>
      <c r="M3642" s="11">
        <v>3947.6</v>
      </c>
      <c r="N3642" s="9">
        <f t="shared" si="141"/>
        <v>66.12</v>
      </c>
    </row>
    <row r="3643" spans="1:14" ht="12.75" hidden="1" customHeight="1" x14ac:dyDescent="0.2">
      <c r="A3643">
        <v>66800</v>
      </c>
      <c r="B3643" s="3" t="s">
        <v>1365</v>
      </c>
      <c r="C3643" s="7" t="s">
        <v>191</v>
      </c>
      <c r="D3643" s="7" t="s">
        <v>190</v>
      </c>
      <c r="E3643" s="7" t="s">
        <v>189</v>
      </c>
      <c r="F3643" s="7" t="s">
        <v>188</v>
      </c>
      <c r="G3643" s="7" t="s">
        <v>1568</v>
      </c>
      <c r="H3643" s="7" t="s">
        <v>1369</v>
      </c>
      <c r="I3643" s="7" t="s">
        <v>1366</v>
      </c>
      <c r="J3643" s="7" t="s">
        <v>411</v>
      </c>
      <c r="K3643" s="7" t="s">
        <v>186</v>
      </c>
      <c r="L3643" s="11">
        <v>57.38</v>
      </c>
      <c r="M3643" s="11">
        <v>4087.85</v>
      </c>
      <c r="N3643" s="9">
        <f t="shared" si="141"/>
        <v>57.38</v>
      </c>
    </row>
    <row r="3644" spans="1:14" ht="12.75" hidden="1" customHeight="1" x14ac:dyDescent="0.2">
      <c r="A3644">
        <v>66800</v>
      </c>
      <c r="B3644" s="3" t="s">
        <v>1365</v>
      </c>
      <c r="C3644" s="7" t="s">
        <v>214</v>
      </c>
      <c r="D3644" s="7" t="s">
        <v>190</v>
      </c>
      <c r="E3644" s="7" t="s">
        <v>189</v>
      </c>
      <c r="F3644" s="7" t="s">
        <v>188</v>
      </c>
      <c r="G3644" s="7" t="s">
        <v>1568</v>
      </c>
      <c r="H3644" s="7" t="s">
        <v>1369</v>
      </c>
      <c r="I3644" s="7" t="s">
        <v>1366</v>
      </c>
      <c r="J3644" s="7" t="s">
        <v>411</v>
      </c>
      <c r="K3644" s="7" t="s">
        <v>186</v>
      </c>
      <c r="L3644" s="11">
        <v>57.37</v>
      </c>
      <c r="M3644" s="11">
        <v>4298.22</v>
      </c>
      <c r="N3644" s="9">
        <f t="shared" si="141"/>
        <v>57.37</v>
      </c>
    </row>
    <row r="3645" spans="1:14" ht="12.75" hidden="1" customHeight="1" x14ac:dyDescent="0.2">
      <c r="A3645">
        <v>66855</v>
      </c>
      <c r="B3645" s="3" t="s">
        <v>1265</v>
      </c>
      <c r="C3645" s="7" t="s">
        <v>410</v>
      </c>
      <c r="D3645" s="7" t="s">
        <v>190</v>
      </c>
      <c r="E3645" s="7" t="s">
        <v>189</v>
      </c>
      <c r="F3645" s="7" t="s">
        <v>188</v>
      </c>
      <c r="G3645" s="7" t="s">
        <v>1568</v>
      </c>
      <c r="H3645" s="7" t="s">
        <v>1369</v>
      </c>
      <c r="I3645" s="7" t="s">
        <v>1366</v>
      </c>
      <c r="J3645" s="7" t="s">
        <v>187</v>
      </c>
      <c r="K3645" s="7" t="s">
        <v>186</v>
      </c>
      <c r="L3645" s="11">
        <v>750</v>
      </c>
      <c r="M3645" s="11">
        <v>2750</v>
      </c>
      <c r="N3645" s="9">
        <f t="shared" si="141"/>
        <v>750</v>
      </c>
    </row>
    <row r="3646" spans="1:14" ht="12.75" hidden="1" customHeight="1" x14ac:dyDescent="0.2">
      <c r="A3646">
        <v>66855</v>
      </c>
      <c r="B3646" s="3" t="s">
        <v>1265</v>
      </c>
      <c r="C3646" s="7" t="s">
        <v>409</v>
      </c>
      <c r="D3646" s="7" t="s">
        <v>190</v>
      </c>
      <c r="E3646" s="7" t="s">
        <v>189</v>
      </c>
      <c r="F3646" s="7" t="s">
        <v>188</v>
      </c>
      <c r="G3646" s="7" t="s">
        <v>1568</v>
      </c>
      <c r="H3646" s="7" t="s">
        <v>1369</v>
      </c>
      <c r="I3646" s="7" t="s">
        <v>1366</v>
      </c>
      <c r="J3646" s="7" t="s">
        <v>187</v>
      </c>
      <c r="K3646" s="7" t="s">
        <v>186</v>
      </c>
      <c r="L3646" s="11">
        <v>750</v>
      </c>
      <c r="M3646" s="11">
        <v>5500</v>
      </c>
      <c r="N3646" s="9">
        <f t="shared" si="141"/>
        <v>750</v>
      </c>
    </row>
    <row r="3647" spans="1:14" ht="12.75" hidden="1" customHeight="1" x14ac:dyDescent="0.2">
      <c r="A3647">
        <v>66855</v>
      </c>
      <c r="B3647" s="3" t="s">
        <v>1265</v>
      </c>
      <c r="C3647" s="7" t="s">
        <v>408</v>
      </c>
      <c r="D3647" s="7" t="s">
        <v>190</v>
      </c>
      <c r="E3647" s="7" t="s">
        <v>189</v>
      </c>
      <c r="F3647" s="7" t="s">
        <v>188</v>
      </c>
      <c r="G3647" s="7" t="s">
        <v>1568</v>
      </c>
      <c r="H3647" s="7" t="s">
        <v>1369</v>
      </c>
      <c r="I3647" s="7" t="s">
        <v>1366</v>
      </c>
      <c r="J3647" s="7" t="s">
        <v>187</v>
      </c>
      <c r="K3647" s="7" t="s">
        <v>186</v>
      </c>
      <c r="L3647" s="11">
        <v>750</v>
      </c>
      <c r="M3647" s="11">
        <v>8250</v>
      </c>
      <c r="N3647" s="9">
        <f t="shared" si="141"/>
        <v>750</v>
      </c>
    </row>
    <row r="3648" spans="1:14" ht="12.75" hidden="1" customHeight="1" x14ac:dyDescent="0.2">
      <c r="A3648">
        <v>66855</v>
      </c>
      <c r="B3648" s="3" t="s">
        <v>1265</v>
      </c>
      <c r="C3648" s="7" t="s">
        <v>407</v>
      </c>
      <c r="D3648" s="7" t="s">
        <v>190</v>
      </c>
      <c r="E3648" s="7" t="s">
        <v>189</v>
      </c>
      <c r="F3648" s="7" t="s">
        <v>188</v>
      </c>
      <c r="G3648" s="7" t="s">
        <v>1568</v>
      </c>
      <c r="H3648" s="7" t="s">
        <v>1369</v>
      </c>
      <c r="I3648" s="7" t="s">
        <v>1366</v>
      </c>
      <c r="J3648" s="7" t="s">
        <v>187</v>
      </c>
      <c r="K3648" s="7" t="s">
        <v>186</v>
      </c>
      <c r="L3648" s="11">
        <v>750</v>
      </c>
      <c r="M3648" s="11">
        <v>9000</v>
      </c>
      <c r="N3648" s="9">
        <f t="shared" si="141"/>
        <v>750</v>
      </c>
    </row>
    <row r="3649" spans="1:14" ht="12.75" hidden="1" customHeight="1" x14ac:dyDescent="0.2">
      <c r="A3649">
        <v>66855</v>
      </c>
      <c r="B3649" s="3" t="s">
        <v>1265</v>
      </c>
      <c r="C3649" s="7" t="s">
        <v>406</v>
      </c>
      <c r="D3649" s="7" t="s">
        <v>190</v>
      </c>
      <c r="E3649" s="7" t="s">
        <v>189</v>
      </c>
      <c r="F3649" s="7" t="s">
        <v>188</v>
      </c>
      <c r="G3649" s="7" t="s">
        <v>1568</v>
      </c>
      <c r="H3649" s="7" t="s">
        <v>1369</v>
      </c>
      <c r="I3649" s="7" t="s">
        <v>1366</v>
      </c>
      <c r="J3649" s="7" t="s">
        <v>187</v>
      </c>
      <c r="K3649" s="7" t="s">
        <v>186</v>
      </c>
      <c r="L3649" s="11">
        <v>750</v>
      </c>
      <c r="M3649" s="11">
        <v>11750</v>
      </c>
      <c r="N3649" s="9">
        <f t="shared" si="141"/>
        <v>750</v>
      </c>
    </row>
    <row r="3650" spans="1:14" ht="12.75" hidden="1" customHeight="1" x14ac:dyDescent="0.2">
      <c r="A3650">
        <v>66855</v>
      </c>
      <c r="B3650" s="3" t="s">
        <v>1265</v>
      </c>
      <c r="C3650" s="7" t="s">
        <v>214</v>
      </c>
      <c r="D3650" s="7" t="s">
        <v>190</v>
      </c>
      <c r="E3650" s="7" t="s">
        <v>189</v>
      </c>
      <c r="F3650" s="7" t="s">
        <v>188</v>
      </c>
      <c r="G3650" s="7" t="s">
        <v>1568</v>
      </c>
      <c r="H3650" s="7" t="s">
        <v>1362</v>
      </c>
      <c r="I3650" s="7" t="s">
        <v>1366</v>
      </c>
      <c r="J3650" s="7" t="s">
        <v>187</v>
      </c>
      <c r="K3650" s="7" t="s">
        <v>186</v>
      </c>
      <c r="L3650" s="11">
        <v>750</v>
      </c>
      <c r="M3650" s="11">
        <v>16958.330000000002</v>
      </c>
      <c r="N3650" s="9">
        <f t="shared" si="141"/>
        <v>750</v>
      </c>
    </row>
    <row r="3651" spans="1:14" ht="12.75" hidden="1" customHeight="1" x14ac:dyDescent="0.2">
      <c r="A3651">
        <v>66855</v>
      </c>
      <c r="B3651" s="3" t="s">
        <v>1265</v>
      </c>
      <c r="C3651" s="7" t="s">
        <v>196</v>
      </c>
      <c r="D3651" s="7" t="s">
        <v>190</v>
      </c>
      <c r="E3651" s="7" t="s">
        <v>189</v>
      </c>
      <c r="F3651" s="7" t="s">
        <v>188</v>
      </c>
      <c r="G3651" s="7" t="s">
        <v>1568</v>
      </c>
      <c r="H3651" s="7" t="s">
        <v>1369</v>
      </c>
      <c r="I3651" s="7" t="s">
        <v>1366</v>
      </c>
      <c r="J3651" s="7" t="s">
        <v>187</v>
      </c>
      <c r="K3651" s="7" t="s">
        <v>186</v>
      </c>
      <c r="L3651" s="11">
        <v>750</v>
      </c>
      <c r="M3651" s="11">
        <v>2000</v>
      </c>
      <c r="N3651" s="9">
        <f t="shared" si="141"/>
        <v>750</v>
      </c>
    </row>
    <row r="3652" spans="1:14" ht="12.75" hidden="1" customHeight="1" x14ac:dyDescent="0.2">
      <c r="A3652">
        <v>66855</v>
      </c>
      <c r="B3652" s="3" t="s">
        <v>1265</v>
      </c>
      <c r="C3652" s="7" t="s">
        <v>194</v>
      </c>
      <c r="D3652" s="7" t="s">
        <v>190</v>
      </c>
      <c r="E3652" s="7" t="s">
        <v>189</v>
      </c>
      <c r="F3652" s="7" t="s">
        <v>188</v>
      </c>
      <c r="G3652" s="7" t="s">
        <v>1568</v>
      </c>
      <c r="H3652" s="7" t="s">
        <v>1362</v>
      </c>
      <c r="I3652" s="7" t="s">
        <v>1366</v>
      </c>
      <c r="J3652" s="7" t="s">
        <v>187</v>
      </c>
      <c r="K3652" s="7" t="s">
        <v>186</v>
      </c>
      <c r="L3652" s="11">
        <v>750</v>
      </c>
      <c r="M3652" s="11">
        <v>2750</v>
      </c>
      <c r="N3652" s="9">
        <f t="shared" si="141"/>
        <v>750</v>
      </c>
    </row>
    <row r="3653" spans="1:14" ht="12.75" hidden="1" customHeight="1" x14ac:dyDescent="0.2">
      <c r="A3653">
        <v>66855</v>
      </c>
      <c r="B3653" s="3" t="s">
        <v>1265</v>
      </c>
      <c r="C3653" s="7" t="s">
        <v>193</v>
      </c>
      <c r="D3653" s="7" t="s">
        <v>190</v>
      </c>
      <c r="E3653" s="7" t="s">
        <v>189</v>
      </c>
      <c r="F3653" s="7" t="s">
        <v>188</v>
      </c>
      <c r="G3653" s="7" t="s">
        <v>1568</v>
      </c>
      <c r="H3653" s="7" t="s">
        <v>1362</v>
      </c>
      <c r="I3653" s="7" t="s">
        <v>1366</v>
      </c>
      <c r="J3653" s="7" t="s">
        <v>187</v>
      </c>
      <c r="K3653" s="7" t="s">
        <v>186</v>
      </c>
      <c r="L3653" s="11">
        <v>750</v>
      </c>
      <c r="M3653" s="11">
        <v>3500</v>
      </c>
      <c r="N3653" s="9">
        <f t="shared" si="141"/>
        <v>750</v>
      </c>
    </row>
    <row r="3654" spans="1:14" ht="12.75" hidden="1" customHeight="1" x14ac:dyDescent="0.2">
      <c r="A3654">
        <v>66855</v>
      </c>
      <c r="B3654" s="3" t="s">
        <v>1265</v>
      </c>
      <c r="C3654" s="7" t="s">
        <v>191</v>
      </c>
      <c r="D3654" s="7" t="s">
        <v>190</v>
      </c>
      <c r="E3654" s="7" t="s">
        <v>189</v>
      </c>
      <c r="F3654" s="7" t="s">
        <v>188</v>
      </c>
      <c r="G3654" s="7" t="s">
        <v>1568</v>
      </c>
      <c r="H3654" s="7" t="s">
        <v>1362</v>
      </c>
      <c r="I3654" s="7" t="s">
        <v>1366</v>
      </c>
      <c r="J3654" s="7" t="s">
        <v>187</v>
      </c>
      <c r="K3654" s="7" t="s">
        <v>186</v>
      </c>
      <c r="L3654" s="11">
        <v>750</v>
      </c>
      <c r="M3654" s="11">
        <v>8250</v>
      </c>
      <c r="N3654" s="9">
        <f t="shared" si="141"/>
        <v>750</v>
      </c>
    </row>
    <row r="3655" spans="1:14" ht="12.75" hidden="1" customHeight="1" x14ac:dyDescent="0.2">
      <c r="A3655">
        <v>67001</v>
      </c>
      <c r="B3655" s="3" t="s">
        <v>1268</v>
      </c>
      <c r="C3655" s="7" t="s">
        <v>384</v>
      </c>
      <c r="D3655" s="7" t="s">
        <v>200</v>
      </c>
      <c r="F3655" s="7" t="s">
        <v>386</v>
      </c>
      <c r="G3655" s="7" t="s">
        <v>1568</v>
      </c>
      <c r="H3655" s="70" t="s">
        <v>2129</v>
      </c>
      <c r="I3655" s="7" t="s">
        <v>1268</v>
      </c>
      <c r="K3655" s="7" t="s">
        <v>225</v>
      </c>
      <c r="L3655" s="11">
        <v>400</v>
      </c>
      <c r="M3655" s="11">
        <v>-890.02</v>
      </c>
      <c r="N3655" s="9">
        <f t="shared" si="141"/>
        <v>400</v>
      </c>
    </row>
    <row r="3656" spans="1:14" ht="12.75" hidden="1" customHeight="1" x14ac:dyDescent="0.2">
      <c r="A3656">
        <v>67001</v>
      </c>
      <c r="B3656" s="3" t="s">
        <v>1268</v>
      </c>
      <c r="C3656" s="7" t="s">
        <v>384</v>
      </c>
      <c r="D3656" s="7" t="s">
        <v>200</v>
      </c>
      <c r="F3656" s="7" t="s">
        <v>386</v>
      </c>
      <c r="G3656" s="7" t="s">
        <v>1568</v>
      </c>
      <c r="H3656" s="70" t="s">
        <v>2129</v>
      </c>
      <c r="I3656" s="7" t="s">
        <v>1268</v>
      </c>
      <c r="K3656" s="7" t="s">
        <v>225</v>
      </c>
      <c r="L3656" s="11">
        <v>9.2200000000000006</v>
      </c>
      <c r="M3656" s="11">
        <v>-861.86</v>
      </c>
      <c r="N3656" s="9">
        <f t="shared" si="141"/>
        <v>9.2200000000000006</v>
      </c>
    </row>
    <row r="3657" spans="1:14" ht="12.75" hidden="1" customHeight="1" x14ac:dyDescent="0.2">
      <c r="A3657">
        <v>67001</v>
      </c>
      <c r="B3657" s="3" t="s">
        <v>1268</v>
      </c>
      <c r="C3657" s="7" t="s">
        <v>384</v>
      </c>
      <c r="D3657" s="7" t="s">
        <v>200</v>
      </c>
      <c r="F3657" s="7" t="s">
        <v>386</v>
      </c>
      <c r="G3657" s="7" t="s">
        <v>1568</v>
      </c>
      <c r="H3657" s="70" t="s">
        <v>2129</v>
      </c>
      <c r="I3657" s="7" t="s">
        <v>1268</v>
      </c>
      <c r="K3657" s="7" t="s">
        <v>225</v>
      </c>
      <c r="L3657" s="11">
        <v>400</v>
      </c>
      <c r="M3657" s="11">
        <v>-461.86</v>
      </c>
      <c r="N3657" s="9">
        <f t="shared" si="141"/>
        <v>400</v>
      </c>
    </row>
    <row r="3658" spans="1:14" ht="12.75" hidden="1" customHeight="1" x14ac:dyDescent="0.2">
      <c r="A3658">
        <v>67001</v>
      </c>
      <c r="B3658" s="3" t="s">
        <v>1268</v>
      </c>
      <c r="C3658" s="7" t="s">
        <v>376</v>
      </c>
      <c r="D3658" s="7" t="s">
        <v>200</v>
      </c>
      <c r="E3658" s="7">
        <v>1098</v>
      </c>
      <c r="F3658" s="7" t="s">
        <v>248</v>
      </c>
      <c r="G3658" s="7" t="s">
        <v>1568</v>
      </c>
      <c r="H3658" s="70" t="s">
        <v>2129</v>
      </c>
      <c r="I3658" s="7" t="s">
        <v>1268</v>
      </c>
      <c r="K3658" s="7" t="s">
        <v>225</v>
      </c>
      <c r="L3658" s="11">
        <v>400</v>
      </c>
      <c r="M3658" s="11">
        <v>3740.21</v>
      </c>
      <c r="N3658" s="9">
        <f t="shared" si="141"/>
        <v>400</v>
      </c>
    </row>
    <row r="3659" spans="1:14" ht="12.75" hidden="1" customHeight="1" x14ac:dyDescent="0.2">
      <c r="A3659">
        <v>67001</v>
      </c>
      <c r="B3659" s="3" t="s">
        <v>1268</v>
      </c>
      <c r="C3659" s="7" t="s">
        <v>351</v>
      </c>
      <c r="D3659" s="7" t="s">
        <v>200</v>
      </c>
      <c r="E3659" s="7">
        <v>1103</v>
      </c>
      <c r="F3659" s="7" t="s">
        <v>279</v>
      </c>
      <c r="G3659" s="7" t="s">
        <v>1568</v>
      </c>
      <c r="H3659" s="70" t="s">
        <v>2129</v>
      </c>
      <c r="I3659" s="7" t="s">
        <v>1268</v>
      </c>
      <c r="K3659" s="7" t="s">
        <v>225</v>
      </c>
      <c r="L3659" s="11">
        <v>250</v>
      </c>
      <c r="M3659" s="11">
        <v>9082.23</v>
      </c>
      <c r="N3659" s="9">
        <f t="shared" si="141"/>
        <v>250</v>
      </c>
    </row>
    <row r="3660" spans="1:14" ht="12.75" hidden="1" customHeight="1" x14ac:dyDescent="0.2">
      <c r="A3660">
        <v>67001</v>
      </c>
      <c r="B3660" s="3" t="s">
        <v>1268</v>
      </c>
      <c r="C3660" s="7" t="s">
        <v>344</v>
      </c>
      <c r="D3660" s="7" t="s">
        <v>200</v>
      </c>
      <c r="F3660" s="7" t="s">
        <v>255</v>
      </c>
      <c r="G3660" s="7" t="s">
        <v>1568</v>
      </c>
      <c r="H3660" s="70" t="s">
        <v>2129</v>
      </c>
      <c r="I3660" s="7" t="s">
        <v>1268</v>
      </c>
      <c r="J3660" s="7" t="s">
        <v>346</v>
      </c>
      <c r="K3660" s="7" t="s">
        <v>225</v>
      </c>
      <c r="L3660" s="11">
        <v>75</v>
      </c>
      <c r="M3660" s="11">
        <v>9643.49</v>
      </c>
      <c r="N3660" s="9">
        <f t="shared" si="141"/>
        <v>75</v>
      </c>
    </row>
    <row r="3661" spans="1:14" ht="12.75" hidden="1" customHeight="1" x14ac:dyDescent="0.2">
      <c r="A3661">
        <v>67001</v>
      </c>
      <c r="B3661" s="3" t="s">
        <v>1268</v>
      </c>
      <c r="C3661" s="7" t="s">
        <v>344</v>
      </c>
      <c r="D3661" s="7" t="s">
        <v>200</v>
      </c>
      <c r="E3661" s="7">
        <v>1106</v>
      </c>
      <c r="F3661" s="7" t="s">
        <v>248</v>
      </c>
      <c r="G3661" s="7" t="s">
        <v>1568</v>
      </c>
      <c r="H3661" s="70" t="s">
        <v>2129</v>
      </c>
      <c r="I3661" s="7" t="s">
        <v>1268</v>
      </c>
      <c r="K3661" s="7" t="s">
        <v>225</v>
      </c>
      <c r="L3661" s="11">
        <v>150</v>
      </c>
      <c r="M3661" s="11">
        <v>9898.34</v>
      </c>
      <c r="N3661" s="9">
        <f t="shared" si="141"/>
        <v>150</v>
      </c>
    </row>
    <row r="3662" spans="1:14" ht="12.75" hidden="1" customHeight="1" x14ac:dyDescent="0.2">
      <c r="A3662">
        <v>67001</v>
      </c>
      <c r="B3662" s="3" t="s">
        <v>1268</v>
      </c>
      <c r="C3662" s="7" t="s">
        <v>290</v>
      </c>
      <c r="D3662" s="7" t="s">
        <v>200</v>
      </c>
      <c r="F3662" s="7" t="s">
        <v>289</v>
      </c>
      <c r="G3662" s="7" t="s">
        <v>1568</v>
      </c>
      <c r="H3662" s="70" t="s">
        <v>2129</v>
      </c>
      <c r="I3662" s="7" t="s">
        <v>1268</v>
      </c>
      <c r="J3662" s="7" t="s">
        <v>288</v>
      </c>
      <c r="K3662" s="7" t="s">
        <v>225</v>
      </c>
      <c r="L3662" s="11">
        <v>15.2</v>
      </c>
      <c r="M3662" s="11">
        <v>46928.32</v>
      </c>
      <c r="N3662" s="9">
        <f t="shared" si="141"/>
        <v>15.2</v>
      </c>
    </row>
    <row r="3663" spans="1:14" ht="12.75" hidden="1" customHeight="1" x14ac:dyDescent="0.2">
      <c r="A3663">
        <v>67001</v>
      </c>
      <c r="B3663" s="3" t="s">
        <v>1268</v>
      </c>
      <c r="C3663" s="7" t="s">
        <v>201</v>
      </c>
      <c r="D3663" s="7" t="s">
        <v>200</v>
      </c>
      <c r="F3663" s="7" t="s">
        <v>243</v>
      </c>
      <c r="G3663" s="7" t="s">
        <v>1568</v>
      </c>
      <c r="H3663" s="70" t="s">
        <v>2129</v>
      </c>
      <c r="I3663" s="7" t="s">
        <v>1268</v>
      </c>
      <c r="J3663" s="7" t="s">
        <v>276</v>
      </c>
      <c r="K3663" s="7" t="s">
        <v>225</v>
      </c>
      <c r="L3663" s="11">
        <v>64.599999999999994</v>
      </c>
      <c r="M3663" s="11">
        <v>50676.44</v>
      </c>
      <c r="N3663" s="9">
        <f t="shared" si="141"/>
        <v>64.599999999999994</v>
      </c>
    </row>
    <row r="3664" spans="1:14" ht="12.75" hidden="1" customHeight="1" x14ac:dyDescent="0.2">
      <c r="A3664">
        <v>67001</v>
      </c>
      <c r="B3664" s="3" t="s">
        <v>1268</v>
      </c>
      <c r="C3664" s="7" t="s">
        <v>201</v>
      </c>
      <c r="D3664" s="7" t="s">
        <v>200</v>
      </c>
      <c r="F3664" s="7" t="s">
        <v>275</v>
      </c>
      <c r="G3664" s="7" t="s">
        <v>1568</v>
      </c>
      <c r="H3664" s="70" t="s">
        <v>2129</v>
      </c>
      <c r="I3664" s="7" t="s">
        <v>1268</v>
      </c>
      <c r="J3664" s="7" t="s">
        <v>274</v>
      </c>
      <c r="K3664" s="7" t="s">
        <v>225</v>
      </c>
      <c r="L3664" s="11">
        <v>750.13</v>
      </c>
      <c r="M3664" s="11">
        <v>51426.57</v>
      </c>
      <c r="N3664" s="9">
        <f t="shared" si="141"/>
        <v>750.13</v>
      </c>
    </row>
    <row r="3665" spans="1:14" ht="12.75" hidden="1" customHeight="1" x14ac:dyDescent="0.2">
      <c r="A3665">
        <v>67001</v>
      </c>
      <c r="B3665" s="3" t="s">
        <v>1268</v>
      </c>
      <c r="C3665" s="7" t="s">
        <v>201</v>
      </c>
      <c r="D3665" s="7" t="s">
        <v>200</v>
      </c>
      <c r="F3665" s="7" t="s">
        <v>241</v>
      </c>
      <c r="G3665" s="7" t="s">
        <v>1568</v>
      </c>
      <c r="H3665" s="70" t="s">
        <v>2129</v>
      </c>
      <c r="I3665" s="7" t="s">
        <v>1268</v>
      </c>
      <c r="J3665" s="7" t="s">
        <v>273</v>
      </c>
      <c r="K3665" s="7" t="s">
        <v>225</v>
      </c>
      <c r="L3665" s="11">
        <v>157.16</v>
      </c>
      <c r="M3665" s="11">
        <v>51583.73</v>
      </c>
      <c r="N3665" s="9">
        <f t="shared" si="141"/>
        <v>157.16</v>
      </c>
    </row>
    <row r="3666" spans="1:14" ht="12.75" hidden="1" customHeight="1" x14ac:dyDescent="0.2">
      <c r="A3666">
        <v>67001</v>
      </c>
      <c r="B3666" s="3" t="s">
        <v>1268</v>
      </c>
      <c r="C3666" s="7" t="s">
        <v>270</v>
      </c>
      <c r="D3666" s="7" t="s">
        <v>200</v>
      </c>
      <c r="F3666" s="7" t="s">
        <v>241</v>
      </c>
      <c r="G3666" s="7" t="s">
        <v>1568</v>
      </c>
      <c r="H3666" s="70" t="s">
        <v>2129</v>
      </c>
      <c r="I3666" s="7" t="s">
        <v>1268</v>
      </c>
      <c r="J3666" s="7" t="s">
        <v>271</v>
      </c>
      <c r="K3666" s="7" t="s">
        <v>225</v>
      </c>
      <c r="L3666" s="11">
        <v>38.24</v>
      </c>
      <c r="M3666" s="11">
        <v>53169.11</v>
      </c>
      <c r="N3666" s="9">
        <f t="shared" si="141"/>
        <v>38.24</v>
      </c>
    </row>
    <row r="3667" spans="1:14" ht="12.75" hidden="1" customHeight="1" x14ac:dyDescent="0.2">
      <c r="A3667">
        <v>67001</v>
      </c>
      <c r="B3667" s="3" t="s">
        <v>1268</v>
      </c>
      <c r="C3667" s="7" t="s">
        <v>267</v>
      </c>
      <c r="D3667" s="7" t="s">
        <v>200</v>
      </c>
      <c r="F3667" s="7" t="s">
        <v>265</v>
      </c>
      <c r="G3667" s="7" t="s">
        <v>1568</v>
      </c>
      <c r="H3667" s="70" t="s">
        <v>2129</v>
      </c>
      <c r="I3667" s="7" t="s">
        <v>1268</v>
      </c>
      <c r="J3667" s="7" t="s">
        <v>240</v>
      </c>
      <c r="K3667" s="7" t="s">
        <v>225</v>
      </c>
      <c r="L3667" s="11">
        <v>49.19</v>
      </c>
      <c r="M3667" s="11">
        <v>53293.3</v>
      </c>
      <c r="N3667" s="9">
        <f t="shared" si="141"/>
        <v>49.19</v>
      </c>
    </row>
    <row r="3668" spans="1:14" ht="12.75" hidden="1" customHeight="1" x14ac:dyDescent="0.2">
      <c r="A3668">
        <v>67001</v>
      </c>
      <c r="B3668" s="3" t="s">
        <v>1268</v>
      </c>
      <c r="C3668" s="7" t="s">
        <v>267</v>
      </c>
      <c r="D3668" s="7" t="s">
        <v>200</v>
      </c>
      <c r="F3668" s="7" t="s">
        <v>265</v>
      </c>
      <c r="G3668" s="7" t="s">
        <v>1568</v>
      </c>
      <c r="H3668" s="70" t="s">
        <v>2129</v>
      </c>
      <c r="I3668" s="7" t="s">
        <v>1268</v>
      </c>
      <c r="J3668" s="7" t="s">
        <v>244</v>
      </c>
      <c r="K3668" s="7" t="s">
        <v>225</v>
      </c>
      <c r="L3668" s="11">
        <v>27.98</v>
      </c>
      <c r="M3668" s="11">
        <v>53321.279999999999</v>
      </c>
      <c r="N3668" s="9">
        <f t="shared" si="141"/>
        <v>27.98</v>
      </c>
    </row>
    <row r="3669" spans="1:14" ht="12.75" hidden="1" customHeight="1" x14ac:dyDescent="0.2">
      <c r="A3669">
        <v>67001</v>
      </c>
      <c r="B3669" s="3" t="s">
        <v>1268</v>
      </c>
      <c r="C3669" s="7" t="s">
        <v>266</v>
      </c>
      <c r="D3669" s="7" t="s">
        <v>200</v>
      </c>
      <c r="F3669" s="7" t="s">
        <v>265</v>
      </c>
      <c r="G3669" s="7" t="s">
        <v>1568</v>
      </c>
      <c r="H3669" s="70" t="s">
        <v>2129</v>
      </c>
      <c r="I3669" s="7" t="s">
        <v>1268</v>
      </c>
      <c r="J3669" s="7" t="s">
        <v>244</v>
      </c>
      <c r="K3669" s="7" t="s">
        <v>225</v>
      </c>
      <c r="L3669" s="11">
        <v>13.99</v>
      </c>
      <c r="M3669" s="11">
        <v>53335.27</v>
      </c>
      <c r="N3669" s="9">
        <f t="shared" si="141"/>
        <v>13.99</v>
      </c>
    </row>
    <row r="3670" spans="1:14" ht="12.75" hidden="1" customHeight="1" x14ac:dyDescent="0.2">
      <c r="A3670">
        <v>67001</v>
      </c>
      <c r="B3670" s="3" t="s">
        <v>1268</v>
      </c>
      <c r="C3670" s="7" t="s">
        <v>266</v>
      </c>
      <c r="D3670" s="7" t="s">
        <v>200</v>
      </c>
      <c r="F3670" s="7" t="s">
        <v>265</v>
      </c>
      <c r="G3670" s="7" t="s">
        <v>1568</v>
      </c>
      <c r="H3670" s="70" t="s">
        <v>2129</v>
      </c>
      <c r="I3670" s="7" t="s">
        <v>1268</v>
      </c>
      <c r="J3670" s="7" t="s">
        <v>244</v>
      </c>
      <c r="K3670" s="7" t="s">
        <v>225</v>
      </c>
      <c r="L3670" s="11">
        <v>22.1</v>
      </c>
      <c r="M3670" s="11">
        <v>53357.37</v>
      </c>
      <c r="N3670" s="9">
        <f t="shared" si="141"/>
        <v>22.1</v>
      </c>
    </row>
    <row r="3671" spans="1:14" ht="12.75" hidden="1" customHeight="1" x14ac:dyDescent="0.2">
      <c r="A3671">
        <v>67001</v>
      </c>
      <c r="B3671" s="3" t="s">
        <v>1268</v>
      </c>
      <c r="C3671" s="7" t="s">
        <v>263</v>
      </c>
      <c r="D3671" s="7" t="s">
        <v>200</v>
      </c>
      <c r="F3671" s="7" t="s">
        <v>265</v>
      </c>
      <c r="G3671" s="7" t="s">
        <v>1568</v>
      </c>
      <c r="H3671" s="70" t="s">
        <v>2129</v>
      </c>
      <c r="I3671" s="7" t="s">
        <v>1268</v>
      </c>
      <c r="J3671" s="7" t="s">
        <v>240</v>
      </c>
      <c r="K3671" s="7" t="s">
        <v>225</v>
      </c>
      <c r="L3671" s="11">
        <v>43.38</v>
      </c>
      <c r="M3671" s="11">
        <v>53400.75</v>
      </c>
      <c r="N3671" s="9">
        <f t="shared" si="141"/>
        <v>43.38</v>
      </c>
    </row>
    <row r="3672" spans="1:14" ht="12.75" hidden="1" customHeight="1" x14ac:dyDescent="0.2">
      <c r="A3672">
        <v>67001</v>
      </c>
      <c r="B3672" s="3" t="s">
        <v>1268</v>
      </c>
      <c r="C3672" s="7" t="s">
        <v>263</v>
      </c>
      <c r="D3672" s="7" t="s">
        <v>200</v>
      </c>
      <c r="F3672" s="7" t="s">
        <v>265</v>
      </c>
      <c r="G3672" s="7" t="s">
        <v>1568</v>
      </c>
      <c r="H3672" s="70" t="s">
        <v>2129</v>
      </c>
      <c r="I3672" s="7" t="s">
        <v>1268</v>
      </c>
      <c r="J3672" s="7" t="s">
        <v>264</v>
      </c>
      <c r="K3672" s="7" t="s">
        <v>225</v>
      </c>
      <c r="L3672" s="11">
        <v>37.799999999999997</v>
      </c>
      <c r="M3672" s="11">
        <v>53438.55</v>
      </c>
      <c r="N3672" s="9">
        <f t="shared" si="141"/>
        <v>37.799999999999997</v>
      </c>
    </row>
    <row r="3673" spans="1:14" ht="12.75" hidden="1" customHeight="1" x14ac:dyDescent="0.2">
      <c r="A3673">
        <v>67001</v>
      </c>
      <c r="B3673" s="3" t="s">
        <v>1268</v>
      </c>
      <c r="C3673" s="7" t="s">
        <v>257</v>
      </c>
      <c r="D3673" s="7" t="s">
        <v>200</v>
      </c>
      <c r="F3673" s="7" t="s">
        <v>256</v>
      </c>
      <c r="G3673" s="7" t="s">
        <v>1568</v>
      </c>
      <c r="H3673" s="70" t="s">
        <v>2129</v>
      </c>
      <c r="I3673" s="7" t="s">
        <v>1268</v>
      </c>
      <c r="K3673" s="7" t="s">
        <v>225</v>
      </c>
      <c r="L3673" s="11">
        <v>1</v>
      </c>
      <c r="M3673" s="11">
        <v>53495.11</v>
      </c>
      <c r="N3673" s="9">
        <f t="shared" si="141"/>
        <v>1</v>
      </c>
    </row>
    <row r="3674" spans="1:14" ht="12.75" hidden="1" customHeight="1" x14ac:dyDescent="0.2">
      <c r="A3674">
        <v>67001</v>
      </c>
      <c r="B3674" s="3" t="s">
        <v>1268</v>
      </c>
      <c r="C3674" s="7" t="s">
        <v>257</v>
      </c>
      <c r="D3674" s="7" t="s">
        <v>200</v>
      </c>
      <c r="F3674" s="7" t="s">
        <v>259</v>
      </c>
      <c r="G3674" s="7" t="s">
        <v>1568</v>
      </c>
      <c r="H3674" s="70" t="s">
        <v>2129</v>
      </c>
      <c r="I3674" s="7" t="s">
        <v>1268</v>
      </c>
      <c r="K3674" s="7" t="s">
        <v>258</v>
      </c>
      <c r="L3674" s="11">
        <v>0.49</v>
      </c>
      <c r="M3674" s="11">
        <v>53495.6</v>
      </c>
      <c r="N3674" s="9">
        <f t="shared" si="141"/>
        <v>0.49</v>
      </c>
    </row>
    <row r="3675" spans="1:14" ht="12.75" hidden="1" customHeight="1" x14ac:dyDescent="0.2">
      <c r="A3675">
        <v>67001</v>
      </c>
      <c r="B3675" s="3" t="s">
        <v>1268</v>
      </c>
      <c r="C3675" s="7" t="s">
        <v>257</v>
      </c>
      <c r="D3675" s="7" t="s">
        <v>200</v>
      </c>
      <c r="F3675" s="7" t="s">
        <v>256</v>
      </c>
      <c r="G3675" s="7" t="s">
        <v>1568</v>
      </c>
      <c r="H3675" s="70" t="s">
        <v>2129</v>
      </c>
      <c r="I3675" s="7" t="s">
        <v>1268</v>
      </c>
      <c r="K3675" s="7" t="s">
        <v>225</v>
      </c>
      <c r="L3675" s="11">
        <v>1</v>
      </c>
      <c r="M3675" s="11">
        <v>53496.6</v>
      </c>
      <c r="N3675" s="9">
        <f t="shared" si="141"/>
        <v>1</v>
      </c>
    </row>
    <row r="3676" spans="1:14" ht="12.75" hidden="1" customHeight="1" x14ac:dyDescent="0.2">
      <c r="A3676">
        <v>67001</v>
      </c>
      <c r="B3676" s="3" t="s">
        <v>1268</v>
      </c>
      <c r="C3676" s="7" t="s">
        <v>257</v>
      </c>
      <c r="D3676" s="7" t="s">
        <v>242</v>
      </c>
      <c r="G3676" s="7" t="s">
        <v>1568</v>
      </c>
      <c r="H3676" s="70" t="s">
        <v>2129</v>
      </c>
      <c r="I3676" s="7" t="s">
        <v>1268</v>
      </c>
      <c r="K3676" s="7" t="s">
        <v>258</v>
      </c>
      <c r="L3676" s="11">
        <v>-0.49</v>
      </c>
      <c r="M3676" s="11">
        <v>53496.11</v>
      </c>
      <c r="N3676" s="9">
        <f t="shared" ref="N3676:N3689" si="142">IF(A3676&lt;60000,-L3676,+L3676)</f>
        <v>-0.49</v>
      </c>
    </row>
    <row r="3677" spans="1:14" ht="12.75" hidden="1" customHeight="1" x14ac:dyDescent="0.2">
      <c r="A3677">
        <v>67001</v>
      </c>
      <c r="B3677" s="3" t="s">
        <v>1268</v>
      </c>
      <c r="C3677" s="7" t="s">
        <v>257</v>
      </c>
      <c r="D3677" s="7" t="s">
        <v>200</v>
      </c>
      <c r="F3677" s="7" t="s">
        <v>259</v>
      </c>
      <c r="G3677" s="7" t="s">
        <v>1568</v>
      </c>
      <c r="H3677" s="70" t="s">
        <v>2129</v>
      </c>
      <c r="I3677" s="7" t="s">
        <v>1268</v>
      </c>
      <c r="K3677" s="7" t="s">
        <v>258</v>
      </c>
      <c r="L3677" s="11">
        <v>0.49</v>
      </c>
      <c r="M3677" s="11">
        <v>53496.6</v>
      </c>
      <c r="N3677" s="9">
        <f t="shared" si="142"/>
        <v>0.49</v>
      </c>
    </row>
    <row r="3678" spans="1:14" ht="12.75" hidden="1" customHeight="1" x14ac:dyDescent="0.2">
      <c r="A3678">
        <v>67001</v>
      </c>
      <c r="B3678" s="3" t="s">
        <v>1268</v>
      </c>
      <c r="C3678" s="7" t="s">
        <v>257</v>
      </c>
      <c r="D3678" s="7" t="s">
        <v>242</v>
      </c>
      <c r="G3678" s="7" t="s">
        <v>1568</v>
      </c>
      <c r="H3678" s="70" t="s">
        <v>2129</v>
      </c>
      <c r="I3678" s="7" t="s">
        <v>1268</v>
      </c>
      <c r="K3678" s="7" t="s">
        <v>258</v>
      </c>
      <c r="L3678" s="11">
        <v>-0.49</v>
      </c>
      <c r="M3678" s="11">
        <v>53496.11</v>
      </c>
      <c r="N3678" s="9">
        <f t="shared" si="142"/>
        <v>-0.49</v>
      </c>
    </row>
    <row r="3679" spans="1:14" ht="12.75" hidden="1" customHeight="1" x14ac:dyDescent="0.2">
      <c r="A3679">
        <v>67001</v>
      </c>
      <c r="B3679" s="3" t="s">
        <v>1268</v>
      </c>
      <c r="C3679" s="7" t="s">
        <v>257</v>
      </c>
      <c r="D3679" s="7" t="s">
        <v>200</v>
      </c>
      <c r="F3679" s="7" t="s">
        <v>256</v>
      </c>
      <c r="G3679" s="7" t="s">
        <v>1568</v>
      </c>
      <c r="H3679" s="70" t="s">
        <v>2129</v>
      </c>
      <c r="I3679" s="7" t="s">
        <v>1268</v>
      </c>
      <c r="K3679" s="7" t="s">
        <v>225</v>
      </c>
      <c r="L3679" s="11">
        <v>1</v>
      </c>
      <c r="M3679" s="11">
        <v>53497.11</v>
      </c>
      <c r="N3679" s="9">
        <f t="shared" si="142"/>
        <v>1</v>
      </c>
    </row>
    <row r="3680" spans="1:14" ht="12.75" hidden="1" customHeight="1" x14ac:dyDescent="0.2">
      <c r="A3680">
        <v>67001</v>
      </c>
      <c r="B3680" s="3" t="s">
        <v>1268</v>
      </c>
      <c r="C3680" s="7" t="s">
        <v>257</v>
      </c>
      <c r="D3680" s="7" t="s">
        <v>200</v>
      </c>
      <c r="F3680" s="7" t="s">
        <v>256</v>
      </c>
      <c r="G3680" s="7" t="s">
        <v>1568</v>
      </c>
      <c r="H3680" s="70" t="s">
        <v>2129</v>
      </c>
      <c r="I3680" s="7" t="s">
        <v>1268</v>
      </c>
      <c r="K3680" s="7" t="s">
        <v>225</v>
      </c>
      <c r="L3680" s="11">
        <v>1</v>
      </c>
      <c r="M3680" s="11">
        <v>53498.11</v>
      </c>
      <c r="N3680" s="9">
        <f t="shared" si="142"/>
        <v>1</v>
      </c>
    </row>
    <row r="3681" spans="1:14" ht="12.75" hidden="1" customHeight="1" x14ac:dyDescent="0.2">
      <c r="A3681">
        <v>67001</v>
      </c>
      <c r="B3681" s="3" t="s">
        <v>1268</v>
      </c>
      <c r="C3681" s="7" t="s">
        <v>257</v>
      </c>
      <c r="D3681" s="7" t="s">
        <v>200</v>
      </c>
      <c r="F3681" s="7" t="s">
        <v>256</v>
      </c>
      <c r="G3681" s="7" t="s">
        <v>1568</v>
      </c>
      <c r="H3681" s="70" t="s">
        <v>2129</v>
      </c>
      <c r="I3681" s="7" t="s">
        <v>1268</v>
      </c>
      <c r="K3681" s="7" t="s">
        <v>225</v>
      </c>
      <c r="L3681" s="11">
        <v>1</v>
      </c>
      <c r="M3681" s="11">
        <v>53499.11</v>
      </c>
      <c r="N3681" s="9">
        <f t="shared" si="142"/>
        <v>1</v>
      </c>
    </row>
    <row r="3682" spans="1:14" ht="12.75" hidden="1" customHeight="1" x14ac:dyDescent="0.2">
      <c r="A3682">
        <v>67001</v>
      </c>
      <c r="B3682" s="3" t="s">
        <v>1268</v>
      </c>
      <c r="C3682" s="7" t="s">
        <v>257</v>
      </c>
      <c r="D3682" s="7" t="s">
        <v>200</v>
      </c>
      <c r="F3682" s="7" t="s">
        <v>256</v>
      </c>
      <c r="G3682" s="7" t="s">
        <v>1568</v>
      </c>
      <c r="H3682" s="70" t="s">
        <v>2129</v>
      </c>
      <c r="I3682" s="7" t="s">
        <v>1268</v>
      </c>
      <c r="K3682" s="7" t="s">
        <v>225</v>
      </c>
      <c r="L3682" s="11">
        <v>1</v>
      </c>
      <c r="M3682" s="11">
        <v>53500.11</v>
      </c>
      <c r="N3682" s="9">
        <f t="shared" si="142"/>
        <v>1</v>
      </c>
    </row>
    <row r="3683" spans="1:14" ht="12.75" hidden="1" customHeight="1" x14ac:dyDescent="0.2">
      <c r="A3683">
        <v>67001</v>
      </c>
      <c r="B3683" s="3" t="s">
        <v>1268</v>
      </c>
      <c r="C3683" s="7" t="s">
        <v>257</v>
      </c>
      <c r="D3683" s="7" t="s">
        <v>200</v>
      </c>
      <c r="F3683" s="7" t="s">
        <v>256</v>
      </c>
      <c r="G3683" s="7" t="s">
        <v>1568</v>
      </c>
      <c r="H3683" s="70" t="s">
        <v>2129</v>
      </c>
      <c r="I3683" s="7" t="s">
        <v>1268</v>
      </c>
      <c r="K3683" s="7" t="s">
        <v>225</v>
      </c>
      <c r="L3683" s="11">
        <v>1</v>
      </c>
      <c r="M3683" s="11">
        <v>53501.11</v>
      </c>
      <c r="N3683" s="9">
        <f t="shared" si="142"/>
        <v>1</v>
      </c>
    </row>
    <row r="3684" spans="1:14" ht="12.75" hidden="1" customHeight="1" x14ac:dyDescent="0.2">
      <c r="A3684">
        <v>67001</v>
      </c>
      <c r="B3684" s="3" t="s">
        <v>1268</v>
      </c>
      <c r="C3684" s="7" t="s">
        <v>257</v>
      </c>
      <c r="D3684" s="7" t="s">
        <v>200</v>
      </c>
      <c r="F3684" s="7" t="s">
        <v>256</v>
      </c>
      <c r="G3684" s="7" t="s">
        <v>1568</v>
      </c>
      <c r="H3684" s="70" t="s">
        <v>2129</v>
      </c>
      <c r="I3684" s="7" t="s">
        <v>1268</v>
      </c>
      <c r="K3684" s="7" t="s">
        <v>225</v>
      </c>
      <c r="L3684" s="11">
        <v>10</v>
      </c>
      <c r="M3684" s="11">
        <v>53511.11</v>
      </c>
      <c r="N3684" s="9">
        <f t="shared" si="142"/>
        <v>10</v>
      </c>
    </row>
    <row r="3685" spans="1:14" ht="12.75" hidden="1" customHeight="1" x14ac:dyDescent="0.2">
      <c r="A3685">
        <v>67001</v>
      </c>
      <c r="B3685" s="3" t="s">
        <v>1268</v>
      </c>
      <c r="C3685" s="7" t="s">
        <v>253</v>
      </c>
      <c r="D3685" s="7" t="s">
        <v>200</v>
      </c>
      <c r="F3685" s="7" t="s">
        <v>255</v>
      </c>
      <c r="G3685" s="7" t="s">
        <v>1568</v>
      </c>
      <c r="H3685" s="70" t="s">
        <v>2129</v>
      </c>
      <c r="I3685" s="7" t="s">
        <v>1268</v>
      </c>
      <c r="J3685" s="7" t="s">
        <v>254</v>
      </c>
      <c r="K3685" s="7" t="s">
        <v>225</v>
      </c>
      <c r="L3685" s="11">
        <v>658</v>
      </c>
      <c r="M3685" s="11">
        <v>54169.11</v>
      </c>
      <c r="N3685" s="9">
        <f t="shared" si="142"/>
        <v>658</v>
      </c>
    </row>
    <row r="3686" spans="1:14" ht="12.75" hidden="1" customHeight="1" x14ac:dyDescent="0.2">
      <c r="A3686">
        <v>67001</v>
      </c>
      <c r="B3686" s="3" t="s">
        <v>1268</v>
      </c>
      <c r="C3686" s="7" t="s">
        <v>239</v>
      </c>
      <c r="D3686" s="7" t="s">
        <v>242</v>
      </c>
      <c r="F3686" s="7" t="s">
        <v>241</v>
      </c>
      <c r="G3686" s="7" t="s">
        <v>1568</v>
      </c>
      <c r="H3686" s="70" t="s">
        <v>2129</v>
      </c>
      <c r="I3686" s="7" t="s">
        <v>1268</v>
      </c>
      <c r="J3686" s="7" t="s">
        <v>244</v>
      </c>
      <c r="K3686" s="7" t="s">
        <v>225</v>
      </c>
      <c r="L3686" s="11">
        <v>-19.97</v>
      </c>
      <c r="M3686" s="11">
        <v>55576.14</v>
      </c>
      <c r="N3686" s="9">
        <f t="shared" si="142"/>
        <v>-19.97</v>
      </c>
    </row>
    <row r="3687" spans="1:14" ht="12.75" hidden="1" customHeight="1" x14ac:dyDescent="0.2">
      <c r="A3687">
        <v>67001</v>
      </c>
      <c r="B3687" s="3" t="s">
        <v>1268</v>
      </c>
      <c r="C3687" s="7" t="s">
        <v>239</v>
      </c>
      <c r="D3687" s="7" t="s">
        <v>242</v>
      </c>
      <c r="F3687" s="7" t="s">
        <v>243</v>
      </c>
      <c r="G3687" s="7" t="s">
        <v>1568</v>
      </c>
      <c r="H3687" s="70" t="s">
        <v>2129</v>
      </c>
      <c r="I3687" s="7" t="s">
        <v>1268</v>
      </c>
      <c r="J3687" s="7" t="s">
        <v>240</v>
      </c>
      <c r="K3687" s="7" t="s">
        <v>225</v>
      </c>
      <c r="L3687" s="11">
        <v>-23.97</v>
      </c>
      <c r="M3687" s="11">
        <v>55552.17</v>
      </c>
      <c r="N3687" s="9">
        <f t="shared" si="142"/>
        <v>-23.97</v>
      </c>
    </row>
    <row r="3688" spans="1:14" ht="12.75" hidden="1" customHeight="1" x14ac:dyDescent="0.2">
      <c r="A3688">
        <v>67001</v>
      </c>
      <c r="B3688" s="3" t="s">
        <v>1268</v>
      </c>
      <c r="C3688" s="7" t="s">
        <v>239</v>
      </c>
      <c r="D3688" s="7" t="s">
        <v>242</v>
      </c>
      <c r="F3688" s="7" t="s">
        <v>241</v>
      </c>
      <c r="G3688" s="7" t="s">
        <v>1568</v>
      </c>
      <c r="H3688" s="70" t="s">
        <v>2129</v>
      </c>
      <c r="I3688" s="7" t="s">
        <v>1268</v>
      </c>
      <c r="J3688" s="7" t="s">
        <v>240</v>
      </c>
      <c r="K3688" s="7" t="s">
        <v>225</v>
      </c>
      <c r="L3688" s="11">
        <v>-29.06</v>
      </c>
      <c r="M3688" s="11">
        <v>55523.11</v>
      </c>
      <c r="N3688" s="9">
        <f t="shared" si="142"/>
        <v>-29.06</v>
      </c>
    </row>
    <row r="3689" spans="1:14" ht="12.75" hidden="1" customHeight="1" x14ac:dyDescent="0.2">
      <c r="A3689">
        <v>67001</v>
      </c>
      <c r="B3689" s="3" t="s">
        <v>1268</v>
      </c>
      <c r="C3689" s="7" t="s">
        <v>229</v>
      </c>
      <c r="D3689" s="7" t="s">
        <v>200</v>
      </c>
      <c r="E3689" s="7">
        <v>1115</v>
      </c>
      <c r="F3689" s="7" t="s">
        <v>228</v>
      </c>
      <c r="G3689" s="7" t="s">
        <v>1568</v>
      </c>
      <c r="H3689" s="70" t="s">
        <v>2129</v>
      </c>
      <c r="I3689" s="7" t="s">
        <v>1268</v>
      </c>
      <c r="J3689" s="7" t="s">
        <v>226</v>
      </c>
      <c r="K3689" s="7" t="s">
        <v>225</v>
      </c>
      <c r="L3689" s="11">
        <v>163.5</v>
      </c>
      <c r="M3689" s="11">
        <v>56462.25</v>
      </c>
      <c r="N3689" s="9">
        <f t="shared" si="142"/>
        <v>163.5</v>
      </c>
    </row>
    <row r="3690" spans="1:14" ht="12.75" hidden="1" customHeight="1" x14ac:dyDescent="0.2">
      <c r="A3690">
        <v>65025</v>
      </c>
      <c r="B3690" s="3" t="s">
        <v>1246</v>
      </c>
      <c r="C3690" s="7" t="s">
        <v>1556</v>
      </c>
      <c r="D3690" s="7" t="s">
        <v>221</v>
      </c>
      <c r="F3690" s="7" t="s">
        <v>446</v>
      </c>
      <c r="G3690" s="7" t="s">
        <v>1802</v>
      </c>
      <c r="H3690" s="7" t="s">
        <v>1362</v>
      </c>
      <c r="I3690" s="7" t="s">
        <v>1246</v>
      </c>
      <c r="K3690" s="39" t="s">
        <v>250</v>
      </c>
      <c r="L3690" s="40">
        <v>14</v>
      </c>
      <c r="M3690" s="40">
        <v>1821.52</v>
      </c>
      <c r="N3690" s="40">
        <f>+L3690</f>
        <v>14</v>
      </c>
    </row>
    <row r="3691" spans="1:14" ht="12.75" hidden="1" customHeight="1" x14ac:dyDescent="0.2">
      <c r="A3691">
        <v>65025</v>
      </c>
      <c r="B3691" s="3" t="s">
        <v>1246</v>
      </c>
      <c r="C3691" s="7" t="s">
        <v>1803</v>
      </c>
      <c r="D3691" s="7" t="s">
        <v>221</v>
      </c>
      <c r="F3691" s="7" t="s">
        <v>446</v>
      </c>
      <c r="G3691" s="7" t="s">
        <v>1802</v>
      </c>
      <c r="H3691" s="7" t="s">
        <v>1362</v>
      </c>
      <c r="I3691" s="7" t="s">
        <v>1246</v>
      </c>
      <c r="K3691" s="39" t="s">
        <v>250</v>
      </c>
      <c r="L3691" s="40">
        <v>14</v>
      </c>
      <c r="M3691" s="40">
        <v>1977.17</v>
      </c>
      <c r="N3691" s="40">
        <f>+L3691</f>
        <v>14</v>
      </c>
    </row>
    <row r="3692" spans="1:14" ht="12.75" hidden="1" customHeight="1" x14ac:dyDescent="0.2">
      <c r="A3692">
        <v>65025</v>
      </c>
      <c r="B3692" s="3" t="s">
        <v>1246</v>
      </c>
      <c r="C3692" s="7" t="s">
        <v>1804</v>
      </c>
      <c r="D3692" s="7" t="s">
        <v>221</v>
      </c>
      <c r="F3692" s="7" t="s">
        <v>446</v>
      </c>
      <c r="G3692" s="7" t="s">
        <v>1802</v>
      </c>
      <c r="H3692" s="7" t="s">
        <v>1362</v>
      </c>
      <c r="I3692" s="7" t="s">
        <v>1246</v>
      </c>
      <c r="K3692" s="39" t="s">
        <v>250</v>
      </c>
      <c r="L3692" s="40">
        <v>14</v>
      </c>
      <c r="M3692" s="40">
        <v>2223.1999999999998</v>
      </c>
      <c r="N3692" s="40">
        <f>+L3692</f>
        <v>14</v>
      </c>
    </row>
    <row r="3693" spans="1:14" ht="12.75" hidden="1" customHeight="1" x14ac:dyDescent="0.2">
      <c r="A3693">
        <v>65025</v>
      </c>
      <c r="B3693" s="3" t="s">
        <v>1246</v>
      </c>
      <c r="C3693" s="7" t="s">
        <v>1619</v>
      </c>
      <c r="D3693" s="7" t="s">
        <v>221</v>
      </c>
      <c r="F3693" s="7" t="s">
        <v>446</v>
      </c>
      <c r="G3693" s="7" t="s">
        <v>1802</v>
      </c>
      <c r="H3693" s="7" t="s">
        <v>1362</v>
      </c>
      <c r="I3693" s="7" t="s">
        <v>1246</v>
      </c>
      <c r="K3693" s="39" t="s">
        <v>250</v>
      </c>
      <c r="L3693" s="40">
        <v>14</v>
      </c>
      <c r="M3693" s="40">
        <v>2406.1</v>
      </c>
      <c r="N3693" s="40">
        <f>+L3693</f>
        <v>14</v>
      </c>
    </row>
    <row r="3694" spans="1:14" ht="12.75" customHeight="1" x14ac:dyDescent="0.2">
      <c r="A3694">
        <v>44000</v>
      </c>
      <c r="B3694" s="3" t="s">
        <v>1229</v>
      </c>
      <c r="C3694" s="7" t="s">
        <v>1556</v>
      </c>
      <c r="D3694" s="7" t="s">
        <v>242</v>
      </c>
      <c r="F3694" s="7" t="s">
        <v>665</v>
      </c>
      <c r="G3694" s="7" t="s">
        <v>182</v>
      </c>
      <c r="H3694" s="7" t="s">
        <v>1359</v>
      </c>
      <c r="I3694" s="7" t="s">
        <v>2148</v>
      </c>
      <c r="J3694" s="39" t="s">
        <v>208</v>
      </c>
      <c r="K3694" s="39" t="s">
        <v>445</v>
      </c>
      <c r="L3694" s="40">
        <v>1000</v>
      </c>
      <c r="M3694" s="40">
        <v>184018.02</v>
      </c>
      <c r="N3694" s="41">
        <f t="shared" ref="N3694:N3704" si="143">-L3694</f>
        <v>-1000</v>
      </c>
    </row>
    <row r="3695" spans="1:14" ht="12.75" customHeight="1" x14ac:dyDescent="0.2">
      <c r="A3695">
        <v>44000</v>
      </c>
      <c r="B3695" s="3" t="s">
        <v>1229</v>
      </c>
      <c r="C3695" s="7" t="s">
        <v>1556</v>
      </c>
      <c r="D3695" s="7" t="s">
        <v>242</v>
      </c>
      <c r="F3695" s="7" t="s">
        <v>665</v>
      </c>
      <c r="G3695" s="7" t="s">
        <v>182</v>
      </c>
      <c r="H3695" s="7" t="s">
        <v>1359</v>
      </c>
      <c r="I3695" s="7" t="s">
        <v>2148</v>
      </c>
      <c r="J3695" s="39" t="s">
        <v>208</v>
      </c>
      <c r="K3695" s="39" t="s">
        <v>445</v>
      </c>
      <c r="L3695" s="40">
        <v>20</v>
      </c>
      <c r="M3695" s="40">
        <v>184038.02</v>
      </c>
      <c r="N3695" s="41">
        <f t="shared" si="143"/>
        <v>-20</v>
      </c>
    </row>
    <row r="3696" spans="1:14" ht="12.75" customHeight="1" x14ac:dyDescent="0.2">
      <c r="A3696">
        <v>44000</v>
      </c>
      <c r="B3696" s="3" t="s">
        <v>1229</v>
      </c>
      <c r="C3696" s="7" t="s">
        <v>1553</v>
      </c>
      <c r="D3696" s="7" t="s">
        <v>242</v>
      </c>
      <c r="F3696" s="7" t="s">
        <v>1692</v>
      </c>
      <c r="G3696" s="7" t="s">
        <v>182</v>
      </c>
      <c r="H3696" s="7" t="s">
        <v>1359</v>
      </c>
      <c r="I3696" s="7" t="s">
        <v>2148</v>
      </c>
      <c r="J3696" s="39" t="s">
        <v>1693</v>
      </c>
      <c r="K3696" s="39" t="s">
        <v>445</v>
      </c>
      <c r="L3696" s="40">
        <v>100</v>
      </c>
      <c r="M3696" s="40">
        <v>196319.05</v>
      </c>
      <c r="N3696" s="41">
        <f t="shared" si="143"/>
        <v>-100</v>
      </c>
    </row>
    <row r="3697" spans="1:14" ht="12.75" customHeight="1" x14ac:dyDescent="0.2">
      <c r="A3697">
        <v>44000</v>
      </c>
      <c r="B3697" s="3" t="s">
        <v>1229</v>
      </c>
      <c r="C3697" s="7" t="s">
        <v>1543</v>
      </c>
      <c r="D3697" s="7" t="s">
        <v>183</v>
      </c>
      <c r="E3697" s="7">
        <v>670</v>
      </c>
      <c r="G3697" s="7" t="s">
        <v>182</v>
      </c>
      <c r="H3697" s="7" t="s">
        <v>1359</v>
      </c>
      <c r="I3697" s="7" t="s">
        <v>2148</v>
      </c>
      <c r="J3697" s="39" t="s">
        <v>1699</v>
      </c>
      <c r="K3697" s="39" t="s">
        <v>180</v>
      </c>
      <c r="L3697" s="40">
        <v>125</v>
      </c>
      <c r="M3697" s="40">
        <v>211230.88</v>
      </c>
      <c r="N3697" s="41">
        <f t="shared" si="143"/>
        <v>-125</v>
      </c>
    </row>
    <row r="3698" spans="1:14" ht="12.75" customHeight="1" x14ac:dyDescent="0.2">
      <c r="A3698">
        <v>44000</v>
      </c>
      <c r="B3698" s="3" t="s">
        <v>1229</v>
      </c>
      <c r="C3698" s="7" t="s">
        <v>1543</v>
      </c>
      <c r="D3698" s="7" t="s">
        <v>183</v>
      </c>
      <c r="E3698" s="7">
        <v>672</v>
      </c>
      <c r="G3698" s="7" t="s">
        <v>182</v>
      </c>
      <c r="H3698" s="7" t="s">
        <v>1359</v>
      </c>
      <c r="I3698" s="7" t="s">
        <v>2148</v>
      </c>
      <c r="J3698" s="39" t="s">
        <v>1700</v>
      </c>
      <c r="K3698" s="39" t="s">
        <v>180</v>
      </c>
      <c r="L3698" s="40">
        <v>10</v>
      </c>
      <c r="M3698" s="40">
        <v>213630.88</v>
      </c>
      <c r="N3698" s="41">
        <f t="shared" si="143"/>
        <v>-10</v>
      </c>
    </row>
    <row r="3699" spans="1:14" ht="12.75" customHeight="1" x14ac:dyDescent="0.2">
      <c r="A3699">
        <v>44000</v>
      </c>
      <c r="B3699" s="3" t="s">
        <v>1229</v>
      </c>
      <c r="C3699" s="7" t="s">
        <v>1612</v>
      </c>
      <c r="D3699" s="7" t="s">
        <v>242</v>
      </c>
      <c r="F3699" s="7" t="s">
        <v>665</v>
      </c>
      <c r="G3699" s="7" t="s">
        <v>182</v>
      </c>
      <c r="H3699" s="7" t="s">
        <v>1359</v>
      </c>
      <c r="I3699" s="7" t="s">
        <v>2148</v>
      </c>
      <c r="J3699" s="39" t="s">
        <v>1702</v>
      </c>
      <c r="K3699" s="39" t="s">
        <v>198</v>
      </c>
      <c r="L3699" s="40">
        <v>100</v>
      </c>
      <c r="M3699" s="40">
        <v>221661.81</v>
      </c>
      <c r="N3699" s="41">
        <f t="shared" si="143"/>
        <v>-100</v>
      </c>
    </row>
    <row r="3700" spans="1:14" ht="12.75" customHeight="1" x14ac:dyDescent="0.2">
      <c r="A3700">
        <v>44000</v>
      </c>
      <c r="B3700" s="3" t="s">
        <v>1229</v>
      </c>
      <c r="C3700" s="7" t="s">
        <v>1617</v>
      </c>
      <c r="D3700" s="7" t="s">
        <v>183</v>
      </c>
      <c r="E3700" s="7">
        <v>689</v>
      </c>
      <c r="G3700" s="7" t="s">
        <v>182</v>
      </c>
      <c r="H3700" s="7" t="s">
        <v>1359</v>
      </c>
      <c r="I3700" s="7" t="s">
        <v>2148</v>
      </c>
      <c r="J3700" s="39" t="s">
        <v>1705</v>
      </c>
      <c r="K3700" s="39" t="s">
        <v>180</v>
      </c>
      <c r="L3700" s="40">
        <v>225</v>
      </c>
      <c r="M3700" s="40">
        <v>225618.7</v>
      </c>
      <c r="N3700" s="41">
        <f t="shared" si="143"/>
        <v>-225</v>
      </c>
    </row>
    <row r="3701" spans="1:14" ht="12.75" customHeight="1" x14ac:dyDescent="0.2">
      <c r="A3701">
        <v>44000</v>
      </c>
      <c r="B3701" s="3" t="s">
        <v>1229</v>
      </c>
      <c r="C3701" s="7" t="s">
        <v>1619</v>
      </c>
      <c r="D3701" s="7" t="s">
        <v>242</v>
      </c>
      <c r="F3701" s="7" t="s">
        <v>1707</v>
      </c>
      <c r="G3701" s="7" t="s">
        <v>182</v>
      </c>
      <c r="H3701" s="7" t="s">
        <v>1359</v>
      </c>
      <c r="I3701" s="7" t="s">
        <v>2148</v>
      </c>
      <c r="J3701" s="39" t="s">
        <v>208</v>
      </c>
      <c r="K3701" s="39" t="s">
        <v>445</v>
      </c>
      <c r="L3701" s="40">
        <v>1500</v>
      </c>
      <c r="M3701" s="40">
        <v>227343.7</v>
      </c>
      <c r="N3701" s="41">
        <f t="shared" si="143"/>
        <v>-1500</v>
      </c>
    </row>
    <row r="3702" spans="1:14" ht="12.75" customHeight="1" x14ac:dyDescent="0.2">
      <c r="A3702">
        <v>44000</v>
      </c>
      <c r="B3702" s="3" t="s">
        <v>1229</v>
      </c>
      <c r="C3702" s="7" t="s">
        <v>1709</v>
      </c>
      <c r="D3702" s="7" t="s">
        <v>242</v>
      </c>
      <c r="G3702" s="7" t="s">
        <v>182</v>
      </c>
      <c r="H3702" s="7" t="s">
        <v>1359</v>
      </c>
      <c r="I3702" s="7" t="s">
        <v>2148</v>
      </c>
      <c r="J3702" s="39" t="s">
        <v>1710</v>
      </c>
      <c r="K3702" s="39" t="s">
        <v>445</v>
      </c>
      <c r="L3702" s="40">
        <v>100</v>
      </c>
      <c r="M3702" s="40">
        <v>227943.7</v>
      </c>
      <c r="N3702" s="41">
        <f t="shared" si="143"/>
        <v>-100</v>
      </c>
    </row>
    <row r="3703" spans="1:14" ht="12.75" customHeight="1" x14ac:dyDescent="0.2">
      <c r="A3703">
        <v>44000</v>
      </c>
      <c r="B3703" s="3" t="s">
        <v>1229</v>
      </c>
      <c r="C3703" s="7" t="s">
        <v>1546</v>
      </c>
      <c r="D3703" s="7" t="s">
        <v>242</v>
      </c>
      <c r="F3703" s="7" t="s">
        <v>1712</v>
      </c>
      <c r="G3703" s="7" t="s">
        <v>182</v>
      </c>
      <c r="H3703" s="7" t="s">
        <v>1359</v>
      </c>
      <c r="I3703" s="7" t="s">
        <v>2148</v>
      </c>
      <c r="J3703" s="39" t="s">
        <v>1713</v>
      </c>
      <c r="K3703" s="39" t="s">
        <v>445</v>
      </c>
      <c r="L3703" s="40">
        <v>50</v>
      </c>
      <c r="M3703" s="40">
        <v>229555.7</v>
      </c>
      <c r="N3703" s="41">
        <f t="shared" si="143"/>
        <v>-50</v>
      </c>
    </row>
    <row r="3704" spans="1:14" ht="12.75" customHeight="1" x14ac:dyDescent="0.2">
      <c r="A3704">
        <v>44000</v>
      </c>
      <c r="B3704" s="3" t="s">
        <v>1229</v>
      </c>
      <c r="C3704" s="7" t="s">
        <v>1629</v>
      </c>
      <c r="D3704" s="7" t="s">
        <v>183</v>
      </c>
      <c r="E3704" s="7">
        <v>716</v>
      </c>
      <c r="G3704" s="7" t="s">
        <v>182</v>
      </c>
      <c r="H3704" s="7" t="s">
        <v>1359</v>
      </c>
      <c r="I3704" s="7" t="s">
        <v>2148</v>
      </c>
      <c r="J3704" s="39" t="s">
        <v>208</v>
      </c>
      <c r="K3704" s="39" t="s">
        <v>180</v>
      </c>
      <c r="L3704" s="40">
        <v>255</v>
      </c>
      <c r="M3704" s="40">
        <v>230598.2</v>
      </c>
      <c r="N3704" s="41">
        <f t="shared" si="143"/>
        <v>-255</v>
      </c>
    </row>
    <row r="3705" spans="1:14" ht="12.75" hidden="1" customHeight="1" x14ac:dyDescent="0.2">
      <c r="A3705">
        <v>65020</v>
      </c>
      <c r="B3705" s="3" t="s">
        <v>1245</v>
      </c>
      <c r="C3705" s="7" t="s">
        <v>981</v>
      </c>
      <c r="D3705" s="7" t="s">
        <v>200</v>
      </c>
      <c r="F3705" s="7" t="s">
        <v>1047</v>
      </c>
      <c r="G3705" s="7" t="s">
        <v>1566</v>
      </c>
      <c r="H3705" s="7" t="s">
        <v>1362</v>
      </c>
      <c r="I3705" s="7" t="s">
        <v>1245</v>
      </c>
      <c r="K3705" s="7" t="s">
        <v>236</v>
      </c>
      <c r="L3705" s="11">
        <v>52.85</v>
      </c>
      <c r="M3705" s="11">
        <v>102.53</v>
      </c>
      <c r="N3705" s="9">
        <f t="shared" ref="N3705:N3736" si="144">IF(A3705&lt;60000,-L3705,+L3705)</f>
        <v>52.85</v>
      </c>
    </row>
    <row r="3706" spans="1:14" ht="12.75" hidden="1" customHeight="1" x14ac:dyDescent="0.2">
      <c r="A3706">
        <v>65020</v>
      </c>
      <c r="B3706" s="3" t="s">
        <v>1245</v>
      </c>
      <c r="C3706" s="7" t="s">
        <v>978</v>
      </c>
      <c r="D3706" s="7" t="s">
        <v>200</v>
      </c>
      <c r="F3706" s="7" t="s">
        <v>338</v>
      </c>
      <c r="G3706" s="7" t="s">
        <v>1566</v>
      </c>
      <c r="H3706" s="7" t="s">
        <v>1362</v>
      </c>
      <c r="I3706" s="7" t="s">
        <v>1245</v>
      </c>
      <c r="K3706" s="7" t="s">
        <v>236</v>
      </c>
      <c r="L3706" s="11">
        <v>3.38</v>
      </c>
      <c r="M3706" s="11">
        <v>105.91</v>
      </c>
      <c r="N3706" s="9">
        <f t="shared" si="144"/>
        <v>3.38</v>
      </c>
    </row>
    <row r="3707" spans="1:14" ht="12.75" hidden="1" customHeight="1" x14ac:dyDescent="0.2">
      <c r="A3707">
        <v>65020</v>
      </c>
      <c r="B3707" s="3" t="s">
        <v>1245</v>
      </c>
      <c r="C3707" s="7" t="s">
        <v>384</v>
      </c>
      <c r="D3707" s="7" t="s">
        <v>200</v>
      </c>
      <c r="F3707" s="7" t="s">
        <v>1046</v>
      </c>
      <c r="G3707" s="7" t="s">
        <v>1566</v>
      </c>
      <c r="H3707" s="7" t="s">
        <v>1362</v>
      </c>
      <c r="I3707" s="7" t="s">
        <v>1245</v>
      </c>
      <c r="K3707" s="7" t="s">
        <v>236</v>
      </c>
      <c r="L3707" s="11">
        <v>6.99</v>
      </c>
      <c r="M3707" s="11">
        <v>419.49</v>
      </c>
      <c r="N3707" s="9">
        <f t="shared" si="144"/>
        <v>6.99</v>
      </c>
    </row>
    <row r="3708" spans="1:14" ht="12.75" hidden="1" customHeight="1" x14ac:dyDescent="0.2">
      <c r="A3708">
        <v>65020</v>
      </c>
      <c r="B3708" s="3" t="s">
        <v>1245</v>
      </c>
      <c r="C3708" s="7" t="s">
        <v>897</v>
      </c>
      <c r="D3708" s="7" t="s">
        <v>200</v>
      </c>
      <c r="F3708" s="7" t="s">
        <v>1046</v>
      </c>
      <c r="G3708" s="7" t="s">
        <v>1566</v>
      </c>
      <c r="H3708" s="7" t="s">
        <v>1362</v>
      </c>
      <c r="I3708" s="7" t="s">
        <v>1245</v>
      </c>
      <c r="K3708" s="7" t="s">
        <v>236</v>
      </c>
      <c r="L3708" s="11">
        <v>6.99</v>
      </c>
      <c r="M3708" s="11">
        <v>641.45000000000005</v>
      </c>
      <c r="N3708" s="9">
        <f t="shared" si="144"/>
        <v>6.99</v>
      </c>
    </row>
    <row r="3709" spans="1:14" ht="12.75" hidden="1" customHeight="1" x14ac:dyDescent="0.2">
      <c r="A3709">
        <v>65020</v>
      </c>
      <c r="B3709" s="3" t="s">
        <v>1245</v>
      </c>
      <c r="C3709" s="7" t="s">
        <v>849</v>
      </c>
      <c r="D3709" s="7" t="s">
        <v>200</v>
      </c>
      <c r="F3709" s="7" t="s">
        <v>1046</v>
      </c>
      <c r="G3709" s="7" t="s">
        <v>1566</v>
      </c>
      <c r="H3709" s="7" t="s">
        <v>1362</v>
      </c>
      <c r="I3709" s="7" t="s">
        <v>1245</v>
      </c>
      <c r="K3709" s="7" t="s">
        <v>236</v>
      </c>
      <c r="L3709" s="11">
        <v>6.99</v>
      </c>
      <c r="M3709" s="11">
        <v>810.3</v>
      </c>
      <c r="N3709" s="9">
        <f t="shared" si="144"/>
        <v>6.99</v>
      </c>
    </row>
    <row r="3710" spans="1:14" ht="12.75" hidden="1" customHeight="1" x14ac:dyDescent="0.2">
      <c r="A3710">
        <v>65020</v>
      </c>
      <c r="B3710" s="3" t="s">
        <v>1245</v>
      </c>
      <c r="C3710" s="7" t="s">
        <v>201</v>
      </c>
      <c r="D3710" s="7" t="s">
        <v>200</v>
      </c>
      <c r="F3710" s="7" t="s">
        <v>1046</v>
      </c>
      <c r="G3710" s="7" t="s">
        <v>1566</v>
      </c>
      <c r="H3710" s="7" t="s">
        <v>1362</v>
      </c>
      <c r="I3710" s="7" t="s">
        <v>1245</v>
      </c>
      <c r="K3710" s="7" t="s">
        <v>236</v>
      </c>
      <c r="L3710" s="11">
        <v>6.99</v>
      </c>
      <c r="M3710" s="11">
        <v>1069.54</v>
      </c>
      <c r="N3710" s="9">
        <f t="shared" si="144"/>
        <v>6.99</v>
      </c>
    </row>
    <row r="3711" spans="1:14" ht="12.75" hidden="1" customHeight="1" x14ac:dyDescent="0.2">
      <c r="A3711">
        <v>65020</v>
      </c>
      <c r="B3711" s="3" t="s">
        <v>1245</v>
      </c>
      <c r="C3711" s="7" t="s">
        <v>749</v>
      </c>
      <c r="D3711" s="7" t="s">
        <v>221</v>
      </c>
      <c r="F3711" s="7" t="s">
        <v>1047</v>
      </c>
      <c r="G3711" s="7" t="s">
        <v>1566</v>
      </c>
      <c r="H3711" s="7" t="s">
        <v>1362</v>
      </c>
      <c r="I3711" s="7" t="s">
        <v>1245</v>
      </c>
      <c r="K3711" s="7" t="s">
        <v>236</v>
      </c>
      <c r="L3711" s="11">
        <v>20</v>
      </c>
      <c r="M3711" s="11">
        <v>1319.19</v>
      </c>
      <c r="N3711" s="9">
        <f t="shared" si="144"/>
        <v>20</v>
      </c>
    </row>
    <row r="3712" spans="1:14" ht="12.75" hidden="1" customHeight="1" x14ac:dyDescent="0.2">
      <c r="A3712">
        <v>65020</v>
      </c>
      <c r="B3712" s="3" t="s">
        <v>1245</v>
      </c>
      <c r="C3712" s="7" t="s">
        <v>710</v>
      </c>
      <c r="D3712" s="7" t="s">
        <v>221</v>
      </c>
      <c r="F3712" s="7" t="s">
        <v>1046</v>
      </c>
      <c r="G3712" s="7" t="s">
        <v>1566</v>
      </c>
      <c r="H3712" s="7" t="s">
        <v>1362</v>
      </c>
      <c r="I3712" s="7" t="s">
        <v>1245</v>
      </c>
      <c r="K3712" s="7" t="s">
        <v>236</v>
      </c>
      <c r="L3712" s="11">
        <v>6.99</v>
      </c>
      <c r="M3712" s="11">
        <v>1331.55</v>
      </c>
      <c r="N3712" s="9">
        <f t="shared" si="144"/>
        <v>6.99</v>
      </c>
    </row>
    <row r="3713" spans="1:14" ht="12.75" hidden="1" customHeight="1" x14ac:dyDescent="0.2">
      <c r="A3713">
        <v>65020</v>
      </c>
      <c r="B3713" s="3" t="s">
        <v>1245</v>
      </c>
      <c r="C3713" s="7" t="s">
        <v>611</v>
      </c>
      <c r="D3713" s="7" t="s">
        <v>221</v>
      </c>
      <c r="F3713" s="7" t="s">
        <v>1046</v>
      </c>
      <c r="G3713" s="7" t="s">
        <v>1566</v>
      </c>
      <c r="H3713" s="7" t="s">
        <v>1362</v>
      </c>
      <c r="I3713" s="7" t="s">
        <v>1245</v>
      </c>
      <c r="K3713" s="7" t="s">
        <v>236</v>
      </c>
      <c r="L3713" s="11">
        <v>6.99</v>
      </c>
      <c r="M3713" s="11">
        <v>1712.75</v>
      </c>
      <c r="N3713" s="9">
        <f t="shared" si="144"/>
        <v>6.99</v>
      </c>
    </row>
    <row r="3714" spans="1:14" ht="12.75" hidden="1" customHeight="1" x14ac:dyDescent="0.2">
      <c r="A3714">
        <v>65025</v>
      </c>
      <c r="B3714" s="3" t="s">
        <v>1246</v>
      </c>
      <c r="C3714" s="7" t="s">
        <v>545</v>
      </c>
      <c r="D3714" s="7" t="s">
        <v>200</v>
      </c>
      <c r="F3714" s="7" t="s">
        <v>446</v>
      </c>
      <c r="G3714" s="7" t="s">
        <v>1566</v>
      </c>
      <c r="H3714" s="7" t="s">
        <v>1362</v>
      </c>
      <c r="I3714" s="7" t="s">
        <v>1246</v>
      </c>
      <c r="K3714" s="7" t="s">
        <v>236</v>
      </c>
      <c r="L3714" s="11">
        <v>35</v>
      </c>
      <c r="M3714" s="11">
        <v>188</v>
      </c>
      <c r="N3714" s="9">
        <f t="shared" si="144"/>
        <v>35</v>
      </c>
    </row>
    <row r="3715" spans="1:14" ht="12.75" hidden="1" customHeight="1" x14ac:dyDescent="0.2">
      <c r="A3715">
        <v>65025</v>
      </c>
      <c r="B3715" s="3" t="s">
        <v>1246</v>
      </c>
      <c r="C3715" s="7" t="s">
        <v>932</v>
      </c>
      <c r="D3715" s="7" t="s">
        <v>200</v>
      </c>
      <c r="F3715" s="7" t="s">
        <v>446</v>
      </c>
      <c r="G3715" s="7" t="s">
        <v>1566</v>
      </c>
      <c r="H3715" s="7" t="s">
        <v>1362</v>
      </c>
      <c r="I3715" s="7" t="s">
        <v>1246</v>
      </c>
      <c r="K3715" s="7" t="s">
        <v>236</v>
      </c>
      <c r="L3715" s="11">
        <v>23</v>
      </c>
      <c r="M3715" s="11">
        <v>211</v>
      </c>
      <c r="N3715" s="9">
        <f t="shared" si="144"/>
        <v>23</v>
      </c>
    </row>
    <row r="3716" spans="1:14" ht="12.75" hidden="1" customHeight="1" x14ac:dyDescent="0.2">
      <c r="A3716">
        <v>65025</v>
      </c>
      <c r="B3716" s="3" t="s">
        <v>1246</v>
      </c>
      <c r="C3716" s="7" t="s">
        <v>257</v>
      </c>
      <c r="D3716" s="7" t="s">
        <v>200</v>
      </c>
      <c r="F3716" s="7" t="s">
        <v>446</v>
      </c>
      <c r="G3716" s="7" t="s">
        <v>1566</v>
      </c>
      <c r="H3716" s="7" t="s">
        <v>1362</v>
      </c>
      <c r="I3716" s="7" t="s">
        <v>1246</v>
      </c>
      <c r="K3716" s="7" t="s">
        <v>236</v>
      </c>
      <c r="L3716" s="11">
        <v>35</v>
      </c>
      <c r="M3716" s="11">
        <v>768.62</v>
      </c>
      <c r="N3716" s="9">
        <f t="shared" si="144"/>
        <v>35</v>
      </c>
    </row>
    <row r="3717" spans="1:14" ht="12.75" hidden="1" customHeight="1" x14ac:dyDescent="0.2">
      <c r="A3717">
        <v>65025</v>
      </c>
      <c r="B3717" s="3" t="s">
        <v>1246</v>
      </c>
      <c r="C3717" s="7" t="s">
        <v>257</v>
      </c>
      <c r="D3717" s="7" t="s">
        <v>200</v>
      </c>
      <c r="F3717" s="7" t="s">
        <v>446</v>
      </c>
      <c r="G3717" s="7" t="s">
        <v>1566</v>
      </c>
      <c r="H3717" s="7" t="s">
        <v>1362</v>
      </c>
      <c r="I3717" s="7" t="s">
        <v>1246</v>
      </c>
      <c r="K3717" s="7" t="s">
        <v>236</v>
      </c>
      <c r="L3717" s="11">
        <v>35</v>
      </c>
      <c r="M3717" s="11">
        <v>803.62</v>
      </c>
      <c r="N3717" s="9">
        <f t="shared" si="144"/>
        <v>35</v>
      </c>
    </row>
    <row r="3718" spans="1:14" ht="12.75" hidden="1" customHeight="1" x14ac:dyDescent="0.2">
      <c r="A3718">
        <v>65025</v>
      </c>
      <c r="B3718" s="3" t="s">
        <v>1246</v>
      </c>
      <c r="C3718" s="7" t="s">
        <v>257</v>
      </c>
      <c r="D3718" s="7" t="s">
        <v>200</v>
      </c>
      <c r="F3718" s="7" t="s">
        <v>446</v>
      </c>
      <c r="G3718" s="7" t="s">
        <v>1566</v>
      </c>
      <c r="H3718" s="7" t="s">
        <v>1362</v>
      </c>
      <c r="I3718" s="7" t="s">
        <v>1246</v>
      </c>
      <c r="K3718" s="7" t="s">
        <v>236</v>
      </c>
      <c r="L3718" s="11">
        <v>35</v>
      </c>
      <c r="M3718" s="11">
        <v>838.62</v>
      </c>
      <c r="N3718" s="9">
        <f t="shared" si="144"/>
        <v>35</v>
      </c>
    </row>
    <row r="3719" spans="1:14" ht="12.75" hidden="1" customHeight="1" x14ac:dyDescent="0.2">
      <c r="A3719">
        <v>65025</v>
      </c>
      <c r="B3719" s="3" t="s">
        <v>1246</v>
      </c>
      <c r="C3719" s="7" t="s">
        <v>239</v>
      </c>
      <c r="D3719" s="7" t="s">
        <v>221</v>
      </c>
      <c r="F3719" s="7" t="s">
        <v>446</v>
      </c>
      <c r="G3719" s="7" t="s">
        <v>1566</v>
      </c>
      <c r="H3719" s="7" t="s">
        <v>1362</v>
      </c>
      <c r="I3719" s="7" t="s">
        <v>1246</v>
      </c>
      <c r="K3719" s="7" t="s">
        <v>236</v>
      </c>
      <c r="L3719" s="11">
        <v>35</v>
      </c>
      <c r="M3719" s="11">
        <v>1093.23</v>
      </c>
      <c r="N3719" s="9">
        <f t="shared" si="144"/>
        <v>35</v>
      </c>
    </row>
    <row r="3720" spans="1:14" ht="12.75" hidden="1" customHeight="1" x14ac:dyDescent="0.2">
      <c r="A3720">
        <v>65025</v>
      </c>
      <c r="B3720" s="3" t="s">
        <v>1246</v>
      </c>
      <c r="C3720" s="7" t="s">
        <v>239</v>
      </c>
      <c r="D3720" s="7" t="s">
        <v>221</v>
      </c>
      <c r="F3720" s="7" t="s">
        <v>446</v>
      </c>
      <c r="G3720" s="7" t="s">
        <v>1566</v>
      </c>
      <c r="H3720" s="7" t="s">
        <v>1362</v>
      </c>
      <c r="I3720" s="7" t="s">
        <v>1246</v>
      </c>
      <c r="K3720" s="7" t="s">
        <v>236</v>
      </c>
      <c r="L3720" s="11">
        <v>35</v>
      </c>
      <c r="M3720" s="11">
        <v>1128.23</v>
      </c>
      <c r="N3720" s="9">
        <f t="shared" si="144"/>
        <v>35</v>
      </c>
    </row>
    <row r="3721" spans="1:14" ht="12.75" hidden="1" customHeight="1" x14ac:dyDescent="0.2">
      <c r="A3721">
        <v>65025</v>
      </c>
      <c r="B3721" s="3" t="s">
        <v>1246</v>
      </c>
      <c r="C3721" s="7" t="s">
        <v>239</v>
      </c>
      <c r="D3721" s="7" t="s">
        <v>221</v>
      </c>
      <c r="F3721" s="7" t="s">
        <v>446</v>
      </c>
      <c r="G3721" s="7" t="s">
        <v>1566</v>
      </c>
      <c r="H3721" s="7" t="s">
        <v>1362</v>
      </c>
      <c r="I3721" s="7" t="s">
        <v>1246</v>
      </c>
      <c r="K3721" s="7" t="s">
        <v>236</v>
      </c>
      <c r="L3721" s="11">
        <v>35</v>
      </c>
      <c r="M3721" s="11">
        <v>1163.23</v>
      </c>
      <c r="N3721" s="9">
        <f t="shared" si="144"/>
        <v>35</v>
      </c>
    </row>
    <row r="3722" spans="1:14" ht="12.75" hidden="1" customHeight="1" x14ac:dyDescent="0.2">
      <c r="A3722">
        <v>65025</v>
      </c>
      <c r="B3722" s="3" t="s">
        <v>1246</v>
      </c>
      <c r="C3722" s="7" t="s">
        <v>239</v>
      </c>
      <c r="D3722" s="7" t="s">
        <v>221</v>
      </c>
      <c r="F3722" s="7" t="s">
        <v>446</v>
      </c>
      <c r="G3722" s="7" t="s">
        <v>1566</v>
      </c>
      <c r="H3722" s="7" t="s">
        <v>1362</v>
      </c>
      <c r="I3722" s="7" t="s">
        <v>1246</v>
      </c>
      <c r="K3722" s="7" t="s">
        <v>236</v>
      </c>
      <c r="L3722" s="11">
        <v>35</v>
      </c>
      <c r="M3722" s="11">
        <v>1198.23</v>
      </c>
      <c r="N3722" s="9">
        <f t="shared" si="144"/>
        <v>35</v>
      </c>
    </row>
    <row r="3723" spans="1:14" ht="12.75" hidden="1" customHeight="1" x14ac:dyDescent="0.2">
      <c r="A3723">
        <v>65025</v>
      </c>
      <c r="B3723" s="3" t="s">
        <v>1246</v>
      </c>
      <c r="C3723" s="7" t="s">
        <v>239</v>
      </c>
      <c r="D3723" s="7" t="s">
        <v>221</v>
      </c>
      <c r="F3723" s="7" t="s">
        <v>446</v>
      </c>
      <c r="G3723" s="7" t="s">
        <v>1566</v>
      </c>
      <c r="H3723" s="7" t="s">
        <v>1362</v>
      </c>
      <c r="I3723" s="7" t="s">
        <v>1246</v>
      </c>
      <c r="K3723" s="7" t="s">
        <v>236</v>
      </c>
      <c r="L3723" s="11">
        <v>35</v>
      </c>
      <c r="M3723" s="11">
        <v>1233.23</v>
      </c>
      <c r="N3723" s="9">
        <f t="shared" si="144"/>
        <v>35</v>
      </c>
    </row>
    <row r="3724" spans="1:14" ht="12.75" hidden="1" customHeight="1" x14ac:dyDescent="0.2">
      <c r="A3724">
        <v>65025</v>
      </c>
      <c r="B3724" s="3" t="s">
        <v>1246</v>
      </c>
      <c r="C3724" s="7" t="s">
        <v>239</v>
      </c>
      <c r="D3724" s="7" t="s">
        <v>221</v>
      </c>
      <c r="F3724" s="7" t="s">
        <v>446</v>
      </c>
      <c r="G3724" s="7" t="s">
        <v>1566</v>
      </c>
      <c r="H3724" s="7" t="s">
        <v>1362</v>
      </c>
      <c r="I3724" s="7" t="s">
        <v>1246</v>
      </c>
      <c r="K3724" s="7" t="s">
        <v>236</v>
      </c>
      <c r="L3724" s="11">
        <v>35</v>
      </c>
      <c r="M3724" s="11">
        <v>1268.23</v>
      </c>
      <c r="N3724" s="9">
        <f t="shared" si="144"/>
        <v>35</v>
      </c>
    </row>
    <row r="3725" spans="1:14" ht="12.75" hidden="1" customHeight="1" x14ac:dyDescent="0.2">
      <c r="A3725">
        <v>65025</v>
      </c>
      <c r="B3725" s="3" t="s">
        <v>1246</v>
      </c>
      <c r="C3725" s="7" t="s">
        <v>239</v>
      </c>
      <c r="D3725" s="7" t="s">
        <v>221</v>
      </c>
      <c r="F3725" s="7" t="s">
        <v>446</v>
      </c>
      <c r="G3725" s="7" t="s">
        <v>1566</v>
      </c>
      <c r="H3725" s="7" t="s">
        <v>1362</v>
      </c>
      <c r="I3725" s="7" t="s">
        <v>1246</v>
      </c>
      <c r="K3725" s="7" t="s">
        <v>236</v>
      </c>
      <c r="L3725" s="11">
        <v>35</v>
      </c>
      <c r="M3725" s="11">
        <v>1303.23</v>
      </c>
      <c r="N3725" s="9">
        <f t="shared" si="144"/>
        <v>35</v>
      </c>
    </row>
    <row r="3726" spans="1:14" ht="12.75" hidden="1" customHeight="1" x14ac:dyDescent="0.2">
      <c r="A3726">
        <v>65025</v>
      </c>
      <c r="B3726" s="3" t="s">
        <v>1246</v>
      </c>
      <c r="C3726" s="7" t="s">
        <v>239</v>
      </c>
      <c r="D3726" s="7" t="s">
        <v>221</v>
      </c>
      <c r="F3726" s="7" t="s">
        <v>446</v>
      </c>
      <c r="G3726" s="7" t="s">
        <v>1566</v>
      </c>
      <c r="H3726" s="7" t="s">
        <v>1362</v>
      </c>
      <c r="I3726" s="7" t="s">
        <v>1246</v>
      </c>
      <c r="K3726" s="7" t="s">
        <v>236</v>
      </c>
      <c r="L3726" s="11">
        <v>35</v>
      </c>
      <c r="M3726" s="11">
        <v>1338.23</v>
      </c>
      <c r="N3726" s="9">
        <f t="shared" si="144"/>
        <v>35</v>
      </c>
    </row>
    <row r="3727" spans="1:14" ht="12.75" hidden="1" customHeight="1" x14ac:dyDescent="0.2">
      <c r="A3727">
        <v>65030</v>
      </c>
      <c r="B3727" s="3" t="s">
        <v>1247</v>
      </c>
      <c r="C3727" s="7" t="s">
        <v>650</v>
      </c>
      <c r="D3727" s="7" t="s">
        <v>221</v>
      </c>
      <c r="F3727" s="7" t="s">
        <v>1030</v>
      </c>
      <c r="G3727" s="7" t="s">
        <v>1566</v>
      </c>
      <c r="H3727" s="7" t="s">
        <v>1362</v>
      </c>
      <c r="I3727" s="7" t="s">
        <v>1247</v>
      </c>
      <c r="K3727" s="7" t="s">
        <v>236</v>
      </c>
      <c r="L3727" s="11">
        <v>51.5</v>
      </c>
      <c r="M3727" s="11">
        <v>2067.88</v>
      </c>
      <c r="N3727" s="9">
        <f t="shared" si="144"/>
        <v>51.5</v>
      </c>
    </row>
    <row r="3728" spans="1:14" ht="12.75" hidden="1" customHeight="1" x14ac:dyDescent="0.2">
      <c r="A3728">
        <v>65045</v>
      </c>
      <c r="B3728" s="3" t="s">
        <v>1251</v>
      </c>
      <c r="C3728" s="7" t="s">
        <v>379</v>
      </c>
      <c r="D3728" s="7" t="s">
        <v>200</v>
      </c>
      <c r="F3728" s="7" t="s">
        <v>987</v>
      </c>
      <c r="G3728" s="7" t="s">
        <v>1566</v>
      </c>
      <c r="H3728" s="7" t="s">
        <v>1362</v>
      </c>
      <c r="I3728" s="7" t="s">
        <v>1251</v>
      </c>
      <c r="K3728" s="7" t="s">
        <v>236</v>
      </c>
      <c r="L3728" s="11">
        <v>50</v>
      </c>
      <c r="M3728" s="11">
        <v>572</v>
      </c>
      <c r="N3728" s="9">
        <f t="shared" si="144"/>
        <v>50</v>
      </c>
    </row>
    <row r="3729" spans="1:14" ht="12.75" hidden="1" customHeight="1" x14ac:dyDescent="0.2">
      <c r="A3729">
        <v>65045</v>
      </c>
      <c r="B3729" s="3" t="s">
        <v>1251</v>
      </c>
      <c r="C3729" s="7" t="s">
        <v>334</v>
      </c>
      <c r="D3729" s="7" t="s">
        <v>200</v>
      </c>
      <c r="F3729" s="7" t="s">
        <v>987</v>
      </c>
      <c r="G3729" s="7" t="s">
        <v>1566</v>
      </c>
      <c r="H3729" s="7" t="s">
        <v>1362</v>
      </c>
      <c r="I3729" s="7" t="s">
        <v>1251</v>
      </c>
      <c r="K3729" s="7" t="s">
        <v>236</v>
      </c>
      <c r="L3729" s="11">
        <v>50</v>
      </c>
      <c r="M3729" s="11">
        <v>1316</v>
      </c>
      <c r="N3729" s="9">
        <f t="shared" si="144"/>
        <v>50</v>
      </c>
    </row>
    <row r="3730" spans="1:14" ht="12.75" hidden="1" customHeight="1" x14ac:dyDescent="0.2">
      <c r="A3730">
        <v>65045</v>
      </c>
      <c r="B3730" s="3" t="s">
        <v>1251</v>
      </c>
      <c r="C3730" s="7" t="s">
        <v>814</v>
      </c>
      <c r="D3730" s="7" t="s">
        <v>200</v>
      </c>
      <c r="F3730" s="7" t="s">
        <v>987</v>
      </c>
      <c r="G3730" s="7" t="s">
        <v>1566</v>
      </c>
      <c r="H3730" s="7" t="s">
        <v>1362</v>
      </c>
      <c r="I3730" s="7" t="s">
        <v>1251</v>
      </c>
      <c r="K3730" s="7" t="s">
        <v>236</v>
      </c>
      <c r="L3730" s="11">
        <v>50</v>
      </c>
      <c r="M3730" s="11">
        <v>2228.35</v>
      </c>
      <c r="N3730" s="9">
        <f t="shared" si="144"/>
        <v>50</v>
      </c>
    </row>
    <row r="3731" spans="1:14" ht="12.75" hidden="1" customHeight="1" x14ac:dyDescent="0.2">
      <c r="A3731">
        <v>65045</v>
      </c>
      <c r="B3731" s="3" t="s">
        <v>1251</v>
      </c>
      <c r="C3731" s="7" t="s">
        <v>249</v>
      </c>
      <c r="D3731" s="7" t="s">
        <v>221</v>
      </c>
      <c r="F3731" s="7" t="s">
        <v>987</v>
      </c>
      <c r="G3731" s="7" t="s">
        <v>1566</v>
      </c>
      <c r="H3731" s="7" t="s">
        <v>1362</v>
      </c>
      <c r="I3731" s="7" t="s">
        <v>1251</v>
      </c>
      <c r="K3731" s="7" t="s">
        <v>236</v>
      </c>
      <c r="L3731" s="11">
        <v>50</v>
      </c>
      <c r="M3731" s="11">
        <v>2805.35</v>
      </c>
      <c r="N3731" s="9">
        <f t="shared" si="144"/>
        <v>50</v>
      </c>
    </row>
    <row r="3732" spans="1:14" ht="12.75" hidden="1" customHeight="1" x14ac:dyDescent="0.2">
      <c r="A3732">
        <v>65045</v>
      </c>
      <c r="B3732" s="3" t="s">
        <v>1251</v>
      </c>
      <c r="C3732" s="7" t="s">
        <v>676</v>
      </c>
      <c r="D3732" s="7" t="s">
        <v>221</v>
      </c>
      <c r="F3732" s="7" t="s">
        <v>987</v>
      </c>
      <c r="G3732" s="7" t="s">
        <v>1566</v>
      </c>
      <c r="H3732" s="7" t="s">
        <v>1362</v>
      </c>
      <c r="I3732" s="7" t="s">
        <v>1251</v>
      </c>
      <c r="K3732" s="7" t="s">
        <v>236</v>
      </c>
      <c r="L3732" s="11">
        <v>50</v>
      </c>
      <c r="M3732" s="11">
        <v>3904.35</v>
      </c>
      <c r="N3732" s="9">
        <f t="shared" si="144"/>
        <v>50</v>
      </c>
    </row>
    <row r="3733" spans="1:14" ht="12.75" hidden="1" customHeight="1" x14ac:dyDescent="0.2">
      <c r="A3733">
        <v>65060</v>
      </c>
      <c r="B3733" s="3" t="s">
        <v>1253</v>
      </c>
      <c r="C3733" s="7" t="s">
        <v>493</v>
      </c>
      <c r="D3733" s="7" t="s">
        <v>200</v>
      </c>
      <c r="E3733" s="7">
        <v>1004</v>
      </c>
      <c r="F3733" s="7" t="s">
        <v>996</v>
      </c>
      <c r="G3733" s="7" t="s">
        <v>1566</v>
      </c>
      <c r="H3733" s="7" t="s">
        <v>1362</v>
      </c>
      <c r="I3733" s="7" t="s">
        <v>1253</v>
      </c>
      <c r="K3733" s="7" t="s">
        <v>236</v>
      </c>
      <c r="L3733" s="11">
        <v>475</v>
      </c>
      <c r="M3733" s="11">
        <v>563.78</v>
      </c>
      <c r="N3733" s="9">
        <f t="shared" si="144"/>
        <v>475</v>
      </c>
    </row>
    <row r="3734" spans="1:14" ht="12.75" hidden="1" customHeight="1" x14ac:dyDescent="0.2">
      <c r="A3734">
        <v>65061</v>
      </c>
      <c r="B3734" s="3" t="s">
        <v>1253</v>
      </c>
      <c r="C3734" s="7" t="s">
        <v>449</v>
      </c>
      <c r="D3734" s="7" t="s">
        <v>200</v>
      </c>
      <c r="F3734" s="7" t="s">
        <v>597</v>
      </c>
      <c r="G3734" s="7" t="s">
        <v>1566</v>
      </c>
      <c r="H3734" s="7" t="s">
        <v>1362</v>
      </c>
      <c r="I3734" s="7" t="s">
        <v>1253</v>
      </c>
      <c r="K3734" s="7" t="s">
        <v>236</v>
      </c>
      <c r="L3734" s="11">
        <v>12.15</v>
      </c>
      <c r="M3734" s="11">
        <v>-9239.35</v>
      </c>
      <c r="N3734" s="9">
        <f t="shared" si="144"/>
        <v>12.15</v>
      </c>
    </row>
    <row r="3735" spans="1:14" ht="12.75" hidden="1" customHeight="1" x14ac:dyDescent="0.2">
      <c r="A3735">
        <v>65061</v>
      </c>
      <c r="B3735" s="3" t="s">
        <v>1253</v>
      </c>
      <c r="C3735" s="7" t="s">
        <v>449</v>
      </c>
      <c r="D3735" s="7" t="s">
        <v>200</v>
      </c>
      <c r="F3735" s="7" t="s">
        <v>241</v>
      </c>
      <c r="G3735" s="7" t="s">
        <v>1566</v>
      </c>
      <c r="H3735" s="7" t="s">
        <v>1362</v>
      </c>
      <c r="I3735" s="7" t="s">
        <v>1253</v>
      </c>
      <c r="K3735" s="7" t="s">
        <v>236</v>
      </c>
      <c r="L3735" s="11">
        <v>77.709999999999994</v>
      </c>
      <c r="M3735" s="11">
        <v>-9161.64</v>
      </c>
      <c r="N3735" s="9">
        <f t="shared" si="144"/>
        <v>77.709999999999994</v>
      </c>
    </row>
    <row r="3736" spans="1:14" ht="12.75" hidden="1" customHeight="1" x14ac:dyDescent="0.2">
      <c r="A3736">
        <v>65061</v>
      </c>
      <c r="B3736" s="3" t="s">
        <v>1253</v>
      </c>
      <c r="C3736" s="7" t="s">
        <v>545</v>
      </c>
      <c r="D3736" s="7" t="s">
        <v>200</v>
      </c>
      <c r="F3736" s="7" t="s">
        <v>548</v>
      </c>
      <c r="G3736" s="7" t="s">
        <v>1566</v>
      </c>
      <c r="H3736" s="7" t="s">
        <v>1362</v>
      </c>
      <c r="I3736" s="7" t="s">
        <v>1253</v>
      </c>
      <c r="K3736" s="7" t="s">
        <v>236</v>
      </c>
      <c r="L3736" s="11">
        <v>152.16</v>
      </c>
      <c r="M3736" s="11">
        <v>-8152.73</v>
      </c>
      <c r="N3736" s="9">
        <f t="shared" si="144"/>
        <v>152.16</v>
      </c>
    </row>
    <row r="3737" spans="1:14" ht="12.75" hidden="1" customHeight="1" x14ac:dyDescent="0.2">
      <c r="A3737">
        <v>65061</v>
      </c>
      <c r="B3737" s="3" t="s">
        <v>1253</v>
      </c>
      <c r="C3737" s="7" t="s">
        <v>545</v>
      </c>
      <c r="D3737" s="7" t="s">
        <v>200</v>
      </c>
      <c r="F3737" s="7" t="s">
        <v>988</v>
      </c>
      <c r="G3737" s="7" t="s">
        <v>1566</v>
      </c>
      <c r="H3737" s="7" t="s">
        <v>1362</v>
      </c>
      <c r="I3737" s="7" t="s">
        <v>1253</v>
      </c>
      <c r="K3737" s="7" t="s">
        <v>236</v>
      </c>
      <c r="L3737" s="11">
        <v>44.54</v>
      </c>
      <c r="M3737" s="11">
        <v>-8108.19</v>
      </c>
      <c r="N3737" s="9">
        <f t="shared" ref="N3737:N3768" si="145">IF(A3737&lt;60000,-L3737,+L3737)</f>
        <v>44.54</v>
      </c>
    </row>
    <row r="3738" spans="1:14" ht="12.75" hidden="1" customHeight="1" x14ac:dyDescent="0.2">
      <c r="A3738">
        <v>65061</v>
      </c>
      <c r="B3738" s="3" t="s">
        <v>1253</v>
      </c>
      <c r="C3738" s="7" t="s">
        <v>545</v>
      </c>
      <c r="D3738" s="7" t="s">
        <v>200</v>
      </c>
      <c r="F3738" s="7" t="s">
        <v>241</v>
      </c>
      <c r="G3738" s="7" t="s">
        <v>1566</v>
      </c>
      <c r="H3738" s="7" t="s">
        <v>1362</v>
      </c>
      <c r="I3738" s="7" t="s">
        <v>1253</v>
      </c>
      <c r="K3738" s="7" t="s">
        <v>236</v>
      </c>
      <c r="L3738" s="11">
        <v>36.68</v>
      </c>
      <c r="M3738" s="11">
        <v>-8071.51</v>
      </c>
      <c r="N3738" s="9">
        <f t="shared" si="145"/>
        <v>36.68</v>
      </c>
    </row>
    <row r="3739" spans="1:14" ht="12.75" hidden="1" customHeight="1" x14ac:dyDescent="0.2">
      <c r="A3739">
        <v>65061</v>
      </c>
      <c r="B3739" s="3" t="s">
        <v>1253</v>
      </c>
      <c r="C3739" s="7" t="s">
        <v>545</v>
      </c>
      <c r="D3739" s="7" t="s">
        <v>200</v>
      </c>
      <c r="F3739" s="7" t="s">
        <v>987</v>
      </c>
      <c r="G3739" s="7" t="s">
        <v>1566</v>
      </c>
      <c r="H3739" s="7" t="s">
        <v>1362</v>
      </c>
      <c r="I3739" s="7" t="s">
        <v>1253</v>
      </c>
      <c r="K3739" s="7" t="s">
        <v>236</v>
      </c>
      <c r="L3739" s="11">
        <v>50</v>
      </c>
      <c r="M3739" s="11">
        <v>-8021.51</v>
      </c>
      <c r="N3739" s="9">
        <f t="shared" si="145"/>
        <v>50</v>
      </c>
    </row>
    <row r="3740" spans="1:14" ht="12.75" hidden="1" customHeight="1" x14ac:dyDescent="0.2">
      <c r="A3740">
        <v>65061</v>
      </c>
      <c r="B3740" s="3" t="s">
        <v>1253</v>
      </c>
      <c r="C3740" s="7" t="s">
        <v>545</v>
      </c>
      <c r="D3740" s="7" t="s">
        <v>200</v>
      </c>
      <c r="F3740" s="7" t="s">
        <v>564</v>
      </c>
      <c r="G3740" s="7" t="s">
        <v>1566</v>
      </c>
      <c r="H3740" s="7" t="s">
        <v>1362</v>
      </c>
      <c r="I3740" s="7" t="s">
        <v>1253</v>
      </c>
      <c r="K3740" s="7" t="s">
        <v>236</v>
      </c>
      <c r="L3740" s="11">
        <v>108.57</v>
      </c>
      <c r="M3740" s="11">
        <v>-7912.94</v>
      </c>
      <c r="N3740" s="9">
        <f t="shared" si="145"/>
        <v>108.57</v>
      </c>
    </row>
    <row r="3741" spans="1:14" ht="12.75" hidden="1" customHeight="1" x14ac:dyDescent="0.2">
      <c r="A3741">
        <v>65061</v>
      </c>
      <c r="B3741" s="3" t="s">
        <v>1253</v>
      </c>
      <c r="C3741" s="7" t="s">
        <v>545</v>
      </c>
      <c r="D3741" s="7" t="s">
        <v>200</v>
      </c>
      <c r="F3741" s="7" t="s">
        <v>241</v>
      </c>
      <c r="G3741" s="7" t="s">
        <v>1566</v>
      </c>
      <c r="H3741" s="7" t="s">
        <v>1362</v>
      </c>
      <c r="I3741" s="7" t="s">
        <v>1253</v>
      </c>
      <c r="K3741" s="7" t="s">
        <v>236</v>
      </c>
      <c r="L3741" s="11">
        <v>152.13</v>
      </c>
      <c r="M3741" s="11">
        <v>-7760.81</v>
      </c>
      <c r="N3741" s="9">
        <f t="shared" si="145"/>
        <v>152.13</v>
      </c>
    </row>
    <row r="3742" spans="1:14" ht="12.75" hidden="1" customHeight="1" x14ac:dyDescent="0.2">
      <c r="A3742">
        <v>65061</v>
      </c>
      <c r="B3742" s="3" t="s">
        <v>1253</v>
      </c>
      <c r="C3742" s="7" t="s">
        <v>545</v>
      </c>
      <c r="D3742" s="7" t="s">
        <v>200</v>
      </c>
      <c r="F3742" s="7" t="s">
        <v>241</v>
      </c>
      <c r="G3742" s="7" t="s">
        <v>1566</v>
      </c>
      <c r="H3742" s="7" t="s">
        <v>1362</v>
      </c>
      <c r="I3742" s="7" t="s">
        <v>1253</v>
      </c>
      <c r="K3742" s="7" t="s">
        <v>236</v>
      </c>
      <c r="L3742" s="11">
        <v>8.64</v>
      </c>
      <c r="M3742" s="11">
        <v>-7752.17</v>
      </c>
      <c r="N3742" s="9">
        <f t="shared" si="145"/>
        <v>8.64</v>
      </c>
    </row>
    <row r="3743" spans="1:14" ht="12.75" hidden="1" customHeight="1" x14ac:dyDescent="0.2">
      <c r="A3743">
        <v>65061</v>
      </c>
      <c r="B3743" s="3" t="s">
        <v>1253</v>
      </c>
      <c r="C3743" s="7" t="s">
        <v>981</v>
      </c>
      <c r="D3743" s="7" t="s">
        <v>200</v>
      </c>
      <c r="F3743" s="7" t="s">
        <v>983</v>
      </c>
      <c r="G3743" s="7" t="s">
        <v>1566</v>
      </c>
      <c r="H3743" s="7" t="s">
        <v>1362</v>
      </c>
      <c r="I3743" s="7" t="s">
        <v>1253</v>
      </c>
      <c r="K3743" s="7" t="s">
        <v>236</v>
      </c>
      <c r="L3743" s="11">
        <v>16.27</v>
      </c>
      <c r="M3743" s="11">
        <v>-6544.26</v>
      </c>
      <c r="N3743" s="9">
        <f t="shared" si="145"/>
        <v>16.27</v>
      </c>
    </row>
    <row r="3744" spans="1:14" ht="12.75" hidden="1" customHeight="1" x14ac:dyDescent="0.2">
      <c r="A3744">
        <v>65061</v>
      </c>
      <c r="B3744" s="3" t="s">
        <v>1253</v>
      </c>
      <c r="C3744" s="7" t="s">
        <v>981</v>
      </c>
      <c r="D3744" s="7" t="s">
        <v>200</v>
      </c>
      <c r="F3744" s="7" t="s">
        <v>983</v>
      </c>
      <c r="G3744" s="7" t="s">
        <v>1566</v>
      </c>
      <c r="H3744" s="7" t="s">
        <v>1362</v>
      </c>
      <c r="I3744" s="7" t="s">
        <v>1253</v>
      </c>
      <c r="K3744" s="7" t="s">
        <v>236</v>
      </c>
      <c r="L3744" s="11">
        <v>5.05</v>
      </c>
      <c r="M3744" s="11">
        <v>-6539.21</v>
      </c>
      <c r="N3744" s="9">
        <f t="shared" si="145"/>
        <v>5.05</v>
      </c>
    </row>
    <row r="3745" spans="1:14" ht="12.75" hidden="1" customHeight="1" x14ac:dyDescent="0.2">
      <c r="A3745">
        <v>65061</v>
      </c>
      <c r="B3745" s="3" t="s">
        <v>1253</v>
      </c>
      <c r="C3745" s="7" t="s">
        <v>981</v>
      </c>
      <c r="D3745" s="7" t="s">
        <v>200</v>
      </c>
      <c r="F3745" s="7" t="s">
        <v>982</v>
      </c>
      <c r="G3745" s="7" t="s">
        <v>1566</v>
      </c>
      <c r="H3745" s="7" t="s">
        <v>1362</v>
      </c>
      <c r="I3745" s="7" t="s">
        <v>1253</v>
      </c>
      <c r="K3745" s="7" t="s">
        <v>236</v>
      </c>
      <c r="L3745" s="11">
        <v>32.54</v>
      </c>
      <c r="M3745" s="11">
        <v>-6506.67</v>
      </c>
      <c r="N3745" s="9">
        <f t="shared" si="145"/>
        <v>32.54</v>
      </c>
    </row>
    <row r="3746" spans="1:14" ht="12.75" hidden="1" customHeight="1" x14ac:dyDescent="0.2">
      <c r="A3746">
        <v>65061</v>
      </c>
      <c r="B3746" s="3" t="s">
        <v>1253</v>
      </c>
      <c r="C3746" s="7" t="s">
        <v>388</v>
      </c>
      <c r="D3746" s="7" t="s">
        <v>200</v>
      </c>
      <c r="F3746" s="7" t="s">
        <v>809</v>
      </c>
      <c r="G3746" s="7" t="s">
        <v>1566</v>
      </c>
      <c r="H3746" s="7" t="s">
        <v>1362</v>
      </c>
      <c r="I3746" s="7" t="s">
        <v>1253</v>
      </c>
      <c r="K3746" s="7" t="s">
        <v>236</v>
      </c>
      <c r="L3746" s="11">
        <v>21.73</v>
      </c>
      <c r="M3746" s="11">
        <v>-105.69</v>
      </c>
      <c r="N3746" s="9">
        <f t="shared" si="145"/>
        <v>21.73</v>
      </c>
    </row>
    <row r="3747" spans="1:14" ht="12.75" hidden="1" customHeight="1" x14ac:dyDescent="0.2">
      <c r="A3747">
        <v>65061</v>
      </c>
      <c r="B3747" s="3" t="s">
        <v>1253</v>
      </c>
      <c r="C3747" s="7" t="s">
        <v>392</v>
      </c>
      <c r="D3747" s="7" t="s">
        <v>200</v>
      </c>
      <c r="F3747" s="7" t="s">
        <v>959</v>
      </c>
      <c r="G3747" s="7" t="s">
        <v>1566</v>
      </c>
      <c r="H3747" s="7" t="s">
        <v>1362</v>
      </c>
      <c r="I3747" s="7" t="s">
        <v>1253</v>
      </c>
      <c r="K3747" s="7" t="s">
        <v>236</v>
      </c>
      <c r="L3747" s="11">
        <v>267.16000000000003</v>
      </c>
      <c r="M3747" s="11">
        <v>8833.49</v>
      </c>
      <c r="N3747" s="9">
        <f t="shared" si="145"/>
        <v>267.16000000000003</v>
      </c>
    </row>
    <row r="3748" spans="1:14" ht="12.75" hidden="1" customHeight="1" x14ac:dyDescent="0.2">
      <c r="A3748">
        <v>65061</v>
      </c>
      <c r="B3748" s="3" t="s">
        <v>1253</v>
      </c>
      <c r="C3748" s="7" t="s">
        <v>383</v>
      </c>
      <c r="D3748" s="7" t="s">
        <v>200</v>
      </c>
      <c r="E3748" s="7">
        <v>999</v>
      </c>
      <c r="F3748" s="7" t="s">
        <v>946</v>
      </c>
      <c r="G3748" s="7" t="s">
        <v>1566</v>
      </c>
      <c r="H3748" s="7" t="s">
        <v>1362</v>
      </c>
      <c r="I3748" s="7" t="s">
        <v>1253</v>
      </c>
      <c r="K3748" s="7" t="s">
        <v>236</v>
      </c>
      <c r="L3748" s="11">
        <v>437.76</v>
      </c>
      <c r="M3748" s="11">
        <v>21185.68</v>
      </c>
      <c r="N3748" s="9">
        <f t="shared" si="145"/>
        <v>437.76</v>
      </c>
    </row>
    <row r="3749" spans="1:14" ht="12.75" hidden="1" customHeight="1" x14ac:dyDescent="0.2">
      <c r="A3749">
        <v>65061</v>
      </c>
      <c r="B3749" s="3" t="s">
        <v>1253</v>
      </c>
      <c r="C3749" s="7" t="s">
        <v>932</v>
      </c>
      <c r="D3749" s="7" t="s">
        <v>200</v>
      </c>
      <c r="F3749" s="7" t="s">
        <v>809</v>
      </c>
      <c r="G3749" s="7" t="s">
        <v>1566</v>
      </c>
      <c r="H3749" s="7" t="s">
        <v>1362</v>
      </c>
      <c r="I3749" s="7" t="s">
        <v>1253</v>
      </c>
      <c r="K3749" s="7" t="s">
        <v>236</v>
      </c>
      <c r="L3749" s="11">
        <v>42.82</v>
      </c>
      <c r="M3749" s="11">
        <v>23262.42</v>
      </c>
      <c r="N3749" s="9">
        <f t="shared" si="145"/>
        <v>42.82</v>
      </c>
    </row>
    <row r="3750" spans="1:14" ht="12.75" hidden="1" customHeight="1" x14ac:dyDescent="0.2">
      <c r="A3750">
        <v>65061</v>
      </c>
      <c r="B3750" s="3" t="s">
        <v>1253</v>
      </c>
      <c r="C3750" s="7" t="s">
        <v>932</v>
      </c>
      <c r="D3750" s="7" t="s">
        <v>200</v>
      </c>
      <c r="F3750" s="7" t="s">
        <v>809</v>
      </c>
      <c r="G3750" s="7" t="s">
        <v>1566</v>
      </c>
      <c r="H3750" s="7" t="s">
        <v>1362</v>
      </c>
      <c r="I3750" s="7" t="s">
        <v>1253</v>
      </c>
      <c r="K3750" s="7" t="s">
        <v>236</v>
      </c>
      <c r="L3750" s="11">
        <v>77.05</v>
      </c>
      <c r="M3750" s="11">
        <v>25505.7</v>
      </c>
      <c r="N3750" s="9">
        <f t="shared" si="145"/>
        <v>77.05</v>
      </c>
    </row>
    <row r="3751" spans="1:14" ht="12.75" hidden="1" customHeight="1" x14ac:dyDescent="0.2">
      <c r="A3751">
        <v>65061</v>
      </c>
      <c r="B3751" s="3" t="s">
        <v>1253</v>
      </c>
      <c r="C3751" s="7" t="s">
        <v>932</v>
      </c>
      <c r="D3751" s="7" t="s">
        <v>200</v>
      </c>
      <c r="F3751" s="7" t="s">
        <v>809</v>
      </c>
      <c r="G3751" s="7" t="s">
        <v>1566</v>
      </c>
      <c r="H3751" s="7" t="s">
        <v>1362</v>
      </c>
      <c r="I3751" s="7" t="s">
        <v>1253</v>
      </c>
      <c r="K3751" s="7" t="s">
        <v>236</v>
      </c>
      <c r="L3751" s="11">
        <v>26.75</v>
      </c>
      <c r="M3751" s="11">
        <v>25532.45</v>
      </c>
      <c r="N3751" s="9">
        <f t="shared" si="145"/>
        <v>26.75</v>
      </c>
    </row>
    <row r="3752" spans="1:14" ht="12.75" hidden="1" customHeight="1" x14ac:dyDescent="0.2">
      <c r="A3752">
        <v>65061</v>
      </c>
      <c r="B3752" s="3" t="s">
        <v>1253</v>
      </c>
      <c r="C3752" s="7" t="s">
        <v>448</v>
      </c>
      <c r="D3752" s="7" t="s">
        <v>200</v>
      </c>
      <c r="F3752" s="7" t="s">
        <v>241</v>
      </c>
      <c r="G3752" s="7" t="s">
        <v>1566</v>
      </c>
      <c r="H3752" s="7" t="s">
        <v>1362</v>
      </c>
      <c r="I3752" s="7" t="s">
        <v>1253</v>
      </c>
      <c r="K3752" s="7" t="s">
        <v>236</v>
      </c>
      <c r="L3752" s="11">
        <v>61.6</v>
      </c>
      <c r="M3752" s="11">
        <v>25439.69</v>
      </c>
      <c r="N3752" s="9">
        <f t="shared" si="145"/>
        <v>61.6</v>
      </c>
    </row>
    <row r="3753" spans="1:14" ht="12.75" hidden="1" customHeight="1" x14ac:dyDescent="0.2">
      <c r="A3753">
        <v>65061</v>
      </c>
      <c r="B3753" s="3" t="s">
        <v>1253</v>
      </c>
      <c r="C3753" s="7" t="s">
        <v>448</v>
      </c>
      <c r="D3753" s="7" t="s">
        <v>200</v>
      </c>
      <c r="F3753" s="7" t="s">
        <v>241</v>
      </c>
      <c r="G3753" s="7" t="s">
        <v>1566</v>
      </c>
      <c r="H3753" s="7" t="s">
        <v>1362</v>
      </c>
      <c r="I3753" s="7" t="s">
        <v>1253</v>
      </c>
      <c r="K3753" s="7" t="s">
        <v>236</v>
      </c>
      <c r="L3753" s="11">
        <v>25.94</v>
      </c>
      <c r="M3753" s="11">
        <v>25465.63</v>
      </c>
      <c r="N3753" s="9">
        <f t="shared" si="145"/>
        <v>25.94</v>
      </c>
    </row>
    <row r="3754" spans="1:14" ht="12.75" hidden="1" customHeight="1" x14ac:dyDescent="0.2">
      <c r="A3754">
        <v>65061</v>
      </c>
      <c r="B3754" s="3" t="s">
        <v>1253</v>
      </c>
      <c r="C3754" s="7" t="s">
        <v>448</v>
      </c>
      <c r="D3754" s="7" t="s">
        <v>200</v>
      </c>
      <c r="F3754" s="7" t="s">
        <v>241</v>
      </c>
      <c r="G3754" s="7" t="s">
        <v>1566</v>
      </c>
      <c r="H3754" s="7" t="s">
        <v>1362</v>
      </c>
      <c r="I3754" s="7" t="s">
        <v>1253</v>
      </c>
      <c r="K3754" s="7" t="s">
        <v>236</v>
      </c>
      <c r="L3754" s="11">
        <v>83</v>
      </c>
      <c r="M3754" s="11">
        <v>25548.63</v>
      </c>
      <c r="N3754" s="9">
        <f t="shared" si="145"/>
        <v>83</v>
      </c>
    </row>
    <row r="3755" spans="1:14" ht="12.75" hidden="1" customHeight="1" x14ac:dyDescent="0.2">
      <c r="A3755">
        <v>65061</v>
      </c>
      <c r="B3755" s="3" t="s">
        <v>1253</v>
      </c>
      <c r="C3755" s="7" t="s">
        <v>379</v>
      </c>
      <c r="D3755" s="7" t="s">
        <v>200</v>
      </c>
      <c r="F3755" s="7" t="s">
        <v>809</v>
      </c>
      <c r="G3755" s="7" t="s">
        <v>1566</v>
      </c>
      <c r="H3755" s="7" t="s">
        <v>1362</v>
      </c>
      <c r="I3755" s="7" t="s">
        <v>1253</v>
      </c>
      <c r="K3755" s="7" t="s">
        <v>236</v>
      </c>
      <c r="L3755" s="11">
        <v>10.73</v>
      </c>
      <c r="M3755" s="11">
        <v>25876.87</v>
      </c>
      <c r="N3755" s="9">
        <f t="shared" si="145"/>
        <v>10.73</v>
      </c>
    </row>
    <row r="3756" spans="1:14" ht="12.75" hidden="1" customHeight="1" x14ac:dyDescent="0.2">
      <c r="A3756">
        <v>65061</v>
      </c>
      <c r="B3756" s="3" t="s">
        <v>1253</v>
      </c>
      <c r="C3756" s="7" t="s">
        <v>379</v>
      </c>
      <c r="D3756" s="7" t="s">
        <v>200</v>
      </c>
      <c r="F3756" s="7" t="s">
        <v>809</v>
      </c>
      <c r="G3756" s="7" t="s">
        <v>1566</v>
      </c>
      <c r="H3756" s="7" t="s">
        <v>1362</v>
      </c>
      <c r="I3756" s="7" t="s">
        <v>1253</v>
      </c>
      <c r="K3756" s="7" t="s">
        <v>236</v>
      </c>
      <c r="L3756" s="11">
        <v>68.73</v>
      </c>
      <c r="M3756" s="11">
        <v>25945.599999999999</v>
      </c>
      <c r="N3756" s="9">
        <f t="shared" si="145"/>
        <v>68.73</v>
      </c>
    </row>
    <row r="3757" spans="1:14" ht="12.75" hidden="1" customHeight="1" x14ac:dyDescent="0.2">
      <c r="A3757">
        <v>65061</v>
      </c>
      <c r="B3757" s="3" t="s">
        <v>1253</v>
      </c>
      <c r="C3757" s="7" t="s">
        <v>379</v>
      </c>
      <c r="D3757" s="7" t="s">
        <v>200</v>
      </c>
      <c r="F3757" s="7" t="s">
        <v>600</v>
      </c>
      <c r="G3757" s="7" t="s">
        <v>1566</v>
      </c>
      <c r="H3757" s="7" t="s">
        <v>1362</v>
      </c>
      <c r="I3757" s="7" t="s">
        <v>1253</v>
      </c>
      <c r="K3757" s="7" t="s">
        <v>236</v>
      </c>
      <c r="L3757" s="11">
        <v>161.91999999999999</v>
      </c>
      <c r="M3757" s="11">
        <v>26850.39</v>
      </c>
      <c r="N3757" s="9">
        <f t="shared" si="145"/>
        <v>161.91999999999999</v>
      </c>
    </row>
    <row r="3758" spans="1:14" ht="12.75" hidden="1" customHeight="1" x14ac:dyDescent="0.2">
      <c r="A3758">
        <v>65061</v>
      </c>
      <c r="B3758" s="3" t="s">
        <v>1253</v>
      </c>
      <c r="C3758" s="7" t="s">
        <v>377</v>
      </c>
      <c r="D3758" s="7" t="s">
        <v>200</v>
      </c>
      <c r="F3758" s="7" t="s">
        <v>600</v>
      </c>
      <c r="G3758" s="7" t="s">
        <v>1566</v>
      </c>
      <c r="H3758" s="7" t="s">
        <v>1362</v>
      </c>
      <c r="I3758" s="7" t="s">
        <v>1253</v>
      </c>
      <c r="K3758" s="7" t="s">
        <v>236</v>
      </c>
      <c r="L3758" s="11">
        <v>70.16</v>
      </c>
      <c r="M3758" s="11">
        <v>28762.43</v>
      </c>
      <c r="N3758" s="9">
        <f t="shared" si="145"/>
        <v>70.16</v>
      </c>
    </row>
    <row r="3759" spans="1:14" ht="12.75" hidden="1" customHeight="1" x14ac:dyDescent="0.2">
      <c r="A3759">
        <v>65061</v>
      </c>
      <c r="B3759" s="3" t="s">
        <v>1253</v>
      </c>
      <c r="C3759" s="7" t="s">
        <v>377</v>
      </c>
      <c r="D3759" s="7" t="s">
        <v>200</v>
      </c>
      <c r="F3759" s="7" t="s">
        <v>546</v>
      </c>
      <c r="G3759" s="7" t="s">
        <v>1566</v>
      </c>
      <c r="H3759" s="7" t="s">
        <v>1362</v>
      </c>
      <c r="I3759" s="7" t="s">
        <v>1253</v>
      </c>
      <c r="K3759" s="7" t="s">
        <v>236</v>
      </c>
      <c r="L3759" s="11">
        <v>117.52</v>
      </c>
      <c r="M3759" s="11">
        <v>29193.4</v>
      </c>
      <c r="N3759" s="9">
        <f t="shared" si="145"/>
        <v>117.52</v>
      </c>
    </row>
    <row r="3760" spans="1:14" ht="12.75" hidden="1" customHeight="1" x14ac:dyDescent="0.2">
      <c r="A3760">
        <v>65061</v>
      </c>
      <c r="B3760" s="3" t="s">
        <v>1253</v>
      </c>
      <c r="C3760" s="7" t="s">
        <v>377</v>
      </c>
      <c r="D3760" s="7" t="s">
        <v>200</v>
      </c>
      <c r="F3760" s="7" t="s">
        <v>265</v>
      </c>
      <c r="G3760" s="7" t="s">
        <v>1566</v>
      </c>
      <c r="H3760" s="7" t="s">
        <v>1362</v>
      </c>
      <c r="I3760" s="7" t="s">
        <v>1253</v>
      </c>
      <c r="K3760" s="7" t="s">
        <v>236</v>
      </c>
      <c r="L3760" s="11">
        <v>125.5</v>
      </c>
      <c r="M3760" s="11">
        <v>29537.37</v>
      </c>
      <c r="N3760" s="9">
        <f t="shared" si="145"/>
        <v>125.5</v>
      </c>
    </row>
    <row r="3761" spans="1:14" ht="12.75" hidden="1" customHeight="1" x14ac:dyDescent="0.2">
      <c r="A3761">
        <v>65061</v>
      </c>
      <c r="B3761" s="3" t="s">
        <v>1253</v>
      </c>
      <c r="C3761" s="7" t="s">
        <v>926</v>
      </c>
      <c r="D3761" s="7" t="s">
        <v>200</v>
      </c>
      <c r="F3761" s="7" t="s">
        <v>265</v>
      </c>
      <c r="G3761" s="7" t="s">
        <v>1566</v>
      </c>
      <c r="H3761" s="7" t="s">
        <v>1362</v>
      </c>
      <c r="I3761" s="7" t="s">
        <v>1253</v>
      </c>
      <c r="K3761" s="7" t="s">
        <v>236</v>
      </c>
      <c r="L3761" s="11">
        <v>112.01</v>
      </c>
      <c r="M3761" s="11">
        <v>29649.38</v>
      </c>
      <c r="N3761" s="9">
        <f t="shared" si="145"/>
        <v>112.01</v>
      </c>
    </row>
    <row r="3762" spans="1:14" ht="12.75" hidden="1" customHeight="1" x14ac:dyDescent="0.2">
      <c r="A3762">
        <v>65061</v>
      </c>
      <c r="B3762" s="3" t="s">
        <v>1253</v>
      </c>
      <c r="C3762" s="7" t="s">
        <v>926</v>
      </c>
      <c r="D3762" s="7" t="s">
        <v>200</v>
      </c>
      <c r="F3762" s="7" t="s">
        <v>241</v>
      </c>
      <c r="G3762" s="7" t="s">
        <v>1566</v>
      </c>
      <c r="H3762" s="7" t="s">
        <v>1362</v>
      </c>
      <c r="I3762" s="7" t="s">
        <v>1253</v>
      </c>
      <c r="K3762" s="7" t="s">
        <v>236</v>
      </c>
      <c r="L3762" s="11">
        <v>183.98</v>
      </c>
      <c r="M3762" s="11">
        <v>30088.47</v>
      </c>
      <c r="N3762" s="9">
        <f t="shared" si="145"/>
        <v>183.98</v>
      </c>
    </row>
    <row r="3763" spans="1:14" ht="12.75" hidden="1" customHeight="1" x14ac:dyDescent="0.2">
      <c r="A3763">
        <v>65061</v>
      </c>
      <c r="B3763" s="3" t="s">
        <v>1253</v>
      </c>
      <c r="C3763" s="7" t="s">
        <v>926</v>
      </c>
      <c r="D3763" s="7" t="s">
        <v>200</v>
      </c>
      <c r="F3763" s="7" t="s">
        <v>241</v>
      </c>
      <c r="G3763" s="7" t="s">
        <v>1566</v>
      </c>
      <c r="H3763" s="7" t="s">
        <v>1362</v>
      </c>
      <c r="I3763" s="7" t="s">
        <v>1253</v>
      </c>
      <c r="K3763" s="7" t="s">
        <v>236</v>
      </c>
      <c r="L3763" s="11">
        <v>130.63999999999999</v>
      </c>
      <c r="M3763" s="11">
        <v>30219.11</v>
      </c>
      <c r="N3763" s="9">
        <f t="shared" si="145"/>
        <v>130.63999999999999</v>
      </c>
    </row>
    <row r="3764" spans="1:14" ht="12.75" hidden="1" customHeight="1" x14ac:dyDescent="0.2">
      <c r="A3764">
        <v>65061</v>
      </c>
      <c r="B3764" s="3" t="s">
        <v>1253</v>
      </c>
      <c r="C3764" s="7" t="s">
        <v>926</v>
      </c>
      <c r="D3764" s="7" t="s">
        <v>200</v>
      </c>
      <c r="F3764" s="7" t="s">
        <v>241</v>
      </c>
      <c r="G3764" s="7" t="s">
        <v>1566</v>
      </c>
      <c r="H3764" s="7" t="s">
        <v>1362</v>
      </c>
      <c r="I3764" s="7" t="s">
        <v>1253</v>
      </c>
      <c r="K3764" s="7" t="s">
        <v>236</v>
      </c>
      <c r="L3764" s="11">
        <v>77.77</v>
      </c>
      <c r="M3764" s="11">
        <v>30296.880000000001</v>
      </c>
      <c r="N3764" s="9">
        <f t="shared" si="145"/>
        <v>77.77</v>
      </c>
    </row>
    <row r="3765" spans="1:14" ht="12.75" hidden="1" customHeight="1" x14ac:dyDescent="0.2">
      <c r="A3765">
        <v>65061</v>
      </c>
      <c r="B3765" s="3" t="s">
        <v>1253</v>
      </c>
      <c r="C3765" s="7" t="s">
        <v>376</v>
      </c>
      <c r="D3765" s="7" t="s">
        <v>200</v>
      </c>
      <c r="F3765" s="7" t="s">
        <v>648</v>
      </c>
      <c r="G3765" s="7" t="s">
        <v>1566</v>
      </c>
      <c r="H3765" s="7" t="s">
        <v>1362</v>
      </c>
      <c r="I3765" s="7" t="s">
        <v>1253</v>
      </c>
      <c r="K3765" s="7" t="s">
        <v>236</v>
      </c>
      <c r="L3765" s="11">
        <v>37.450000000000003</v>
      </c>
      <c r="M3765" s="11">
        <v>31274.9</v>
      </c>
      <c r="N3765" s="9">
        <f t="shared" si="145"/>
        <v>37.450000000000003</v>
      </c>
    </row>
    <row r="3766" spans="1:14" ht="12.75" hidden="1" customHeight="1" x14ac:dyDescent="0.2">
      <c r="A3766">
        <v>65061</v>
      </c>
      <c r="B3766" s="3" t="s">
        <v>1253</v>
      </c>
      <c r="C3766" s="7" t="s">
        <v>376</v>
      </c>
      <c r="D3766" s="7" t="s">
        <v>200</v>
      </c>
      <c r="F3766" s="7" t="s">
        <v>809</v>
      </c>
      <c r="G3766" s="7" t="s">
        <v>1566</v>
      </c>
      <c r="H3766" s="7" t="s">
        <v>1362</v>
      </c>
      <c r="I3766" s="7" t="s">
        <v>1253</v>
      </c>
      <c r="K3766" s="7" t="s">
        <v>236</v>
      </c>
      <c r="L3766" s="11">
        <v>58.88</v>
      </c>
      <c r="M3766" s="11">
        <v>31333.78</v>
      </c>
      <c r="N3766" s="9">
        <f t="shared" si="145"/>
        <v>58.88</v>
      </c>
    </row>
    <row r="3767" spans="1:14" ht="12.75" hidden="1" customHeight="1" x14ac:dyDescent="0.2">
      <c r="A3767">
        <v>65061</v>
      </c>
      <c r="B3767" s="3" t="s">
        <v>1253</v>
      </c>
      <c r="C3767" s="7" t="s">
        <v>374</v>
      </c>
      <c r="D3767" s="7" t="s">
        <v>200</v>
      </c>
      <c r="F3767" s="7" t="s">
        <v>568</v>
      </c>
      <c r="G3767" s="7" t="s">
        <v>1566</v>
      </c>
      <c r="H3767" s="7" t="s">
        <v>1362</v>
      </c>
      <c r="I3767" s="7" t="s">
        <v>1253</v>
      </c>
      <c r="K3767" s="7" t="s">
        <v>236</v>
      </c>
      <c r="L3767" s="11">
        <v>239.64</v>
      </c>
      <c r="M3767" s="11">
        <v>32568.18</v>
      </c>
      <c r="N3767" s="9">
        <f t="shared" si="145"/>
        <v>239.64</v>
      </c>
    </row>
    <row r="3768" spans="1:14" ht="12.75" hidden="1" customHeight="1" x14ac:dyDescent="0.2">
      <c r="A3768">
        <v>65061</v>
      </c>
      <c r="B3768" s="3" t="s">
        <v>1253</v>
      </c>
      <c r="C3768" s="7" t="s">
        <v>374</v>
      </c>
      <c r="D3768" s="7" t="s">
        <v>200</v>
      </c>
      <c r="F3768" s="7" t="s">
        <v>648</v>
      </c>
      <c r="G3768" s="7" t="s">
        <v>1566</v>
      </c>
      <c r="H3768" s="7" t="s">
        <v>1362</v>
      </c>
      <c r="I3768" s="7" t="s">
        <v>1253</v>
      </c>
      <c r="K3768" s="7" t="s">
        <v>236</v>
      </c>
      <c r="L3768" s="11">
        <v>39.92</v>
      </c>
      <c r="M3768" s="11">
        <v>32608.1</v>
      </c>
      <c r="N3768" s="9">
        <f t="shared" si="145"/>
        <v>39.92</v>
      </c>
    </row>
    <row r="3769" spans="1:14" ht="12.75" hidden="1" customHeight="1" x14ac:dyDescent="0.2">
      <c r="A3769">
        <v>65061</v>
      </c>
      <c r="B3769" s="3" t="s">
        <v>1253</v>
      </c>
      <c r="C3769" s="7" t="s">
        <v>372</v>
      </c>
      <c r="D3769" s="7" t="s">
        <v>200</v>
      </c>
      <c r="F3769" s="7" t="s">
        <v>614</v>
      </c>
      <c r="G3769" s="7" t="s">
        <v>1566</v>
      </c>
      <c r="H3769" s="7" t="s">
        <v>1362</v>
      </c>
      <c r="I3769" s="7" t="s">
        <v>1253</v>
      </c>
      <c r="K3769" s="7" t="s">
        <v>236</v>
      </c>
      <c r="L3769" s="11">
        <v>26.27</v>
      </c>
      <c r="M3769" s="11">
        <v>33137.4</v>
      </c>
      <c r="N3769" s="9">
        <f t="shared" ref="N3769:N3800" si="146">IF(A3769&lt;60000,-L3769,+L3769)</f>
        <v>26.27</v>
      </c>
    </row>
    <row r="3770" spans="1:14" ht="12.75" hidden="1" customHeight="1" x14ac:dyDescent="0.2">
      <c r="A3770">
        <v>65061</v>
      </c>
      <c r="B3770" s="3" t="s">
        <v>1253</v>
      </c>
      <c r="C3770" s="7" t="s">
        <v>372</v>
      </c>
      <c r="D3770" s="7" t="s">
        <v>200</v>
      </c>
      <c r="F3770" s="7" t="s">
        <v>568</v>
      </c>
      <c r="G3770" s="7" t="s">
        <v>1566</v>
      </c>
      <c r="H3770" s="7" t="s">
        <v>1362</v>
      </c>
      <c r="I3770" s="7" t="s">
        <v>1253</v>
      </c>
      <c r="K3770" s="7" t="s">
        <v>236</v>
      </c>
      <c r="L3770" s="11">
        <v>34.85</v>
      </c>
      <c r="M3770" s="11">
        <v>33172.25</v>
      </c>
      <c r="N3770" s="9">
        <f t="shared" si="146"/>
        <v>34.85</v>
      </c>
    </row>
    <row r="3771" spans="1:14" ht="12.75" hidden="1" customHeight="1" x14ac:dyDescent="0.2">
      <c r="A3771">
        <v>65061</v>
      </c>
      <c r="B3771" s="3" t="s">
        <v>1253</v>
      </c>
      <c r="C3771" s="7" t="s">
        <v>372</v>
      </c>
      <c r="D3771" s="7" t="s">
        <v>200</v>
      </c>
      <c r="F3771" s="7" t="s">
        <v>223</v>
      </c>
      <c r="G3771" s="7" t="s">
        <v>1566</v>
      </c>
      <c r="H3771" s="7" t="s">
        <v>1362</v>
      </c>
      <c r="I3771" s="7" t="s">
        <v>1253</v>
      </c>
      <c r="K3771" s="7" t="s">
        <v>236</v>
      </c>
      <c r="L3771" s="11">
        <v>18.440000000000001</v>
      </c>
      <c r="M3771" s="11">
        <v>33360.68</v>
      </c>
      <c r="N3771" s="9">
        <f t="shared" si="146"/>
        <v>18.440000000000001</v>
      </c>
    </row>
    <row r="3772" spans="1:14" ht="12.75" hidden="1" customHeight="1" x14ac:dyDescent="0.2">
      <c r="A3772">
        <v>65061</v>
      </c>
      <c r="B3772" s="3" t="s">
        <v>1253</v>
      </c>
      <c r="C3772" s="7" t="s">
        <v>372</v>
      </c>
      <c r="D3772" s="7" t="s">
        <v>200</v>
      </c>
      <c r="F3772" s="7" t="s">
        <v>684</v>
      </c>
      <c r="G3772" s="7" t="s">
        <v>1566</v>
      </c>
      <c r="H3772" s="7" t="s">
        <v>1362</v>
      </c>
      <c r="I3772" s="7" t="s">
        <v>1253</v>
      </c>
      <c r="K3772" s="7" t="s">
        <v>236</v>
      </c>
      <c r="L3772" s="11">
        <v>65.239999999999995</v>
      </c>
      <c r="M3772" s="11">
        <v>33458</v>
      </c>
      <c r="N3772" s="9">
        <f t="shared" si="146"/>
        <v>65.239999999999995</v>
      </c>
    </row>
    <row r="3773" spans="1:14" ht="12.75" hidden="1" customHeight="1" x14ac:dyDescent="0.2">
      <c r="A3773">
        <v>65061</v>
      </c>
      <c r="B3773" s="3" t="s">
        <v>1253</v>
      </c>
      <c r="C3773" s="7" t="s">
        <v>372</v>
      </c>
      <c r="D3773" s="7" t="s">
        <v>200</v>
      </c>
      <c r="F3773" s="7" t="s">
        <v>600</v>
      </c>
      <c r="G3773" s="7" t="s">
        <v>1566</v>
      </c>
      <c r="H3773" s="7" t="s">
        <v>1362</v>
      </c>
      <c r="I3773" s="7" t="s">
        <v>1253</v>
      </c>
      <c r="K3773" s="7" t="s">
        <v>236</v>
      </c>
      <c r="L3773" s="11">
        <v>62.57</v>
      </c>
      <c r="M3773" s="11">
        <v>33520.57</v>
      </c>
      <c r="N3773" s="9">
        <f t="shared" si="146"/>
        <v>62.57</v>
      </c>
    </row>
    <row r="3774" spans="1:14" ht="12.75" hidden="1" customHeight="1" x14ac:dyDescent="0.2">
      <c r="A3774">
        <v>65061</v>
      </c>
      <c r="B3774" s="3" t="s">
        <v>1253</v>
      </c>
      <c r="C3774" s="7" t="s">
        <v>372</v>
      </c>
      <c r="D3774" s="7" t="s">
        <v>200</v>
      </c>
      <c r="F3774" s="7" t="s">
        <v>595</v>
      </c>
      <c r="G3774" s="7" t="s">
        <v>1566</v>
      </c>
      <c r="H3774" s="7" t="s">
        <v>1362</v>
      </c>
      <c r="I3774" s="7" t="s">
        <v>1253</v>
      </c>
      <c r="K3774" s="7" t="s">
        <v>236</v>
      </c>
      <c r="L3774" s="11">
        <v>15.15</v>
      </c>
      <c r="M3774" s="11">
        <v>36147.620000000003</v>
      </c>
      <c r="N3774" s="9">
        <f t="shared" si="146"/>
        <v>15.15</v>
      </c>
    </row>
    <row r="3775" spans="1:14" ht="12.75" hidden="1" customHeight="1" x14ac:dyDescent="0.2">
      <c r="A3775">
        <v>65061</v>
      </c>
      <c r="B3775" s="3" t="s">
        <v>1253</v>
      </c>
      <c r="C3775" s="7" t="s">
        <v>372</v>
      </c>
      <c r="D3775" s="7" t="s">
        <v>200</v>
      </c>
      <c r="F3775" s="7" t="s">
        <v>595</v>
      </c>
      <c r="G3775" s="7" t="s">
        <v>1566</v>
      </c>
      <c r="H3775" s="7" t="s">
        <v>1362</v>
      </c>
      <c r="I3775" s="7" t="s">
        <v>1253</v>
      </c>
      <c r="K3775" s="7" t="s">
        <v>236</v>
      </c>
      <c r="L3775" s="11">
        <v>18.41</v>
      </c>
      <c r="M3775" s="11">
        <v>36166.03</v>
      </c>
      <c r="N3775" s="9">
        <f t="shared" si="146"/>
        <v>18.41</v>
      </c>
    </row>
    <row r="3776" spans="1:14" ht="12.75" hidden="1" customHeight="1" x14ac:dyDescent="0.2">
      <c r="A3776">
        <v>65061</v>
      </c>
      <c r="B3776" s="3" t="s">
        <v>1253</v>
      </c>
      <c r="C3776" s="7" t="s">
        <v>372</v>
      </c>
      <c r="D3776" s="7" t="s">
        <v>200</v>
      </c>
      <c r="F3776" s="7" t="s">
        <v>595</v>
      </c>
      <c r="G3776" s="7" t="s">
        <v>1566</v>
      </c>
      <c r="H3776" s="7" t="s">
        <v>1362</v>
      </c>
      <c r="I3776" s="7" t="s">
        <v>1253</v>
      </c>
      <c r="K3776" s="7" t="s">
        <v>236</v>
      </c>
      <c r="L3776" s="11">
        <v>67.14</v>
      </c>
      <c r="M3776" s="11">
        <v>36233.17</v>
      </c>
      <c r="N3776" s="9">
        <f t="shared" si="146"/>
        <v>67.14</v>
      </c>
    </row>
    <row r="3777" spans="1:14" ht="12.75" hidden="1" customHeight="1" x14ac:dyDescent="0.2">
      <c r="A3777">
        <v>65061</v>
      </c>
      <c r="B3777" s="3" t="s">
        <v>1253</v>
      </c>
      <c r="C3777" s="7" t="s">
        <v>372</v>
      </c>
      <c r="D3777" s="7" t="s">
        <v>200</v>
      </c>
      <c r="F3777" s="7" t="s">
        <v>922</v>
      </c>
      <c r="G3777" s="7" t="s">
        <v>1566</v>
      </c>
      <c r="H3777" s="7" t="s">
        <v>1362</v>
      </c>
      <c r="I3777" s="7" t="s">
        <v>1253</v>
      </c>
      <c r="K3777" s="7" t="s">
        <v>236</v>
      </c>
      <c r="L3777" s="11">
        <v>44.56</v>
      </c>
      <c r="M3777" s="11">
        <v>36277.730000000003</v>
      </c>
      <c r="N3777" s="9">
        <f t="shared" si="146"/>
        <v>44.56</v>
      </c>
    </row>
    <row r="3778" spans="1:14" ht="12.75" hidden="1" customHeight="1" x14ac:dyDescent="0.2">
      <c r="A3778">
        <v>65061</v>
      </c>
      <c r="B3778" s="3" t="s">
        <v>1253</v>
      </c>
      <c r="C3778" s="7" t="s">
        <v>372</v>
      </c>
      <c r="D3778" s="7" t="s">
        <v>200</v>
      </c>
      <c r="F3778" s="7" t="s">
        <v>648</v>
      </c>
      <c r="G3778" s="7" t="s">
        <v>1566</v>
      </c>
      <c r="H3778" s="7" t="s">
        <v>1362</v>
      </c>
      <c r="I3778" s="7" t="s">
        <v>1253</v>
      </c>
      <c r="K3778" s="7" t="s">
        <v>236</v>
      </c>
      <c r="L3778" s="11">
        <v>54.78</v>
      </c>
      <c r="M3778" s="11">
        <v>36401.85</v>
      </c>
      <c r="N3778" s="9">
        <f t="shared" si="146"/>
        <v>54.78</v>
      </c>
    </row>
    <row r="3779" spans="1:14" ht="12.75" hidden="1" customHeight="1" x14ac:dyDescent="0.2">
      <c r="A3779">
        <v>65061</v>
      </c>
      <c r="B3779" s="3" t="s">
        <v>1253</v>
      </c>
      <c r="C3779" s="7" t="s">
        <v>372</v>
      </c>
      <c r="D3779" s="7" t="s">
        <v>200</v>
      </c>
      <c r="F3779" s="7" t="s">
        <v>809</v>
      </c>
      <c r="G3779" s="7" t="s">
        <v>1566</v>
      </c>
      <c r="H3779" s="7" t="s">
        <v>1362</v>
      </c>
      <c r="I3779" s="7" t="s">
        <v>1253</v>
      </c>
      <c r="K3779" s="7" t="s">
        <v>236</v>
      </c>
      <c r="L3779" s="11">
        <v>58.47</v>
      </c>
      <c r="M3779" s="11">
        <v>37602.71</v>
      </c>
      <c r="N3779" s="9">
        <f t="shared" si="146"/>
        <v>58.47</v>
      </c>
    </row>
    <row r="3780" spans="1:14" ht="12.75" hidden="1" customHeight="1" x14ac:dyDescent="0.2">
      <c r="A3780">
        <v>65061</v>
      </c>
      <c r="B3780" s="3" t="s">
        <v>1253</v>
      </c>
      <c r="C3780" s="7" t="s">
        <v>372</v>
      </c>
      <c r="D3780" s="7" t="s">
        <v>200</v>
      </c>
      <c r="F3780" s="7" t="s">
        <v>916</v>
      </c>
      <c r="G3780" s="7" t="s">
        <v>1566</v>
      </c>
      <c r="H3780" s="7" t="s">
        <v>1362</v>
      </c>
      <c r="I3780" s="7" t="s">
        <v>1253</v>
      </c>
      <c r="K3780" s="7" t="s">
        <v>236</v>
      </c>
      <c r="L3780" s="11">
        <v>84.2</v>
      </c>
      <c r="M3780" s="11">
        <v>37686.910000000003</v>
      </c>
      <c r="N3780" s="9">
        <f t="shared" si="146"/>
        <v>84.2</v>
      </c>
    </row>
    <row r="3781" spans="1:14" ht="12.75" hidden="1" customHeight="1" x14ac:dyDescent="0.2">
      <c r="A3781">
        <v>65061</v>
      </c>
      <c r="B3781" s="3" t="s">
        <v>1253</v>
      </c>
      <c r="C3781" s="7" t="s">
        <v>372</v>
      </c>
      <c r="D3781" s="7" t="s">
        <v>200</v>
      </c>
      <c r="F3781" s="7" t="s">
        <v>916</v>
      </c>
      <c r="G3781" s="7" t="s">
        <v>1566</v>
      </c>
      <c r="H3781" s="7" t="s">
        <v>1362</v>
      </c>
      <c r="I3781" s="7" t="s">
        <v>1253</v>
      </c>
      <c r="K3781" s="7" t="s">
        <v>236</v>
      </c>
      <c r="L3781" s="11">
        <v>213.74</v>
      </c>
      <c r="M3781" s="11">
        <v>37900.65</v>
      </c>
      <c r="N3781" s="9">
        <f t="shared" si="146"/>
        <v>213.74</v>
      </c>
    </row>
    <row r="3782" spans="1:14" ht="12.75" hidden="1" customHeight="1" x14ac:dyDescent="0.2">
      <c r="A3782">
        <v>65061</v>
      </c>
      <c r="B3782" s="3" t="s">
        <v>1253</v>
      </c>
      <c r="C3782" s="7" t="s">
        <v>372</v>
      </c>
      <c r="D3782" s="7" t="s">
        <v>200</v>
      </c>
      <c r="F3782" s="7" t="s">
        <v>548</v>
      </c>
      <c r="G3782" s="7" t="s">
        <v>1566</v>
      </c>
      <c r="H3782" s="7" t="s">
        <v>1362</v>
      </c>
      <c r="I3782" s="7" t="s">
        <v>1253</v>
      </c>
      <c r="K3782" s="7" t="s">
        <v>236</v>
      </c>
      <c r="L3782" s="11">
        <v>253.02</v>
      </c>
      <c r="M3782" s="11">
        <v>38153.67</v>
      </c>
      <c r="N3782" s="9">
        <f t="shared" si="146"/>
        <v>253.02</v>
      </c>
    </row>
    <row r="3783" spans="1:14" ht="12.75" hidden="1" customHeight="1" x14ac:dyDescent="0.2">
      <c r="A3783">
        <v>65061</v>
      </c>
      <c r="B3783" s="3" t="s">
        <v>1253</v>
      </c>
      <c r="C3783" s="7" t="s">
        <v>418</v>
      </c>
      <c r="D3783" s="7" t="s">
        <v>200</v>
      </c>
      <c r="F3783" s="7" t="s">
        <v>600</v>
      </c>
      <c r="G3783" s="7" t="s">
        <v>1566</v>
      </c>
      <c r="H3783" s="7" t="s">
        <v>1362</v>
      </c>
      <c r="I3783" s="7" t="s">
        <v>1253</v>
      </c>
      <c r="K3783" s="7" t="s">
        <v>236</v>
      </c>
      <c r="L3783" s="11">
        <v>279.04000000000002</v>
      </c>
      <c r="M3783" s="11">
        <v>38557.19</v>
      </c>
      <c r="N3783" s="9">
        <f t="shared" si="146"/>
        <v>279.04000000000002</v>
      </c>
    </row>
    <row r="3784" spans="1:14" ht="12.75" hidden="1" customHeight="1" x14ac:dyDescent="0.2">
      <c r="A3784">
        <v>65061</v>
      </c>
      <c r="B3784" s="3" t="s">
        <v>1253</v>
      </c>
      <c r="C3784" s="7" t="s">
        <v>418</v>
      </c>
      <c r="D3784" s="7" t="s">
        <v>200</v>
      </c>
      <c r="F3784" s="7" t="s">
        <v>265</v>
      </c>
      <c r="G3784" s="7" t="s">
        <v>1566</v>
      </c>
      <c r="H3784" s="7" t="s">
        <v>1362</v>
      </c>
      <c r="I3784" s="7" t="s">
        <v>1253</v>
      </c>
      <c r="K3784" s="7" t="s">
        <v>236</v>
      </c>
      <c r="L3784" s="11">
        <v>89.95</v>
      </c>
      <c r="M3784" s="11">
        <v>38934.160000000003</v>
      </c>
      <c r="N3784" s="9">
        <f t="shared" si="146"/>
        <v>89.95</v>
      </c>
    </row>
    <row r="3785" spans="1:14" ht="12.75" hidden="1" customHeight="1" x14ac:dyDescent="0.2">
      <c r="A3785">
        <v>65061</v>
      </c>
      <c r="B3785" s="3" t="s">
        <v>1253</v>
      </c>
      <c r="C3785" s="7" t="s">
        <v>369</v>
      </c>
      <c r="D3785" s="7" t="s">
        <v>200</v>
      </c>
      <c r="F3785" s="7" t="s">
        <v>911</v>
      </c>
      <c r="G3785" s="7" t="s">
        <v>1566</v>
      </c>
      <c r="H3785" s="7" t="s">
        <v>1362</v>
      </c>
      <c r="I3785" s="7" t="s">
        <v>1253</v>
      </c>
      <c r="K3785" s="7" t="s">
        <v>236</v>
      </c>
      <c r="L3785" s="11">
        <v>150.41</v>
      </c>
      <c r="M3785" s="11">
        <v>40342.17</v>
      </c>
      <c r="N3785" s="9">
        <f t="shared" si="146"/>
        <v>150.41</v>
      </c>
    </row>
    <row r="3786" spans="1:14" ht="12.75" hidden="1" customHeight="1" x14ac:dyDescent="0.2">
      <c r="A3786">
        <v>65061</v>
      </c>
      <c r="B3786" s="3" t="s">
        <v>1253</v>
      </c>
      <c r="C3786" s="7" t="s">
        <v>907</v>
      </c>
      <c r="D3786" s="7" t="s">
        <v>200</v>
      </c>
      <c r="F3786" s="7" t="s">
        <v>908</v>
      </c>
      <c r="G3786" s="7" t="s">
        <v>1566</v>
      </c>
      <c r="H3786" s="7" t="s">
        <v>1362</v>
      </c>
      <c r="I3786" s="7" t="s">
        <v>1253</v>
      </c>
      <c r="K3786" s="7" t="s">
        <v>236</v>
      </c>
      <c r="L3786" s="11">
        <v>6</v>
      </c>
      <c r="M3786" s="11">
        <v>40714.720000000001</v>
      </c>
      <c r="N3786" s="9">
        <f t="shared" si="146"/>
        <v>6</v>
      </c>
    </row>
    <row r="3787" spans="1:14" ht="12.75" hidden="1" customHeight="1" x14ac:dyDescent="0.2">
      <c r="A3787">
        <v>65061</v>
      </c>
      <c r="B3787" s="3" t="s">
        <v>1253</v>
      </c>
      <c r="C3787" s="7" t="s">
        <v>907</v>
      </c>
      <c r="D3787" s="7" t="s">
        <v>200</v>
      </c>
      <c r="F3787" s="7" t="s">
        <v>265</v>
      </c>
      <c r="G3787" s="7" t="s">
        <v>1566</v>
      </c>
      <c r="H3787" s="7" t="s">
        <v>1362</v>
      </c>
      <c r="I3787" s="7" t="s">
        <v>1253</v>
      </c>
      <c r="K3787" s="7" t="s">
        <v>236</v>
      </c>
      <c r="L3787" s="11">
        <v>69.989999999999995</v>
      </c>
      <c r="M3787" s="11">
        <v>40784.71</v>
      </c>
      <c r="N3787" s="9">
        <f t="shared" si="146"/>
        <v>69.989999999999995</v>
      </c>
    </row>
    <row r="3788" spans="1:14" ht="12.75" hidden="1" customHeight="1" x14ac:dyDescent="0.2">
      <c r="A3788">
        <v>65061</v>
      </c>
      <c r="B3788" s="3" t="s">
        <v>1253</v>
      </c>
      <c r="C3788" s="7" t="s">
        <v>907</v>
      </c>
      <c r="D3788" s="7" t="s">
        <v>200</v>
      </c>
      <c r="F3788" s="7" t="s">
        <v>809</v>
      </c>
      <c r="G3788" s="7" t="s">
        <v>1566</v>
      </c>
      <c r="H3788" s="7" t="s">
        <v>1362</v>
      </c>
      <c r="I3788" s="7" t="s">
        <v>1253</v>
      </c>
      <c r="K3788" s="7" t="s">
        <v>236</v>
      </c>
      <c r="L3788" s="11">
        <v>10.7</v>
      </c>
      <c r="M3788" s="11">
        <v>40795.410000000003</v>
      </c>
      <c r="N3788" s="9">
        <f t="shared" si="146"/>
        <v>10.7</v>
      </c>
    </row>
    <row r="3789" spans="1:14" ht="12.75" hidden="1" customHeight="1" x14ac:dyDescent="0.2">
      <c r="A3789">
        <v>65061</v>
      </c>
      <c r="B3789" s="3" t="s">
        <v>1253</v>
      </c>
      <c r="C3789" s="7" t="s">
        <v>907</v>
      </c>
      <c r="D3789" s="7" t="s">
        <v>200</v>
      </c>
      <c r="F3789" s="7" t="s">
        <v>648</v>
      </c>
      <c r="G3789" s="7" t="s">
        <v>1566</v>
      </c>
      <c r="H3789" s="7" t="s">
        <v>1362</v>
      </c>
      <c r="I3789" s="7" t="s">
        <v>1253</v>
      </c>
      <c r="K3789" s="7" t="s">
        <v>236</v>
      </c>
      <c r="L3789" s="11">
        <v>75.53</v>
      </c>
      <c r="M3789" s="11">
        <v>40870.94</v>
      </c>
      <c r="N3789" s="9">
        <f t="shared" si="146"/>
        <v>75.53</v>
      </c>
    </row>
    <row r="3790" spans="1:14" ht="12.75" hidden="1" customHeight="1" x14ac:dyDescent="0.2">
      <c r="A3790">
        <v>65061</v>
      </c>
      <c r="B3790" s="3" t="s">
        <v>1253</v>
      </c>
      <c r="C3790" s="7" t="s">
        <v>907</v>
      </c>
      <c r="D3790" s="7" t="s">
        <v>200</v>
      </c>
      <c r="F3790" s="7" t="s">
        <v>568</v>
      </c>
      <c r="G3790" s="7" t="s">
        <v>1566</v>
      </c>
      <c r="H3790" s="7" t="s">
        <v>1362</v>
      </c>
      <c r="I3790" s="7" t="s">
        <v>1253</v>
      </c>
      <c r="K3790" s="7" t="s">
        <v>236</v>
      </c>
      <c r="L3790" s="11">
        <v>16.670000000000002</v>
      </c>
      <c r="M3790" s="11">
        <v>40887.61</v>
      </c>
      <c r="N3790" s="9">
        <f t="shared" si="146"/>
        <v>16.670000000000002</v>
      </c>
    </row>
    <row r="3791" spans="1:14" ht="12.75" hidden="1" customHeight="1" x14ac:dyDescent="0.2">
      <c r="A3791">
        <v>65061</v>
      </c>
      <c r="B3791" s="3" t="s">
        <v>1253</v>
      </c>
      <c r="C3791" s="7" t="s">
        <v>907</v>
      </c>
      <c r="D3791" s="7" t="s">
        <v>200</v>
      </c>
      <c r="F3791" s="7" t="s">
        <v>648</v>
      </c>
      <c r="G3791" s="7" t="s">
        <v>1566</v>
      </c>
      <c r="H3791" s="7" t="s">
        <v>1362</v>
      </c>
      <c r="I3791" s="7" t="s">
        <v>1253</v>
      </c>
      <c r="K3791" s="7" t="s">
        <v>236</v>
      </c>
      <c r="L3791" s="11">
        <v>64.739999999999995</v>
      </c>
      <c r="M3791" s="11">
        <v>40952.35</v>
      </c>
      <c r="N3791" s="9">
        <f t="shared" si="146"/>
        <v>64.739999999999995</v>
      </c>
    </row>
    <row r="3792" spans="1:14" ht="12.75" hidden="1" customHeight="1" x14ac:dyDescent="0.2">
      <c r="A3792">
        <v>65061</v>
      </c>
      <c r="B3792" s="3" t="s">
        <v>1253</v>
      </c>
      <c r="C3792" s="7" t="s">
        <v>367</v>
      </c>
      <c r="D3792" s="7" t="s">
        <v>200</v>
      </c>
      <c r="F3792" s="7" t="s">
        <v>241</v>
      </c>
      <c r="G3792" s="7" t="s">
        <v>1566</v>
      </c>
      <c r="H3792" s="7" t="s">
        <v>1362</v>
      </c>
      <c r="I3792" s="7" t="s">
        <v>1253</v>
      </c>
      <c r="K3792" s="7" t="s">
        <v>236</v>
      </c>
      <c r="L3792" s="11">
        <v>7.76</v>
      </c>
      <c r="M3792" s="11">
        <v>42865.2</v>
      </c>
      <c r="N3792" s="9">
        <f t="shared" si="146"/>
        <v>7.76</v>
      </c>
    </row>
    <row r="3793" spans="1:14" ht="12.75" hidden="1" customHeight="1" x14ac:dyDescent="0.2">
      <c r="A3793">
        <v>65061</v>
      </c>
      <c r="B3793" s="3" t="s">
        <v>1253</v>
      </c>
      <c r="C3793" s="7" t="s">
        <v>361</v>
      </c>
      <c r="D3793" s="7" t="s">
        <v>200</v>
      </c>
      <c r="F3793" s="7" t="s">
        <v>892</v>
      </c>
      <c r="G3793" s="7" t="s">
        <v>1566</v>
      </c>
      <c r="H3793" s="7" t="s">
        <v>1362</v>
      </c>
      <c r="I3793" s="7" t="s">
        <v>1253</v>
      </c>
      <c r="K3793" s="7" t="s">
        <v>236</v>
      </c>
      <c r="L3793" s="11">
        <v>75</v>
      </c>
      <c r="M3793" s="11">
        <v>43119.199999999997</v>
      </c>
      <c r="N3793" s="9">
        <f t="shared" si="146"/>
        <v>75</v>
      </c>
    </row>
    <row r="3794" spans="1:14" ht="12.75" hidden="1" customHeight="1" x14ac:dyDescent="0.2">
      <c r="A3794">
        <v>65061</v>
      </c>
      <c r="B3794" s="3" t="s">
        <v>1253</v>
      </c>
      <c r="C3794" s="7" t="s">
        <v>361</v>
      </c>
      <c r="D3794" s="7" t="s">
        <v>200</v>
      </c>
      <c r="F3794" s="7" t="s">
        <v>575</v>
      </c>
      <c r="G3794" s="7" t="s">
        <v>1566</v>
      </c>
      <c r="H3794" s="7" t="s">
        <v>1362</v>
      </c>
      <c r="I3794" s="7" t="s">
        <v>1253</v>
      </c>
      <c r="K3794" s="7" t="s">
        <v>236</v>
      </c>
      <c r="L3794" s="11">
        <v>4.54</v>
      </c>
      <c r="M3794" s="11">
        <v>43337.99</v>
      </c>
      <c r="N3794" s="9">
        <f t="shared" si="146"/>
        <v>4.54</v>
      </c>
    </row>
    <row r="3795" spans="1:14" ht="12.75" hidden="1" customHeight="1" x14ac:dyDescent="0.2">
      <c r="A3795">
        <v>65061</v>
      </c>
      <c r="B3795" s="3" t="s">
        <v>1253</v>
      </c>
      <c r="C3795" s="7" t="s">
        <v>361</v>
      </c>
      <c r="D3795" s="7" t="s">
        <v>200</v>
      </c>
      <c r="F3795" s="7" t="s">
        <v>600</v>
      </c>
      <c r="G3795" s="7" t="s">
        <v>1566</v>
      </c>
      <c r="H3795" s="7" t="s">
        <v>1362</v>
      </c>
      <c r="I3795" s="7" t="s">
        <v>1253</v>
      </c>
      <c r="K3795" s="7" t="s">
        <v>236</v>
      </c>
      <c r="L3795" s="11">
        <v>33.44</v>
      </c>
      <c r="M3795" s="11">
        <v>43371.43</v>
      </c>
      <c r="N3795" s="9">
        <f t="shared" si="146"/>
        <v>33.44</v>
      </c>
    </row>
    <row r="3796" spans="1:14" ht="12.75" hidden="1" customHeight="1" x14ac:dyDescent="0.2">
      <c r="A3796">
        <v>65061</v>
      </c>
      <c r="B3796" s="3" t="s">
        <v>1253</v>
      </c>
      <c r="C3796" s="7" t="s">
        <v>361</v>
      </c>
      <c r="D3796" s="7" t="s">
        <v>200</v>
      </c>
      <c r="F3796" s="7" t="s">
        <v>564</v>
      </c>
      <c r="G3796" s="7" t="s">
        <v>1566</v>
      </c>
      <c r="H3796" s="7" t="s">
        <v>1362</v>
      </c>
      <c r="I3796" s="7" t="s">
        <v>1253</v>
      </c>
      <c r="K3796" s="7" t="s">
        <v>236</v>
      </c>
      <c r="L3796" s="11">
        <v>32.15</v>
      </c>
      <c r="M3796" s="11">
        <v>43423.83</v>
      </c>
      <c r="N3796" s="9">
        <f t="shared" si="146"/>
        <v>32.15</v>
      </c>
    </row>
    <row r="3797" spans="1:14" ht="12.75" hidden="1" customHeight="1" x14ac:dyDescent="0.2">
      <c r="A3797">
        <v>65061</v>
      </c>
      <c r="B3797" s="3" t="s">
        <v>1253</v>
      </c>
      <c r="C3797" s="7" t="s">
        <v>361</v>
      </c>
      <c r="D3797" s="7" t="s">
        <v>200</v>
      </c>
      <c r="F3797" s="7" t="s">
        <v>564</v>
      </c>
      <c r="G3797" s="7" t="s">
        <v>1566</v>
      </c>
      <c r="H3797" s="7" t="s">
        <v>1362</v>
      </c>
      <c r="I3797" s="7" t="s">
        <v>1253</v>
      </c>
      <c r="K3797" s="7" t="s">
        <v>236</v>
      </c>
      <c r="L3797" s="11">
        <v>28.27</v>
      </c>
      <c r="M3797" s="11">
        <v>43452.1</v>
      </c>
      <c r="N3797" s="9">
        <f t="shared" si="146"/>
        <v>28.27</v>
      </c>
    </row>
    <row r="3798" spans="1:14" ht="12.75" hidden="1" customHeight="1" x14ac:dyDescent="0.2">
      <c r="A3798">
        <v>65061</v>
      </c>
      <c r="B3798" s="3" t="s">
        <v>1253</v>
      </c>
      <c r="C3798" s="7" t="s">
        <v>361</v>
      </c>
      <c r="D3798" s="7" t="s">
        <v>200</v>
      </c>
      <c r="F3798" s="7" t="s">
        <v>241</v>
      </c>
      <c r="G3798" s="7" t="s">
        <v>1566</v>
      </c>
      <c r="H3798" s="7" t="s">
        <v>1362</v>
      </c>
      <c r="I3798" s="7" t="s">
        <v>1253</v>
      </c>
      <c r="K3798" s="7" t="s">
        <v>236</v>
      </c>
      <c r="L3798" s="11">
        <v>21.66</v>
      </c>
      <c r="M3798" s="11">
        <v>43665.4</v>
      </c>
      <c r="N3798" s="9">
        <f t="shared" si="146"/>
        <v>21.66</v>
      </c>
    </row>
    <row r="3799" spans="1:14" ht="12.75" hidden="1" customHeight="1" x14ac:dyDescent="0.2">
      <c r="A3799">
        <v>65061</v>
      </c>
      <c r="B3799" s="3" t="s">
        <v>1253</v>
      </c>
      <c r="C3799" s="7" t="s">
        <v>361</v>
      </c>
      <c r="D3799" s="7" t="s">
        <v>200</v>
      </c>
      <c r="F3799" s="7" t="s">
        <v>241</v>
      </c>
      <c r="G3799" s="7" t="s">
        <v>1566</v>
      </c>
      <c r="H3799" s="7" t="s">
        <v>1362</v>
      </c>
      <c r="I3799" s="7" t="s">
        <v>1253</v>
      </c>
      <c r="K3799" s="7" t="s">
        <v>236</v>
      </c>
      <c r="L3799" s="11">
        <v>231.03</v>
      </c>
      <c r="M3799" s="11">
        <v>43896.43</v>
      </c>
      <c r="N3799" s="9">
        <f t="shared" si="146"/>
        <v>231.03</v>
      </c>
    </row>
    <row r="3800" spans="1:14" ht="12.75" hidden="1" customHeight="1" x14ac:dyDescent="0.2">
      <c r="A3800">
        <v>65061</v>
      </c>
      <c r="B3800" s="3" t="s">
        <v>1253</v>
      </c>
      <c r="C3800" s="7" t="s">
        <v>361</v>
      </c>
      <c r="D3800" s="7" t="s">
        <v>200</v>
      </c>
      <c r="F3800" s="7" t="s">
        <v>648</v>
      </c>
      <c r="G3800" s="7" t="s">
        <v>1566</v>
      </c>
      <c r="H3800" s="7" t="s">
        <v>1362</v>
      </c>
      <c r="I3800" s="7" t="s">
        <v>1253</v>
      </c>
      <c r="K3800" s="7" t="s">
        <v>236</v>
      </c>
      <c r="L3800" s="11">
        <v>78.760000000000005</v>
      </c>
      <c r="M3800" s="11">
        <v>44849.39</v>
      </c>
      <c r="N3800" s="9">
        <f t="shared" si="146"/>
        <v>78.760000000000005</v>
      </c>
    </row>
    <row r="3801" spans="1:14" ht="12.75" hidden="1" customHeight="1" x14ac:dyDescent="0.2">
      <c r="A3801">
        <v>65061</v>
      </c>
      <c r="B3801" s="3" t="s">
        <v>1253</v>
      </c>
      <c r="C3801" s="7" t="s">
        <v>897</v>
      </c>
      <c r="D3801" s="7" t="s">
        <v>200</v>
      </c>
      <c r="F3801" s="7" t="s">
        <v>241</v>
      </c>
      <c r="G3801" s="7" t="s">
        <v>1566</v>
      </c>
      <c r="H3801" s="7" t="s">
        <v>1362</v>
      </c>
      <c r="I3801" s="7" t="s">
        <v>1253</v>
      </c>
      <c r="K3801" s="7" t="s">
        <v>236</v>
      </c>
      <c r="L3801" s="11">
        <v>170.54</v>
      </c>
      <c r="M3801" s="11">
        <v>45517.51</v>
      </c>
      <c r="N3801" s="9">
        <f t="shared" ref="N3801:N3832" si="147">IF(A3801&lt;60000,-L3801,+L3801)</f>
        <v>170.54</v>
      </c>
    </row>
    <row r="3802" spans="1:14" ht="12.75" hidden="1" customHeight="1" x14ac:dyDescent="0.2">
      <c r="A3802">
        <v>65061</v>
      </c>
      <c r="B3802" s="3" t="s">
        <v>1253</v>
      </c>
      <c r="C3802" s="7" t="s">
        <v>359</v>
      </c>
      <c r="D3802" s="7" t="s">
        <v>200</v>
      </c>
      <c r="F3802" s="7" t="s">
        <v>600</v>
      </c>
      <c r="G3802" s="7" t="s">
        <v>1566</v>
      </c>
      <c r="H3802" s="7" t="s">
        <v>1362</v>
      </c>
      <c r="I3802" s="7" t="s">
        <v>1253</v>
      </c>
      <c r="K3802" s="7" t="s">
        <v>236</v>
      </c>
      <c r="L3802" s="11">
        <v>113.3</v>
      </c>
      <c r="M3802" s="11">
        <v>47031.22</v>
      </c>
      <c r="N3802" s="9">
        <f t="shared" si="147"/>
        <v>113.3</v>
      </c>
    </row>
    <row r="3803" spans="1:14" ht="12.75" hidden="1" customHeight="1" x14ac:dyDescent="0.2">
      <c r="A3803">
        <v>65061</v>
      </c>
      <c r="B3803" s="3" t="s">
        <v>1253</v>
      </c>
      <c r="C3803" s="7" t="s">
        <v>359</v>
      </c>
      <c r="D3803" s="7" t="s">
        <v>200</v>
      </c>
      <c r="F3803" s="7" t="s">
        <v>241</v>
      </c>
      <c r="G3803" s="7" t="s">
        <v>1566</v>
      </c>
      <c r="H3803" s="7" t="s">
        <v>1362</v>
      </c>
      <c r="I3803" s="7" t="s">
        <v>1253</v>
      </c>
      <c r="K3803" s="7" t="s">
        <v>236</v>
      </c>
      <c r="L3803" s="11">
        <v>57.84</v>
      </c>
      <c r="M3803" s="11">
        <v>47089.06</v>
      </c>
      <c r="N3803" s="9">
        <f t="shared" si="147"/>
        <v>57.84</v>
      </c>
    </row>
    <row r="3804" spans="1:14" ht="12.75" hidden="1" customHeight="1" x14ac:dyDescent="0.2">
      <c r="A3804">
        <v>65061</v>
      </c>
      <c r="B3804" s="3" t="s">
        <v>1253</v>
      </c>
      <c r="C3804" s="7" t="s">
        <v>359</v>
      </c>
      <c r="D3804" s="7" t="s">
        <v>200</v>
      </c>
      <c r="F3804" s="7" t="s">
        <v>648</v>
      </c>
      <c r="G3804" s="7" t="s">
        <v>1566</v>
      </c>
      <c r="H3804" s="7" t="s">
        <v>1362</v>
      </c>
      <c r="I3804" s="7" t="s">
        <v>1253</v>
      </c>
      <c r="K3804" s="7" t="s">
        <v>236</v>
      </c>
      <c r="L3804" s="11">
        <v>296.75</v>
      </c>
      <c r="M3804" s="11">
        <v>47385.81</v>
      </c>
      <c r="N3804" s="9">
        <f t="shared" si="147"/>
        <v>296.75</v>
      </c>
    </row>
    <row r="3805" spans="1:14" ht="12.75" hidden="1" customHeight="1" x14ac:dyDescent="0.2">
      <c r="A3805">
        <v>65061</v>
      </c>
      <c r="B3805" s="3" t="s">
        <v>1253</v>
      </c>
      <c r="C3805" s="7" t="s">
        <v>359</v>
      </c>
      <c r="D3805" s="7" t="s">
        <v>200</v>
      </c>
      <c r="F3805" s="7" t="s">
        <v>648</v>
      </c>
      <c r="G3805" s="7" t="s">
        <v>1566</v>
      </c>
      <c r="H3805" s="7" t="s">
        <v>1362</v>
      </c>
      <c r="I3805" s="7" t="s">
        <v>1253</v>
      </c>
      <c r="K3805" s="7" t="s">
        <v>236</v>
      </c>
      <c r="L3805" s="11">
        <v>21.57</v>
      </c>
      <c r="M3805" s="11">
        <v>47427.61</v>
      </c>
      <c r="N3805" s="9">
        <f t="shared" si="147"/>
        <v>21.57</v>
      </c>
    </row>
    <row r="3806" spans="1:14" ht="12.75" hidden="1" customHeight="1" x14ac:dyDescent="0.2">
      <c r="A3806">
        <v>65061</v>
      </c>
      <c r="B3806" s="3" t="s">
        <v>1253</v>
      </c>
      <c r="C3806" s="7" t="s">
        <v>359</v>
      </c>
      <c r="D3806" s="7" t="s">
        <v>200</v>
      </c>
      <c r="F3806" s="7" t="s">
        <v>600</v>
      </c>
      <c r="G3806" s="7" t="s">
        <v>1566</v>
      </c>
      <c r="H3806" s="7" t="s">
        <v>1362</v>
      </c>
      <c r="I3806" s="7" t="s">
        <v>1253</v>
      </c>
      <c r="K3806" s="7" t="s">
        <v>236</v>
      </c>
      <c r="L3806" s="11">
        <v>82.57</v>
      </c>
      <c r="M3806" s="11">
        <v>47568.160000000003</v>
      </c>
      <c r="N3806" s="9">
        <f t="shared" si="147"/>
        <v>82.57</v>
      </c>
    </row>
    <row r="3807" spans="1:14" ht="12.75" hidden="1" customHeight="1" x14ac:dyDescent="0.2">
      <c r="A3807">
        <v>65061</v>
      </c>
      <c r="B3807" s="3" t="s">
        <v>1253</v>
      </c>
      <c r="C3807" s="7" t="s">
        <v>356</v>
      </c>
      <c r="D3807" s="7" t="s">
        <v>242</v>
      </c>
      <c r="F3807" s="7" t="s">
        <v>241</v>
      </c>
      <c r="G3807" s="7" t="s">
        <v>1566</v>
      </c>
      <c r="H3807" s="7" t="s">
        <v>1362</v>
      </c>
      <c r="I3807" s="7" t="s">
        <v>1253</v>
      </c>
      <c r="K3807" s="7" t="s">
        <v>236</v>
      </c>
      <c r="L3807" s="11">
        <v>-47.03</v>
      </c>
      <c r="M3807" s="11">
        <v>50813.78</v>
      </c>
      <c r="N3807" s="9">
        <f t="shared" si="147"/>
        <v>-47.03</v>
      </c>
    </row>
    <row r="3808" spans="1:14" ht="12.75" hidden="1" customHeight="1" x14ac:dyDescent="0.2">
      <c r="A3808">
        <v>65061</v>
      </c>
      <c r="B3808" s="3" t="s">
        <v>1253</v>
      </c>
      <c r="C3808" s="7" t="s">
        <v>356</v>
      </c>
      <c r="D3808" s="7" t="s">
        <v>200</v>
      </c>
      <c r="F3808" s="7" t="s">
        <v>564</v>
      </c>
      <c r="G3808" s="7" t="s">
        <v>1566</v>
      </c>
      <c r="H3808" s="7" t="s">
        <v>1362</v>
      </c>
      <c r="I3808" s="7" t="s">
        <v>1253</v>
      </c>
      <c r="K3808" s="7" t="s">
        <v>236</v>
      </c>
      <c r="L3808" s="11">
        <v>15.77</v>
      </c>
      <c r="M3808" s="11">
        <v>50849.51</v>
      </c>
      <c r="N3808" s="9">
        <f t="shared" si="147"/>
        <v>15.77</v>
      </c>
    </row>
    <row r="3809" spans="1:14" ht="12.75" hidden="1" customHeight="1" x14ac:dyDescent="0.2">
      <c r="A3809">
        <v>65061</v>
      </c>
      <c r="B3809" s="3" t="s">
        <v>1253</v>
      </c>
      <c r="C3809" s="7" t="s">
        <v>353</v>
      </c>
      <c r="D3809" s="7" t="s">
        <v>200</v>
      </c>
      <c r="F3809" s="7" t="s">
        <v>892</v>
      </c>
      <c r="G3809" s="7" t="s">
        <v>1566</v>
      </c>
      <c r="H3809" s="7" t="s">
        <v>1362</v>
      </c>
      <c r="I3809" s="7" t="s">
        <v>1253</v>
      </c>
      <c r="K3809" s="7" t="s">
        <v>236</v>
      </c>
      <c r="L3809" s="11">
        <v>24</v>
      </c>
      <c r="M3809" s="11">
        <v>51034.83</v>
      </c>
      <c r="N3809" s="9">
        <f t="shared" si="147"/>
        <v>24</v>
      </c>
    </row>
    <row r="3810" spans="1:14" ht="12.75" hidden="1" customHeight="1" x14ac:dyDescent="0.2">
      <c r="A3810">
        <v>65061</v>
      </c>
      <c r="B3810" s="3" t="s">
        <v>1253</v>
      </c>
      <c r="C3810" s="7" t="s">
        <v>353</v>
      </c>
      <c r="D3810" s="7" t="s">
        <v>200</v>
      </c>
      <c r="F3810" s="7" t="s">
        <v>355</v>
      </c>
      <c r="G3810" s="7" t="s">
        <v>1566</v>
      </c>
      <c r="H3810" s="7" t="s">
        <v>1362</v>
      </c>
      <c r="I3810" s="7" t="s">
        <v>1253</v>
      </c>
      <c r="K3810" s="7" t="s">
        <v>236</v>
      </c>
      <c r="L3810" s="11">
        <v>58.2</v>
      </c>
      <c r="M3810" s="11">
        <v>51402.02</v>
      </c>
      <c r="N3810" s="9">
        <f t="shared" si="147"/>
        <v>58.2</v>
      </c>
    </row>
    <row r="3811" spans="1:14" ht="12.75" hidden="1" customHeight="1" x14ac:dyDescent="0.2">
      <c r="A3811">
        <v>65061</v>
      </c>
      <c r="B3811" s="3" t="s">
        <v>1253</v>
      </c>
      <c r="C3811" s="7" t="s">
        <v>353</v>
      </c>
      <c r="D3811" s="7" t="s">
        <v>200</v>
      </c>
      <c r="F3811" s="7" t="s">
        <v>889</v>
      </c>
      <c r="G3811" s="7" t="s">
        <v>1566</v>
      </c>
      <c r="H3811" s="7" t="s">
        <v>1362</v>
      </c>
      <c r="I3811" s="7" t="s">
        <v>1253</v>
      </c>
      <c r="K3811" s="7" t="s">
        <v>236</v>
      </c>
      <c r="L3811" s="11">
        <v>11.78</v>
      </c>
      <c r="M3811" s="11">
        <v>52501.68</v>
      </c>
      <c r="N3811" s="9">
        <f t="shared" si="147"/>
        <v>11.78</v>
      </c>
    </row>
    <row r="3812" spans="1:14" ht="12.75" hidden="1" customHeight="1" x14ac:dyDescent="0.2">
      <c r="A3812">
        <v>65061</v>
      </c>
      <c r="B3812" s="3" t="s">
        <v>1253</v>
      </c>
      <c r="C3812" s="7" t="s">
        <v>353</v>
      </c>
      <c r="D3812" s="7" t="s">
        <v>242</v>
      </c>
      <c r="F3812" s="7" t="s">
        <v>241</v>
      </c>
      <c r="G3812" s="7" t="s">
        <v>1566</v>
      </c>
      <c r="H3812" s="7" t="s">
        <v>1362</v>
      </c>
      <c r="I3812" s="7" t="s">
        <v>1253</v>
      </c>
      <c r="K3812" s="7" t="s">
        <v>236</v>
      </c>
      <c r="L3812" s="11">
        <v>-43.17</v>
      </c>
      <c r="M3812" s="11">
        <v>52994.64</v>
      </c>
      <c r="N3812" s="9">
        <f t="shared" si="147"/>
        <v>-43.17</v>
      </c>
    </row>
    <row r="3813" spans="1:14" ht="12.75" hidden="1" customHeight="1" x14ac:dyDescent="0.2">
      <c r="A3813">
        <v>65061</v>
      </c>
      <c r="B3813" s="3" t="s">
        <v>1253</v>
      </c>
      <c r="C3813" s="7" t="s">
        <v>353</v>
      </c>
      <c r="D3813" s="7" t="s">
        <v>200</v>
      </c>
      <c r="F3813" s="7" t="s">
        <v>241</v>
      </c>
      <c r="G3813" s="7" t="s">
        <v>1566</v>
      </c>
      <c r="H3813" s="7" t="s">
        <v>1362</v>
      </c>
      <c r="I3813" s="7" t="s">
        <v>1253</v>
      </c>
      <c r="K3813" s="7" t="s">
        <v>236</v>
      </c>
      <c r="L3813" s="11">
        <v>43.17</v>
      </c>
      <c r="M3813" s="11">
        <v>53037.81</v>
      </c>
      <c r="N3813" s="9">
        <f t="shared" si="147"/>
        <v>43.17</v>
      </c>
    </row>
    <row r="3814" spans="1:14" ht="12.75" hidden="1" customHeight="1" x14ac:dyDescent="0.2">
      <c r="A3814">
        <v>65061</v>
      </c>
      <c r="B3814" s="3" t="s">
        <v>1253</v>
      </c>
      <c r="C3814" s="7" t="s">
        <v>353</v>
      </c>
      <c r="D3814" s="7" t="s">
        <v>200</v>
      </c>
      <c r="E3814" s="7">
        <v>1001</v>
      </c>
      <c r="F3814" s="7" t="s">
        <v>886</v>
      </c>
      <c r="G3814" s="7" t="s">
        <v>1566</v>
      </c>
      <c r="H3814" s="7" t="s">
        <v>1362</v>
      </c>
      <c r="I3814" s="7" t="s">
        <v>1253</v>
      </c>
      <c r="K3814" s="7" t="s">
        <v>236</v>
      </c>
      <c r="L3814" s="11">
        <v>127.97</v>
      </c>
      <c r="M3814" s="11">
        <v>53183.7</v>
      </c>
      <c r="N3814" s="9">
        <f t="shared" si="147"/>
        <v>127.97</v>
      </c>
    </row>
    <row r="3815" spans="1:14" ht="12.75" hidden="1" customHeight="1" x14ac:dyDescent="0.2">
      <c r="A3815">
        <v>65061</v>
      </c>
      <c r="B3815" s="3" t="s">
        <v>1253</v>
      </c>
      <c r="C3815" s="7" t="s">
        <v>353</v>
      </c>
      <c r="D3815" s="7" t="s">
        <v>200</v>
      </c>
      <c r="F3815" s="7" t="s">
        <v>884</v>
      </c>
      <c r="G3815" s="7" t="s">
        <v>1566</v>
      </c>
      <c r="H3815" s="7" t="s">
        <v>1362</v>
      </c>
      <c r="I3815" s="7" t="s">
        <v>1253</v>
      </c>
      <c r="K3815" s="7" t="s">
        <v>236</v>
      </c>
      <c r="L3815" s="11">
        <v>125</v>
      </c>
      <c r="M3815" s="11">
        <v>53551.96</v>
      </c>
      <c r="N3815" s="9">
        <f t="shared" si="147"/>
        <v>125</v>
      </c>
    </row>
    <row r="3816" spans="1:14" ht="12.75" hidden="1" customHeight="1" x14ac:dyDescent="0.2">
      <c r="A3816">
        <v>65061</v>
      </c>
      <c r="B3816" s="3" t="s">
        <v>1253</v>
      </c>
      <c r="C3816" s="7" t="s">
        <v>353</v>
      </c>
      <c r="D3816" s="7" t="s">
        <v>200</v>
      </c>
      <c r="F3816" s="7" t="s">
        <v>564</v>
      </c>
      <c r="G3816" s="7" t="s">
        <v>1566</v>
      </c>
      <c r="H3816" s="7" t="s">
        <v>1362</v>
      </c>
      <c r="I3816" s="7" t="s">
        <v>1253</v>
      </c>
      <c r="K3816" s="7" t="s">
        <v>236</v>
      </c>
      <c r="L3816" s="11">
        <v>11.71</v>
      </c>
      <c r="M3816" s="11">
        <v>53743.31</v>
      </c>
      <c r="N3816" s="9">
        <f t="shared" si="147"/>
        <v>11.71</v>
      </c>
    </row>
    <row r="3817" spans="1:14" ht="12.75" hidden="1" customHeight="1" x14ac:dyDescent="0.2">
      <c r="A3817">
        <v>65061</v>
      </c>
      <c r="B3817" s="3" t="s">
        <v>1253</v>
      </c>
      <c r="C3817" s="7" t="s">
        <v>353</v>
      </c>
      <c r="D3817" s="7" t="s">
        <v>200</v>
      </c>
      <c r="F3817" s="7" t="s">
        <v>564</v>
      </c>
      <c r="G3817" s="7" t="s">
        <v>1566</v>
      </c>
      <c r="H3817" s="7" t="s">
        <v>1362</v>
      </c>
      <c r="I3817" s="7" t="s">
        <v>1253</v>
      </c>
      <c r="K3817" s="7" t="s">
        <v>236</v>
      </c>
      <c r="L3817" s="11">
        <v>14.94</v>
      </c>
      <c r="M3817" s="11">
        <v>53758.25</v>
      </c>
      <c r="N3817" s="9">
        <f t="shared" si="147"/>
        <v>14.94</v>
      </c>
    </row>
    <row r="3818" spans="1:14" ht="12.75" hidden="1" customHeight="1" x14ac:dyDescent="0.2">
      <c r="A3818">
        <v>65061</v>
      </c>
      <c r="B3818" s="3" t="s">
        <v>1253</v>
      </c>
      <c r="C3818" s="7" t="s">
        <v>353</v>
      </c>
      <c r="D3818" s="7" t="s">
        <v>200</v>
      </c>
      <c r="F3818" s="7" t="s">
        <v>564</v>
      </c>
      <c r="G3818" s="7" t="s">
        <v>1566</v>
      </c>
      <c r="H3818" s="7" t="s">
        <v>1362</v>
      </c>
      <c r="I3818" s="7" t="s">
        <v>1253</v>
      </c>
      <c r="K3818" s="7" t="s">
        <v>236</v>
      </c>
      <c r="L3818" s="11">
        <v>28.92</v>
      </c>
      <c r="M3818" s="11">
        <v>53787.17</v>
      </c>
      <c r="N3818" s="9">
        <f t="shared" si="147"/>
        <v>28.92</v>
      </c>
    </row>
    <row r="3819" spans="1:14" ht="12.75" hidden="1" customHeight="1" x14ac:dyDescent="0.2">
      <c r="A3819">
        <v>65061</v>
      </c>
      <c r="B3819" s="3" t="s">
        <v>1253</v>
      </c>
      <c r="C3819" s="7" t="s">
        <v>353</v>
      </c>
      <c r="D3819" s="7" t="s">
        <v>200</v>
      </c>
      <c r="F3819" s="7" t="s">
        <v>564</v>
      </c>
      <c r="G3819" s="7" t="s">
        <v>1566</v>
      </c>
      <c r="H3819" s="7" t="s">
        <v>1362</v>
      </c>
      <c r="I3819" s="7" t="s">
        <v>1253</v>
      </c>
      <c r="K3819" s="7" t="s">
        <v>236</v>
      </c>
      <c r="L3819" s="11">
        <v>42.83</v>
      </c>
      <c r="M3819" s="11">
        <v>53830</v>
      </c>
      <c r="N3819" s="9">
        <f t="shared" si="147"/>
        <v>42.83</v>
      </c>
    </row>
    <row r="3820" spans="1:14" ht="12.75" hidden="1" customHeight="1" x14ac:dyDescent="0.2">
      <c r="A3820">
        <v>65061</v>
      </c>
      <c r="B3820" s="3" t="s">
        <v>1253</v>
      </c>
      <c r="C3820" s="7" t="s">
        <v>353</v>
      </c>
      <c r="D3820" s="7" t="s">
        <v>200</v>
      </c>
      <c r="F3820" s="7" t="s">
        <v>564</v>
      </c>
      <c r="G3820" s="7" t="s">
        <v>1566</v>
      </c>
      <c r="H3820" s="7" t="s">
        <v>1362</v>
      </c>
      <c r="I3820" s="7" t="s">
        <v>1253</v>
      </c>
      <c r="K3820" s="7" t="s">
        <v>236</v>
      </c>
      <c r="L3820" s="11">
        <v>7</v>
      </c>
      <c r="M3820" s="11">
        <v>53837</v>
      </c>
      <c r="N3820" s="9">
        <f t="shared" si="147"/>
        <v>7</v>
      </c>
    </row>
    <row r="3821" spans="1:14" ht="12.75" hidden="1" customHeight="1" x14ac:dyDescent="0.2">
      <c r="A3821">
        <v>65061</v>
      </c>
      <c r="B3821" s="3" t="s">
        <v>1253</v>
      </c>
      <c r="C3821" s="7" t="s">
        <v>351</v>
      </c>
      <c r="D3821" s="7" t="s">
        <v>242</v>
      </c>
      <c r="F3821" s="7" t="s">
        <v>648</v>
      </c>
      <c r="G3821" s="7" t="s">
        <v>1566</v>
      </c>
      <c r="H3821" s="7" t="s">
        <v>1362</v>
      </c>
      <c r="I3821" s="7" t="s">
        <v>1253</v>
      </c>
      <c r="K3821" s="7" t="s">
        <v>236</v>
      </c>
      <c r="L3821" s="11">
        <v>-169.43</v>
      </c>
      <c r="M3821" s="11">
        <v>54276.59</v>
      </c>
      <c r="N3821" s="9">
        <f t="shared" si="147"/>
        <v>-169.43</v>
      </c>
    </row>
    <row r="3822" spans="1:14" ht="12.75" hidden="1" customHeight="1" x14ac:dyDescent="0.2">
      <c r="A3822">
        <v>65061</v>
      </c>
      <c r="B3822" s="3" t="s">
        <v>1253</v>
      </c>
      <c r="C3822" s="7" t="s">
        <v>351</v>
      </c>
      <c r="D3822" s="7" t="s">
        <v>242</v>
      </c>
      <c r="F3822" s="7" t="s">
        <v>578</v>
      </c>
      <c r="G3822" s="7" t="s">
        <v>1566</v>
      </c>
      <c r="H3822" s="7" t="s">
        <v>1362</v>
      </c>
      <c r="I3822" s="7" t="s">
        <v>1253</v>
      </c>
      <c r="K3822" s="7" t="s">
        <v>236</v>
      </c>
      <c r="L3822" s="11">
        <v>-32.119999999999997</v>
      </c>
      <c r="M3822" s="11">
        <v>54271.040000000001</v>
      </c>
      <c r="N3822" s="9">
        <f t="shared" si="147"/>
        <v>-32.119999999999997</v>
      </c>
    </row>
    <row r="3823" spans="1:14" ht="12.75" hidden="1" customHeight="1" x14ac:dyDescent="0.2">
      <c r="A3823">
        <v>65061</v>
      </c>
      <c r="B3823" s="3" t="s">
        <v>1253</v>
      </c>
      <c r="C3823" s="7" t="s">
        <v>855</v>
      </c>
      <c r="D3823" s="7" t="s">
        <v>200</v>
      </c>
      <c r="F3823" s="7" t="s">
        <v>564</v>
      </c>
      <c r="G3823" s="7" t="s">
        <v>1566</v>
      </c>
      <c r="H3823" s="7" t="s">
        <v>1362</v>
      </c>
      <c r="I3823" s="7" t="s">
        <v>1253</v>
      </c>
      <c r="K3823" s="7" t="s">
        <v>236</v>
      </c>
      <c r="L3823" s="11">
        <v>62.25</v>
      </c>
      <c r="M3823" s="11">
        <v>69398.559999999998</v>
      </c>
      <c r="N3823" s="9">
        <f t="shared" si="147"/>
        <v>62.25</v>
      </c>
    </row>
    <row r="3824" spans="1:14" ht="12.75" hidden="1" customHeight="1" x14ac:dyDescent="0.2">
      <c r="A3824">
        <v>65061</v>
      </c>
      <c r="B3824" s="3" t="s">
        <v>1253</v>
      </c>
      <c r="C3824" s="7" t="s">
        <v>855</v>
      </c>
      <c r="D3824" s="7" t="s">
        <v>200</v>
      </c>
      <c r="F3824" s="7" t="s">
        <v>564</v>
      </c>
      <c r="G3824" s="7" t="s">
        <v>1566</v>
      </c>
      <c r="H3824" s="7" t="s">
        <v>1362</v>
      </c>
      <c r="I3824" s="7" t="s">
        <v>1253</v>
      </c>
      <c r="K3824" s="7" t="s">
        <v>236</v>
      </c>
      <c r="L3824" s="11">
        <v>191.83</v>
      </c>
      <c r="M3824" s="11">
        <v>69590.39</v>
      </c>
      <c r="N3824" s="9">
        <f t="shared" si="147"/>
        <v>191.83</v>
      </c>
    </row>
    <row r="3825" spans="1:14" ht="12.75" hidden="1" customHeight="1" x14ac:dyDescent="0.2">
      <c r="A3825">
        <v>65061</v>
      </c>
      <c r="B3825" s="3" t="s">
        <v>1253</v>
      </c>
      <c r="C3825" s="7" t="s">
        <v>855</v>
      </c>
      <c r="D3825" s="7" t="s">
        <v>200</v>
      </c>
      <c r="F3825" s="7" t="s">
        <v>856</v>
      </c>
      <c r="G3825" s="7" t="s">
        <v>1566</v>
      </c>
      <c r="H3825" s="7" t="s">
        <v>1362</v>
      </c>
      <c r="I3825" s="7" t="s">
        <v>1253</v>
      </c>
      <c r="K3825" s="7" t="s">
        <v>236</v>
      </c>
      <c r="L3825" s="11">
        <v>106.7</v>
      </c>
      <c r="M3825" s="11">
        <v>69868.97</v>
      </c>
      <c r="N3825" s="9">
        <f t="shared" si="147"/>
        <v>106.7</v>
      </c>
    </row>
    <row r="3826" spans="1:14" ht="12.75" hidden="1" customHeight="1" x14ac:dyDescent="0.2">
      <c r="A3826">
        <v>65061</v>
      </c>
      <c r="B3826" s="3" t="s">
        <v>1253</v>
      </c>
      <c r="C3826" s="7" t="s">
        <v>855</v>
      </c>
      <c r="D3826" s="7" t="s">
        <v>200</v>
      </c>
      <c r="F3826" s="7" t="s">
        <v>241</v>
      </c>
      <c r="G3826" s="7" t="s">
        <v>1566</v>
      </c>
      <c r="H3826" s="7" t="s">
        <v>1362</v>
      </c>
      <c r="I3826" s="7" t="s">
        <v>1253</v>
      </c>
      <c r="K3826" s="7" t="s">
        <v>236</v>
      </c>
      <c r="L3826" s="11">
        <v>260.63</v>
      </c>
      <c r="M3826" s="11">
        <v>70129.600000000006</v>
      </c>
      <c r="N3826" s="9">
        <f t="shared" si="147"/>
        <v>260.63</v>
      </c>
    </row>
    <row r="3827" spans="1:14" ht="12.75" hidden="1" customHeight="1" x14ac:dyDescent="0.2">
      <c r="A3827">
        <v>65061</v>
      </c>
      <c r="B3827" s="3" t="s">
        <v>1253</v>
      </c>
      <c r="C3827" s="7" t="s">
        <v>855</v>
      </c>
      <c r="D3827" s="7" t="s">
        <v>200</v>
      </c>
      <c r="F3827" s="7" t="s">
        <v>548</v>
      </c>
      <c r="G3827" s="7" t="s">
        <v>1566</v>
      </c>
      <c r="H3827" s="7" t="s">
        <v>1362</v>
      </c>
      <c r="I3827" s="7" t="s">
        <v>1253</v>
      </c>
      <c r="K3827" s="7" t="s">
        <v>236</v>
      </c>
      <c r="L3827" s="11">
        <v>49.61</v>
      </c>
      <c r="M3827" s="11">
        <v>70236.72</v>
      </c>
      <c r="N3827" s="9">
        <f t="shared" si="147"/>
        <v>49.61</v>
      </c>
    </row>
    <row r="3828" spans="1:14" ht="12.75" hidden="1" customHeight="1" x14ac:dyDescent="0.2">
      <c r="A3828">
        <v>65061</v>
      </c>
      <c r="B3828" s="3" t="s">
        <v>1253</v>
      </c>
      <c r="C3828" s="7" t="s">
        <v>855</v>
      </c>
      <c r="D3828" s="7" t="s">
        <v>200</v>
      </c>
      <c r="F3828" s="7" t="s">
        <v>648</v>
      </c>
      <c r="G3828" s="7" t="s">
        <v>1566</v>
      </c>
      <c r="H3828" s="7" t="s">
        <v>1362</v>
      </c>
      <c r="I3828" s="7" t="s">
        <v>1253</v>
      </c>
      <c r="K3828" s="7" t="s">
        <v>236</v>
      </c>
      <c r="L3828" s="11">
        <v>343.19</v>
      </c>
      <c r="M3828" s="11">
        <v>70579.91</v>
      </c>
      <c r="N3828" s="9">
        <f t="shared" si="147"/>
        <v>343.19</v>
      </c>
    </row>
    <row r="3829" spans="1:14" ht="12.75" hidden="1" customHeight="1" x14ac:dyDescent="0.2">
      <c r="A3829">
        <v>65061</v>
      </c>
      <c r="B3829" s="3" t="s">
        <v>1253</v>
      </c>
      <c r="C3829" s="7" t="s">
        <v>308</v>
      </c>
      <c r="D3829" s="7" t="s">
        <v>242</v>
      </c>
      <c r="F3829" s="7" t="s">
        <v>564</v>
      </c>
      <c r="G3829" s="7" t="s">
        <v>1566</v>
      </c>
      <c r="H3829" s="7" t="s">
        <v>1362</v>
      </c>
      <c r="I3829" s="7" t="s">
        <v>1253</v>
      </c>
      <c r="K3829" s="7" t="s">
        <v>236</v>
      </c>
      <c r="L3829" s="11">
        <v>-29.77</v>
      </c>
      <c r="M3829" s="11">
        <v>75278.63</v>
      </c>
      <c r="N3829" s="9">
        <f t="shared" si="147"/>
        <v>-29.77</v>
      </c>
    </row>
    <row r="3830" spans="1:14" ht="12.75" hidden="1" customHeight="1" x14ac:dyDescent="0.2">
      <c r="A3830">
        <v>65061</v>
      </c>
      <c r="B3830" s="3" t="s">
        <v>1253</v>
      </c>
      <c r="C3830" s="7" t="s">
        <v>290</v>
      </c>
      <c r="D3830" s="7" t="s">
        <v>200</v>
      </c>
      <c r="F3830" s="7" t="s">
        <v>648</v>
      </c>
      <c r="G3830" s="7" t="s">
        <v>1566</v>
      </c>
      <c r="H3830" s="7" t="s">
        <v>1362</v>
      </c>
      <c r="I3830" s="7" t="s">
        <v>1253</v>
      </c>
      <c r="K3830" s="7" t="s">
        <v>236</v>
      </c>
      <c r="L3830" s="11">
        <v>36.39</v>
      </c>
      <c r="M3830" s="11">
        <v>88316.06</v>
      </c>
      <c r="N3830" s="9">
        <f t="shared" si="147"/>
        <v>36.39</v>
      </c>
    </row>
    <row r="3831" spans="1:14" ht="12.75" hidden="1" customHeight="1" x14ac:dyDescent="0.2">
      <c r="A3831">
        <v>65061</v>
      </c>
      <c r="B3831" s="3" t="s">
        <v>1253</v>
      </c>
      <c r="C3831" s="7" t="s">
        <v>290</v>
      </c>
      <c r="D3831" s="7" t="s">
        <v>200</v>
      </c>
      <c r="F3831" s="7" t="s">
        <v>648</v>
      </c>
      <c r="G3831" s="7" t="s">
        <v>1566</v>
      </c>
      <c r="H3831" s="7" t="s">
        <v>1362</v>
      </c>
      <c r="I3831" s="7" t="s">
        <v>1253</v>
      </c>
      <c r="K3831" s="7" t="s">
        <v>236</v>
      </c>
      <c r="L3831" s="11">
        <v>161.88</v>
      </c>
      <c r="M3831" s="11">
        <v>88477.94</v>
      </c>
      <c r="N3831" s="9">
        <f t="shared" si="147"/>
        <v>161.88</v>
      </c>
    </row>
    <row r="3832" spans="1:14" ht="12.75" hidden="1" customHeight="1" x14ac:dyDescent="0.2">
      <c r="A3832">
        <v>65061</v>
      </c>
      <c r="B3832" s="3" t="s">
        <v>1253</v>
      </c>
      <c r="C3832" s="7" t="s">
        <v>290</v>
      </c>
      <c r="D3832" s="7" t="s">
        <v>200</v>
      </c>
      <c r="F3832" s="7" t="s">
        <v>809</v>
      </c>
      <c r="G3832" s="7" t="s">
        <v>1566</v>
      </c>
      <c r="H3832" s="7" t="s">
        <v>1362</v>
      </c>
      <c r="I3832" s="7" t="s">
        <v>1253</v>
      </c>
      <c r="K3832" s="7" t="s">
        <v>236</v>
      </c>
      <c r="L3832" s="11">
        <v>133.29</v>
      </c>
      <c r="M3832" s="11">
        <v>88635.3</v>
      </c>
      <c r="N3832" s="9">
        <f t="shared" si="147"/>
        <v>133.29</v>
      </c>
    </row>
    <row r="3833" spans="1:14" ht="12.75" hidden="1" customHeight="1" x14ac:dyDescent="0.2">
      <c r="A3833">
        <v>65061</v>
      </c>
      <c r="B3833" s="3" t="s">
        <v>1253</v>
      </c>
      <c r="C3833" s="7" t="s">
        <v>287</v>
      </c>
      <c r="D3833" s="7" t="s">
        <v>200</v>
      </c>
      <c r="F3833" s="7" t="s">
        <v>804</v>
      </c>
      <c r="G3833" s="7" t="s">
        <v>1566</v>
      </c>
      <c r="H3833" s="7" t="s">
        <v>1362</v>
      </c>
      <c r="I3833" s="7" t="s">
        <v>1253</v>
      </c>
      <c r="K3833" s="7" t="s">
        <v>236</v>
      </c>
      <c r="L3833" s="11">
        <v>80.47</v>
      </c>
      <c r="M3833" s="11">
        <v>89459.23</v>
      </c>
      <c r="N3833" s="9">
        <f t="shared" ref="N3833:N3864" si="148">IF(A3833&lt;60000,-L3833,+L3833)</f>
        <v>80.47</v>
      </c>
    </row>
    <row r="3834" spans="1:14" ht="12.75" hidden="1" customHeight="1" x14ac:dyDescent="0.2">
      <c r="A3834">
        <v>65061</v>
      </c>
      <c r="B3834" s="3" t="s">
        <v>1253</v>
      </c>
      <c r="C3834" s="7" t="s">
        <v>287</v>
      </c>
      <c r="D3834" s="7" t="s">
        <v>200</v>
      </c>
      <c r="F3834" s="7" t="s">
        <v>595</v>
      </c>
      <c r="G3834" s="7" t="s">
        <v>1566</v>
      </c>
      <c r="H3834" s="7" t="s">
        <v>1362</v>
      </c>
      <c r="I3834" s="7" t="s">
        <v>1253</v>
      </c>
      <c r="K3834" s="7" t="s">
        <v>236</v>
      </c>
      <c r="L3834" s="11">
        <v>140.86000000000001</v>
      </c>
      <c r="M3834" s="11">
        <v>90194.21</v>
      </c>
      <c r="N3834" s="9">
        <f t="shared" si="148"/>
        <v>140.86000000000001</v>
      </c>
    </row>
    <row r="3835" spans="1:14" ht="12.75" hidden="1" customHeight="1" x14ac:dyDescent="0.2">
      <c r="A3835">
        <v>65061</v>
      </c>
      <c r="B3835" s="3" t="s">
        <v>1253</v>
      </c>
      <c r="C3835" s="7" t="s">
        <v>287</v>
      </c>
      <c r="D3835" s="7" t="s">
        <v>200</v>
      </c>
      <c r="F3835" s="7" t="s">
        <v>241</v>
      </c>
      <c r="G3835" s="7" t="s">
        <v>1566</v>
      </c>
      <c r="H3835" s="7" t="s">
        <v>1362</v>
      </c>
      <c r="I3835" s="7" t="s">
        <v>1253</v>
      </c>
      <c r="K3835" s="7" t="s">
        <v>236</v>
      </c>
      <c r="L3835" s="11">
        <v>13.26</v>
      </c>
      <c r="M3835" s="11">
        <v>90452.05</v>
      </c>
      <c r="N3835" s="9">
        <f t="shared" si="148"/>
        <v>13.26</v>
      </c>
    </row>
    <row r="3836" spans="1:14" ht="12.75" hidden="1" customHeight="1" x14ac:dyDescent="0.2">
      <c r="A3836">
        <v>65061</v>
      </c>
      <c r="B3836" s="3" t="s">
        <v>1253</v>
      </c>
      <c r="C3836" s="7" t="s">
        <v>284</v>
      </c>
      <c r="D3836" s="7" t="s">
        <v>200</v>
      </c>
      <c r="F3836" s="7" t="s">
        <v>804</v>
      </c>
      <c r="G3836" s="7" t="s">
        <v>1566</v>
      </c>
      <c r="H3836" s="7" t="s">
        <v>1362</v>
      </c>
      <c r="I3836" s="7" t="s">
        <v>1253</v>
      </c>
      <c r="K3836" s="7" t="s">
        <v>236</v>
      </c>
      <c r="L3836" s="11">
        <v>45.17</v>
      </c>
      <c r="M3836" s="11">
        <v>90513.94</v>
      </c>
      <c r="N3836" s="9">
        <f t="shared" si="148"/>
        <v>45.17</v>
      </c>
    </row>
    <row r="3837" spans="1:14" ht="12.75" hidden="1" customHeight="1" x14ac:dyDescent="0.2">
      <c r="A3837">
        <v>65061</v>
      </c>
      <c r="B3837" s="3" t="s">
        <v>1253</v>
      </c>
      <c r="C3837" s="7" t="s">
        <v>284</v>
      </c>
      <c r="D3837" s="7" t="s">
        <v>200</v>
      </c>
      <c r="F3837" s="7" t="s">
        <v>241</v>
      </c>
      <c r="G3837" s="7" t="s">
        <v>1566</v>
      </c>
      <c r="H3837" s="7" t="s">
        <v>1362</v>
      </c>
      <c r="I3837" s="7" t="s">
        <v>1253</v>
      </c>
      <c r="K3837" s="7" t="s">
        <v>236</v>
      </c>
      <c r="L3837" s="11">
        <v>13.32</v>
      </c>
      <c r="M3837" s="11">
        <v>90631.25</v>
      </c>
      <c r="N3837" s="9">
        <f t="shared" si="148"/>
        <v>13.32</v>
      </c>
    </row>
    <row r="3838" spans="1:14" ht="12.75" hidden="1" customHeight="1" x14ac:dyDescent="0.2">
      <c r="A3838">
        <v>65061</v>
      </c>
      <c r="B3838" s="3" t="s">
        <v>1253</v>
      </c>
      <c r="C3838" s="7" t="s">
        <v>282</v>
      </c>
      <c r="D3838" s="7" t="s">
        <v>200</v>
      </c>
      <c r="F3838" s="7" t="s">
        <v>568</v>
      </c>
      <c r="G3838" s="7" t="s">
        <v>1566</v>
      </c>
      <c r="H3838" s="7" t="s">
        <v>1362</v>
      </c>
      <c r="I3838" s="7" t="s">
        <v>1253</v>
      </c>
      <c r="K3838" s="7" t="s">
        <v>236</v>
      </c>
      <c r="L3838" s="11">
        <v>359.4</v>
      </c>
      <c r="M3838" s="11">
        <v>92981.32</v>
      </c>
      <c r="N3838" s="9">
        <f t="shared" si="148"/>
        <v>359.4</v>
      </c>
    </row>
    <row r="3839" spans="1:14" ht="12.75" hidden="1" customHeight="1" x14ac:dyDescent="0.2">
      <c r="A3839">
        <v>65061</v>
      </c>
      <c r="B3839" s="3" t="s">
        <v>1253</v>
      </c>
      <c r="C3839" s="7" t="s">
        <v>282</v>
      </c>
      <c r="D3839" s="7" t="s">
        <v>200</v>
      </c>
      <c r="F3839" s="7" t="s">
        <v>546</v>
      </c>
      <c r="G3839" s="7" t="s">
        <v>1566</v>
      </c>
      <c r="H3839" s="7" t="s">
        <v>1362</v>
      </c>
      <c r="I3839" s="7" t="s">
        <v>1253</v>
      </c>
      <c r="K3839" s="7" t="s">
        <v>236</v>
      </c>
      <c r="L3839" s="11">
        <v>42.6</v>
      </c>
      <c r="M3839" s="11">
        <v>93703.32</v>
      </c>
      <c r="N3839" s="9">
        <f t="shared" si="148"/>
        <v>42.6</v>
      </c>
    </row>
    <row r="3840" spans="1:14" ht="12.75" hidden="1" customHeight="1" x14ac:dyDescent="0.2">
      <c r="A3840">
        <v>65061</v>
      </c>
      <c r="B3840" s="3" t="s">
        <v>1253</v>
      </c>
      <c r="C3840" s="7" t="s">
        <v>282</v>
      </c>
      <c r="D3840" s="7" t="s">
        <v>200</v>
      </c>
      <c r="F3840" s="7" t="s">
        <v>798</v>
      </c>
      <c r="G3840" s="7" t="s">
        <v>1566</v>
      </c>
      <c r="H3840" s="7" t="s">
        <v>1362</v>
      </c>
      <c r="I3840" s="7" t="s">
        <v>1253</v>
      </c>
      <c r="K3840" s="7" t="s">
        <v>236</v>
      </c>
      <c r="L3840" s="11">
        <v>103.52</v>
      </c>
      <c r="M3840" s="11">
        <v>93806.84</v>
      </c>
      <c r="N3840" s="9">
        <f t="shared" si="148"/>
        <v>103.52</v>
      </c>
    </row>
    <row r="3841" spans="1:14" ht="12.75" hidden="1" customHeight="1" x14ac:dyDescent="0.2">
      <c r="A3841">
        <v>65061</v>
      </c>
      <c r="B3841" s="3" t="s">
        <v>1253</v>
      </c>
      <c r="C3841" s="7" t="s">
        <v>196</v>
      </c>
      <c r="D3841" s="7" t="s">
        <v>200</v>
      </c>
      <c r="F3841" s="7" t="s">
        <v>796</v>
      </c>
      <c r="G3841" s="7" t="s">
        <v>1566</v>
      </c>
      <c r="H3841" s="7" t="s">
        <v>1362</v>
      </c>
      <c r="I3841" s="7" t="s">
        <v>1253</v>
      </c>
      <c r="K3841" s="7" t="s">
        <v>236</v>
      </c>
      <c r="L3841" s="11">
        <v>369.39</v>
      </c>
      <c r="M3841" s="11">
        <v>97387.72</v>
      </c>
      <c r="N3841" s="9">
        <f t="shared" si="148"/>
        <v>369.39</v>
      </c>
    </row>
    <row r="3842" spans="1:14" ht="12.75" hidden="1" customHeight="1" x14ac:dyDescent="0.2">
      <c r="A3842">
        <v>65061</v>
      </c>
      <c r="B3842" s="3" t="s">
        <v>1253</v>
      </c>
      <c r="C3842" s="7" t="s">
        <v>788</v>
      </c>
      <c r="D3842" s="7" t="s">
        <v>200</v>
      </c>
      <c r="F3842" s="7" t="s">
        <v>600</v>
      </c>
      <c r="G3842" s="7" t="s">
        <v>1566</v>
      </c>
      <c r="H3842" s="7" t="s">
        <v>1362</v>
      </c>
      <c r="I3842" s="7" t="s">
        <v>1253</v>
      </c>
      <c r="K3842" s="7" t="s">
        <v>236</v>
      </c>
      <c r="L3842" s="11">
        <v>67</v>
      </c>
      <c r="M3842" s="11">
        <v>98725.87</v>
      </c>
      <c r="N3842" s="9">
        <f t="shared" si="148"/>
        <v>67</v>
      </c>
    </row>
    <row r="3843" spans="1:14" ht="12.75" hidden="1" customHeight="1" x14ac:dyDescent="0.2">
      <c r="A3843">
        <v>65061</v>
      </c>
      <c r="B3843" s="3" t="s">
        <v>1253</v>
      </c>
      <c r="C3843" s="7" t="s">
        <v>788</v>
      </c>
      <c r="D3843" s="7" t="s">
        <v>200</v>
      </c>
      <c r="F3843" s="7" t="s">
        <v>600</v>
      </c>
      <c r="G3843" s="7" t="s">
        <v>1566</v>
      </c>
      <c r="H3843" s="7" t="s">
        <v>1362</v>
      </c>
      <c r="I3843" s="7" t="s">
        <v>1253</v>
      </c>
      <c r="K3843" s="7" t="s">
        <v>236</v>
      </c>
      <c r="L3843" s="11">
        <v>83.84</v>
      </c>
      <c r="M3843" s="11">
        <v>98809.71</v>
      </c>
      <c r="N3843" s="9">
        <f t="shared" si="148"/>
        <v>83.84</v>
      </c>
    </row>
    <row r="3844" spans="1:14" ht="12.75" hidden="1" customHeight="1" x14ac:dyDescent="0.2">
      <c r="A3844">
        <v>65061</v>
      </c>
      <c r="B3844" s="3" t="s">
        <v>1253</v>
      </c>
      <c r="C3844" s="7" t="s">
        <v>201</v>
      </c>
      <c r="D3844" s="7" t="s">
        <v>200</v>
      </c>
      <c r="F3844" s="7" t="s">
        <v>775</v>
      </c>
      <c r="G3844" s="7" t="s">
        <v>1566</v>
      </c>
      <c r="H3844" s="7" t="s">
        <v>1362</v>
      </c>
      <c r="I3844" s="7" t="s">
        <v>1253</v>
      </c>
      <c r="K3844" s="7" t="s">
        <v>236</v>
      </c>
      <c r="L3844" s="11">
        <v>730</v>
      </c>
      <c r="M3844" s="11">
        <v>101289.33</v>
      </c>
      <c r="N3844" s="9">
        <f t="shared" si="148"/>
        <v>730</v>
      </c>
    </row>
    <row r="3845" spans="1:14" ht="12.75" hidden="1" customHeight="1" x14ac:dyDescent="0.2">
      <c r="A3845">
        <v>65061</v>
      </c>
      <c r="B3845" s="3" t="s">
        <v>1253</v>
      </c>
      <c r="C3845" s="7" t="s">
        <v>267</v>
      </c>
      <c r="D3845" s="7" t="s">
        <v>200</v>
      </c>
      <c r="F3845" s="7" t="s">
        <v>648</v>
      </c>
      <c r="G3845" s="7" t="s">
        <v>1566</v>
      </c>
      <c r="H3845" s="7" t="s">
        <v>1362</v>
      </c>
      <c r="I3845" s="7" t="s">
        <v>1253</v>
      </c>
      <c r="K3845" s="7" t="s">
        <v>236</v>
      </c>
      <c r="L3845" s="11">
        <v>332.28</v>
      </c>
      <c r="M3845" s="11">
        <v>102958.28</v>
      </c>
      <c r="N3845" s="9">
        <f t="shared" si="148"/>
        <v>332.28</v>
      </c>
    </row>
    <row r="3846" spans="1:14" ht="12.75" hidden="1" customHeight="1" x14ac:dyDescent="0.2">
      <c r="A3846">
        <v>65061</v>
      </c>
      <c r="B3846" s="3" t="s">
        <v>1253</v>
      </c>
      <c r="C3846" s="7" t="s">
        <v>263</v>
      </c>
      <c r="D3846" s="7" t="s">
        <v>200</v>
      </c>
      <c r="F3846" s="7" t="s">
        <v>781</v>
      </c>
      <c r="G3846" s="7" t="s">
        <v>1566</v>
      </c>
      <c r="H3846" s="7" t="s">
        <v>1362</v>
      </c>
      <c r="I3846" s="7" t="s">
        <v>1253</v>
      </c>
      <c r="K3846" s="7" t="s">
        <v>236</v>
      </c>
      <c r="L3846" s="11">
        <v>175.63</v>
      </c>
      <c r="M3846" s="11">
        <v>104591.06</v>
      </c>
      <c r="N3846" s="9">
        <f t="shared" si="148"/>
        <v>175.63</v>
      </c>
    </row>
    <row r="3847" spans="1:14" ht="12.75" hidden="1" customHeight="1" x14ac:dyDescent="0.2">
      <c r="A3847">
        <v>65061</v>
      </c>
      <c r="B3847" s="3" t="s">
        <v>1253</v>
      </c>
      <c r="C3847" s="7" t="s">
        <v>257</v>
      </c>
      <c r="D3847" s="7" t="s">
        <v>242</v>
      </c>
      <c r="F3847" s="7" t="s">
        <v>600</v>
      </c>
      <c r="G3847" s="7" t="s">
        <v>1566</v>
      </c>
      <c r="H3847" s="7" t="s">
        <v>1362</v>
      </c>
      <c r="I3847" s="7" t="s">
        <v>1253</v>
      </c>
      <c r="K3847" s="7" t="s">
        <v>236</v>
      </c>
      <c r="L3847" s="11">
        <v>-4.2699999999999996</v>
      </c>
      <c r="M3847" s="11">
        <v>106630.61</v>
      </c>
      <c r="N3847" s="9">
        <f t="shared" si="148"/>
        <v>-4.2699999999999996</v>
      </c>
    </row>
    <row r="3848" spans="1:14" ht="12.75" hidden="1" customHeight="1" x14ac:dyDescent="0.2">
      <c r="A3848">
        <v>65061</v>
      </c>
      <c r="B3848" s="3" t="s">
        <v>1253</v>
      </c>
      <c r="C3848" s="7" t="s">
        <v>257</v>
      </c>
      <c r="D3848" s="7" t="s">
        <v>200</v>
      </c>
      <c r="F3848" s="7" t="s">
        <v>600</v>
      </c>
      <c r="G3848" s="7" t="s">
        <v>1566</v>
      </c>
      <c r="H3848" s="7" t="s">
        <v>1362</v>
      </c>
      <c r="I3848" s="7" t="s">
        <v>1253</v>
      </c>
      <c r="K3848" s="7" t="s">
        <v>236</v>
      </c>
      <c r="L3848" s="11">
        <v>112.96</v>
      </c>
      <c r="M3848" s="11">
        <v>106743.57</v>
      </c>
      <c r="N3848" s="9">
        <f t="shared" si="148"/>
        <v>112.96</v>
      </c>
    </row>
    <row r="3849" spans="1:14" ht="12.75" hidden="1" customHeight="1" x14ac:dyDescent="0.2">
      <c r="A3849">
        <v>65061</v>
      </c>
      <c r="B3849" s="3" t="s">
        <v>1253</v>
      </c>
      <c r="C3849" s="7" t="s">
        <v>257</v>
      </c>
      <c r="D3849" s="7" t="s">
        <v>200</v>
      </c>
      <c r="F3849" s="7" t="s">
        <v>684</v>
      </c>
      <c r="G3849" s="7" t="s">
        <v>1566</v>
      </c>
      <c r="H3849" s="7" t="s">
        <v>1362</v>
      </c>
      <c r="I3849" s="7" t="s">
        <v>1253</v>
      </c>
      <c r="K3849" s="7" t="s">
        <v>236</v>
      </c>
      <c r="L3849" s="11">
        <v>57.46</v>
      </c>
      <c r="M3849" s="11">
        <v>106801.03</v>
      </c>
      <c r="N3849" s="9">
        <f t="shared" si="148"/>
        <v>57.46</v>
      </c>
    </row>
    <row r="3850" spans="1:14" ht="12.75" hidden="1" customHeight="1" x14ac:dyDescent="0.2">
      <c r="A3850">
        <v>65061</v>
      </c>
      <c r="B3850" s="3" t="s">
        <v>1253</v>
      </c>
      <c r="C3850" s="7" t="s">
        <v>257</v>
      </c>
      <c r="D3850" s="7" t="s">
        <v>200</v>
      </c>
      <c r="F3850" s="7" t="s">
        <v>775</v>
      </c>
      <c r="G3850" s="7" t="s">
        <v>1566</v>
      </c>
      <c r="H3850" s="7" t="s">
        <v>1362</v>
      </c>
      <c r="I3850" s="7" t="s">
        <v>1253</v>
      </c>
      <c r="K3850" s="7" t="s">
        <v>236</v>
      </c>
      <c r="L3850" s="11">
        <v>940</v>
      </c>
      <c r="M3850" s="11">
        <v>107871.06</v>
      </c>
      <c r="N3850" s="9">
        <f t="shared" si="148"/>
        <v>940</v>
      </c>
    </row>
    <row r="3851" spans="1:14" ht="12.75" hidden="1" customHeight="1" x14ac:dyDescent="0.2">
      <c r="A3851">
        <v>65061</v>
      </c>
      <c r="B3851" s="3" t="s">
        <v>1253</v>
      </c>
      <c r="C3851" s="7" t="s">
        <v>257</v>
      </c>
      <c r="D3851" s="7" t="s">
        <v>200</v>
      </c>
      <c r="F3851" s="7" t="s">
        <v>241</v>
      </c>
      <c r="G3851" s="7" t="s">
        <v>1566</v>
      </c>
      <c r="H3851" s="7" t="s">
        <v>1362</v>
      </c>
      <c r="I3851" s="7" t="s">
        <v>1253</v>
      </c>
      <c r="K3851" s="7" t="s">
        <v>236</v>
      </c>
      <c r="L3851" s="11">
        <v>259.8</v>
      </c>
      <c r="M3851" s="11">
        <v>108376.66</v>
      </c>
      <c r="N3851" s="9">
        <f t="shared" si="148"/>
        <v>259.8</v>
      </c>
    </row>
    <row r="3852" spans="1:14" ht="12.75" hidden="1" customHeight="1" x14ac:dyDescent="0.2">
      <c r="A3852">
        <v>65061</v>
      </c>
      <c r="B3852" s="3" t="s">
        <v>1253</v>
      </c>
      <c r="C3852" s="7" t="s">
        <v>257</v>
      </c>
      <c r="D3852" s="7" t="s">
        <v>200</v>
      </c>
      <c r="F3852" s="7" t="s">
        <v>241</v>
      </c>
      <c r="G3852" s="7" t="s">
        <v>1566</v>
      </c>
      <c r="H3852" s="7" t="s">
        <v>1362</v>
      </c>
      <c r="I3852" s="7" t="s">
        <v>1253</v>
      </c>
      <c r="K3852" s="7" t="s">
        <v>236</v>
      </c>
      <c r="L3852" s="11">
        <v>76.8</v>
      </c>
      <c r="M3852" s="11">
        <v>108453.46</v>
      </c>
      <c r="N3852" s="9">
        <f t="shared" si="148"/>
        <v>76.8</v>
      </c>
    </row>
    <row r="3853" spans="1:14" ht="12.75" hidden="1" customHeight="1" x14ac:dyDescent="0.2">
      <c r="A3853">
        <v>65061</v>
      </c>
      <c r="B3853" s="3" t="s">
        <v>1253</v>
      </c>
      <c r="C3853" s="7" t="s">
        <v>417</v>
      </c>
      <c r="D3853" s="7" t="s">
        <v>200</v>
      </c>
      <c r="F3853" s="7" t="s">
        <v>241</v>
      </c>
      <c r="G3853" s="7" t="s">
        <v>1566</v>
      </c>
      <c r="H3853" s="7" t="s">
        <v>1362</v>
      </c>
      <c r="I3853" s="7" t="s">
        <v>1253</v>
      </c>
      <c r="K3853" s="7" t="s">
        <v>236</v>
      </c>
      <c r="L3853" s="11">
        <v>45.9</v>
      </c>
      <c r="M3853" s="11">
        <v>110540.43</v>
      </c>
      <c r="N3853" s="9">
        <f t="shared" si="148"/>
        <v>45.9</v>
      </c>
    </row>
    <row r="3854" spans="1:14" ht="12.75" hidden="1" customHeight="1" x14ac:dyDescent="0.2">
      <c r="A3854">
        <v>65061</v>
      </c>
      <c r="B3854" s="3" t="s">
        <v>1253</v>
      </c>
      <c r="C3854" s="7" t="s">
        <v>417</v>
      </c>
      <c r="D3854" s="7" t="s">
        <v>200</v>
      </c>
      <c r="F3854" s="7" t="s">
        <v>563</v>
      </c>
      <c r="G3854" s="7" t="s">
        <v>1566</v>
      </c>
      <c r="H3854" s="7" t="s">
        <v>1362</v>
      </c>
      <c r="I3854" s="7" t="s">
        <v>1253</v>
      </c>
      <c r="K3854" s="7" t="s">
        <v>236</v>
      </c>
      <c r="L3854" s="11">
        <v>651.91999999999996</v>
      </c>
      <c r="M3854" s="11">
        <v>113899.77</v>
      </c>
      <c r="N3854" s="9">
        <f t="shared" si="148"/>
        <v>651.91999999999996</v>
      </c>
    </row>
    <row r="3855" spans="1:14" ht="12.75" hidden="1" customHeight="1" x14ac:dyDescent="0.2">
      <c r="A3855">
        <v>65061</v>
      </c>
      <c r="B3855" s="3" t="s">
        <v>1253</v>
      </c>
      <c r="C3855" s="7" t="s">
        <v>194</v>
      </c>
      <c r="D3855" s="7" t="s">
        <v>242</v>
      </c>
      <c r="F3855" s="7" t="s">
        <v>568</v>
      </c>
      <c r="G3855" s="7" t="s">
        <v>1566</v>
      </c>
      <c r="H3855" s="7" t="s">
        <v>1362</v>
      </c>
      <c r="I3855" s="7" t="s">
        <v>1253</v>
      </c>
      <c r="K3855" s="7" t="s">
        <v>236</v>
      </c>
      <c r="L3855" s="11">
        <v>-78.38</v>
      </c>
      <c r="M3855" s="11">
        <v>114522.46</v>
      </c>
      <c r="N3855" s="9">
        <f t="shared" si="148"/>
        <v>-78.38</v>
      </c>
    </row>
    <row r="3856" spans="1:14" ht="12.75" hidden="1" customHeight="1" x14ac:dyDescent="0.2">
      <c r="A3856">
        <v>65061</v>
      </c>
      <c r="B3856" s="3" t="s">
        <v>1253</v>
      </c>
      <c r="C3856" s="7" t="s">
        <v>249</v>
      </c>
      <c r="D3856" s="7" t="s">
        <v>221</v>
      </c>
      <c r="F3856" s="7" t="s">
        <v>770</v>
      </c>
      <c r="G3856" s="7" t="s">
        <v>1566</v>
      </c>
      <c r="H3856" s="7" t="s">
        <v>1362</v>
      </c>
      <c r="I3856" s="7" t="s">
        <v>1253</v>
      </c>
      <c r="K3856" s="7" t="s">
        <v>236</v>
      </c>
      <c r="L3856" s="11">
        <v>9.2799999999999994</v>
      </c>
      <c r="M3856" s="11">
        <v>115978.99</v>
      </c>
      <c r="N3856" s="9">
        <f t="shared" si="148"/>
        <v>9.2799999999999994</v>
      </c>
    </row>
    <row r="3857" spans="1:14" ht="12.75" hidden="1" customHeight="1" x14ac:dyDescent="0.2">
      <c r="A3857">
        <v>65061</v>
      </c>
      <c r="B3857" s="3" t="s">
        <v>1253</v>
      </c>
      <c r="C3857" s="7" t="s">
        <v>239</v>
      </c>
      <c r="D3857" s="7" t="s">
        <v>221</v>
      </c>
      <c r="F3857" s="7" t="s">
        <v>548</v>
      </c>
      <c r="G3857" s="7" t="s">
        <v>1566</v>
      </c>
      <c r="H3857" s="7" t="s">
        <v>1362</v>
      </c>
      <c r="I3857" s="7" t="s">
        <v>1253</v>
      </c>
      <c r="K3857" s="7" t="s">
        <v>236</v>
      </c>
      <c r="L3857" s="11">
        <v>21.29</v>
      </c>
      <c r="M3857" s="11">
        <v>116920.09</v>
      </c>
      <c r="N3857" s="9">
        <f t="shared" si="148"/>
        <v>21.29</v>
      </c>
    </row>
    <row r="3858" spans="1:14" ht="12.75" hidden="1" customHeight="1" x14ac:dyDescent="0.2">
      <c r="A3858">
        <v>65061</v>
      </c>
      <c r="B3858" s="3" t="s">
        <v>1253</v>
      </c>
      <c r="C3858" s="7" t="s">
        <v>239</v>
      </c>
      <c r="D3858" s="7" t="s">
        <v>221</v>
      </c>
      <c r="F3858" s="7" t="s">
        <v>564</v>
      </c>
      <c r="G3858" s="7" t="s">
        <v>1566</v>
      </c>
      <c r="H3858" s="7" t="s">
        <v>1362</v>
      </c>
      <c r="I3858" s="7" t="s">
        <v>1253</v>
      </c>
      <c r="K3858" s="7" t="s">
        <v>236</v>
      </c>
      <c r="L3858" s="11">
        <v>1157.1500000000001</v>
      </c>
      <c r="M3858" s="11">
        <v>118077.24</v>
      </c>
      <c r="N3858" s="9">
        <f t="shared" si="148"/>
        <v>1157.1500000000001</v>
      </c>
    </row>
    <row r="3859" spans="1:14" ht="12.75" hidden="1" customHeight="1" x14ac:dyDescent="0.2">
      <c r="A3859">
        <v>65061</v>
      </c>
      <c r="B3859" s="3" t="s">
        <v>1253</v>
      </c>
      <c r="C3859" s="7" t="s">
        <v>239</v>
      </c>
      <c r="D3859" s="7" t="s">
        <v>221</v>
      </c>
      <c r="F3859" s="7" t="s">
        <v>764</v>
      </c>
      <c r="G3859" s="7" t="s">
        <v>1566</v>
      </c>
      <c r="H3859" s="7" t="s">
        <v>1362</v>
      </c>
      <c r="I3859" s="7" t="s">
        <v>1253</v>
      </c>
      <c r="K3859" s="7" t="s">
        <v>236</v>
      </c>
      <c r="L3859" s="11">
        <v>66.78</v>
      </c>
      <c r="M3859" s="11">
        <v>118228.38</v>
      </c>
      <c r="N3859" s="9">
        <f t="shared" si="148"/>
        <v>66.78</v>
      </c>
    </row>
    <row r="3860" spans="1:14" ht="12.75" hidden="1" customHeight="1" x14ac:dyDescent="0.2">
      <c r="A3860">
        <v>65061</v>
      </c>
      <c r="B3860" s="3" t="s">
        <v>1253</v>
      </c>
      <c r="C3860" s="7" t="s">
        <v>239</v>
      </c>
      <c r="D3860" s="7" t="s">
        <v>221</v>
      </c>
      <c r="F3860" s="7" t="s">
        <v>648</v>
      </c>
      <c r="G3860" s="7" t="s">
        <v>1566</v>
      </c>
      <c r="H3860" s="7" t="s">
        <v>1362</v>
      </c>
      <c r="I3860" s="7" t="s">
        <v>1253</v>
      </c>
      <c r="K3860" s="7" t="s">
        <v>236</v>
      </c>
      <c r="L3860" s="11">
        <v>161.85</v>
      </c>
      <c r="M3860" s="11">
        <v>118390.23</v>
      </c>
      <c r="N3860" s="9">
        <f t="shared" si="148"/>
        <v>161.85</v>
      </c>
    </row>
    <row r="3861" spans="1:14" ht="12.75" hidden="1" customHeight="1" x14ac:dyDescent="0.2">
      <c r="A3861">
        <v>65061</v>
      </c>
      <c r="B3861" s="3" t="s">
        <v>1253</v>
      </c>
      <c r="C3861" s="7" t="s">
        <v>239</v>
      </c>
      <c r="D3861" s="7" t="s">
        <v>221</v>
      </c>
      <c r="F3861" s="7" t="s">
        <v>564</v>
      </c>
      <c r="G3861" s="7" t="s">
        <v>1566</v>
      </c>
      <c r="H3861" s="7" t="s">
        <v>1362</v>
      </c>
      <c r="I3861" s="7" t="s">
        <v>1253</v>
      </c>
      <c r="K3861" s="7" t="s">
        <v>236</v>
      </c>
      <c r="L3861" s="11">
        <v>114.61</v>
      </c>
      <c r="M3861" s="11">
        <v>118504.84</v>
      </c>
      <c r="N3861" s="9">
        <f t="shared" si="148"/>
        <v>114.61</v>
      </c>
    </row>
    <row r="3862" spans="1:14" ht="12.75" hidden="1" customHeight="1" x14ac:dyDescent="0.2">
      <c r="A3862">
        <v>65061</v>
      </c>
      <c r="B3862" s="3" t="s">
        <v>1253</v>
      </c>
      <c r="C3862" s="7" t="s">
        <v>239</v>
      </c>
      <c r="D3862" s="7" t="s">
        <v>221</v>
      </c>
      <c r="F3862" s="7" t="s">
        <v>600</v>
      </c>
      <c r="G3862" s="7" t="s">
        <v>1566</v>
      </c>
      <c r="H3862" s="7" t="s">
        <v>1362</v>
      </c>
      <c r="I3862" s="7" t="s">
        <v>1253</v>
      </c>
      <c r="K3862" s="7" t="s">
        <v>236</v>
      </c>
      <c r="L3862" s="11">
        <v>101.39</v>
      </c>
      <c r="M3862" s="11">
        <v>118606.23</v>
      </c>
      <c r="N3862" s="9">
        <f t="shared" si="148"/>
        <v>101.39</v>
      </c>
    </row>
    <row r="3863" spans="1:14" ht="12.75" hidden="1" customHeight="1" x14ac:dyDescent="0.2">
      <c r="A3863">
        <v>65061</v>
      </c>
      <c r="B3863" s="3" t="s">
        <v>1253</v>
      </c>
      <c r="C3863" s="7" t="s">
        <v>239</v>
      </c>
      <c r="D3863" s="7" t="s">
        <v>221</v>
      </c>
      <c r="F3863" s="7" t="s">
        <v>748</v>
      </c>
      <c r="G3863" s="7" t="s">
        <v>1566</v>
      </c>
      <c r="H3863" s="7" t="s">
        <v>1362</v>
      </c>
      <c r="I3863" s="7" t="s">
        <v>1253</v>
      </c>
      <c r="K3863" s="7" t="s">
        <v>236</v>
      </c>
      <c r="L3863" s="11">
        <v>139.69999999999999</v>
      </c>
      <c r="M3863" s="11">
        <v>118745.93</v>
      </c>
      <c r="N3863" s="9">
        <f t="shared" si="148"/>
        <v>139.69999999999999</v>
      </c>
    </row>
    <row r="3864" spans="1:14" ht="12.75" hidden="1" customHeight="1" x14ac:dyDescent="0.2">
      <c r="A3864">
        <v>65061</v>
      </c>
      <c r="B3864" s="3" t="s">
        <v>1253</v>
      </c>
      <c r="C3864" s="7" t="s">
        <v>239</v>
      </c>
      <c r="D3864" s="7" t="s">
        <v>221</v>
      </c>
      <c r="F3864" s="7" t="s">
        <v>548</v>
      </c>
      <c r="G3864" s="7" t="s">
        <v>1566</v>
      </c>
      <c r="H3864" s="7" t="s">
        <v>1362</v>
      </c>
      <c r="I3864" s="7" t="s">
        <v>1253</v>
      </c>
      <c r="K3864" s="7" t="s">
        <v>236</v>
      </c>
      <c r="L3864" s="11">
        <v>60.31</v>
      </c>
      <c r="M3864" s="11">
        <v>118806.24</v>
      </c>
      <c r="N3864" s="9">
        <f t="shared" si="148"/>
        <v>60.31</v>
      </c>
    </row>
    <row r="3865" spans="1:14" ht="12.75" hidden="1" customHeight="1" x14ac:dyDescent="0.2">
      <c r="A3865">
        <v>65061</v>
      </c>
      <c r="B3865" s="3" t="s">
        <v>1253</v>
      </c>
      <c r="C3865" s="7" t="s">
        <v>239</v>
      </c>
      <c r="D3865" s="7" t="s">
        <v>221</v>
      </c>
      <c r="F3865" s="7" t="s">
        <v>241</v>
      </c>
      <c r="G3865" s="7" t="s">
        <v>1566</v>
      </c>
      <c r="H3865" s="7" t="s">
        <v>1362</v>
      </c>
      <c r="I3865" s="7" t="s">
        <v>1253</v>
      </c>
      <c r="K3865" s="7" t="s">
        <v>236</v>
      </c>
      <c r="L3865" s="11">
        <v>73.680000000000007</v>
      </c>
      <c r="M3865" s="11">
        <v>118879.92</v>
      </c>
      <c r="N3865" s="9">
        <f t="shared" ref="N3865:N3882" si="149">IF(A3865&lt;60000,-L3865,+L3865)</f>
        <v>73.680000000000007</v>
      </c>
    </row>
    <row r="3866" spans="1:14" ht="12.75" hidden="1" customHeight="1" x14ac:dyDescent="0.2">
      <c r="A3866">
        <v>65061</v>
      </c>
      <c r="B3866" s="3" t="s">
        <v>1253</v>
      </c>
      <c r="C3866" s="7" t="s">
        <v>239</v>
      </c>
      <c r="D3866" s="7" t="s">
        <v>221</v>
      </c>
      <c r="F3866" s="7" t="s">
        <v>241</v>
      </c>
      <c r="G3866" s="7" t="s">
        <v>1566</v>
      </c>
      <c r="H3866" s="7" t="s">
        <v>1362</v>
      </c>
      <c r="I3866" s="7" t="s">
        <v>1253</v>
      </c>
      <c r="K3866" s="7" t="s">
        <v>236</v>
      </c>
      <c r="L3866" s="11">
        <v>177.02</v>
      </c>
      <c r="M3866" s="11">
        <v>119056.94</v>
      </c>
      <c r="N3866" s="9">
        <f t="shared" si="149"/>
        <v>177.02</v>
      </c>
    </row>
    <row r="3867" spans="1:14" ht="12.75" hidden="1" customHeight="1" x14ac:dyDescent="0.2">
      <c r="A3867">
        <v>65061</v>
      </c>
      <c r="B3867" s="3" t="s">
        <v>1253</v>
      </c>
      <c r="C3867" s="7" t="s">
        <v>239</v>
      </c>
      <c r="D3867" s="7" t="s">
        <v>221</v>
      </c>
      <c r="F3867" s="7" t="s">
        <v>648</v>
      </c>
      <c r="G3867" s="7" t="s">
        <v>1566</v>
      </c>
      <c r="H3867" s="7" t="s">
        <v>1362</v>
      </c>
      <c r="I3867" s="7" t="s">
        <v>1253</v>
      </c>
      <c r="K3867" s="7" t="s">
        <v>236</v>
      </c>
      <c r="L3867" s="11">
        <v>240.72</v>
      </c>
      <c r="M3867" s="11">
        <v>119297.66</v>
      </c>
      <c r="N3867" s="9">
        <f t="shared" si="149"/>
        <v>240.72</v>
      </c>
    </row>
    <row r="3868" spans="1:14" ht="12.75" hidden="1" customHeight="1" x14ac:dyDescent="0.2">
      <c r="A3868">
        <v>65061</v>
      </c>
      <c r="B3868" s="3" t="s">
        <v>1253</v>
      </c>
      <c r="C3868" s="7" t="s">
        <v>239</v>
      </c>
      <c r="D3868" s="7" t="s">
        <v>221</v>
      </c>
      <c r="F3868" s="7" t="s">
        <v>546</v>
      </c>
      <c r="G3868" s="7" t="s">
        <v>1566</v>
      </c>
      <c r="H3868" s="7" t="s">
        <v>1362</v>
      </c>
      <c r="I3868" s="7" t="s">
        <v>1253</v>
      </c>
      <c r="K3868" s="7" t="s">
        <v>236</v>
      </c>
      <c r="L3868" s="11">
        <v>171.9</v>
      </c>
      <c r="M3868" s="11">
        <v>119469.56</v>
      </c>
      <c r="N3868" s="9">
        <f t="shared" si="149"/>
        <v>171.9</v>
      </c>
    </row>
    <row r="3869" spans="1:14" ht="12.75" hidden="1" customHeight="1" x14ac:dyDescent="0.2">
      <c r="A3869">
        <v>65061</v>
      </c>
      <c r="B3869" s="3" t="s">
        <v>1253</v>
      </c>
      <c r="C3869" s="7" t="s">
        <v>759</v>
      </c>
      <c r="D3869" s="7" t="s">
        <v>221</v>
      </c>
      <c r="F3869" s="7" t="s">
        <v>578</v>
      </c>
      <c r="G3869" s="7" t="s">
        <v>1566</v>
      </c>
      <c r="H3869" s="7" t="s">
        <v>1362</v>
      </c>
      <c r="I3869" s="7" t="s">
        <v>1253</v>
      </c>
      <c r="K3869" s="7" t="s">
        <v>236</v>
      </c>
      <c r="L3869" s="11">
        <v>54.28</v>
      </c>
      <c r="M3869" s="11">
        <v>120096.58</v>
      </c>
      <c r="N3869" s="9">
        <f t="shared" si="149"/>
        <v>54.28</v>
      </c>
    </row>
    <row r="3870" spans="1:14" ht="12.75" hidden="1" customHeight="1" x14ac:dyDescent="0.2">
      <c r="A3870">
        <v>65061</v>
      </c>
      <c r="B3870" s="3" t="s">
        <v>1253</v>
      </c>
      <c r="C3870" s="7" t="s">
        <v>755</v>
      </c>
      <c r="D3870" s="7" t="s">
        <v>221</v>
      </c>
      <c r="F3870" s="7" t="s">
        <v>648</v>
      </c>
      <c r="G3870" s="7" t="s">
        <v>1566</v>
      </c>
      <c r="H3870" s="7" t="s">
        <v>1362</v>
      </c>
      <c r="I3870" s="7" t="s">
        <v>1253</v>
      </c>
      <c r="K3870" s="7" t="s">
        <v>236</v>
      </c>
      <c r="L3870" s="11">
        <v>16.239999999999998</v>
      </c>
      <c r="M3870" s="11">
        <v>121691.12</v>
      </c>
      <c r="N3870" s="9">
        <f t="shared" si="149"/>
        <v>16.239999999999998</v>
      </c>
    </row>
    <row r="3871" spans="1:14" ht="12.75" hidden="1" customHeight="1" x14ac:dyDescent="0.2">
      <c r="A3871">
        <v>65061</v>
      </c>
      <c r="B3871" s="3" t="s">
        <v>1253</v>
      </c>
      <c r="C3871" s="7" t="s">
        <v>755</v>
      </c>
      <c r="D3871" s="7" t="s">
        <v>221</v>
      </c>
      <c r="F3871" s="7" t="s">
        <v>548</v>
      </c>
      <c r="G3871" s="7" t="s">
        <v>1566</v>
      </c>
      <c r="H3871" s="7" t="s">
        <v>1362</v>
      </c>
      <c r="I3871" s="7" t="s">
        <v>1253</v>
      </c>
      <c r="K3871" s="7" t="s">
        <v>236</v>
      </c>
      <c r="L3871" s="11">
        <v>85.46</v>
      </c>
      <c r="M3871" s="11">
        <v>121776.58</v>
      </c>
      <c r="N3871" s="9">
        <f t="shared" si="149"/>
        <v>85.46</v>
      </c>
    </row>
    <row r="3872" spans="1:14" ht="12.75" hidden="1" customHeight="1" x14ac:dyDescent="0.2">
      <c r="A3872">
        <v>65061</v>
      </c>
      <c r="B3872" s="3" t="s">
        <v>1253</v>
      </c>
      <c r="C3872" s="7" t="s">
        <v>755</v>
      </c>
      <c r="D3872" s="7" t="s">
        <v>221</v>
      </c>
      <c r="F3872" s="7" t="s">
        <v>757</v>
      </c>
      <c r="G3872" s="7" t="s">
        <v>1566</v>
      </c>
      <c r="H3872" s="7" t="s">
        <v>1362</v>
      </c>
      <c r="I3872" s="7" t="s">
        <v>1253</v>
      </c>
      <c r="K3872" s="7" t="s">
        <v>236</v>
      </c>
      <c r="L3872" s="11">
        <v>38.729999999999997</v>
      </c>
      <c r="M3872" s="11">
        <v>121815.31</v>
      </c>
      <c r="N3872" s="9">
        <f t="shared" si="149"/>
        <v>38.729999999999997</v>
      </c>
    </row>
    <row r="3873" spans="1:14" ht="12.75" hidden="1" customHeight="1" x14ac:dyDescent="0.2">
      <c r="A3873">
        <v>65061</v>
      </c>
      <c r="B3873" s="3" t="s">
        <v>1253</v>
      </c>
      <c r="C3873" s="7" t="s">
        <v>755</v>
      </c>
      <c r="D3873" s="7" t="s">
        <v>221</v>
      </c>
      <c r="F3873" s="7" t="s">
        <v>568</v>
      </c>
      <c r="G3873" s="7" t="s">
        <v>1566</v>
      </c>
      <c r="H3873" s="7" t="s">
        <v>1362</v>
      </c>
      <c r="I3873" s="7" t="s">
        <v>1253</v>
      </c>
      <c r="K3873" s="7" t="s">
        <v>236</v>
      </c>
      <c r="L3873" s="11">
        <v>166.61</v>
      </c>
      <c r="M3873" s="11">
        <v>121981.92</v>
      </c>
      <c r="N3873" s="9">
        <f t="shared" si="149"/>
        <v>166.61</v>
      </c>
    </row>
    <row r="3874" spans="1:14" ht="12.75" hidden="1" customHeight="1" x14ac:dyDescent="0.2">
      <c r="A3874">
        <v>65061</v>
      </c>
      <c r="B3874" s="3" t="s">
        <v>1253</v>
      </c>
      <c r="C3874" s="7" t="s">
        <v>749</v>
      </c>
      <c r="D3874" s="7" t="s">
        <v>221</v>
      </c>
      <c r="F3874" s="7" t="s">
        <v>548</v>
      </c>
      <c r="G3874" s="7" t="s">
        <v>1566</v>
      </c>
      <c r="H3874" s="7" t="s">
        <v>1362</v>
      </c>
      <c r="I3874" s="7" t="s">
        <v>1253</v>
      </c>
      <c r="K3874" s="7" t="s">
        <v>236</v>
      </c>
      <c r="L3874" s="11">
        <v>20.260000000000002</v>
      </c>
      <c r="M3874" s="11">
        <v>124144.56</v>
      </c>
      <c r="N3874" s="9">
        <f t="shared" si="149"/>
        <v>20.260000000000002</v>
      </c>
    </row>
    <row r="3875" spans="1:14" ht="12.75" hidden="1" customHeight="1" x14ac:dyDescent="0.2">
      <c r="A3875">
        <v>65061</v>
      </c>
      <c r="B3875" s="3" t="s">
        <v>1253</v>
      </c>
      <c r="C3875" s="7" t="s">
        <v>749</v>
      </c>
      <c r="D3875" s="7" t="s">
        <v>221</v>
      </c>
      <c r="F3875" s="7" t="s">
        <v>564</v>
      </c>
      <c r="G3875" s="7" t="s">
        <v>1566</v>
      </c>
      <c r="H3875" s="7" t="s">
        <v>1362</v>
      </c>
      <c r="I3875" s="7" t="s">
        <v>1253</v>
      </c>
      <c r="K3875" s="7" t="s">
        <v>236</v>
      </c>
      <c r="L3875" s="11">
        <v>8.42</v>
      </c>
      <c r="M3875" s="11">
        <v>124152.98</v>
      </c>
      <c r="N3875" s="9">
        <f t="shared" si="149"/>
        <v>8.42</v>
      </c>
    </row>
    <row r="3876" spans="1:14" ht="12.75" hidden="1" customHeight="1" x14ac:dyDescent="0.2">
      <c r="A3876">
        <v>65061</v>
      </c>
      <c r="B3876" s="3" t="s">
        <v>1253</v>
      </c>
      <c r="C3876" s="7" t="s">
        <v>496</v>
      </c>
      <c r="D3876" s="7" t="s">
        <v>221</v>
      </c>
      <c r="F3876" s="7" t="s">
        <v>658</v>
      </c>
      <c r="G3876" s="7" t="s">
        <v>1566</v>
      </c>
      <c r="H3876" s="7" t="s">
        <v>1362</v>
      </c>
      <c r="I3876" s="7" t="s">
        <v>1253</v>
      </c>
      <c r="K3876" s="7" t="s">
        <v>236</v>
      </c>
      <c r="L3876" s="11">
        <v>37.86</v>
      </c>
      <c r="M3876" s="11">
        <v>126744.61</v>
      </c>
      <c r="N3876" s="9">
        <f t="shared" si="149"/>
        <v>37.86</v>
      </c>
    </row>
    <row r="3877" spans="1:14" ht="12.75" hidden="1" customHeight="1" x14ac:dyDescent="0.2">
      <c r="A3877">
        <v>65061</v>
      </c>
      <c r="B3877" s="3" t="s">
        <v>1253</v>
      </c>
      <c r="C3877" s="7" t="s">
        <v>710</v>
      </c>
      <c r="D3877" s="7" t="s">
        <v>221</v>
      </c>
      <c r="F3877" s="7" t="s">
        <v>243</v>
      </c>
      <c r="G3877" s="7" t="s">
        <v>1566</v>
      </c>
      <c r="H3877" s="7" t="s">
        <v>1362</v>
      </c>
      <c r="I3877" s="7" t="s">
        <v>1253</v>
      </c>
      <c r="K3877" s="7" t="s">
        <v>236</v>
      </c>
      <c r="L3877" s="11">
        <v>3</v>
      </c>
      <c r="M3877" s="11">
        <v>136895.71</v>
      </c>
      <c r="N3877" s="9">
        <f t="shared" si="149"/>
        <v>3</v>
      </c>
    </row>
    <row r="3878" spans="1:14" ht="12.75" hidden="1" customHeight="1" x14ac:dyDescent="0.2">
      <c r="A3878">
        <v>65061</v>
      </c>
      <c r="B3878" s="3" t="s">
        <v>1253</v>
      </c>
      <c r="C3878" s="7" t="s">
        <v>429</v>
      </c>
      <c r="D3878" s="7" t="s">
        <v>200</v>
      </c>
      <c r="E3878" s="7">
        <v>1005</v>
      </c>
      <c r="F3878" s="7" t="s">
        <v>670</v>
      </c>
      <c r="G3878" s="7" t="s">
        <v>1566</v>
      </c>
      <c r="H3878" s="7" t="s">
        <v>1362</v>
      </c>
      <c r="I3878" s="7" t="s">
        <v>1253</v>
      </c>
      <c r="K3878" s="7" t="s">
        <v>236</v>
      </c>
      <c r="L3878" s="11">
        <v>91.47</v>
      </c>
      <c r="M3878" s="11">
        <v>155064.76999999999</v>
      </c>
      <c r="N3878" s="9">
        <f t="shared" si="149"/>
        <v>91.47</v>
      </c>
    </row>
    <row r="3879" spans="1:14" ht="12.75" hidden="1" customHeight="1" x14ac:dyDescent="0.2">
      <c r="A3879">
        <v>65061</v>
      </c>
      <c r="B3879" s="3" t="s">
        <v>1253</v>
      </c>
      <c r="C3879" s="7" t="s">
        <v>434</v>
      </c>
      <c r="D3879" s="7" t="s">
        <v>221</v>
      </c>
      <c r="F3879" s="7" t="s">
        <v>603</v>
      </c>
      <c r="G3879" s="7" t="s">
        <v>1566</v>
      </c>
      <c r="H3879" s="7" t="s">
        <v>1362</v>
      </c>
      <c r="I3879" s="7" t="s">
        <v>1253</v>
      </c>
      <c r="K3879" s="7" t="s">
        <v>236</v>
      </c>
      <c r="L3879" s="11">
        <v>60</v>
      </c>
      <c r="M3879" s="11">
        <v>180876.53</v>
      </c>
      <c r="N3879" s="9">
        <f t="shared" si="149"/>
        <v>60</v>
      </c>
    </row>
    <row r="3880" spans="1:14" ht="12.75" hidden="1" customHeight="1" x14ac:dyDescent="0.2">
      <c r="A3880">
        <v>65061</v>
      </c>
      <c r="B3880" s="3" t="s">
        <v>1253</v>
      </c>
      <c r="C3880" s="7" t="s">
        <v>434</v>
      </c>
      <c r="D3880" s="7" t="s">
        <v>221</v>
      </c>
      <c r="F3880" s="7" t="s">
        <v>604</v>
      </c>
      <c r="G3880" s="7" t="s">
        <v>1566</v>
      </c>
      <c r="H3880" s="7" t="s">
        <v>1362</v>
      </c>
      <c r="I3880" s="7" t="s">
        <v>1253</v>
      </c>
      <c r="K3880" s="7" t="s">
        <v>236</v>
      </c>
      <c r="L3880" s="11">
        <v>17.350000000000001</v>
      </c>
      <c r="M3880" s="11">
        <v>180893.88</v>
      </c>
      <c r="N3880" s="9">
        <f t="shared" si="149"/>
        <v>17.350000000000001</v>
      </c>
    </row>
    <row r="3881" spans="1:14" ht="12.75" hidden="1" customHeight="1" x14ac:dyDescent="0.2">
      <c r="A3881">
        <v>65061</v>
      </c>
      <c r="B3881" s="3" t="s">
        <v>1253</v>
      </c>
      <c r="C3881" s="7" t="s">
        <v>434</v>
      </c>
      <c r="D3881" s="7" t="s">
        <v>221</v>
      </c>
      <c r="F3881" s="7" t="s">
        <v>603</v>
      </c>
      <c r="G3881" s="7" t="s">
        <v>1566</v>
      </c>
      <c r="H3881" s="7" t="s">
        <v>1362</v>
      </c>
      <c r="I3881" s="7" t="s">
        <v>1253</v>
      </c>
      <c r="K3881" s="7" t="s">
        <v>236</v>
      </c>
      <c r="L3881" s="11">
        <v>200</v>
      </c>
      <c r="M3881" s="11">
        <v>181093.88</v>
      </c>
      <c r="N3881" s="9">
        <f t="shared" si="149"/>
        <v>200</v>
      </c>
    </row>
    <row r="3882" spans="1:14" ht="12.75" hidden="1" customHeight="1" x14ac:dyDescent="0.2">
      <c r="A3882">
        <v>67001</v>
      </c>
      <c r="B3882" s="3" t="s">
        <v>1268</v>
      </c>
      <c r="C3882" s="7" t="s">
        <v>238</v>
      </c>
      <c r="D3882" s="7" t="s">
        <v>200</v>
      </c>
      <c r="E3882" s="7">
        <v>1003</v>
      </c>
      <c r="F3882" s="7" t="s">
        <v>237</v>
      </c>
      <c r="G3882" s="7" t="s">
        <v>1566</v>
      </c>
      <c r="H3882" s="70" t="s">
        <v>2129</v>
      </c>
      <c r="I3882" s="7" t="s">
        <v>1268</v>
      </c>
      <c r="K3882" s="7" t="s">
        <v>236</v>
      </c>
      <c r="L3882" s="11">
        <v>150</v>
      </c>
      <c r="M3882" s="11">
        <v>55824.73</v>
      </c>
      <c r="N3882" s="9">
        <f t="shared" si="149"/>
        <v>150</v>
      </c>
    </row>
    <row r="3883" spans="1:14" ht="12.75" customHeight="1" x14ac:dyDescent="0.2">
      <c r="A3883">
        <v>44000</v>
      </c>
      <c r="B3883" s="3" t="s">
        <v>1229</v>
      </c>
      <c r="C3883" s="7" t="s">
        <v>1631</v>
      </c>
      <c r="D3883" s="7" t="s">
        <v>183</v>
      </c>
      <c r="E3883" s="7">
        <v>724</v>
      </c>
      <c r="G3883" s="7" t="s">
        <v>182</v>
      </c>
      <c r="H3883" s="7" t="s">
        <v>1359</v>
      </c>
      <c r="I3883" s="7" t="s">
        <v>2148</v>
      </c>
      <c r="J3883" s="39" t="s">
        <v>1717</v>
      </c>
      <c r="K3883" s="39" t="s">
        <v>180</v>
      </c>
      <c r="L3883" s="40">
        <v>50</v>
      </c>
      <c r="M3883" s="40">
        <v>233915.2</v>
      </c>
      <c r="N3883" s="41">
        <f>-L3883</f>
        <v>-50</v>
      </c>
    </row>
    <row r="3884" spans="1:14" ht="12.75" customHeight="1" x14ac:dyDescent="0.2">
      <c r="A3884">
        <v>44000</v>
      </c>
      <c r="B3884" s="3" t="s">
        <v>1229</v>
      </c>
      <c r="C3884" s="7" t="s">
        <v>1635</v>
      </c>
      <c r="D3884" s="7" t="s">
        <v>242</v>
      </c>
      <c r="F3884" s="7" t="s">
        <v>1718</v>
      </c>
      <c r="G3884" s="7" t="s">
        <v>182</v>
      </c>
      <c r="H3884" s="7" t="s">
        <v>1359</v>
      </c>
      <c r="I3884" s="7" t="s">
        <v>2148</v>
      </c>
      <c r="J3884" s="39" t="s">
        <v>1719</v>
      </c>
      <c r="K3884" s="39" t="s">
        <v>445</v>
      </c>
      <c r="L3884" s="40">
        <v>125</v>
      </c>
      <c r="M3884" s="40">
        <v>234040.2</v>
      </c>
      <c r="N3884" s="41">
        <f>-L3884</f>
        <v>-125</v>
      </c>
    </row>
    <row r="3885" spans="1:14" ht="12.75" hidden="1" customHeight="1" x14ac:dyDescent="0.2">
      <c r="A3885">
        <v>65061</v>
      </c>
      <c r="B3885" s="3" t="s">
        <v>1253</v>
      </c>
      <c r="C3885" s="7" t="s">
        <v>952</v>
      </c>
      <c r="D3885" s="7" t="s">
        <v>200</v>
      </c>
      <c r="E3885" s="7">
        <v>405</v>
      </c>
      <c r="F3885" s="7" t="s">
        <v>837</v>
      </c>
      <c r="G3885" s="7" t="s">
        <v>1620</v>
      </c>
      <c r="H3885" s="7" t="s">
        <v>1362</v>
      </c>
      <c r="I3885" s="7" t="s">
        <v>1253</v>
      </c>
      <c r="J3885" s="7" t="s">
        <v>954</v>
      </c>
      <c r="K3885" s="7" t="s">
        <v>198</v>
      </c>
      <c r="L3885" s="11">
        <v>1890.25</v>
      </c>
      <c r="M3885" s="11">
        <v>14703</v>
      </c>
      <c r="N3885" s="9">
        <f>IF(A3885&lt;60000,-L3885,+L3885)</f>
        <v>1890.25</v>
      </c>
    </row>
    <row r="3886" spans="1:14" ht="12.75" customHeight="1" x14ac:dyDescent="0.2">
      <c r="A3886">
        <v>44000</v>
      </c>
      <c r="B3886" s="3" t="s">
        <v>1229</v>
      </c>
      <c r="C3886" s="7" t="s">
        <v>1638</v>
      </c>
      <c r="D3886" s="7" t="s">
        <v>183</v>
      </c>
      <c r="E3886" s="7">
        <v>727</v>
      </c>
      <c r="G3886" s="7" t="s">
        <v>182</v>
      </c>
      <c r="H3886" s="7" t="s">
        <v>1359</v>
      </c>
      <c r="I3886" s="7" t="s">
        <v>2148</v>
      </c>
      <c r="J3886" s="39" t="s">
        <v>1639</v>
      </c>
      <c r="K3886" s="39" t="s">
        <v>180</v>
      </c>
      <c r="L3886" s="40">
        <v>500</v>
      </c>
      <c r="M3886" s="40">
        <v>235685.2</v>
      </c>
      <c r="N3886" s="41">
        <f>-L3886</f>
        <v>-500</v>
      </c>
    </row>
    <row r="3887" spans="1:14" ht="12.75" customHeight="1" x14ac:dyDescent="0.2">
      <c r="A3887">
        <v>44000</v>
      </c>
      <c r="B3887" s="3" t="s">
        <v>1229</v>
      </c>
      <c r="C3887" s="7" t="s">
        <v>1725</v>
      </c>
      <c r="D3887" s="7" t="s">
        <v>1168</v>
      </c>
      <c r="E3887" s="7">
        <v>1007</v>
      </c>
      <c r="F3887" s="7" t="s">
        <v>1726</v>
      </c>
      <c r="G3887" s="7" t="s">
        <v>182</v>
      </c>
      <c r="H3887" s="7" t="s">
        <v>1359</v>
      </c>
      <c r="I3887" s="7" t="s">
        <v>2148</v>
      </c>
      <c r="J3887" s="39" t="s">
        <v>1727</v>
      </c>
      <c r="K3887" s="39" t="s">
        <v>1165</v>
      </c>
      <c r="L3887" s="40">
        <v>5000</v>
      </c>
      <c r="M3887" s="40">
        <v>244252.98</v>
      </c>
      <c r="N3887" s="41">
        <f>-L3887</f>
        <v>-5000</v>
      </c>
    </row>
    <row r="3888" spans="1:14" ht="12.75" customHeight="1" x14ac:dyDescent="0.2">
      <c r="A3888">
        <v>44000</v>
      </c>
      <c r="B3888" s="3" t="s">
        <v>1229</v>
      </c>
      <c r="C3888" s="7" t="s">
        <v>1728</v>
      </c>
      <c r="D3888" s="7" t="s">
        <v>242</v>
      </c>
      <c r="F3888" s="7" t="s">
        <v>665</v>
      </c>
      <c r="G3888" s="7" t="s">
        <v>182</v>
      </c>
      <c r="H3888" s="7" t="s">
        <v>1359</v>
      </c>
      <c r="I3888" s="7" t="s">
        <v>2148</v>
      </c>
      <c r="K3888" s="39" t="s">
        <v>198</v>
      </c>
      <c r="L3888" s="40">
        <v>1784</v>
      </c>
      <c r="M3888" s="40">
        <v>247391.98</v>
      </c>
      <c r="N3888" s="41">
        <f>-L3888</f>
        <v>-1784</v>
      </c>
    </row>
    <row r="3889" spans="1:14" ht="12.75" hidden="1" customHeight="1" x14ac:dyDescent="0.2">
      <c r="A3889">
        <v>43430</v>
      </c>
      <c r="B3889" s="3" t="s">
        <v>1226</v>
      </c>
      <c r="C3889" s="7" t="s">
        <v>455</v>
      </c>
      <c r="D3889" s="7" t="s">
        <v>183</v>
      </c>
      <c r="E3889" s="7">
        <v>620</v>
      </c>
      <c r="G3889" s="7" t="s">
        <v>1552</v>
      </c>
      <c r="H3889" s="7" t="s">
        <v>1360</v>
      </c>
      <c r="I3889" s="7" t="s">
        <v>1226</v>
      </c>
      <c r="J3889" s="7" t="s">
        <v>454</v>
      </c>
      <c r="K3889" s="7" t="s">
        <v>180</v>
      </c>
      <c r="L3889" s="11">
        <v>300</v>
      </c>
      <c r="M3889" s="11">
        <v>17872.5</v>
      </c>
      <c r="N3889" s="9">
        <f t="shared" ref="N3889:N3920" si="150">IF(A3889&lt;60000,-L3889,+L3889)</f>
        <v>-300</v>
      </c>
    </row>
    <row r="3890" spans="1:14" ht="12.75" hidden="1" customHeight="1" x14ac:dyDescent="0.2">
      <c r="A3890">
        <v>43440</v>
      </c>
      <c r="B3890" s="3" t="s">
        <v>1228</v>
      </c>
      <c r="C3890" s="7" t="s">
        <v>455</v>
      </c>
      <c r="D3890" s="7" t="s">
        <v>183</v>
      </c>
      <c r="E3890" s="7">
        <v>620</v>
      </c>
      <c r="G3890" s="7" t="s">
        <v>1552</v>
      </c>
      <c r="H3890" s="7" t="s">
        <v>1360</v>
      </c>
      <c r="I3890" s="7" t="s">
        <v>1228</v>
      </c>
      <c r="J3890" s="7" t="s">
        <v>491</v>
      </c>
      <c r="K3890" s="7" t="s">
        <v>180</v>
      </c>
      <c r="L3890" s="11">
        <v>292.31</v>
      </c>
      <c r="M3890" s="11">
        <v>28402.48</v>
      </c>
      <c r="N3890" s="9">
        <f t="shared" si="150"/>
        <v>-292.31</v>
      </c>
    </row>
    <row r="3891" spans="1:14" ht="12.75" hidden="1" customHeight="1" x14ac:dyDescent="0.2">
      <c r="A3891">
        <v>43440</v>
      </c>
      <c r="B3891" s="3" t="s">
        <v>1228</v>
      </c>
      <c r="C3891" s="7" t="s">
        <v>455</v>
      </c>
      <c r="D3891" s="7" t="s">
        <v>183</v>
      </c>
      <c r="E3891" s="7">
        <v>620</v>
      </c>
      <c r="G3891" s="7" t="s">
        <v>1552</v>
      </c>
      <c r="H3891" s="7" t="s">
        <v>1360</v>
      </c>
      <c r="I3891" s="7" t="s">
        <v>1228</v>
      </c>
      <c r="J3891" s="7" t="s">
        <v>490</v>
      </c>
      <c r="K3891" s="7" t="s">
        <v>180</v>
      </c>
      <c r="L3891" s="11">
        <v>285</v>
      </c>
      <c r="M3891" s="11">
        <v>28687.48</v>
      </c>
      <c r="N3891" s="9">
        <f t="shared" si="150"/>
        <v>-285</v>
      </c>
    </row>
    <row r="3892" spans="1:14" ht="12.75" hidden="1" customHeight="1" x14ac:dyDescent="0.2">
      <c r="A3892">
        <v>65015</v>
      </c>
      <c r="B3892" s="3" t="s">
        <v>1244</v>
      </c>
      <c r="C3892" s="7" t="s">
        <v>361</v>
      </c>
      <c r="D3892" s="7" t="s">
        <v>200</v>
      </c>
      <c r="F3892" s="7" t="s">
        <v>1049</v>
      </c>
      <c r="G3892" s="7" t="s">
        <v>1552</v>
      </c>
      <c r="H3892" s="7" t="s">
        <v>1362</v>
      </c>
      <c r="I3892" s="7" t="s">
        <v>1244</v>
      </c>
      <c r="K3892" s="7" t="s">
        <v>230</v>
      </c>
      <c r="L3892" s="11">
        <v>80.41</v>
      </c>
      <c r="M3892" s="11">
        <v>1306.3900000000001</v>
      </c>
      <c r="N3892" s="9">
        <f t="shared" si="150"/>
        <v>80.41</v>
      </c>
    </row>
    <row r="3893" spans="1:14" ht="12.75" hidden="1" customHeight="1" x14ac:dyDescent="0.2">
      <c r="A3893">
        <v>65025</v>
      </c>
      <c r="B3893" s="3" t="s">
        <v>1246</v>
      </c>
      <c r="C3893" s="7" t="s">
        <v>449</v>
      </c>
      <c r="D3893" s="7" t="s">
        <v>200</v>
      </c>
      <c r="F3893" s="7" t="s">
        <v>446</v>
      </c>
      <c r="G3893" s="7" t="s">
        <v>1552</v>
      </c>
      <c r="H3893" s="7" t="s">
        <v>1362</v>
      </c>
      <c r="I3893" s="7" t="s">
        <v>1246</v>
      </c>
      <c r="K3893" s="7" t="s">
        <v>230</v>
      </c>
      <c r="L3893" s="11">
        <v>15</v>
      </c>
      <c r="M3893" s="11">
        <v>30</v>
      </c>
      <c r="N3893" s="9">
        <f t="shared" si="150"/>
        <v>15</v>
      </c>
    </row>
    <row r="3894" spans="1:14" ht="12.75" hidden="1" customHeight="1" x14ac:dyDescent="0.2">
      <c r="A3894">
        <v>65025</v>
      </c>
      <c r="B3894" s="3" t="s">
        <v>1246</v>
      </c>
      <c r="C3894" s="7" t="s">
        <v>379</v>
      </c>
      <c r="D3894" s="7" t="s">
        <v>200</v>
      </c>
      <c r="F3894" s="7" t="s">
        <v>446</v>
      </c>
      <c r="G3894" s="7" t="s">
        <v>1552</v>
      </c>
      <c r="H3894" s="7" t="s">
        <v>1362</v>
      </c>
      <c r="I3894" s="7" t="s">
        <v>1246</v>
      </c>
      <c r="K3894" s="7" t="s">
        <v>230</v>
      </c>
      <c r="L3894" s="11">
        <v>35</v>
      </c>
      <c r="M3894" s="11">
        <v>343.2</v>
      </c>
      <c r="N3894" s="9">
        <f t="shared" si="150"/>
        <v>35</v>
      </c>
    </row>
    <row r="3895" spans="1:14" ht="12.75" hidden="1" customHeight="1" x14ac:dyDescent="0.2">
      <c r="A3895">
        <v>65025</v>
      </c>
      <c r="B3895" s="3" t="s">
        <v>1246</v>
      </c>
      <c r="C3895" s="7" t="s">
        <v>334</v>
      </c>
      <c r="D3895" s="7" t="s">
        <v>200</v>
      </c>
      <c r="E3895" s="7" t="s">
        <v>447</v>
      </c>
      <c r="F3895" s="7" t="s">
        <v>446</v>
      </c>
      <c r="G3895" s="7" t="s">
        <v>1552</v>
      </c>
      <c r="H3895" s="7" t="s">
        <v>1362</v>
      </c>
      <c r="I3895" s="7" t="s">
        <v>1246</v>
      </c>
      <c r="K3895" s="7" t="s">
        <v>1044</v>
      </c>
      <c r="L3895" s="11">
        <v>15</v>
      </c>
      <c r="M3895" s="11">
        <v>535.72</v>
      </c>
      <c r="N3895" s="9">
        <f t="shared" si="150"/>
        <v>15</v>
      </c>
    </row>
    <row r="3896" spans="1:14" ht="12.75" hidden="1" customHeight="1" x14ac:dyDescent="0.2">
      <c r="A3896">
        <v>65025</v>
      </c>
      <c r="B3896" s="3" t="s">
        <v>1246</v>
      </c>
      <c r="C3896" s="7" t="s">
        <v>406</v>
      </c>
      <c r="D3896" s="7" t="s">
        <v>200</v>
      </c>
      <c r="F3896" s="7" t="s">
        <v>446</v>
      </c>
      <c r="G3896" s="7" t="s">
        <v>1552</v>
      </c>
      <c r="H3896" s="7" t="s">
        <v>1362</v>
      </c>
      <c r="I3896" s="7" t="s">
        <v>1246</v>
      </c>
      <c r="K3896" s="7" t="s">
        <v>230</v>
      </c>
      <c r="L3896" s="11">
        <v>15</v>
      </c>
      <c r="M3896" s="11">
        <v>619.66999999999996</v>
      </c>
      <c r="N3896" s="9">
        <f t="shared" si="150"/>
        <v>15</v>
      </c>
    </row>
    <row r="3897" spans="1:14" ht="12.75" hidden="1" customHeight="1" x14ac:dyDescent="0.2">
      <c r="A3897">
        <v>65025</v>
      </c>
      <c r="B3897" s="3" t="s">
        <v>1246</v>
      </c>
      <c r="C3897" s="7" t="s">
        <v>194</v>
      </c>
      <c r="D3897" s="7" t="s">
        <v>221</v>
      </c>
      <c r="F3897" s="7" t="s">
        <v>446</v>
      </c>
      <c r="G3897" s="7" t="s">
        <v>1552</v>
      </c>
      <c r="H3897" s="7" t="s">
        <v>1362</v>
      </c>
      <c r="I3897" s="7" t="s">
        <v>1246</v>
      </c>
      <c r="K3897" s="7" t="s">
        <v>230</v>
      </c>
      <c r="L3897" s="11">
        <v>15</v>
      </c>
      <c r="M3897" s="11">
        <v>929.33</v>
      </c>
      <c r="N3897" s="9">
        <f t="shared" si="150"/>
        <v>15</v>
      </c>
    </row>
    <row r="3898" spans="1:14" ht="12.75" hidden="1" customHeight="1" x14ac:dyDescent="0.2">
      <c r="A3898">
        <v>65061</v>
      </c>
      <c r="B3898" s="3" t="s">
        <v>1253</v>
      </c>
      <c r="C3898" s="7" t="s">
        <v>449</v>
      </c>
      <c r="D3898" s="7" t="s">
        <v>200</v>
      </c>
      <c r="F3898" s="7" t="s">
        <v>569</v>
      </c>
      <c r="G3898" s="7" t="s">
        <v>1552</v>
      </c>
      <c r="H3898" s="7" t="s">
        <v>1362</v>
      </c>
      <c r="I3898" s="7" t="s">
        <v>1253</v>
      </c>
      <c r="K3898" s="7" t="s">
        <v>230</v>
      </c>
      <c r="L3898" s="11">
        <v>181.9</v>
      </c>
      <c r="M3898" s="11">
        <v>-8977.94</v>
      </c>
      <c r="N3898" s="9">
        <f t="shared" si="150"/>
        <v>181.9</v>
      </c>
    </row>
    <row r="3899" spans="1:14" ht="12.75" hidden="1" customHeight="1" x14ac:dyDescent="0.2">
      <c r="A3899">
        <v>65061</v>
      </c>
      <c r="B3899" s="3" t="s">
        <v>1253</v>
      </c>
      <c r="C3899" s="7" t="s">
        <v>449</v>
      </c>
      <c r="D3899" s="7" t="s">
        <v>200</v>
      </c>
      <c r="F3899" s="7" t="s">
        <v>569</v>
      </c>
      <c r="G3899" s="7" t="s">
        <v>1552</v>
      </c>
      <c r="H3899" s="7" t="s">
        <v>1362</v>
      </c>
      <c r="I3899" s="7" t="s">
        <v>1253</v>
      </c>
      <c r="K3899" s="7" t="s">
        <v>230</v>
      </c>
      <c r="L3899" s="11">
        <v>8</v>
      </c>
      <c r="M3899" s="11">
        <v>-8969.94</v>
      </c>
      <c r="N3899" s="9">
        <f t="shared" si="150"/>
        <v>8</v>
      </c>
    </row>
    <row r="3900" spans="1:14" ht="12.75" hidden="1" customHeight="1" x14ac:dyDescent="0.2">
      <c r="A3900">
        <v>65061</v>
      </c>
      <c r="B3900" s="3" t="s">
        <v>1253</v>
      </c>
      <c r="C3900" s="7" t="s">
        <v>449</v>
      </c>
      <c r="D3900" s="7" t="s">
        <v>200</v>
      </c>
      <c r="F3900" s="7" t="s">
        <v>989</v>
      </c>
      <c r="G3900" s="7" t="s">
        <v>1552</v>
      </c>
      <c r="H3900" s="7" t="s">
        <v>1362</v>
      </c>
      <c r="I3900" s="7" t="s">
        <v>1253</v>
      </c>
      <c r="K3900" s="7" t="s">
        <v>230</v>
      </c>
      <c r="L3900" s="11">
        <v>85.71</v>
      </c>
      <c r="M3900" s="11">
        <v>-8784.23</v>
      </c>
      <c r="N3900" s="9">
        <f t="shared" si="150"/>
        <v>85.71</v>
      </c>
    </row>
    <row r="3901" spans="1:14" ht="12.75" hidden="1" customHeight="1" x14ac:dyDescent="0.2">
      <c r="A3901">
        <v>65061</v>
      </c>
      <c r="B3901" s="3" t="s">
        <v>1253</v>
      </c>
      <c r="C3901" s="7" t="s">
        <v>545</v>
      </c>
      <c r="D3901" s="7" t="s">
        <v>200</v>
      </c>
      <c r="F3901" s="7" t="s">
        <v>568</v>
      </c>
      <c r="G3901" s="7" t="s">
        <v>1552</v>
      </c>
      <c r="H3901" s="7" t="s">
        <v>1362</v>
      </c>
      <c r="I3901" s="7" t="s">
        <v>1253</v>
      </c>
      <c r="K3901" s="7" t="s">
        <v>230</v>
      </c>
      <c r="L3901" s="11">
        <v>20.309999999999999</v>
      </c>
      <c r="M3901" s="11">
        <v>-8763.92</v>
      </c>
      <c r="N3901" s="9">
        <f t="shared" si="150"/>
        <v>20.309999999999999</v>
      </c>
    </row>
    <row r="3902" spans="1:14" ht="12.75" hidden="1" customHeight="1" x14ac:dyDescent="0.2">
      <c r="A3902">
        <v>65061</v>
      </c>
      <c r="B3902" s="3" t="s">
        <v>1253</v>
      </c>
      <c r="C3902" s="7" t="s">
        <v>545</v>
      </c>
      <c r="D3902" s="7" t="s">
        <v>200</v>
      </c>
      <c r="F3902" s="7" t="s">
        <v>570</v>
      </c>
      <c r="G3902" s="7" t="s">
        <v>1552</v>
      </c>
      <c r="H3902" s="7" t="s">
        <v>1362</v>
      </c>
      <c r="I3902" s="7" t="s">
        <v>1253</v>
      </c>
      <c r="K3902" s="7" t="s">
        <v>230</v>
      </c>
      <c r="L3902" s="11">
        <v>459.03</v>
      </c>
      <c r="M3902" s="11">
        <v>-8304.89</v>
      </c>
      <c r="N3902" s="9">
        <f t="shared" si="150"/>
        <v>459.03</v>
      </c>
    </row>
    <row r="3903" spans="1:14" ht="12.75" hidden="1" customHeight="1" x14ac:dyDescent="0.2">
      <c r="A3903">
        <v>65061</v>
      </c>
      <c r="B3903" s="3" t="s">
        <v>1253</v>
      </c>
      <c r="C3903" s="7" t="s">
        <v>981</v>
      </c>
      <c r="D3903" s="7" t="s">
        <v>200</v>
      </c>
      <c r="F3903" s="7" t="s">
        <v>684</v>
      </c>
      <c r="G3903" s="7" t="s">
        <v>1552</v>
      </c>
      <c r="H3903" s="7" t="s">
        <v>1362</v>
      </c>
      <c r="I3903" s="7" t="s">
        <v>1253</v>
      </c>
      <c r="K3903" s="7" t="s">
        <v>230</v>
      </c>
      <c r="L3903" s="11">
        <v>36.799999999999997</v>
      </c>
      <c r="M3903" s="11">
        <v>-7134.53</v>
      </c>
      <c r="N3903" s="9">
        <f t="shared" si="150"/>
        <v>36.799999999999997</v>
      </c>
    </row>
    <row r="3904" spans="1:14" ht="12.75" hidden="1" customHeight="1" x14ac:dyDescent="0.2">
      <c r="A3904">
        <v>65061</v>
      </c>
      <c r="B3904" s="3" t="s">
        <v>1253</v>
      </c>
      <c r="C3904" s="7" t="s">
        <v>981</v>
      </c>
      <c r="D3904" s="7" t="s">
        <v>200</v>
      </c>
      <c r="F3904" s="7" t="s">
        <v>562</v>
      </c>
      <c r="G3904" s="7" t="s">
        <v>1552</v>
      </c>
      <c r="H3904" s="7" t="s">
        <v>1362</v>
      </c>
      <c r="I3904" s="7" t="s">
        <v>1253</v>
      </c>
      <c r="K3904" s="7" t="s">
        <v>230</v>
      </c>
      <c r="L3904" s="11">
        <v>85.8</v>
      </c>
      <c r="M3904" s="11">
        <v>-6965.43</v>
      </c>
      <c r="N3904" s="9">
        <f t="shared" si="150"/>
        <v>85.8</v>
      </c>
    </row>
    <row r="3905" spans="1:14" ht="12.75" hidden="1" customHeight="1" x14ac:dyDescent="0.2">
      <c r="A3905">
        <v>65061</v>
      </c>
      <c r="B3905" s="3" t="s">
        <v>1253</v>
      </c>
      <c r="C3905" s="7" t="s">
        <v>981</v>
      </c>
      <c r="D3905" s="7" t="s">
        <v>200</v>
      </c>
      <c r="F3905" s="7" t="s">
        <v>563</v>
      </c>
      <c r="G3905" s="7" t="s">
        <v>1552</v>
      </c>
      <c r="H3905" s="7" t="s">
        <v>1362</v>
      </c>
      <c r="I3905" s="7" t="s">
        <v>1253</v>
      </c>
      <c r="K3905" s="7" t="s">
        <v>230</v>
      </c>
      <c r="L3905" s="11">
        <v>176.39</v>
      </c>
      <c r="M3905" s="11">
        <v>-6789.04</v>
      </c>
      <c r="N3905" s="9">
        <f t="shared" si="150"/>
        <v>176.39</v>
      </c>
    </row>
    <row r="3906" spans="1:14" ht="12.75" hidden="1" customHeight="1" x14ac:dyDescent="0.2">
      <c r="A3906">
        <v>65061</v>
      </c>
      <c r="B3906" s="3" t="s">
        <v>1253</v>
      </c>
      <c r="C3906" s="7" t="s">
        <v>981</v>
      </c>
      <c r="D3906" s="7" t="s">
        <v>200</v>
      </c>
      <c r="F3906" s="7" t="s">
        <v>984</v>
      </c>
      <c r="G3906" s="7" t="s">
        <v>1552</v>
      </c>
      <c r="H3906" s="7" t="s">
        <v>1362</v>
      </c>
      <c r="I3906" s="7" t="s">
        <v>1253</v>
      </c>
      <c r="K3906" s="7" t="s">
        <v>230</v>
      </c>
      <c r="L3906" s="11">
        <v>71.459999999999994</v>
      </c>
      <c r="M3906" s="11">
        <v>-6717.58</v>
      </c>
      <c r="N3906" s="9">
        <f t="shared" si="150"/>
        <v>71.459999999999994</v>
      </c>
    </row>
    <row r="3907" spans="1:14" ht="12.75" hidden="1" customHeight="1" x14ac:dyDescent="0.2">
      <c r="A3907">
        <v>65061</v>
      </c>
      <c r="B3907" s="3" t="s">
        <v>1253</v>
      </c>
      <c r="C3907" s="7" t="s">
        <v>981</v>
      </c>
      <c r="D3907" s="7" t="s">
        <v>200</v>
      </c>
      <c r="F3907" s="7" t="s">
        <v>234</v>
      </c>
      <c r="G3907" s="7" t="s">
        <v>1552</v>
      </c>
      <c r="H3907" s="7" t="s">
        <v>1362</v>
      </c>
      <c r="I3907" s="7" t="s">
        <v>1253</v>
      </c>
      <c r="K3907" s="7" t="s">
        <v>230</v>
      </c>
      <c r="L3907" s="11">
        <v>66.44</v>
      </c>
      <c r="M3907" s="11">
        <v>-6651.14</v>
      </c>
      <c r="N3907" s="9">
        <f t="shared" si="150"/>
        <v>66.44</v>
      </c>
    </row>
    <row r="3908" spans="1:14" ht="12.75" hidden="1" customHeight="1" x14ac:dyDescent="0.2">
      <c r="A3908">
        <v>65061</v>
      </c>
      <c r="B3908" s="3" t="s">
        <v>1253</v>
      </c>
      <c r="C3908" s="7" t="s">
        <v>384</v>
      </c>
      <c r="D3908" s="7" t="s">
        <v>200</v>
      </c>
      <c r="F3908" s="7" t="s">
        <v>265</v>
      </c>
      <c r="G3908" s="7" t="s">
        <v>1552</v>
      </c>
      <c r="H3908" s="7" t="s">
        <v>1362</v>
      </c>
      <c r="I3908" s="7" t="s">
        <v>1253</v>
      </c>
      <c r="K3908" s="7" t="s">
        <v>230</v>
      </c>
      <c r="L3908" s="11">
        <v>164.99</v>
      </c>
      <c r="M3908" s="11">
        <v>10532.92</v>
      </c>
      <c r="N3908" s="9">
        <f t="shared" si="150"/>
        <v>164.99</v>
      </c>
    </row>
    <row r="3909" spans="1:14" ht="12.75" hidden="1" customHeight="1" x14ac:dyDescent="0.2">
      <c r="A3909">
        <v>65061</v>
      </c>
      <c r="B3909" s="3" t="s">
        <v>1253</v>
      </c>
      <c r="C3909" s="7" t="s">
        <v>384</v>
      </c>
      <c r="D3909" s="7" t="s">
        <v>200</v>
      </c>
      <c r="F3909" s="7" t="s">
        <v>569</v>
      </c>
      <c r="G3909" s="7" t="s">
        <v>1552</v>
      </c>
      <c r="H3909" s="7" t="s">
        <v>1362</v>
      </c>
      <c r="I3909" s="7" t="s">
        <v>1253</v>
      </c>
      <c r="K3909" s="7" t="s">
        <v>230</v>
      </c>
      <c r="L3909" s="11">
        <v>74</v>
      </c>
      <c r="M3909" s="11">
        <v>10606.92</v>
      </c>
      <c r="N3909" s="9">
        <f t="shared" si="150"/>
        <v>74</v>
      </c>
    </row>
    <row r="3910" spans="1:14" ht="12.75" hidden="1" customHeight="1" x14ac:dyDescent="0.2">
      <c r="A3910">
        <v>65061</v>
      </c>
      <c r="B3910" s="3" t="s">
        <v>1253</v>
      </c>
      <c r="C3910" s="7" t="s">
        <v>384</v>
      </c>
      <c r="D3910" s="7" t="s">
        <v>200</v>
      </c>
      <c r="F3910" s="7" t="s">
        <v>720</v>
      </c>
      <c r="G3910" s="7" t="s">
        <v>1552</v>
      </c>
      <c r="H3910" s="7" t="s">
        <v>1362</v>
      </c>
      <c r="I3910" s="7" t="s">
        <v>1253</v>
      </c>
      <c r="K3910" s="7" t="s">
        <v>230</v>
      </c>
      <c r="L3910" s="11">
        <v>971.56</v>
      </c>
      <c r="M3910" s="11">
        <v>11578.48</v>
      </c>
      <c r="N3910" s="9">
        <f t="shared" si="150"/>
        <v>971.56</v>
      </c>
    </row>
    <row r="3911" spans="1:14" ht="12.75" hidden="1" customHeight="1" x14ac:dyDescent="0.2">
      <c r="A3911">
        <v>65061</v>
      </c>
      <c r="B3911" s="3" t="s">
        <v>1253</v>
      </c>
      <c r="C3911" s="7" t="s">
        <v>383</v>
      </c>
      <c r="D3911" s="7" t="s">
        <v>242</v>
      </c>
      <c r="F3911" s="7" t="s">
        <v>720</v>
      </c>
      <c r="G3911" s="7" t="s">
        <v>1552</v>
      </c>
      <c r="H3911" s="7" t="s">
        <v>1362</v>
      </c>
      <c r="I3911" s="7" t="s">
        <v>1253</v>
      </c>
      <c r="K3911" s="7" t="s">
        <v>230</v>
      </c>
      <c r="L3911" s="11">
        <v>-971.56</v>
      </c>
      <c r="M3911" s="11">
        <v>20328.23</v>
      </c>
      <c r="N3911" s="9">
        <f t="shared" si="150"/>
        <v>-971.56</v>
      </c>
    </row>
    <row r="3912" spans="1:14" ht="12.75" hidden="1" customHeight="1" x14ac:dyDescent="0.2">
      <c r="A3912">
        <v>65061</v>
      </c>
      <c r="B3912" s="3" t="s">
        <v>1253</v>
      </c>
      <c r="C3912" s="7" t="s">
        <v>383</v>
      </c>
      <c r="D3912" s="7" t="s">
        <v>242</v>
      </c>
      <c r="F3912" s="7" t="s">
        <v>720</v>
      </c>
      <c r="G3912" s="7" t="s">
        <v>1552</v>
      </c>
      <c r="H3912" s="7" t="s">
        <v>1362</v>
      </c>
      <c r="I3912" s="7" t="s">
        <v>1253</v>
      </c>
      <c r="K3912" s="7" t="s">
        <v>230</v>
      </c>
      <c r="L3912" s="11">
        <v>-63.56</v>
      </c>
      <c r="M3912" s="11">
        <v>20264.669999999998</v>
      </c>
      <c r="N3912" s="9">
        <f t="shared" si="150"/>
        <v>-63.56</v>
      </c>
    </row>
    <row r="3913" spans="1:14" ht="12.75" hidden="1" customHeight="1" x14ac:dyDescent="0.2">
      <c r="A3913">
        <v>65061</v>
      </c>
      <c r="B3913" s="3" t="s">
        <v>1253</v>
      </c>
      <c r="C3913" s="7" t="s">
        <v>942</v>
      </c>
      <c r="D3913" s="7" t="s">
        <v>200</v>
      </c>
      <c r="F3913" s="7" t="s">
        <v>658</v>
      </c>
      <c r="G3913" s="7" t="s">
        <v>1552</v>
      </c>
      <c r="H3913" s="7" t="s">
        <v>1362</v>
      </c>
      <c r="I3913" s="7" t="s">
        <v>1253</v>
      </c>
      <c r="K3913" s="7" t="s">
        <v>230</v>
      </c>
      <c r="L3913" s="11">
        <v>149.08000000000001</v>
      </c>
      <c r="M3913" s="11">
        <v>20853.689999999999</v>
      </c>
      <c r="N3913" s="9">
        <f t="shared" si="150"/>
        <v>149.08000000000001</v>
      </c>
    </row>
    <row r="3914" spans="1:14" ht="12.75" hidden="1" customHeight="1" x14ac:dyDescent="0.2">
      <c r="A3914">
        <v>65061</v>
      </c>
      <c r="B3914" s="3" t="s">
        <v>1253</v>
      </c>
      <c r="C3914" s="7" t="s">
        <v>939</v>
      </c>
      <c r="D3914" s="7" t="s">
        <v>200</v>
      </c>
      <c r="F3914" s="7" t="s">
        <v>940</v>
      </c>
      <c r="G3914" s="7" t="s">
        <v>1552</v>
      </c>
      <c r="H3914" s="7" t="s">
        <v>1362</v>
      </c>
      <c r="I3914" s="7" t="s">
        <v>1253</v>
      </c>
      <c r="K3914" s="7" t="s">
        <v>230</v>
      </c>
      <c r="L3914" s="11">
        <v>835.43</v>
      </c>
      <c r="M3914" s="11">
        <v>22806.61</v>
      </c>
      <c r="N3914" s="9">
        <f t="shared" si="150"/>
        <v>835.43</v>
      </c>
    </row>
    <row r="3915" spans="1:14" ht="12.75" hidden="1" customHeight="1" x14ac:dyDescent="0.2">
      <c r="A3915">
        <v>65061</v>
      </c>
      <c r="B3915" s="3" t="s">
        <v>1253</v>
      </c>
      <c r="C3915" s="7" t="s">
        <v>379</v>
      </c>
      <c r="D3915" s="7" t="s">
        <v>200</v>
      </c>
      <c r="F3915" s="7" t="s">
        <v>564</v>
      </c>
      <c r="G3915" s="7" t="s">
        <v>1552</v>
      </c>
      <c r="H3915" s="7" t="s">
        <v>1362</v>
      </c>
      <c r="I3915" s="7" t="s">
        <v>1253</v>
      </c>
      <c r="K3915" s="7" t="s">
        <v>230</v>
      </c>
      <c r="L3915" s="11">
        <v>246.95</v>
      </c>
      <c r="M3915" s="11">
        <v>26510.77</v>
      </c>
      <c r="N3915" s="9">
        <f t="shared" si="150"/>
        <v>246.95</v>
      </c>
    </row>
    <row r="3916" spans="1:14" ht="12.75" hidden="1" customHeight="1" x14ac:dyDescent="0.2">
      <c r="A3916">
        <v>65061</v>
      </c>
      <c r="B3916" s="3" t="s">
        <v>1253</v>
      </c>
      <c r="C3916" s="7" t="s">
        <v>377</v>
      </c>
      <c r="D3916" s="7" t="s">
        <v>200</v>
      </c>
      <c r="F3916" s="7" t="s">
        <v>569</v>
      </c>
      <c r="G3916" s="7" t="s">
        <v>1552</v>
      </c>
      <c r="H3916" s="7" t="s">
        <v>1362</v>
      </c>
      <c r="I3916" s="7" t="s">
        <v>1253</v>
      </c>
      <c r="K3916" s="7" t="s">
        <v>230</v>
      </c>
      <c r="L3916" s="11">
        <v>27.95</v>
      </c>
      <c r="M3916" s="11">
        <v>28790.38</v>
      </c>
      <c r="N3916" s="9">
        <f t="shared" si="150"/>
        <v>27.95</v>
      </c>
    </row>
    <row r="3917" spans="1:14" ht="12.75" hidden="1" customHeight="1" x14ac:dyDescent="0.2">
      <c r="A3917">
        <v>65061</v>
      </c>
      <c r="B3917" s="3" t="s">
        <v>1253</v>
      </c>
      <c r="C3917" s="7" t="s">
        <v>377</v>
      </c>
      <c r="D3917" s="7" t="s">
        <v>200</v>
      </c>
      <c r="F3917" s="7" t="s">
        <v>265</v>
      </c>
      <c r="G3917" s="7" t="s">
        <v>1552</v>
      </c>
      <c r="H3917" s="7" t="s">
        <v>1362</v>
      </c>
      <c r="I3917" s="7" t="s">
        <v>1253</v>
      </c>
      <c r="K3917" s="7" t="s">
        <v>230</v>
      </c>
      <c r="L3917" s="11">
        <v>54.46</v>
      </c>
      <c r="M3917" s="11">
        <v>29411.87</v>
      </c>
      <c r="N3917" s="9">
        <f t="shared" si="150"/>
        <v>54.46</v>
      </c>
    </row>
    <row r="3918" spans="1:14" ht="12.75" hidden="1" customHeight="1" x14ac:dyDescent="0.2">
      <c r="A3918">
        <v>65061</v>
      </c>
      <c r="B3918" s="3" t="s">
        <v>1253</v>
      </c>
      <c r="C3918" s="7" t="s">
        <v>372</v>
      </c>
      <c r="D3918" s="7" t="s">
        <v>200</v>
      </c>
      <c r="F3918" s="7" t="s">
        <v>564</v>
      </c>
      <c r="G3918" s="7" t="s">
        <v>1552</v>
      </c>
      <c r="H3918" s="7" t="s">
        <v>1362</v>
      </c>
      <c r="I3918" s="7" t="s">
        <v>1253</v>
      </c>
      <c r="K3918" s="7" t="s">
        <v>230</v>
      </c>
      <c r="L3918" s="11">
        <v>13.37</v>
      </c>
      <c r="M3918" s="11">
        <v>36132.47</v>
      </c>
      <c r="N3918" s="9">
        <f t="shared" si="150"/>
        <v>13.37</v>
      </c>
    </row>
    <row r="3919" spans="1:14" ht="12.75" hidden="1" customHeight="1" x14ac:dyDescent="0.2">
      <c r="A3919">
        <v>65061</v>
      </c>
      <c r="B3919" s="3" t="s">
        <v>1253</v>
      </c>
      <c r="C3919" s="7" t="s">
        <v>293</v>
      </c>
      <c r="D3919" s="7" t="s">
        <v>200</v>
      </c>
      <c r="F3919" s="7" t="s">
        <v>569</v>
      </c>
      <c r="G3919" s="7" t="s">
        <v>1552</v>
      </c>
      <c r="H3919" s="7" t="s">
        <v>1362</v>
      </c>
      <c r="I3919" s="7" t="s">
        <v>1253</v>
      </c>
      <c r="K3919" s="7" t="s">
        <v>230</v>
      </c>
      <c r="L3919" s="11">
        <v>17.43</v>
      </c>
      <c r="M3919" s="11">
        <v>85891.53</v>
      </c>
      <c r="N3919" s="9">
        <f t="shared" si="150"/>
        <v>17.43</v>
      </c>
    </row>
    <row r="3920" spans="1:14" ht="12.75" hidden="1" customHeight="1" x14ac:dyDescent="0.2">
      <c r="A3920">
        <v>65061</v>
      </c>
      <c r="B3920" s="3" t="s">
        <v>1253</v>
      </c>
      <c r="C3920" s="7" t="s">
        <v>290</v>
      </c>
      <c r="D3920" s="7" t="s">
        <v>200</v>
      </c>
      <c r="F3920" s="7" t="s">
        <v>300</v>
      </c>
      <c r="G3920" s="7" t="s">
        <v>1552</v>
      </c>
      <c r="H3920" s="7" t="s">
        <v>1362</v>
      </c>
      <c r="I3920" s="7" t="s">
        <v>1253</v>
      </c>
      <c r="K3920" s="7" t="s">
        <v>230</v>
      </c>
      <c r="L3920" s="11">
        <v>178.05</v>
      </c>
      <c r="M3920" s="11">
        <v>87578.98</v>
      </c>
      <c r="N3920" s="9">
        <f t="shared" si="150"/>
        <v>178.05</v>
      </c>
    </row>
    <row r="3921" spans="1:14" ht="12.75" hidden="1" customHeight="1" x14ac:dyDescent="0.2">
      <c r="A3921">
        <v>65061</v>
      </c>
      <c r="B3921" s="3" t="s">
        <v>1253</v>
      </c>
      <c r="C3921" s="7" t="s">
        <v>222</v>
      </c>
      <c r="D3921" s="7" t="s">
        <v>221</v>
      </c>
      <c r="F3921" s="7" t="s">
        <v>688</v>
      </c>
      <c r="G3921" s="7" t="s">
        <v>1552</v>
      </c>
      <c r="H3921" s="7" t="s">
        <v>1362</v>
      </c>
      <c r="I3921" s="7" t="s">
        <v>1253</v>
      </c>
      <c r="K3921" s="7" t="s">
        <v>230</v>
      </c>
      <c r="L3921" s="11">
        <v>24.93</v>
      </c>
      <c r="M3921" s="11">
        <v>148122.41</v>
      </c>
      <c r="N3921" s="9">
        <f t="shared" ref="N3921:N3952" si="151">IF(A3921&lt;60000,-L3921,+L3921)</f>
        <v>24.93</v>
      </c>
    </row>
    <row r="3922" spans="1:14" ht="12.75" hidden="1" customHeight="1" x14ac:dyDescent="0.2">
      <c r="A3922">
        <v>65061</v>
      </c>
      <c r="B3922" s="3" t="s">
        <v>1253</v>
      </c>
      <c r="C3922" s="7" t="s">
        <v>222</v>
      </c>
      <c r="D3922" s="7" t="s">
        <v>221</v>
      </c>
      <c r="F3922" s="7" t="s">
        <v>569</v>
      </c>
      <c r="G3922" s="7" t="s">
        <v>1552</v>
      </c>
      <c r="H3922" s="7" t="s">
        <v>1362</v>
      </c>
      <c r="I3922" s="7" t="s">
        <v>1253</v>
      </c>
      <c r="K3922" s="7" t="s">
        <v>230</v>
      </c>
      <c r="L3922" s="11">
        <v>115.95</v>
      </c>
      <c r="M3922" s="11">
        <v>148238.35999999999</v>
      </c>
      <c r="N3922" s="9">
        <f t="shared" si="151"/>
        <v>115.95</v>
      </c>
    </row>
    <row r="3923" spans="1:14" ht="12.75" hidden="1" customHeight="1" x14ac:dyDescent="0.2">
      <c r="A3923">
        <v>65061</v>
      </c>
      <c r="B3923" s="3" t="s">
        <v>1253</v>
      </c>
      <c r="C3923" s="7" t="s">
        <v>222</v>
      </c>
      <c r="D3923" s="7" t="s">
        <v>221</v>
      </c>
      <c r="F3923" s="7" t="s">
        <v>687</v>
      </c>
      <c r="G3923" s="7" t="s">
        <v>1552</v>
      </c>
      <c r="H3923" s="7" t="s">
        <v>1362</v>
      </c>
      <c r="I3923" s="7" t="s">
        <v>1253</v>
      </c>
      <c r="K3923" s="7" t="s">
        <v>230</v>
      </c>
      <c r="L3923" s="11">
        <v>74.989999999999995</v>
      </c>
      <c r="M3923" s="11">
        <v>148313.35</v>
      </c>
      <c r="N3923" s="9">
        <f t="shared" si="151"/>
        <v>74.989999999999995</v>
      </c>
    </row>
    <row r="3924" spans="1:14" ht="12.75" hidden="1" customHeight="1" x14ac:dyDescent="0.2">
      <c r="A3924">
        <v>65061</v>
      </c>
      <c r="B3924" s="3" t="s">
        <v>1253</v>
      </c>
      <c r="C3924" s="7" t="s">
        <v>222</v>
      </c>
      <c r="D3924" s="7" t="s">
        <v>221</v>
      </c>
      <c r="F3924" s="7" t="s">
        <v>563</v>
      </c>
      <c r="G3924" s="7" t="s">
        <v>1552</v>
      </c>
      <c r="H3924" s="7" t="s">
        <v>1362</v>
      </c>
      <c r="I3924" s="7" t="s">
        <v>1253</v>
      </c>
      <c r="K3924" s="7" t="s">
        <v>230</v>
      </c>
      <c r="L3924" s="11">
        <v>177.29</v>
      </c>
      <c r="M3924" s="11">
        <v>148490.64000000001</v>
      </c>
      <c r="N3924" s="9">
        <f t="shared" si="151"/>
        <v>177.29</v>
      </c>
    </row>
    <row r="3925" spans="1:14" ht="12.75" hidden="1" customHeight="1" x14ac:dyDescent="0.2">
      <c r="A3925">
        <v>65061</v>
      </c>
      <c r="B3925" s="3" t="s">
        <v>1253</v>
      </c>
      <c r="C3925" s="7" t="s">
        <v>222</v>
      </c>
      <c r="D3925" s="7" t="s">
        <v>221</v>
      </c>
      <c r="F3925" s="7" t="s">
        <v>569</v>
      </c>
      <c r="G3925" s="7" t="s">
        <v>1552</v>
      </c>
      <c r="H3925" s="7" t="s">
        <v>1362</v>
      </c>
      <c r="I3925" s="7" t="s">
        <v>1253</v>
      </c>
      <c r="K3925" s="7" t="s">
        <v>230</v>
      </c>
      <c r="L3925" s="11">
        <v>24.76</v>
      </c>
      <c r="M3925" s="11">
        <v>148515.4</v>
      </c>
      <c r="N3925" s="9">
        <f t="shared" si="151"/>
        <v>24.76</v>
      </c>
    </row>
    <row r="3926" spans="1:14" ht="12.75" hidden="1" customHeight="1" x14ac:dyDescent="0.2">
      <c r="A3926">
        <v>65061</v>
      </c>
      <c r="B3926" s="3" t="s">
        <v>1253</v>
      </c>
      <c r="C3926" s="7" t="s">
        <v>222</v>
      </c>
      <c r="D3926" s="7" t="s">
        <v>221</v>
      </c>
      <c r="F3926" s="7" t="s">
        <v>569</v>
      </c>
      <c r="G3926" s="7" t="s">
        <v>1552</v>
      </c>
      <c r="H3926" s="7" t="s">
        <v>1362</v>
      </c>
      <c r="I3926" s="7" t="s">
        <v>1253</v>
      </c>
      <c r="K3926" s="7" t="s">
        <v>230</v>
      </c>
      <c r="L3926" s="11">
        <v>27</v>
      </c>
      <c r="M3926" s="11">
        <v>148542.39999999999</v>
      </c>
      <c r="N3926" s="9">
        <f t="shared" si="151"/>
        <v>27</v>
      </c>
    </row>
    <row r="3927" spans="1:14" ht="12.75" hidden="1" customHeight="1" x14ac:dyDescent="0.2">
      <c r="A3927">
        <v>65061</v>
      </c>
      <c r="B3927" s="3" t="s">
        <v>1253</v>
      </c>
      <c r="C3927" s="7" t="s">
        <v>222</v>
      </c>
      <c r="D3927" s="7" t="s">
        <v>221</v>
      </c>
      <c r="F3927" s="7" t="s">
        <v>686</v>
      </c>
      <c r="G3927" s="7" t="s">
        <v>1552</v>
      </c>
      <c r="H3927" s="7" t="s">
        <v>1362</v>
      </c>
      <c r="I3927" s="7" t="s">
        <v>1253</v>
      </c>
      <c r="K3927" s="7" t="s">
        <v>230</v>
      </c>
      <c r="L3927" s="11">
        <v>68.31</v>
      </c>
      <c r="M3927" s="11">
        <v>148610.71</v>
      </c>
      <c r="N3927" s="9">
        <f t="shared" si="151"/>
        <v>68.31</v>
      </c>
    </row>
    <row r="3928" spans="1:14" ht="12.75" hidden="1" customHeight="1" x14ac:dyDescent="0.2">
      <c r="A3928">
        <v>65061</v>
      </c>
      <c r="B3928" s="3" t="s">
        <v>1253</v>
      </c>
      <c r="C3928" s="7" t="s">
        <v>222</v>
      </c>
      <c r="D3928" s="7" t="s">
        <v>221</v>
      </c>
      <c r="F3928" s="7" t="s">
        <v>646</v>
      </c>
      <c r="G3928" s="7" t="s">
        <v>1552</v>
      </c>
      <c r="H3928" s="7" t="s">
        <v>1362</v>
      </c>
      <c r="I3928" s="7" t="s">
        <v>1253</v>
      </c>
      <c r="K3928" s="7" t="s">
        <v>230</v>
      </c>
      <c r="L3928" s="11">
        <v>34.99</v>
      </c>
      <c r="M3928" s="11">
        <v>148645.70000000001</v>
      </c>
      <c r="N3928" s="9">
        <f t="shared" si="151"/>
        <v>34.99</v>
      </c>
    </row>
    <row r="3929" spans="1:14" ht="12.75" hidden="1" customHeight="1" x14ac:dyDescent="0.2">
      <c r="A3929">
        <v>65061</v>
      </c>
      <c r="B3929" s="3" t="s">
        <v>1253</v>
      </c>
      <c r="C3929" s="7" t="s">
        <v>222</v>
      </c>
      <c r="D3929" s="7" t="s">
        <v>221</v>
      </c>
      <c r="F3929" s="7" t="s">
        <v>569</v>
      </c>
      <c r="G3929" s="7" t="s">
        <v>1552</v>
      </c>
      <c r="H3929" s="7" t="s">
        <v>1362</v>
      </c>
      <c r="I3929" s="7" t="s">
        <v>1253</v>
      </c>
      <c r="K3929" s="7" t="s">
        <v>230</v>
      </c>
      <c r="L3929" s="11">
        <v>130</v>
      </c>
      <c r="M3929" s="11">
        <v>148775.70000000001</v>
      </c>
      <c r="N3929" s="9">
        <f t="shared" si="151"/>
        <v>130</v>
      </c>
    </row>
    <row r="3930" spans="1:14" ht="12.75" hidden="1" customHeight="1" x14ac:dyDescent="0.2">
      <c r="A3930">
        <v>65061</v>
      </c>
      <c r="B3930" s="3" t="s">
        <v>1253</v>
      </c>
      <c r="C3930" s="7" t="s">
        <v>222</v>
      </c>
      <c r="D3930" s="7" t="s">
        <v>221</v>
      </c>
      <c r="F3930" s="7" t="s">
        <v>685</v>
      </c>
      <c r="G3930" s="7" t="s">
        <v>1552</v>
      </c>
      <c r="H3930" s="7" t="s">
        <v>1362</v>
      </c>
      <c r="I3930" s="7" t="s">
        <v>1253</v>
      </c>
      <c r="K3930" s="7" t="s">
        <v>230</v>
      </c>
      <c r="L3930" s="11">
        <v>70.510000000000005</v>
      </c>
      <c r="M3930" s="11">
        <v>148846.21</v>
      </c>
      <c r="N3930" s="9">
        <f t="shared" si="151"/>
        <v>70.510000000000005</v>
      </c>
    </row>
    <row r="3931" spans="1:14" ht="12.75" hidden="1" customHeight="1" x14ac:dyDescent="0.2">
      <c r="A3931">
        <v>65061</v>
      </c>
      <c r="B3931" s="3" t="s">
        <v>1253</v>
      </c>
      <c r="C3931" s="7" t="s">
        <v>222</v>
      </c>
      <c r="D3931" s="7" t="s">
        <v>221</v>
      </c>
      <c r="F3931" s="7" t="s">
        <v>684</v>
      </c>
      <c r="G3931" s="7" t="s">
        <v>1552</v>
      </c>
      <c r="H3931" s="7" t="s">
        <v>1362</v>
      </c>
      <c r="I3931" s="7" t="s">
        <v>1253</v>
      </c>
      <c r="K3931" s="7" t="s">
        <v>230</v>
      </c>
      <c r="L3931" s="11">
        <v>168.03</v>
      </c>
      <c r="M3931" s="11">
        <v>149014.24</v>
      </c>
      <c r="N3931" s="9">
        <f t="shared" si="151"/>
        <v>168.03</v>
      </c>
    </row>
    <row r="3932" spans="1:14" ht="12.75" hidden="1" customHeight="1" x14ac:dyDescent="0.2">
      <c r="A3932">
        <v>65061</v>
      </c>
      <c r="B3932" s="3" t="s">
        <v>1253</v>
      </c>
      <c r="C3932" s="7" t="s">
        <v>676</v>
      </c>
      <c r="D3932" s="7" t="s">
        <v>221</v>
      </c>
      <c r="F3932" s="7" t="s">
        <v>678</v>
      </c>
      <c r="G3932" s="7" t="s">
        <v>1552</v>
      </c>
      <c r="H3932" s="7" t="s">
        <v>1362</v>
      </c>
      <c r="I3932" s="7" t="s">
        <v>1253</v>
      </c>
      <c r="K3932" s="7" t="s">
        <v>230</v>
      </c>
      <c r="L3932" s="11">
        <v>95.85</v>
      </c>
      <c r="M3932" s="11">
        <v>150810.91</v>
      </c>
      <c r="N3932" s="9">
        <f t="shared" si="151"/>
        <v>95.85</v>
      </c>
    </row>
    <row r="3933" spans="1:14" ht="12.75" hidden="1" customHeight="1" x14ac:dyDescent="0.2">
      <c r="A3933">
        <v>65061</v>
      </c>
      <c r="B3933" s="3" t="s">
        <v>1253</v>
      </c>
      <c r="C3933" s="7" t="s">
        <v>676</v>
      </c>
      <c r="D3933" s="7" t="s">
        <v>221</v>
      </c>
      <c r="F3933" s="7" t="s">
        <v>677</v>
      </c>
      <c r="G3933" s="7" t="s">
        <v>1552</v>
      </c>
      <c r="H3933" s="7" t="s">
        <v>1362</v>
      </c>
      <c r="I3933" s="7" t="s">
        <v>1253</v>
      </c>
      <c r="K3933" s="7" t="s">
        <v>230</v>
      </c>
      <c r="L3933" s="11">
        <v>24.97</v>
      </c>
      <c r="M3933" s="11">
        <v>150835.88</v>
      </c>
      <c r="N3933" s="9">
        <f t="shared" si="151"/>
        <v>24.97</v>
      </c>
    </row>
    <row r="3934" spans="1:14" ht="12.75" hidden="1" customHeight="1" x14ac:dyDescent="0.2">
      <c r="A3934">
        <v>65061</v>
      </c>
      <c r="B3934" s="3" t="s">
        <v>1253</v>
      </c>
      <c r="C3934" s="7" t="s">
        <v>676</v>
      </c>
      <c r="D3934" s="7" t="s">
        <v>221</v>
      </c>
      <c r="F3934" s="7" t="s">
        <v>265</v>
      </c>
      <c r="G3934" s="7" t="s">
        <v>1552</v>
      </c>
      <c r="H3934" s="7" t="s">
        <v>1362</v>
      </c>
      <c r="I3934" s="7" t="s">
        <v>1253</v>
      </c>
      <c r="K3934" s="7" t="s">
        <v>230</v>
      </c>
      <c r="L3934" s="11">
        <v>22.94</v>
      </c>
      <c r="M3934" s="11">
        <v>150858.82</v>
      </c>
      <c r="N3934" s="9">
        <f t="shared" si="151"/>
        <v>22.94</v>
      </c>
    </row>
    <row r="3935" spans="1:14" ht="12.75" hidden="1" customHeight="1" x14ac:dyDescent="0.2">
      <c r="A3935">
        <v>65061</v>
      </c>
      <c r="B3935" s="3" t="s">
        <v>1253</v>
      </c>
      <c r="C3935" s="7" t="s">
        <v>676</v>
      </c>
      <c r="D3935" s="7" t="s">
        <v>221</v>
      </c>
      <c r="F3935" s="7" t="s">
        <v>573</v>
      </c>
      <c r="G3935" s="7" t="s">
        <v>1552</v>
      </c>
      <c r="H3935" s="7" t="s">
        <v>1362</v>
      </c>
      <c r="I3935" s="7" t="s">
        <v>1253</v>
      </c>
      <c r="K3935" s="7" t="s">
        <v>230</v>
      </c>
      <c r="L3935" s="11">
        <v>86.92</v>
      </c>
      <c r="M3935" s="11">
        <v>150945.74</v>
      </c>
      <c r="N3935" s="9">
        <f t="shared" si="151"/>
        <v>86.92</v>
      </c>
    </row>
    <row r="3936" spans="1:14" ht="12.75" hidden="1" customHeight="1" x14ac:dyDescent="0.2">
      <c r="A3936">
        <v>65061</v>
      </c>
      <c r="B3936" s="3" t="s">
        <v>1253</v>
      </c>
      <c r="C3936" s="7" t="s">
        <v>218</v>
      </c>
      <c r="D3936" s="7" t="s">
        <v>221</v>
      </c>
      <c r="F3936" s="7" t="s">
        <v>675</v>
      </c>
      <c r="G3936" s="7" t="s">
        <v>1552</v>
      </c>
      <c r="H3936" s="7" t="s">
        <v>1362</v>
      </c>
      <c r="I3936" s="7" t="s">
        <v>1253</v>
      </c>
      <c r="K3936" s="7" t="s">
        <v>230</v>
      </c>
      <c r="L3936" s="11">
        <v>72.5</v>
      </c>
      <c r="M3936" s="11">
        <v>151759.67999999999</v>
      </c>
      <c r="N3936" s="9">
        <f t="shared" si="151"/>
        <v>72.5</v>
      </c>
    </row>
    <row r="3937" spans="1:14" ht="12.75" hidden="1" customHeight="1" x14ac:dyDescent="0.2">
      <c r="A3937">
        <v>65061</v>
      </c>
      <c r="B3937" s="3" t="s">
        <v>1253</v>
      </c>
      <c r="C3937" s="7" t="s">
        <v>218</v>
      </c>
      <c r="D3937" s="7" t="s">
        <v>221</v>
      </c>
      <c r="F3937" s="7" t="s">
        <v>674</v>
      </c>
      <c r="G3937" s="7" t="s">
        <v>1552</v>
      </c>
      <c r="H3937" s="7" t="s">
        <v>1362</v>
      </c>
      <c r="I3937" s="7" t="s">
        <v>1253</v>
      </c>
      <c r="K3937" s="7" t="s">
        <v>230</v>
      </c>
      <c r="L3937" s="11">
        <v>31.99</v>
      </c>
      <c r="M3937" s="11">
        <v>151791.67000000001</v>
      </c>
      <c r="N3937" s="9">
        <f t="shared" si="151"/>
        <v>31.99</v>
      </c>
    </row>
    <row r="3938" spans="1:14" ht="12.75" hidden="1" customHeight="1" x14ac:dyDescent="0.2">
      <c r="A3938">
        <v>65061</v>
      </c>
      <c r="B3938" s="3" t="s">
        <v>1253</v>
      </c>
      <c r="C3938" s="7" t="s">
        <v>218</v>
      </c>
      <c r="D3938" s="7" t="s">
        <v>221</v>
      </c>
      <c r="F3938" s="7" t="s">
        <v>563</v>
      </c>
      <c r="G3938" s="7" t="s">
        <v>1552</v>
      </c>
      <c r="H3938" s="7" t="s">
        <v>1362</v>
      </c>
      <c r="I3938" s="7" t="s">
        <v>1253</v>
      </c>
      <c r="K3938" s="7" t="s">
        <v>230</v>
      </c>
      <c r="L3938" s="11">
        <v>425.94</v>
      </c>
      <c r="M3938" s="11">
        <v>152217.60999999999</v>
      </c>
      <c r="N3938" s="9">
        <f t="shared" si="151"/>
        <v>425.94</v>
      </c>
    </row>
    <row r="3939" spans="1:14" ht="12.75" hidden="1" customHeight="1" x14ac:dyDescent="0.2">
      <c r="A3939">
        <v>65061</v>
      </c>
      <c r="B3939" s="3" t="s">
        <v>1253</v>
      </c>
      <c r="C3939" s="7" t="s">
        <v>218</v>
      </c>
      <c r="D3939" s="7" t="s">
        <v>221</v>
      </c>
      <c r="F3939" s="7" t="s">
        <v>563</v>
      </c>
      <c r="G3939" s="7" t="s">
        <v>1552</v>
      </c>
      <c r="H3939" s="7" t="s">
        <v>1362</v>
      </c>
      <c r="I3939" s="7" t="s">
        <v>1253</v>
      </c>
      <c r="K3939" s="7" t="s">
        <v>230</v>
      </c>
      <c r="L3939" s="11">
        <v>144.99</v>
      </c>
      <c r="M3939" s="11">
        <v>152362.6</v>
      </c>
      <c r="N3939" s="9">
        <f t="shared" si="151"/>
        <v>144.99</v>
      </c>
    </row>
    <row r="3940" spans="1:14" ht="12.75" hidden="1" customHeight="1" x14ac:dyDescent="0.2">
      <c r="A3940">
        <v>65061</v>
      </c>
      <c r="B3940" s="3" t="s">
        <v>1253</v>
      </c>
      <c r="C3940" s="7" t="s">
        <v>429</v>
      </c>
      <c r="D3940" s="7" t="s">
        <v>221</v>
      </c>
      <c r="F3940" s="7" t="s">
        <v>668</v>
      </c>
      <c r="G3940" s="7" t="s">
        <v>1552</v>
      </c>
      <c r="H3940" s="7" t="s">
        <v>1362</v>
      </c>
      <c r="I3940" s="7" t="s">
        <v>1253</v>
      </c>
      <c r="K3940" s="7" t="s">
        <v>230</v>
      </c>
      <c r="L3940" s="11">
        <v>158.13999999999999</v>
      </c>
      <c r="M3940" s="11">
        <v>155659.89000000001</v>
      </c>
      <c r="N3940" s="9">
        <f t="shared" si="151"/>
        <v>158.13999999999999</v>
      </c>
    </row>
    <row r="3941" spans="1:14" ht="12.75" hidden="1" customHeight="1" x14ac:dyDescent="0.2">
      <c r="A3941">
        <v>65061</v>
      </c>
      <c r="B3941" s="3" t="s">
        <v>1253</v>
      </c>
      <c r="C3941" s="7" t="s">
        <v>659</v>
      </c>
      <c r="D3941" s="7" t="s">
        <v>221</v>
      </c>
      <c r="F3941" s="7" t="s">
        <v>241</v>
      </c>
      <c r="G3941" s="7" t="s">
        <v>1552</v>
      </c>
      <c r="H3941" s="7" t="s">
        <v>1362</v>
      </c>
      <c r="I3941" s="7" t="s">
        <v>1253</v>
      </c>
      <c r="K3941" s="7" t="s">
        <v>230</v>
      </c>
      <c r="L3941" s="11">
        <v>164.1</v>
      </c>
      <c r="M3941" s="11">
        <v>156333.88</v>
      </c>
      <c r="N3941" s="9">
        <f t="shared" si="151"/>
        <v>164.1</v>
      </c>
    </row>
    <row r="3942" spans="1:14" ht="12.75" hidden="1" customHeight="1" x14ac:dyDescent="0.2">
      <c r="A3942">
        <v>65061</v>
      </c>
      <c r="B3942" s="3" t="s">
        <v>1253</v>
      </c>
      <c r="C3942" s="7" t="s">
        <v>650</v>
      </c>
      <c r="D3942" s="7" t="s">
        <v>221</v>
      </c>
      <c r="F3942" s="7" t="s">
        <v>653</v>
      </c>
      <c r="G3942" s="7" t="s">
        <v>1552</v>
      </c>
      <c r="H3942" s="7" t="s">
        <v>1362</v>
      </c>
      <c r="I3942" s="7" t="s">
        <v>1253</v>
      </c>
      <c r="K3942" s="7" t="s">
        <v>230</v>
      </c>
      <c r="L3942" s="11">
        <v>120.15</v>
      </c>
      <c r="M3942" s="11">
        <v>165108.01999999999</v>
      </c>
      <c r="N3942" s="9">
        <f t="shared" si="151"/>
        <v>120.15</v>
      </c>
    </row>
    <row r="3943" spans="1:14" ht="12.75" hidden="1" customHeight="1" x14ac:dyDescent="0.2">
      <c r="A3943">
        <v>65061</v>
      </c>
      <c r="B3943" s="3" t="s">
        <v>1253</v>
      </c>
      <c r="C3943" s="7" t="s">
        <v>645</v>
      </c>
      <c r="D3943" s="7" t="s">
        <v>221</v>
      </c>
      <c r="F3943" s="7" t="s">
        <v>646</v>
      </c>
      <c r="G3943" s="7" t="s">
        <v>1552</v>
      </c>
      <c r="H3943" s="7" t="s">
        <v>1362</v>
      </c>
      <c r="I3943" s="7" t="s">
        <v>1253</v>
      </c>
      <c r="K3943" s="7" t="s">
        <v>230</v>
      </c>
      <c r="L3943" s="11">
        <v>315.61</v>
      </c>
      <c r="M3943" s="11">
        <v>166294.13</v>
      </c>
      <c r="N3943" s="9">
        <f t="shared" si="151"/>
        <v>315.61</v>
      </c>
    </row>
    <row r="3944" spans="1:14" ht="12.75" hidden="1" customHeight="1" x14ac:dyDescent="0.2">
      <c r="A3944">
        <v>65061</v>
      </c>
      <c r="B3944" s="3" t="s">
        <v>1253</v>
      </c>
      <c r="C3944" s="7" t="s">
        <v>639</v>
      </c>
      <c r="D3944" s="7" t="s">
        <v>221</v>
      </c>
      <c r="F3944" s="7" t="s">
        <v>241</v>
      </c>
      <c r="G3944" s="7" t="s">
        <v>1552</v>
      </c>
      <c r="H3944" s="7" t="s">
        <v>1362</v>
      </c>
      <c r="I3944" s="7" t="s">
        <v>1253</v>
      </c>
      <c r="K3944" s="7" t="s">
        <v>230</v>
      </c>
      <c r="L3944" s="11">
        <v>19.89</v>
      </c>
      <c r="M3944" s="11">
        <v>167613.62</v>
      </c>
      <c r="N3944" s="9">
        <f t="shared" si="151"/>
        <v>19.89</v>
      </c>
    </row>
    <row r="3945" spans="1:14" ht="12.75" hidden="1" customHeight="1" x14ac:dyDescent="0.2">
      <c r="A3945">
        <v>65061</v>
      </c>
      <c r="B3945" s="3" t="s">
        <v>1253</v>
      </c>
      <c r="C3945" s="7" t="s">
        <v>637</v>
      </c>
      <c r="D3945" s="7" t="s">
        <v>221</v>
      </c>
      <c r="F3945" s="7" t="s">
        <v>630</v>
      </c>
      <c r="G3945" s="7" t="s">
        <v>1552</v>
      </c>
      <c r="H3945" s="7" t="s">
        <v>1362</v>
      </c>
      <c r="I3945" s="7" t="s">
        <v>1253</v>
      </c>
      <c r="K3945" s="7" t="s">
        <v>230</v>
      </c>
      <c r="L3945" s="11">
        <v>203.28</v>
      </c>
      <c r="M3945" s="11">
        <v>169329.93</v>
      </c>
      <c r="N3945" s="9">
        <f t="shared" si="151"/>
        <v>203.28</v>
      </c>
    </row>
    <row r="3946" spans="1:14" ht="12.75" hidden="1" customHeight="1" x14ac:dyDescent="0.2">
      <c r="A3946">
        <v>65061</v>
      </c>
      <c r="B3946" s="3" t="s">
        <v>1253</v>
      </c>
      <c r="C3946" s="7" t="s">
        <v>214</v>
      </c>
      <c r="D3946" s="7" t="s">
        <v>221</v>
      </c>
      <c r="F3946" s="7" t="s">
        <v>564</v>
      </c>
      <c r="G3946" s="7" t="s">
        <v>1552</v>
      </c>
      <c r="H3946" s="7" t="s">
        <v>1362</v>
      </c>
      <c r="I3946" s="7" t="s">
        <v>1253</v>
      </c>
      <c r="K3946" s="7" t="s">
        <v>230</v>
      </c>
      <c r="L3946" s="11">
        <v>208.34</v>
      </c>
      <c r="M3946" s="11">
        <v>170835.59</v>
      </c>
      <c r="N3946" s="9">
        <f t="shared" si="151"/>
        <v>208.34</v>
      </c>
    </row>
    <row r="3947" spans="1:14" ht="12.75" hidden="1" customHeight="1" x14ac:dyDescent="0.2">
      <c r="A3947">
        <v>65061</v>
      </c>
      <c r="B3947" s="3" t="s">
        <v>1253</v>
      </c>
      <c r="C3947" s="7" t="s">
        <v>214</v>
      </c>
      <c r="D3947" s="7" t="s">
        <v>242</v>
      </c>
      <c r="F3947" s="7" t="s">
        <v>630</v>
      </c>
      <c r="G3947" s="7" t="s">
        <v>1552</v>
      </c>
      <c r="H3947" s="7" t="s">
        <v>1362</v>
      </c>
      <c r="I3947" s="7" t="s">
        <v>1253</v>
      </c>
      <c r="K3947" s="7" t="s">
        <v>230</v>
      </c>
      <c r="L3947" s="11">
        <v>-13.3</v>
      </c>
      <c r="M3947" s="11">
        <v>170822.29</v>
      </c>
      <c r="N3947" s="9">
        <f t="shared" si="151"/>
        <v>-13.3</v>
      </c>
    </row>
    <row r="3948" spans="1:14" ht="12.75" hidden="1" customHeight="1" x14ac:dyDescent="0.2">
      <c r="A3948">
        <v>65062</v>
      </c>
      <c r="B3948" s="3" t="s">
        <v>1254</v>
      </c>
      <c r="C3948" s="7" t="s">
        <v>455</v>
      </c>
      <c r="D3948" s="7" t="s">
        <v>183</v>
      </c>
      <c r="E3948" s="7">
        <v>620</v>
      </c>
      <c r="G3948" s="7" t="s">
        <v>1552</v>
      </c>
      <c r="H3948" s="7" t="s">
        <v>1362</v>
      </c>
      <c r="I3948" s="7" t="s">
        <v>1254</v>
      </c>
      <c r="J3948" s="7" t="s">
        <v>491</v>
      </c>
      <c r="K3948" s="7" t="s">
        <v>180</v>
      </c>
      <c r="L3948" s="11">
        <v>292.31</v>
      </c>
      <c r="M3948" s="11">
        <v>27892.73</v>
      </c>
      <c r="N3948" s="9">
        <f t="shared" si="151"/>
        <v>292.31</v>
      </c>
    </row>
    <row r="3949" spans="1:14" ht="12.75" hidden="1" customHeight="1" x14ac:dyDescent="0.2">
      <c r="A3949">
        <v>65062</v>
      </c>
      <c r="B3949" s="3" t="s">
        <v>1254</v>
      </c>
      <c r="C3949" s="7" t="s">
        <v>455</v>
      </c>
      <c r="D3949" s="7" t="s">
        <v>183</v>
      </c>
      <c r="E3949" s="7">
        <v>620</v>
      </c>
      <c r="G3949" s="7" t="s">
        <v>1552</v>
      </c>
      <c r="H3949" s="7" t="s">
        <v>1362</v>
      </c>
      <c r="I3949" s="7" t="s">
        <v>1254</v>
      </c>
      <c r="J3949" s="7" t="s">
        <v>490</v>
      </c>
      <c r="K3949" s="7" t="s">
        <v>180</v>
      </c>
      <c r="L3949" s="11">
        <v>285</v>
      </c>
      <c r="M3949" s="11">
        <v>28177.73</v>
      </c>
      <c r="N3949" s="9">
        <f t="shared" si="151"/>
        <v>285</v>
      </c>
    </row>
    <row r="3950" spans="1:14" ht="12.75" hidden="1" customHeight="1" x14ac:dyDescent="0.2">
      <c r="A3950">
        <v>65063</v>
      </c>
      <c r="B3950" s="3" t="s">
        <v>1255</v>
      </c>
      <c r="C3950" s="7" t="s">
        <v>455</v>
      </c>
      <c r="D3950" s="7" t="s">
        <v>183</v>
      </c>
      <c r="E3950" s="7">
        <v>620</v>
      </c>
      <c r="G3950" s="7" t="s">
        <v>1552</v>
      </c>
      <c r="H3950" s="7" t="s">
        <v>1362</v>
      </c>
      <c r="I3950" s="7" t="s">
        <v>1255</v>
      </c>
      <c r="J3950" s="7" t="s">
        <v>454</v>
      </c>
      <c r="K3950" s="7" t="s">
        <v>180</v>
      </c>
      <c r="L3950" s="11">
        <v>300</v>
      </c>
      <c r="M3950" s="11">
        <v>17872.5</v>
      </c>
      <c r="N3950" s="9">
        <f t="shared" si="151"/>
        <v>300</v>
      </c>
    </row>
    <row r="3951" spans="1:14" ht="12.75" hidden="1" customHeight="1" x14ac:dyDescent="0.2">
      <c r="A3951">
        <v>67001</v>
      </c>
      <c r="B3951" s="3" t="s">
        <v>1268</v>
      </c>
      <c r="C3951" s="7" t="s">
        <v>235</v>
      </c>
      <c r="D3951" s="7" t="s">
        <v>221</v>
      </c>
      <c r="F3951" s="7" t="s">
        <v>234</v>
      </c>
      <c r="G3951" s="7" t="s">
        <v>1552</v>
      </c>
      <c r="H3951" s="70" t="s">
        <v>2129</v>
      </c>
      <c r="I3951" s="7" t="s">
        <v>1268</v>
      </c>
      <c r="K3951" s="7" t="s">
        <v>230</v>
      </c>
      <c r="L3951" s="11">
        <v>50.26</v>
      </c>
      <c r="M3951" s="11">
        <v>55874.99</v>
      </c>
      <c r="N3951" s="9">
        <f t="shared" si="151"/>
        <v>50.26</v>
      </c>
    </row>
    <row r="3952" spans="1:14" ht="12.75" hidden="1" customHeight="1" x14ac:dyDescent="0.2">
      <c r="A3952">
        <v>67001</v>
      </c>
      <c r="B3952" s="3" t="s">
        <v>1268</v>
      </c>
      <c r="C3952" s="7" t="s">
        <v>193</v>
      </c>
      <c r="D3952" s="7" t="s">
        <v>221</v>
      </c>
      <c r="G3952" s="7" t="s">
        <v>1552</v>
      </c>
      <c r="H3952" s="70" t="s">
        <v>2129</v>
      </c>
      <c r="I3952" s="7" t="s">
        <v>1268</v>
      </c>
      <c r="K3952" s="7" t="s">
        <v>230</v>
      </c>
      <c r="L3952" s="11">
        <v>245.34</v>
      </c>
      <c r="M3952" s="11">
        <v>56298.75</v>
      </c>
      <c r="N3952" s="9">
        <f t="shared" si="151"/>
        <v>245.34</v>
      </c>
    </row>
    <row r="3953" spans="1:14" ht="12.75" customHeight="1" x14ac:dyDescent="0.2">
      <c r="A3953">
        <v>44000</v>
      </c>
      <c r="B3953" s="3" t="s">
        <v>1229</v>
      </c>
      <c r="C3953" s="7" t="s">
        <v>1646</v>
      </c>
      <c r="D3953" s="7" t="s">
        <v>183</v>
      </c>
      <c r="E3953" s="7">
        <v>746</v>
      </c>
      <c r="G3953" s="7" t="s">
        <v>182</v>
      </c>
      <c r="H3953" s="7" t="s">
        <v>1359</v>
      </c>
      <c r="I3953" s="7" t="s">
        <v>2148</v>
      </c>
      <c r="J3953" s="39" t="s">
        <v>208</v>
      </c>
      <c r="K3953" s="39" t="s">
        <v>180</v>
      </c>
      <c r="L3953" s="40">
        <v>1735</v>
      </c>
      <c r="M3953" s="40">
        <v>249126.98</v>
      </c>
      <c r="N3953" s="41">
        <f>-L3953</f>
        <v>-1735</v>
      </c>
    </row>
    <row r="3954" spans="1:14" ht="12.75" customHeight="1" x14ac:dyDescent="0.2">
      <c r="A3954">
        <v>44000</v>
      </c>
      <c r="B3954" s="3" t="s">
        <v>1229</v>
      </c>
      <c r="C3954" s="7" t="s">
        <v>1647</v>
      </c>
      <c r="D3954" s="7" t="s">
        <v>242</v>
      </c>
      <c r="F3954" s="7" t="s">
        <v>1730</v>
      </c>
      <c r="G3954" s="7" t="s">
        <v>182</v>
      </c>
      <c r="H3954" s="7" t="s">
        <v>1359</v>
      </c>
      <c r="I3954" s="7" t="s">
        <v>2148</v>
      </c>
      <c r="K3954" s="39" t="s">
        <v>198</v>
      </c>
      <c r="L3954" s="40">
        <v>100</v>
      </c>
      <c r="M3954" s="40">
        <v>249226.98</v>
      </c>
      <c r="N3954" s="41">
        <f>-L3954</f>
        <v>-100</v>
      </c>
    </row>
    <row r="3955" spans="1:14" ht="12.75" customHeight="1" x14ac:dyDescent="0.2">
      <c r="A3955">
        <v>44000</v>
      </c>
      <c r="B3955" s="3" t="s">
        <v>1229</v>
      </c>
      <c r="C3955" s="7" t="s">
        <v>1583</v>
      </c>
      <c r="D3955" s="7" t="s">
        <v>242</v>
      </c>
      <c r="F3955" s="7" t="s">
        <v>665</v>
      </c>
      <c r="G3955" s="7" t="s">
        <v>1572</v>
      </c>
      <c r="H3955" s="7" t="s">
        <v>1359</v>
      </c>
      <c r="I3955" s="7" t="s">
        <v>2148</v>
      </c>
      <c r="J3955" s="39" t="s">
        <v>1691</v>
      </c>
      <c r="K3955" s="39" t="s">
        <v>1129</v>
      </c>
      <c r="L3955" s="40">
        <v>1620</v>
      </c>
      <c r="M3955" s="40">
        <v>196219.05</v>
      </c>
      <c r="N3955" s="41">
        <f>-L3955</f>
        <v>-1620</v>
      </c>
    </row>
    <row r="3956" spans="1:14" ht="12.75" customHeight="1" x14ac:dyDescent="0.2">
      <c r="A3956">
        <v>44000</v>
      </c>
      <c r="B3956" s="3" t="s">
        <v>1229</v>
      </c>
      <c r="C3956" s="7" t="s">
        <v>1640</v>
      </c>
      <c r="D3956" s="7" t="s">
        <v>242</v>
      </c>
      <c r="F3956" s="7" t="s">
        <v>665</v>
      </c>
      <c r="G3956" s="7" t="s">
        <v>1572</v>
      </c>
      <c r="H3956" s="7" t="s">
        <v>1359</v>
      </c>
      <c r="I3956" s="7" t="s">
        <v>2148</v>
      </c>
      <c r="J3956" s="39" t="s">
        <v>1721</v>
      </c>
      <c r="K3956" s="39" t="s">
        <v>1129</v>
      </c>
      <c r="L3956" s="40">
        <v>94.48</v>
      </c>
      <c r="M3956" s="40">
        <v>235779.68</v>
      </c>
      <c r="N3956" s="41">
        <f>-L3956</f>
        <v>-94.48</v>
      </c>
    </row>
    <row r="3957" spans="1:14" ht="12.75" hidden="1" customHeight="1" x14ac:dyDescent="0.2">
      <c r="A3957">
        <v>65025</v>
      </c>
      <c r="B3957" s="3" t="s">
        <v>1246</v>
      </c>
      <c r="C3957" s="7" t="s">
        <v>1803</v>
      </c>
      <c r="D3957" s="7" t="s">
        <v>221</v>
      </c>
      <c r="F3957" s="7" t="s">
        <v>446</v>
      </c>
      <c r="G3957" s="7" t="s">
        <v>1564</v>
      </c>
      <c r="H3957" s="7" t="s">
        <v>1362</v>
      </c>
      <c r="I3957" s="7" t="s">
        <v>1246</v>
      </c>
      <c r="K3957" s="39" t="s">
        <v>572</v>
      </c>
      <c r="L3957" s="40">
        <v>15</v>
      </c>
      <c r="M3957" s="40">
        <v>2064.17</v>
      </c>
      <c r="N3957" s="40">
        <f t="shared" ref="N3957:N3986" si="152">+L3957</f>
        <v>15</v>
      </c>
    </row>
    <row r="3958" spans="1:14" ht="12.75" hidden="1" customHeight="1" x14ac:dyDescent="0.2">
      <c r="A3958">
        <v>65025</v>
      </c>
      <c r="B3958" s="3" t="s">
        <v>1246</v>
      </c>
      <c r="C3958" s="7" t="s">
        <v>1593</v>
      </c>
      <c r="D3958" s="7" t="s">
        <v>221</v>
      </c>
      <c r="F3958" s="7" t="s">
        <v>446</v>
      </c>
      <c r="G3958" s="7" t="s">
        <v>1564</v>
      </c>
      <c r="H3958" s="7" t="s">
        <v>1362</v>
      </c>
      <c r="I3958" s="7" t="s">
        <v>1246</v>
      </c>
      <c r="K3958" s="39" t="s">
        <v>572</v>
      </c>
      <c r="L3958" s="40">
        <v>35</v>
      </c>
      <c r="M3958" s="40">
        <v>2135.12</v>
      </c>
      <c r="N3958" s="40">
        <f t="shared" si="152"/>
        <v>35</v>
      </c>
    </row>
    <row r="3959" spans="1:14" ht="12.75" hidden="1" customHeight="1" x14ac:dyDescent="0.2">
      <c r="A3959">
        <v>65025</v>
      </c>
      <c r="B3959" s="3" t="s">
        <v>1246</v>
      </c>
      <c r="C3959" s="7" t="s">
        <v>1619</v>
      </c>
      <c r="D3959" s="7" t="s">
        <v>221</v>
      </c>
      <c r="F3959" s="7" t="s">
        <v>446</v>
      </c>
      <c r="G3959" s="7" t="s">
        <v>1564</v>
      </c>
      <c r="H3959" s="7" t="s">
        <v>1362</v>
      </c>
      <c r="I3959" s="7" t="s">
        <v>1246</v>
      </c>
      <c r="K3959" s="39" t="s">
        <v>572</v>
      </c>
      <c r="L3959" s="40">
        <v>15</v>
      </c>
      <c r="M3959" s="40">
        <v>2512.1</v>
      </c>
      <c r="N3959" s="40">
        <f t="shared" si="152"/>
        <v>15</v>
      </c>
    </row>
    <row r="3960" spans="1:14" ht="12.75" hidden="1" customHeight="1" x14ac:dyDescent="0.2">
      <c r="A3960">
        <v>65036</v>
      </c>
      <c r="B3960" s="3" t="s">
        <v>1249</v>
      </c>
      <c r="C3960" s="7" t="s">
        <v>1593</v>
      </c>
      <c r="D3960" s="7" t="s">
        <v>221</v>
      </c>
      <c r="F3960" s="7" t="s">
        <v>1020</v>
      </c>
      <c r="G3960" s="7" t="s">
        <v>1564</v>
      </c>
      <c r="H3960" s="7" t="s">
        <v>1362</v>
      </c>
      <c r="I3960" s="7" t="s">
        <v>1249</v>
      </c>
      <c r="K3960" s="39" t="s">
        <v>572</v>
      </c>
      <c r="L3960" s="40">
        <v>114</v>
      </c>
      <c r="M3960" s="40">
        <v>6358.71</v>
      </c>
      <c r="N3960" s="40">
        <f t="shared" si="152"/>
        <v>114</v>
      </c>
    </row>
    <row r="3961" spans="1:14" ht="12.75" hidden="1" customHeight="1" x14ac:dyDescent="0.2">
      <c r="A3961">
        <v>65045</v>
      </c>
      <c r="B3961" s="3" t="s">
        <v>1840</v>
      </c>
      <c r="C3961" s="7" t="s">
        <v>1626</v>
      </c>
      <c r="D3961" s="7" t="s">
        <v>221</v>
      </c>
      <c r="F3961" s="7" t="s">
        <v>1841</v>
      </c>
      <c r="G3961" s="7" t="s">
        <v>1564</v>
      </c>
      <c r="H3961" s="7" t="s">
        <v>1362</v>
      </c>
      <c r="I3961" s="7" t="s">
        <v>1251</v>
      </c>
      <c r="K3961" s="39" t="s">
        <v>572</v>
      </c>
      <c r="L3961" s="40">
        <v>840</v>
      </c>
      <c r="M3961" s="40">
        <v>6695.35</v>
      </c>
      <c r="N3961" s="40">
        <f t="shared" si="152"/>
        <v>840</v>
      </c>
    </row>
    <row r="3962" spans="1:14" ht="12.75" hidden="1" customHeight="1" x14ac:dyDescent="0.2">
      <c r="A3962">
        <v>65061</v>
      </c>
      <c r="B3962" s="3" t="s">
        <v>1844</v>
      </c>
      <c r="C3962" s="7" t="s">
        <v>1737</v>
      </c>
      <c r="D3962" s="7" t="s">
        <v>242</v>
      </c>
      <c r="F3962" s="7" t="s">
        <v>241</v>
      </c>
      <c r="G3962" s="7" t="s">
        <v>1564</v>
      </c>
      <c r="H3962" s="7" t="s">
        <v>1362</v>
      </c>
      <c r="I3962" s="7" t="s">
        <v>1253</v>
      </c>
      <c r="K3962" s="39" t="s">
        <v>572</v>
      </c>
      <c r="L3962" s="40">
        <v>-31.13</v>
      </c>
      <c r="M3962" s="40">
        <v>198819.54</v>
      </c>
      <c r="N3962" s="40">
        <f t="shared" si="152"/>
        <v>-31.13</v>
      </c>
    </row>
    <row r="3963" spans="1:14" ht="12.75" hidden="1" customHeight="1" x14ac:dyDescent="0.2">
      <c r="A3963">
        <v>65061</v>
      </c>
      <c r="B3963" s="3" t="s">
        <v>1844</v>
      </c>
      <c r="C3963" s="7" t="s">
        <v>1585</v>
      </c>
      <c r="D3963" s="7" t="s">
        <v>221</v>
      </c>
      <c r="F3963" s="7" t="s">
        <v>600</v>
      </c>
      <c r="G3963" s="7" t="s">
        <v>1564</v>
      </c>
      <c r="H3963" s="7" t="s">
        <v>1362</v>
      </c>
      <c r="I3963" s="7" t="s">
        <v>1253</v>
      </c>
      <c r="K3963" s="39" t="s">
        <v>572</v>
      </c>
      <c r="L3963" s="40">
        <v>37.79</v>
      </c>
      <c r="M3963" s="40">
        <v>236761.96</v>
      </c>
      <c r="N3963" s="40">
        <f t="shared" si="152"/>
        <v>37.79</v>
      </c>
    </row>
    <row r="3964" spans="1:14" ht="12.75" hidden="1" customHeight="1" x14ac:dyDescent="0.2">
      <c r="A3964">
        <v>65061</v>
      </c>
      <c r="B3964" s="3" t="s">
        <v>1844</v>
      </c>
      <c r="C3964" s="7" t="s">
        <v>1585</v>
      </c>
      <c r="D3964" s="7" t="s">
        <v>242</v>
      </c>
      <c r="F3964" s="7" t="s">
        <v>600</v>
      </c>
      <c r="G3964" s="7" t="s">
        <v>1564</v>
      </c>
      <c r="H3964" s="7" t="s">
        <v>1362</v>
      </c>
      <c r="I3964" s="7" t="s">
        <v>1253</v>
      </c>
      <c r="K3964" s="39" t="s">
        <v>572</v>
      </c>
      <c r="L3964" s="40">
        <v>-17.95</v>
      </c>
      <c r="M3964" s="40">
        <v>236773.01</v>
      </c>
      <c r="N3964" s="40">
        <f t="shared" si="152"/>
        <v>-17.95</v>
      </c>
    </row>
    <row r="3965" spans="1:14" ht="12.75" hidden="1" customHeight="1" x14ac:dyDescent="0.2">
      <c r="A3965">
        <v>65061</v>
      </c>
      <c r="B3965" s="3" t="s">
        <v>1844</v>
      </c>
      <c r="C3965" s="7" t="s">
        <v>1591</v>
      </c>
      <c r="D3965" s="7" t="s">
        <v>221</v>
      </c>
      <c r="F3965" s="7" t="s">
        <v>571</v>
      </c>
      <c r="G3965" s="7" t="s">
        <v>1564</v>
      </c>
      <c r="H3965" s="7" t="s">
        <v>1362</v>
      </c>
      <c r="I3965" s="7" t="s">
        <v>1253</v>
      </c>
      <c r="K3965" s="39" t="s">
        <v>572</v>
      </c>
      <c r="L3965" s="40">
        <v>459.98</v>
      </c>
      <c r="M3965" s="40">
        <v>240236.46</v>
      </c>
      <c r="N3965" s="40">
        <f t="shared" si="152"/>
        <v>459.98</v>
      </c>
    </row>
    <row r="3966" spans="1:14" ht="12.75" hidden="1" customHeight="1" x14ac:dyDescent="0.2">
      <c r="A3966">
        <v>65061</v>
      </c>
      <c r="B3966" s="3" t="s">
        <v>1844</v>
      </c>
      <c r="C3966" s="7" t="s">
        <v>1591</v>
      </c>
      <c r="D3966" s="7" t="s">
        <v>221</v>
      </c>
      <c r="F3966" s="7" t="s">
        <v>548</v>
      </c>
      <c r="G3966" s="7" t="s">
        <v>1564</v>
      </c>
      <c r="H3966" s="7" t="s">
        <v>1362</v>
      </c>
      <c r="I3966" s="7" t="s">
        <v>1253</v>
      </c>
      <c r="K3966" s="39" t="s">
        <v>572</v>
      </c>
      <c r="L3966" s="40">
        <v>72.89</v>
      </c>
      <c r="M3966" s="40">
        <v>240309.35</v>
      </c>
      <c r="N3966" s="40">
        <f t="shared" si="152"/>
        <v>72.89</v>
      </c>
    </row>
    <row r="3967" spans="1:14" ht="12.75" hidden="1" customHeight="1" x14ac:dyDescent="0.2">
      <c r="A3967">
        <v>65061</v>
      </c>
      <c r="B3967" s="3" t="s">
        <v>1844</v>
      </c>
      <c r="C3967" s="7" t="s">
        <v>1591</v>
      </c>
      <c r="D3967" s="7" t="s">
        <v>221</v>
      </c>
      <c r="F3967" s="7" t="s">
        <v>958</v>
      </c>
      <c r="G3967" s="7" t="s">
        <v>1564</v>
      </c>
      <c r="H3967" s="7" t="s">
        <v>1362</v>
      </c>
      <c r="I3967" s="7" t="s">
        <v>1253</v>
      </c>
      <c r="K3967" s="39" t="s">
        <v>572</v>
      </c>
      <c r="L3967" s="40">
        <v>74.989999999999995</v>
      </c>
      <c r="M3967" s="40">
        <v>240408.34</v>
      </c>
      <c r="N3967" s="40">
        <f t="shared" si="152"/>
        <v>74.989999999999995</v>
      </c>
    </row>
    <row r="3968" spans="1:14" ht="12.75" hidden="1" customHeight="1" x14ac:dyDescent="0.2">
      <c r="A3968">
        <v>65061</v>
      </c>
      <c r="B3968" s="3" t="s">
        <v>1844</v>
      </c>
      <c r="C3968" s="7" t="s">
        <v>1591</v>
      </c>
      <c r="D3968" s="7" t="s">
        <v>221</v>
      </c>
      <c r="F3968" s="7" t="s">
        <v>1901</v>
      </c>
      <c r="G3968" s="7" t="s">
        <v>1564</v>
      </c>
      <c r="H3968" s="7" t="s">
        <v>1362</v>
      </c>
      <c r="I3968" s="7" t="s">
        <v>1253</v>
      </c>
      <c r="K3968" s="39" t="s">
        <v>572</v>
      </c>
      <c r="L3968" s="40">
        <v>206.95</v>
      </c>
      <c r="M3968" s="40">
        <v>240615.29</v>
      </c>
      <c r="N3968" s="40">
        <f t="shared" si="152"/>
        <v>206.95</v>
      </c>
    </row>
    <row r="3969" spans="1:14" ht="12.75" hidden="1" customHeight="1" x14ac:dyDescent="0.2">
      <c r="A3969">
        <v>65061</v>
      </c>
      <c r="B3969" s="3" t="s">
        <v>1844</v>
      </c>
      <c r="C3969" s="7" t="s">
        <v>1796</v>
      </c>
      <c r="D3969" s="7" t="s">
        <v>221</v>
      </c>
      <c r="F3969" s="7" t="s">
        <v>1902</v>
      </c>
      <c r="G3969" s="7" t="s">
        <v>1564</v>
      </c>
      <c r="H3969" s="7" t="s">
        <v>1362</v>
      </c>
      <c r="I3969" s="7" t="s">
        <v>1253</v>
      </c>
      <c r="K3969" s="39" t="s">
        <v>572</v>
      </c>
      <c r="L3969" s="40">
        <v>398</v>
      </c>
      <c r="M3969" s="40">
        <v>241013.29</v>
      </c>
      <c r="N3969" s="40">
        <f t="shared" si="152"/>
        <v>398</v>
      </c>
    </row>
    <row r="3970" spans="1:14" ht="12.75" hidden="1" customHeight="1" x14ac:dyDescent="0.2">
      <c r="A3970">
        <v>65061</v>
      </c>
      <c r="B3970" s="3" t="s">
        <v>1844</v>
      </c>
      <c r="C3970" s="7" t="s">
        <v>1780</v>
      </c>
      <c r="D3970" s="7" t="s">
        <v>221</v>
      </c>
      <c r="F3970" s="7" t="s">
        <v>241</v>
      </c>
      <c r="G3970" s="7" t="s">
        <v>1564</v>
      </c>
      <c r="H3970" s="7" t="s">
        <v>1362</v>
      </c>
      <c r="I3970" s="7" t="s">
        <v>1253</v>
      </c>
      <c r="K3970" s="39" t="s">
        <v>572</v>
      </c>
      <c r="L3970" s="40">
        <v>186.84</v>
      </c>
      <c r="M3970" s="40">
        <v>241200.13</v>
      </c>
      <c r="N3970" s="40">
        <f t="shared" si="152"/>
        <v>186.84</v>
      </c>
    </row>
    <row r="3971" spans="1:14" ht="12.75" hidden="1" customHeight="1" x14ac:dyDescent="0.2">
      <c r="A3971">
        <v>65061</v>
      </c>
      <c r="B3971" s="3" t="s">
        <v>1844</v>
      </c>
      <c r="C3971" s="7" t="s">
        <v>1780</v>
      </c>
      <c r="D3971" s="7" t="s">
        <v>221</v>
      </c>
      <c r="F3971" s="7" t="s">
        <v>241</v>
      </c>
      <c r="G3971" s="7" t="s">
        <v>1564</v>
      </c>
      <c r="H3971" s="7" t="s">
        <v>1362</v>
      </c>
      <c r="I3971" s="7" t="s">
        <v>1253</v>
      </c>
      <c r="K3971" s="39" t="s">
        <v>572</v>
      </c>
      <c r="L3971" s="40">
        <v>14.1</v>
      </c>
      <c r="M3971" s="40">
        <v>241558.69</v>
      </c>
      <c r="N3971" s="40">
        <f t="shared" si="152"/>
        <v>14.1</v>
      </c>
    </row>
    <row r="3972" spans="1:14" ht="12.75" hidden="1" customHeight="1" x14ac:dyDescent="0.2">
      <c r="A3972">
        <v>65061</v>
      </c>
      <c r="B3972" s="3" t="s">
        <v>1844</v>
      </c>
      <c r="C3972" s="7" t="s">
        <v>1780</v>
      </c>
      <c r="D3972" s="7" t="s">
        <v>221</v>
      </c>
      <c r="F3972" s="7" t="s">
        <v>241</v>
      </c>
      <c r="G3972" s="7" t="s">
        <v>1564</v>
      </c>
      <c r="H3972" s="7" t="s">
        <v>1362</v>
      </c>
      <c r="I3972" s="7" t="s">
        <v>1253</v>
      </c>
      <c r="K3972" s="39" t="s">
        <v>572</v>
      </c>
      <c r="L3972" s="40">
        <v>57.06</v>
      </c>
      <c r="M3972" s="40">
        <v>241615.75</v>
      </c>
      <c r="N3972" s="40">
        <f t="shared" si="152"/>
        <v>57.06</v>
      </c>
    </row>
    <row r="3973" spans="1:14" ht="12.75" hidden="1" customHeight="1" x14ac:dyDescent="0.2">
      <c r="A3973">
        <v>65061</v>
      </c>
      <c r="B3973" s="3" t="s">
        <v>1844</v>
      </c>
      <c r="C3973" s="7" t="s">
        <v>1780</v>
      </c>
      <c r="D3973" s="7" t="s">
        <v>221</v>
      </c>
      <c r="F3973" s="7" t="s">
        <v>1903</v>
      </c>
      <c r="G3973" s="7" t="s">
        <v>1564</v>
      </c>
      <c r="H3973" s="7" t="s">
        <v>1362</v>
      </c>
      <c r="I3973" s="7" t="s">
        <v>1253</v>
      </c>
      <c r="K3973" s="39" t="s">
        <v>572</v>
      </c>
      <c r="L3973" s="40">
        <v>182.31</v>
      </c>
      <c r="M3973" s="40">
        <v>241798.06</v>
      </c>
      <c r="N3973" s="40">
        <f t="shared" si="152"/>
        <v>182.31</v>
      </c>
    </row>
    <row r="3974" spans="1:14" ht="12.75" hidden="1" customHeight="1" x14ac:dyDescent="0.2">
      <c r="A3974">
        <v>65061</v>
      </c>
      <c r="B3974" s="3" t="s">
        <v>1844</v>
      </c>
      <c r="C3974" s="7" t="s">
        <v>1905</v>
      </c>
      <c r="D3974" s="7" t="s">
        <v>221</v>
      </c>
      <c r="F3974" s="7" t="s">
        <v>597</v>
      </c>
      <c r="G3974" s="7" t="s">
        <v>1564</v>
      </c>
      <c r="H3974" s="7" t="s">
        <v>1362</v>
      </c>
      <c r="I3974" s="7" t="s">
        <v>1253</v>
      </c>
      <c r="K3974" s="39" t="s">
        <v>572</v>
      </c>
      <c r="L3974" s="40">
        <v>33.659999999999997</v>
      </c>
      <c r="M3974" s="40">
        <v>242264.89</v>
      </c>
      <c r="N3974" s="40">
        <f t="shared" si="152"/>
        <v>33.659999999999997</v>
      </c>
    </row>
    <row r="3975" spans="1:14" ht="12.75" hidden="1" customHeight="1" x14ac:dyDescent="0.2">
      <c r="A3975">
        <v>65061</v>
      </c>
      <c r="B3975" s="3" t="s">
        <v>1844</v>
      </c>
      <c r="C3975" s="7" t="s">
        <v>1744</v>
      </c>
      <c r="D3975" s="7" t="s">
        <v>221</v>
      </c>
      <c r="F3975" s="7" t="s">
        <v>726</v>
      </c>
      <c r="G3975" s="7" t="s">
        <v>1564</v>
      </c>
      <c r="H3975" s="7" t="s">
        <v>1362</v>
      </c>
      <c r="I3975" s="7" t="s">
        <v>1253</v>
      </c>
      <c r="K3975" s="39" t="s">
        <v>572</v>
      </c>
      <c r="L3975" s="40">
        <v>50</v>
      </c>
      <c r="M3975" s="40">
        <v>242756.4</v>
      </c>
      <c r="N3975" s="40">
        <f t="shared" si="152"/>
        <v>50</v>
      </c>
    </row>
    <row r="3976" spans="1:14" ht="12.75" hidden="1" customHeight="1" x14ac:dyDescent="0.2">
      <c r="A3976">
        <v>65061</v>
      </c>
      <c r="B3976" s="3" t="s">
        <v>1844</v>
      </c>
      <c r="C3976" s="7" t="s">
        <v>1744</v>
      </c>
      <c r="D3976" s="7" t="s">
        <v>221</v>
      </c>
      <c r="F3976" s="7" t="s">
        <v>548</v>
      </c>
      <c r="G3976" s="7" t="s">
        <v>1564</v>
      </c>
      <c r="H3976" s="7" t="s">
        <v>1362</v>
      </c>
      <c r="I3976" s="7" t="s">
        <v>1253</v>
      </c>
      <c r="K3976" s="39" t="s">
        <v>572</v>
      </c>
      <c r="L3976" s="40">
        <v>73.78</v>
      </c>
      <c r="M3976" s="40">
        <v>242936.13</v>
      </c>
      <c r="N3976" s="40">
        <f t="shared" si="152"/>
        <v>73.78</v>
      </c>
    </row>
    <row r="3977" spans="1:14" ht="12.75" hidden="1" customHeight="1" x14ac:dyDescent="0.2">
      <c r="A3977">
        <v>65061</v>
      </c>
      <c r="B3977" s="3" t="s">
        <v>1844</v>
      </c>
      <c r="C3977" s="7" t="s">
        <v>1593</v>
      </c>
      <c r="D3977" s="7" t="s">
        <v>221</v>
      </c>
      <c r="F3977" s="7" t="s">
        <v>1053</v>
      </c>
      <c r="G3977" s="7" t="s">
        <v>1564</v>
      </c>
      <c r="H3977" s="7" t="s">
        <v>1362</v>
      </c>
      <c r="I3977" s="7" t="s">
        <v>1253</v>
      </c>
      <c r="K3977" s="39" t="s">
        <v>572</v>
      </c>
      <c r="L3977" s="40">
        <v>9.25</v>
      </c>
      <c r="M3977" s="40">
        <v>243484.96</v>
      </c>
      <c r="N3977" s="40">
        <f t="shared" si="152"/>
        <v>9.25</v>
      </c>
    </row>
    <row r="3978" spans="1:14" ht="12.75" hidden="1" customHeight="1" x14ac:dyDescent="0.2">
      <c r="A3978">
        <v>65061</v>
      </c>
      <c r="B3978" s="3" t="s">
        <v>1844</v>
      </c>
      <c r="C3978" s="7" t="s">
        <v>1593</v>
      </c>
      <c r="D3978" s="7" t="s">
        <v>221</v>
      </c>
      <c r="F3978" s="7" t="s">
        <v>241</v>
      </c>
      <c r="G3978" s="7" t="s">
        <v>1564</v>
      </c>
      <c r="H3978" s="7" t="s">
        <v>1362</v>
      </c>
      <c r="I3978" s="7" t="s">
        <v>1253</v>
      </c>
      <c r="K3978" s="39" t="s">
        <v>572</v>
      </c>
      <c r="L3978" s="40">
        <v>34.229999999999997</v>
      </c>
      <c r="M3978" s="40">
        <v>243519.19</v>
      </c>
      <c r="N3978" s="40">
        <f t="shared" si="152"/>
        <v>34.229999999999997</v>
      </c>
    </row>
    <row r="3979" spans="1:14" ht="12.75" hidden="1" customHeight="1" x14ac:dyDescent="0.2">
      <c r="A3979">
        <v>65061</v>
      </c>
      <c r="B3979" s="3" t="s">
        <v>1844</v>
      </c>
      <c r="C3979" s="7" t="s">
        <v>1593</v>
      </c>
      <c r="D3979" s="7" t="s">
        <v>221</v>
      </c>
      <c r="F3979" s="7" t="s">
        <v>241</v>
      </c>
      <c r="G3979" s="7" t="s">
        <v>1564</v>
      </c>
      <c r="H3979" s="7" t="s">
        <v>1362</v>
      </c>
      <c r="I3979" s="7" t="s">
        <v>1253</v>
      </c>
      <c r="K3979" s="39" t="s">
        <v>572</v>
      </c>
      <c r="L3979" s="40">
        <v>27.43</v>
      </c>
      <c r="M3979" s="40">
        <v>243546.62</v>
      </c>
      <c r="N3979" s="40">
        <f t="shared" si="152"/>
        <v>27.43</v>
      </c>
    </row>
    <row r="3980" spans="1:14" ht="12.75" hidden="1" customHeight="1" x14ac:dyDescent="0.2">
      <c r="A3980">
        <v>65061</v>
      </c>
      <c r="B3980" s="3" t="s">
        <v>1844</v>
      </c>
      <c r="C3980" s="7" t="s">
        <v>1596</v>
      </c>
      <c r="D3980" s="7" t="s">
        <v>242</v>
      </c>
      <c r="F3980" s="7" t="s">
        <v>241</v>
      </c>
      <c r="G3980" s="7" t="s">
        <v>1564</v>
      </c>
      <c r="H3980" s="7" t="s">
        <v>1362</v>
      </c>
      <c r="I3980" s="7" t="s">
        <v>1253</v>
      </c>
      <c r="K3980" s="39" t="s">
        <v>572</v>
      </c>
      <c r="L3980" s="40">
        <v>-38.39</v>
      </c>
      <c r="M3980" s="40">
        <v>244077.05</v>
      </c>
      <c r="N3980" s="40">
        <f t="shared" si="152"/>
        <v>-38.39</v>
      </c>
    </row>
    <row r="3981" spans="1:14" ht="12.75" hidden="1" customHeight="1" x14ac:dyDescent="0.2">
      <c r="A3981">
        <v>65061</v>
      </c>
      <c r="B3981" s="3" t="s">
        <v>1844</v>
      </c>
      <c r="C3981" s="7" t="s">
        <v>1680</v>
      </c>
      <c r="D3981" s="7" t="s">
        <v>221</v>
      </c>
      <c r="F3981" s="7" t="s">
        <v>771</v>
      </c>
      <c r="G3981" s="7" t="s">
        <v>1564</v>
      </c>
      <c r="H3981" s="7" t="s">
        <v>1362</v>
      </c>
      <c r="I3981" s="7" t="s">
        <v>1253</v>
      </c>
      <c r="K3981" s="39" t="s">
        <v>572</v>
      </c>
      <c r="L3981" s="40">
        <v>88.36</v>
      </c>
      <c r="M3981" s="40">
        <v>291223.57</v>
      </c>
      <c r="N3981" s="40">
        <f t="shared" si="152"/>
        <v>88.36</v>
      </c>
    </row>
    <row r="3982" spans="1:14" ht="12.75" hidden="1" customHeight="1" x14ac:dyDescent="0.2">
      <c r="A3982">
        <v>65061</v>
      </c>
      <c r="B3982" s="3" t="s">
        <v>1844</v>
      </c>
      <c r="C3982" s="7" t="s">
        <v>1790</v>
      </c>
      <c r="D3982" s="7" t="s">
        <v>221</v>
      </c>
      <c r="F3982" s="7" t="s">
        <v>1982</v>
      </c>
      <c r="G3982" s="7" t="s">
        <v>1564</v>
      </c>
      <c r="H3982" s="7" t="s">
        <v>1362</v>
      </c>
      <c r="I3982" s="7" t="s">
        <v>1253</v>
      </c>
      <c r="K3982" s="39" t="s">
        <v>572</v>
      </c>
      <c r="L3982" s="40">
        <v>126.73</v>
      </c>
      <c r="M3982" s="40">
        <v>297152.51</v>
      </c>
      <c r="N3982" s="40">
        <f t="shared" si="152"/>
        <v>126.73</v>
      </c>
    </row>
    <row r="3983" spans="1:14" ht="12.75" hidden="1" customHeight="1" x14ac:dyDescent="0.2">
      <c r="A3983">
        <v>65061</v>
      </c>
      <c r="B3983" s="3" t="s">
        <v>1844</v>
      </c>
      <c r="C3983" s="7" t="s">
        <v>1646</v>
      </c>
      <c r="D3983" s="7" t="s">
        <v>221</v>
      </c>
      <c r="F3983" s="7" t="s">
        <v>241</v>
      </c>
      <c r="G3983" s="7" t="s">
        <v>1564</v>
      </c>
      <c r="H3983" s="7" t="s">
        <v>1362</v>
      </c>
      <c r="I3983" s="7" t="s">
        <v>1253</v>
      </c>
      <c r="K3983" s="39" t="s">
        <v>572</v>
      </c>
      <c r="L3983" s="40">
        <v>28.01</v>
      </c>
      <c r="M3983" s="40">
        <v>299594.42</v>
      </c>
      <c r="N3983" s="40">
        <f t="shared" si="152"/>
        <v>28.01</v>
      </c>
    </row>
    <row r="3984" spans="1:14" ht="12.75" hidden="1" customHeight="1" x14ac:dyDescent="0.2">
      <c r="A3984">
        <v>65061</v>
      </c>
      <c r="B3984" s="3" t="s">
        <v>1844</v>
      </c>
      <c r="C3984" s="7" t="s">
        <v>1646</v>
      </c>
      <c r="D3984" s="7" t="s">
        <v>221</v>
      </c>
      <c r="F3984" s="7" t="s">
        <v>241</v>
      </c>
      <c r="G3984" s="7" t="s">
        <v>1564</v>
      </c>
      <c r="H3984" s="7" t="s">
        <v>1362</v>
      </c>
      <c r="I3984" s="7" t="s">
        <v>1253</v>
      </c>
      <c r="K3984" s="39" t="s">
        <v>572</v>
      </c>
      <c r="L3984" s="40">
        <v>132.32</v>
      </c>
      <c r="M3984" s="40">
        <v>299796.94</v>
      </c>
      <c r="N3984" s="40">
        <f t="shared" si="152"/>
        <v>132.32</v>
      </c>
    </row>
    <row r="3985" spans="1:14" ht="12.75" hidden="1" customHeight="1" x14ac:dyDescent="0.2">
      <c r="A3985">
        <v>65061</v>
      </c>
      <c r="B3985" s="3" t="s">
        <v>1844</v>
      </c>
      <c r="C3985" s="7" t="s">
        <v>1648</v>
      </c>
      <c r="D3985" s="7" t="s">
        <v>221</v>
      </c>
      <c r="F3985" s="7" t="s">
        <v>568</v>
      </c>
      <c r="G3985" s="7" t="s">
        <v>1564</v>
      </c>
      <c r="H3985" s="7" t="s">
        <v>1362</v>
      </c>
      <c r="I3985" s="7" t="s">
        <v>1253</v>
      </c>
      <c r="K3985" s="39" t="s">
        <v>572</v>
      </c>
      <c r="L3985" s="40">
        <v>74.260000000000005</v>
      </c>
      <c r="M3985" s="40">
        <v>304051.33</v>
      </c>
      <c r="N3985" s="40">
        <f t="shared" si="152"/>
        <v>74.260000000000005</v>
      </c>
    </row>
    <row r="3986" spans="1:14" ht="12.75" hidden="1" customHeight="1" x14ac:dyDescent="0.2">
      <c r="A3986">
        <v>65095</v>
      </c>
      <c r="B3986" s="3" t="s">
        <v>1259</v>
      </c>
      <c r="C3986" s="7" t="s">
        <v>1638</v>
      </c>
      <c r="D3986" s="7" t="s">
        <v>183</v>
      </c>
      <c r="E3986" s="7">
        <v>733</v>
      </c>
      <c r="G3986" s="7" t="s">
        <v>1564</v>
      </c>
      <c r="H3986" s="43" t="s">
        <v>1361</v>
      </c>
      <c r="I3986" s="7" t="s">
        <v>1259</v>
      </c>
      <c r="K3986" s="39" t="s">
        <v>180</v>
      </c>
      <c r="L3986" s="40">
        <v>2.8</v>
      </c>
      <c r="M3986" s="40">
        <v>1106.01</v>
      </c>
      <c r="N3986" s="40">
        <f t="shared" si="152"/>
        <v>2.8</v>
      </c>
    </row>
    <row r="3987" spans="1:14" ht="12.75" customHeight="1" x14ac:dyDescent="0.2">
      <c r="A3987">
        <v>44000</v>
      </c>
      <c r="B3987" s="3" t="s">
        <v>1229</v>
      </c>
      <c r="C3987" s="7" t="s">
        <v>1567</v>
      </c>
      <c r="D3987" s="7" t="s">
        <v>242</v>
      </c>
      <c r="F3987" s="7" t="s">
        <v>665</v>
      </c>
      <c r="G3987" s="7" t="s">
        <v>1561</v>
      </c>
      <c r="H3987" s="7" t="s">
        <v>1359</v>
      </c>
      <c r="I3987" s="7" t="s">
        <v>2148</v>
      </c>
      <c r="J3987" s="39" t="s">
        <v>1688</v>
      </c>
      <c r="K3987" s="39" t="s">
        <v>1171</v>
      </c>
      <c r="L3987" s="40">
        <v>1135</v>
      </c>
      <c r="M3987" s="40">
        <v>190298.05</v>
      </c>
      <c r="N3987" s="41">
        <f>-L3987</f>
        <v>-1135</v>
      </c>
    </row>
    <row r="3988" spans="1:14" ht="12.75" customHeight="1" x14ac:dyDescent="0.2">
      <c r="A3988">
        <v>44000</v>
      </c>
      <c r="B3988" s="3" t="s">
        <v>1229</v>
      </c>
      <c r="C3988" s="7" t="s">
        <v>1569</v>
      </c>
      <c r="D3988" s="7" t="s">
        <v>242</v>
      </c>
      <c r="F3988" s="7" t="s">
        <v>665</v>
      </c>
      <c r="G3988" s="7" t="s">
        <v>1561</v>
      </c>
      <c r="H3988" s="7" t="s">
        <v>1359</v>
      </c>
      <c r="I3988" s="7" t="s">
        <v>2148</v>
      </c>
      <c r="K3988" s="39" t="s">
        <v>1171</v>
      </c>
      <c r="L3988" s="40">
        <v>1276</v>
      </c>
      <c r="M3988" s="40">
        <v>191574.05</v>
      </c>
      <c r="N3988" s="41">
        <f>-L3988</f>
        <v>-1276</v>
      </c>
    </row>
    <row r="3989" spans="1:14" ht="12.75" customHeight="1" x14ac:dyDescent="0.2">
      <c r="A3989">
        <v>44000</v>
      </c>
      <c r="B3989" s="3" t="s">
        <v>1229</v>
      </c>
      <c r="C3989" s="7" t="s">
        <v>218</v>
      </c>
      <c r="D3989" s="7" t="s">
        <v>242</v>
      </c>
      <c r="F3989" s="7" t="s">
        <v>665</v>
      </c>
      <c r="G3989" s="7" t="s">
        <v>1586</v>
      </c>
      <c r="H3989" s="7" t="s">
        <v>1359</v>
      </c>
      <c r="I3989" s="7" t="s">
        <v>2148</v>
      </c>
      <c r="K3989" s="7" t="s">
        <v>1136</v>
      </c>
      <c r="L3989" s="11">
        <v>450</v>
      </c>
      <c r="M3989" s="11">
        <v>169800.52</v>
      </c>
      <c r="N3989" s="9">
        <f>IF(A3989&lt;60000,-L3989,+L3989)</f>
        <v>-450</v>
      </c>
    </row>
    <row r="3990" spans="1:14" ht="12.75" customHeight="1" x14ac:dyDescent="0.2">
      <c r="A3990">
        <v>44000</v>
      </c>
      <c r="B3990" s="3" t="s">
        <v>1229</v>
      </c>
      <c r="C3990" s="7" t="s">
        <v>257</v>
      </c>
      <c r="D3990" s="7" t="s">
        <v>242</v>
      </c>
      <c r="G3990" s="7" t="s">
        <v>1568</v>
      </c>
      <c r="H3990" s="7" t="s">
        <v>1359</v>
      </c>
      <c r="I3990" s="7" t="s">
        <v>2148</v>
      </c>
      <c r="K3990" s="7" t="s">
        <v>258</v>
      </c>
      <c r="L3990" s="11">
        <v>925.27</v>
      </c>
      <c r="M3990" s="11">
        <v>163040.51999999999</v>
      </c>
      <c r="N3990" s="9">
        <f>IF(A3990&lt;60000,-L3990,+L3990)</f>
        <v>-925.27</v>
      </c>
    </row>
    <row r="3991" spans="1:14" ht="12.75" hidden="1" customHeight="1" x14ac:dyDescent="0.2">
      <c r="A3991">
        <v>65015</v>
      </c>
      <c r="B3991" s="3" t="s">
        <v>1244</v>
      </c>
      <c r="C3991" s="7" t="s">
        <v>1728</v>
      </c>
      <c r="D3991" s="7" t="s">
        <v>221</v>
      </c>
      <c r="F3991" s="7" t="s">
        <v>1792</v>
      </c>
      <c r="G3991" s="7" t="s">
        <v>1601</v>
      </c>
      <c r="H3991" s="43" t="s">
        <v>1362</v>
      </c>
      <c r="I3991" s="7" t="s">
        <v>1244</v>
      </c>
      <c r="K3991" s="39" t="s">
        <v>565</v>
      </c>
      <c r="L3991" s="40">
        <v>15</v>
      </c>
      <c r="M3991" s="40">
        <v>12196.63</v>
      </c>
      <c r="N3991" s="40">
        <f>+L3991</f>
        <v>15</v>
      </c>
    </row>
    <row r="3992" spans="1:14" ht="12.75" hidden="1" customHeight="1" x14ac:dyDescent="0.2">
      <c r="A3992">
        <v>65090</v>
      </c>
      <c r="B3992" s="3" t="s">
        <v>1993</v>
      </c>
      <c r="C3992" s="7" t="s">
        <v>1728</v>
      </c>
      <c r="D3992" s="7" t="s">
        <v>221</v>
      </c>
      <c r="F3992" s="7" t="s">
        <v>564</v>
      </c>
      <c r="G3992" s="7" t="s">
        <v>1601</v>
      </c>
      <c r="H3992" s="7" t="s">
        <v>1362</v>
      </c>
      <c r="I3992" s="7" t="s">
        <v>1258</v>
      </c>
      <c r="K3992" s="39" t="s">
        <v>565</v>
      </c>
      <c r="L3992" s="40">
        <v>13.26</v>
      </c>
      <c r="M3992" s="40">
        <v>1902.88</v>
      </c>
      <c r="N3992" s="40">
        <f>+L3992</f>
        <v>13.26</v>
      </c>
    </row>
    <row r="3993" spans="1:14" ht="12.75" hidden="1" customHeight="1" x14ac:dyDescent="0.2">
      <c r="A3993">
        <v>65090</v>
      </c>
      <c r="B3993" s="3" t="s">
        <v>1993</v>
      </c>
      <c r="C3993" s="7" t="s">
        <v>1728</v>
      </c>
      <c r="D3993" s="7" t="s">
        <v>221</v>
      </c>
      <c r="F3993" s="7" t="s">
        <v>548</v>
      </c>
      <c r="G3993" s="7" t="s">
        <v>1601</v>
      </c>
      <c r="H3993" s="7" t="s">
        <v>1362</v>
      </c>
      <c r="I3993" s="7" t="s">
        <v>1258</v>
      </c>
      <c r="K3993" s="39" t="s">
        <v>565</v>
      </c>
      <c r="L3993" s="40">
        <v>12.94</v>
      </c>
      <c r="M3993" s="40">
        <v>1915.82</v>
      </c>
      <c r="N3993" s="40">
        <f>+L3993</f>
        <v>12.94</v>
      </c>
    </row>
    <row r="3994" spans="1:14" ht="12.75" hidden="1" customHeight="1" x14ac:dyDescent="0.2">
      <c r="A3994">
        <v>65090</v>
      </c>
      <c r="B3994" s="3" t="s">
        <v>1993</v>
      </c>
      <c r="C3994" s="7" t="s">
        <v>1646</v>
      </c>
      <c r="D3994" s="7" t="s">
        <v>242</v>
      </c>
      <c r="F3994" s="7" t="s">
        <v>616</v>
      </c>
      <c r="G3994" s="7" t="s">
        <v>1601</v>
      </c>
      <c r="H3994" s="7" t="s">
        <v>1362</v>
      </c>
      <c r="I3994" s="7" t="s">
        <v>1258</v>
      </c>
      <c r="K3994" s="39" t="s">
        <v>565</v>
      </c>
      <c r="L3994" s="40">
        <v>-10.89</v>
      </c>
      <c r="M3994" s="40">
        <v>1904.93</v>
      </c>
      <c r="N3994" s="40">
        <f>+L3994</f>
        <v>-10.89</v>
      </c>
    </row>
    <row r="3995" spans="1:14" ht="12.75" hidden="1" customHeight="1" x14ac:dyDescent="0.2">
      <c r="A3995">
        <v>65090</v>
      </c>
      <c r="B3995" s="3" t="s">
        <v>1993</v>
      </c>
      <c r="C3995" s="7" t="s">
        <v>1646</v>
      </c>
      <c r="D3995" s="7" t="s">
        <v>221</v>
      </c>
      <c r="F3995" s="7" t="s">
        <v>564</v>
      </c>
      <c r="G3995" s="7" t="s">
        <v>1601</v>
      </c>
      <c r="H3995" s="7" t="s">
        <v>1362</v>
      </c>
      <c r="I3995" s="7" t="s">
        <v>1258</v>
      </c>
      <c r="K3995" s="39" t="s">
        <v>565</v>
      </c>
      <c r="L3995" s="40">
        <v>63.5</v>
      </c>
      <c r="M3995" s="40">
        <v>2012.38</v>
      </c>
      <c r="N3995" s="40">
        <f>+L3995</f>
        <v>63.5</v>
      </c>
    </row>
    <row r="3996" spans="1:14" ht="12.75" customHeight="1" x14ac:dyDescent="0.2">
      <c r="A3996">
        <v>44000</v>
      </c>
      <c r="B3996" s="3" t="s">
        <v>1229</v>
      </c>
      <c r="C3996" s="7" t="s">
        <v>710</v>
      </c>
      <c r="D3996" s="7" t="s">
        <v>242</v>
      </c>
      <c r="F3996" s="7" t="s">
        <v>665</v>
      </c>
      <c r="G3996" s="7" t="s">
        <v>1568</v>
      </c>
      <c r="H3996" s="7" t="s">
        <v>1359</v>
      </c>
      <c r="I3996" s="7" t="s">
        <v>2148</v>
      </c>
      <c r="K3996" s="7" t="s">
        <v>258</v>
      </c>
      <c r="L3996" s="11">
        <v>1300</v>
      </c>
      <c r="M3996" s="11">
        <v>164690.51999999999</v>
      </c>
      <c r="N3996" s="9">
        <f>IF(A3996&lt;60000,-L3996,+L3996)</f>
        <v>-1300</v>
      </c>
    </row>
    <row r="3997" spans="1:14" ht="12.75" hidden="1" customHeight="1" x14ac:dyDescent="0.2">
      <c r="A3997">
        <v>43430</v>
      </c>
      <c r="B3997" s="3" t="s">
        <v>1226</v>
      </c>
      <c r="C3997" s="7" t="s">
        <v>1658</v>
      </c>
      <c r="D3997" s="7" t="s">
        <v>183</v>
      </c>
      <c r="E3997" s="7">
        <v>731</v>
      </c>
      <c r="G3997" s="7" t="s">
        <v>1621</v>
      </c>
      <c r="H3997" s="7" t="s">
        <v>1360</v>
      </c>
      <c r="I3997" s="7" t="s">
        <v>1226</v>
      </c>
      <c r="J3997" s="39" t="s">
        <v>1659</v>
      </c>
      <c r="K3997" s="39" t="s">
        <v>180</v>
      </c>
      <c r="L3997" s="40">
        <v>1000</v>
      </c>
      <c r="M3997" s="40">
        <v>37130.5</v>
      </c>
      <c r="N3997" s="41">
        <f>-L3997</f>
        <v>-1000</v>
      </c>
    </row>
    <row r="3998" spans="1:14" ht="12.75" hidden="1" customHeight="1" x14ac:dyDescent="0.2">
      <c r="A3998">
        <v>43430</v>
      </c>
      <c r="B3998" s="3" t="s">
        <v>1226</v>
      </c>
      <c r="C3998" s="7" t="s">
        <v>1617</v>
      </c>
      <c r="D3998" s="7" t="s">
        <v>183</v>
      </c>
      <c r="E3998" s="7">
        <v>732</v>
      </c>
      <c r="G3998" s="7" t="s">
        <v>1621</v>
      </c>
      <c r="H3998" s="7" t="s">
        <v>1360</v>
      </c>
      <c r="I3998" s="7" t="s">
        <v>1226</v>
      </c>
      <c r="J3998" s="39" t="s">
        <v>1659</v>
      </c>
      <c r="K3998" s="39" t="s">
        <v>180</v>
      </c>
      <c r="L3998" s="40">
        <v>1000</v>
      </c>
      <c r="M3998" s="40">
        <v>38130.5</v>
      </c>
      <c r="N3998" s="41">
        <f>-L3998</f>
        <v>-1000</v>
      </c>
    </row>
    <row r="3999" spans="1:14" ht="12.75" hidden="1" customHeight="1" x14ac:dyDescent="0.2">
      <c r="A3999">
        <v>43440</v>
      </c>
      <c r="B3999" s="3" t="s">
        <v>1228</v>
      </c>
      <c r="C3999" s="7" t="s">
        <v>1638</v>
      </c>
      <c r="D3999" s="7" t="s">
        <v>183</v>
      </c>
      <c r="E3999" s="7">
        <v>730</v>
      </c>
      <c r="G3999" s="7" t="s">
        <v>1621</v>
      </c>
      <c r="H3999" s="7" t="s">
        <v>1360</v>
      </c>
      <c r="I3999" s="7" t="s">
        <v>1228</v>
      </c>
      <c r="J3999" s="39" t="s">
        <v>1682</v>
      </c>
      <c r="K3999" s="39" t="s">
        <v>180</v>
      </c>
      <c r="L3999" s="40">
        <v>120</v>
      </c>
      <c r="M3999" s="40">
        <v>48236.95</v>
      </c>
      <c r="N3999" s="41">
        <f>-L3999</f>
        <v>-120</v>
      </c>
    </row>
    <row r="4000" spans="1:14" ht="12.75" customHeight="1" x14ac:dyDescent="0.2">
      <c r="A4000">
        <v>44000</v>
      </c>
      <c r="B4000" s="3" t="s">
        <v>1229</v>
      </c>
      <c r="C4000" s="7" t="s">
        <v>229</v>
      </c>
      <c r="D4000" s="7" t="s">
        <v>242</v>
      </c>
      <c r="F4000" s="7" t="s">
        <v>665</v>
      </c>
      <c r="G4000" s="7" t="s">
        <v>1568</v>
      </c>
      <c r="H4000" s="7" t="s">
        <v>1359</v>
      </c>
      <c r="I4000" s="7" t="s">
        <v>2148</v>
      </c>
      <c r="K4000" s="7" t="s">
        <v>258</v>
      </c>
      <c r="L4000" s="11">
        <v>2360</v>
      </c>
      <c r="M4000" s="11">
        <v>167050.51999999999</v>
      </c>
      <c r="N4000" s="9">
        <f>IF(A4000&lt;60000,-L4000,+L4000)</f>
        <v>-2360</v>
      </c>
    </row>
    <row r="4001" spans="1:14" ht="12.75" hidden="1" customHeight="1" x14ac:dyDescent="0.2">
      <c r="A4001">
        <v>65015</v>
      </c>
      <c r="B4001" s="3" t="s">
        <v>1244</v>
      </c>
      <c r="C4001" s="7" t="s">
        <v>1784</v>
      </c>
      <c r="D4001" s="7" t="s">
        <v>221</v>
      </c>
      <c r="F4001" s="7" t="s">
        <v>1061</v>
      </c>
      <c r="G4001" s="7" t="s">
        <v>1621</v>
      </c>
      <c r="H4001" s="43" t="s">
        <v>1362</v>
      </c>
      <c r="I4001" s="7" t="s">
        <v>1244</v>
      </c>
      <c r="K4001" s="39" t="s">
        <v>565</v>
      </c>
      <c r="L4001" s="40">
        <v>304.2</v>
      </c>
      <c r="M4001" s="40">
        <v>6062.38</v>
      </c>
      <c r="N4001" s="40">
        <f t="shared" ref="N4001:N4022" si="153">+L4001</f>
        <v>304.2</v>
      </c>
    </row>
    <row r="4002" spans="1:14" ht="12.75" hidden="1" customHeight="1" x14ac:dyDescent="0.2">
      <c r="A4002">
        <v>65015</v>
      </c>
      <c r="B4002" s="3" t="s">
        <v>1244</v>
      </c>
      <c r="C4002" s="7" t="s">
        <v>1784</v>
      </c>
      <c r="D4002" s="7" t="s">
        <v>221</v>
      </c>
      <c r="F4002" s="7" t="s">
        <v>1785</v>
      </c>
      <c r="G4002" s="7" t="s">
        <v>1621</v>
      </c>
      <c r="H4002" s="43" t="s">
        <v>1362</v>
      </c>
      <c r="I4002" s="7" t="s">
        <v>1244</v>
      </c>
      <c r="K4002" s="39" t="s">
        <v>565</v>
      </c>
      <c r="L4002" s="40">
        <v>27.38</v>
      </c>
      <c r="M4002" s="40">
        <v>6089.76</v>
      </c>
      <c r="N4002" s="40">
        <f t="shared" si="153"/>
        <v>27.38</v>
      </c>
    </row>
    <row r="4003" spans="1:14" ht="12.75" hidden="1" customHeight="1" x14ac:dyDescent="0.2">
      <c r="A4003">
        <v>65015</v>
      </c>
      <c r="B4003" s="3" t="s">
        <v>1244</v>
      </c>
      <c r="C4003" s="7" t="s">
        <v>1784</v>
      </c>
      <c r="D4003" s="7" t="s">
        <v>221</v>
      </c>
      <c r="F4003" s="7" t="s">
        <v>1061</v>
      </c>
      <c r="G4003" s="7" t="s">
        <v>1621</v>
      </c>
      <c r="H4003" s="43" t="s">
        <v>1362</v>
      </c>
      <c r="I4003" s="7" t="s">
        <v>1244</v>
      </c>
      <c r="K4003" s="39" t="s">
        <v>565</v>
      </c>
      <c r="L4003" s="40">
        <v>304.2</v>
      </c>
      <c r="M4003" s="40">
        <v>6393.96</v>
      </c>
      <c r="N4003" s="40">
        <f t="shared" si="153"/>
        <v>304.2</v>
      </c>
    </row>
    <row r="4004" spans="1:14" ht="12.75" hidden="1" customHeight="1" x14ac:dyDescent="0.2">
      <c r="A4004">
        <v>65015</v>
      </c>
      <c r="B4004" s="3" t="s">
        <v>1244</v>
      </c>
      <c r="C4004" s="7" t="s">
        <v>1728</v>
      </c>
      <c r="D4004" s="7" t="s">
        <v>221</v>
      </c>
      <c r="G4004" s="7" t="s">
        <v>1621</v>
      </c>
      <c r="H4004" s="43" t="s">
        <v>1362</v>
      </c>
      <c r="I4004" s="7" t="s">
        <v>1244</v>
      </c>
      <c r="K4004" s="39" t="s">
        <v>565</v>
      </c>
      <c r="L4004" s="40">
        <v>127.9</v>
      </c>
      <c r="M4004" s="40">
        <v>12181.63</v>
      </c>
      <c r="N4004" s="40">
        <f t="shared" si="153"/>
        <v>127.9</v>
      </c>
    </row>
    <row r="4005" spans="1:14" ht="12.75" hidden="1" customHeight="1" x14ac:dyDescent="0.2">
      <c r="A4005">
        <v>65015</v>
      </c>
      <c r="B4005" s="3" t="s">
        <v>1244</v>
      </c>
      <c r="C4005" s="7" t="s">
        <v>1646</v>
      </c>
      <c r="D4005" s="7" t="s">
        <v>221</v>
      </c>
      <c r="F4005" s="7" t="s">
        <v>1064</v>
      </c>
      <c r="G4005" s="7" t="s">
        <v>1621</v>
      </c>
      <c r="H4005" s="43" t="s">
        <v>1362</v>
      </c>
      <c r="I4005" s="7" t="s">
        <v>1244</v>
      </c>
      <c r="K4005" s="39" t="s">
        <v>565</v>
      </c>
      <c r="L4005" s="40">
        <v>80</v>
      </c>
      <c r="M4005" s="40">
        <v>12276.63</v>
      </c>
      <c r="N4005" s="40">
        <f t="shared" si="153"/>
        <v>80</v>
      </c>
    </row>
    <row r="4006" spans="1:14" ht="12.75" hidden="1" customHeight="1" x14ac:dyDescent="0.2">
      <c r="A4006">
        <v>65025</v>
      </c>
      <c r="B4006" s="3" t="s">
        <v>1246</v>
      </c>
      <c r="C4006" s="7" t="s">
        <v>1803</v>
      </c>
      <c r="D4006" s="7" t="s">
        <v>221</v>
      </c>
      <c r="F4006" s="7" t="s">
        <v>446</v>
      </c>
      <c r="G4006" s="7" t="s">
        <v>1621</v>
      </c>
      <c r="H4006" s="7" t="s">
        <v>1362</v>
      </c>
      <c r="I4006" s="7" t="s">
        <v>1246</v>
      </c>
      <c r="K4006" s="39" t="s">
        <v>565</v>
      </c>
      <c r="L4006" s="40">
        <v>15</v>
      </c>
      <c r="M4006" s="40">
        <v>2049.17</v>
      </c>
      <c r="N4006" s="40">
        <f t="shared" si="153"/>
        <v>15</v>
      </c>
    </row>
    <row r="4007" spans="1:14" ht="12.75" hidden="1" customHeight="1" x14ac:dyDescent="0.2">
      <c r="A4007">
        <v>65025</v>
      </c>
      <c r="B4007" s="3" t="s">
        <v>1246</v>
      </c>
      <c r="C4007" s="7" t="s">
        <v>1804</v>
      </c>
      <c r="D4007" s="7" t="s">
        <v>221</v>
      </c>
      <c r="F4007" s="7" t="s">
        <v>446</v>
      </c>
      <c r="G4007" s="7" t="s">
        <v>1621</v>
      </c>
      <c r="H4007" s="7" t="s">
        <v>1362</v>
      </c>
      <c r="I4007" s="7" t="s">
        <v>1246</v>
      </c>
      <c r="K4007" s="39" t="s">
        <v>565</v>
      </c>
      <c r="L4007" s="40">
        <v>15</v>
      </c>
      <c r="M4007" s="40">
        <v>2311.1999999999998</v>
      </c>
      <c r="N4007" s="40">
        <f t="shared" si="153"/>
        <v>15</v>
      </c>
    </row>
    <row r="4008" spans="1:14" ht="12.75" hidden="1" customHeight="1" x14ac:dyDescent="0.2">
      <c r="A4008">
        <v>65025</v>
      </c>
      <c r="B4008" s="3" t="s">
        <v>1246</v>
      </c>
      <c r="C4008" s="7" t="s">
        <v>1647</v>
      </c>
      <c r="D4008" s="7" t="s">
        <v>221</v>
      </c>
      <c r="F4008" s="7" t="s">
        <v>446</v>
      </c>
      <c r="G4008" s="7" t="s">
        <v>1621</v>
      </c>
      <c r="H4008" s="7" t="s">
        <v>1362</v>
      </c>
      <c r="I4008" s="7" t="s">
        <v>1246</v>
      </c>
      <c r="K4008" s="39" t="s">
        <v>565</v>
      </c>
      <c r="L4008" s="40">
        <v>35</v>
      </c>
      <c r="M4008" s="40">
        <v>2772.05</v>
      </c>
      <c r="N4008" s="40">
        <f t="shared" si="153"/>
        <v>35</v>
      </c>
    </row>
    <row r="4009" spans="1:14" ht="12.75" hidden="1" customHeight="1" x14ac:dyDescent="0.2">
      <c r="A4009">
        <v>65025</v>
      </c>
      <c r="B4009" s="3" t="s">
        <v>1246</v>
      </c>
      <c r="C4009" s="7" t="s">
        <v>1647</v>
      </c>
      <c r="D4009" s="7" t="s">
        <v>221</v>
      </c>
      <c r="F4009" s="7" t="s">
        <v>446</v>
      </c>
      <c r="G4009" s="7" t="s">
        <v>1621</v>
      </c>
      <c r="H4009" s="7" t="s">
        <v>1362</v>
      </c>
      <c r="I4009" s="7" t="s">
        <v>1246</v>
      </c>
      <c r="K4009" s="39" t="s">
        <v>565</v>
      </c>
      <c r="L4009" s="40">
        <v>35</v>
      </c>
      <c r="M4009" s="40">
        <v>2807.05</v>
      </c>
      <c r="N4009" s="40">
        <f t="shared" si="153"/>
        <v>35</v>
      </c>
    </row>
    <row r="4010" spans="1:14" ht="12.75" hidden="1" customHeight="1" x14ac:dyDescent="0.2">
      <c r="A4010">
        <v>65036</v>
      </c>
      <c r="B4010" s="3" t="s">
        <v>1249</v>
      </c>
      <c r="C4010" s="7" t="s">
        <v>1722</v>
      </c>
      <c r="D4010" s="7" t="s">
        <v>221</v>
      </c>
      <c r="F4010" s="7" t="s">
        <v>1835</v>
      </c>
      <c r="G4010" s="7" t="s">
        <v>1621</v>
      </c>
      <c r="H4010" s="7" t="s">
        <v>1362</v>
      </c>
      <c r="I4010" s="7" t="s">
        <v>1249</v>
      </c>
      <c r="K4010" s="39" t="s">
        <v>565</v>
      </c>
      <c r="L4010" s="40">
        <v>26</v>
      </c>
      <c r="M4010" s="40">
        <v>7071.85</v>
      </c>
      <c r="N4010" s="40">
        <f t="shared" si="153"/>
        <v>26</v>
      </c>
    </row>
    <row r="4011" spans="1:14" ht="12.75" hidden="1" customHeight="1" x14ac:dyDescent="0.2">
      <c r="A4011">
        <v>65045</v>
      </c>
      <c r="B4011" s="3" t="s">
        <v>1840</v>
      </c>
      <c r="C4011" s="7" t="s">
        <v>1647</v>
      </c>
      <c r="D4011" s="7" t="s">
        <v>221</v>
      </c>
      <c r="F4011" s="7" t="s">
        <v>1842</v>
      </c>
      <c r="G4011" s="7" t="s">
        <v>1621</v>
      </c>
      <c r="H4011" s="7" t="s">
        <v>1362</v>
      </c>
      <c r="I4011" s="7" t="s">
        <v>1251</v>
      </c>
      <c r="K4011" s="39" t="s">
        <v>565</v>
      </c>
      <c r="L4011" s="40">
        <v>29</v>
      </c>
      <c r="M4011" s="40">
        <v>6799.35</v>
      </c>
      <c r="N4011" s="40">
        <f t="shared" si="153"/>
        <v>29</v>
      </c>
    </row>
    <row r="4012" spans="1:14" ht="12.75" hidden="1" customHeight="1" x14ac:dyDescent="0.2">
      <c r="A4012">
        <v>65045</v>
      </c>
      <c r="B4012" s="3" t="s">
        <v>1840</v>
      </c>
      <c r="C4012" s="7" t="s">
        <v>1664</v>
      </c>
      <c r="D4012" s="7" t="s">
        <v>242</v>
      </c>
      <c r="F4012" s="7" t="s">
        <v>1842</v>
      </c>
      <c r="G4012" s="7" t="s">
        <v>1621</v>
      </c>
      <c r="H4012" s="7" t="s">
        <v>1362</v>
      </c>
      <c r="I4012" s="7" t="s">
        <v>1251</v>
      </c>
      <c r="K4012" s="39" t="s">
        <v>565</v>
      </c>
      <c r="L4012" s="40">
        <v>-20</v>
      </c>
      <c r="M4012" s="40">
        <v>6779.35</v>
      </c>
      <c r="N4012" s="40">
        <f t="shared" si="153"/>
        <v>-20</v>
      </c>
    </row>
    <row r="4013" spans="1:14" ht="12.75" hidden="1" customHeight="1" x14ac:dyDescent="0.2">
      <c r="A4013">
        <v>65061</v>
      </c>
      <c r="B4013" s="3" t="s">
        <v>1844</v>
      </c>
      <c r="C4013" s="7" t="s">
        <v>1790</v>
      </c>
      <c r="D4013" s="7" t="s">
        <v>221</v>
      </c>
      <c r="F4013" s="7" t="s">
        <v>366</v>
      </c>
      <c r="G4013" s="7" t="s">
        <v>1621</v>
      </c>
      <c r="H4013" s="7" t="s">
        <v>1362</v>
      </c>
      <c r="I4013" s="7" t="s">
        <v>1253</v>
      </c>
      <c r="K4013" s="39" t="s">
        <v>565</v>
      </c>
      <c r="L4013" s="40">
        <v>60</v>
      </c>
      <c r="M4013" s="40">
        <v>297212.51</v>
      </c>
      <c r="N4013" s="40">
        <f t="shared" si="153"/>
        <v>60</v>
      </c>
    </row>
    <row r="4014" spans="1:14" ht="12.75" hidden="1" customHeight="1" x14ac:dyDescent="0.2">
      <c r="A4014">
        <v>65061</v>
      </c>
      <c r="B4014" s="3" t="s">
        <v>1844</v>
      </c>
      <c r="C4014" s="7" t="s">
        <v>1722</v>
      </c>
      <c r="D4014" s="7" t="s">
        <v>221</v>
      </c>
      <c r="F4014" s="7" t="s">
        <v>1983</v>
      </c>
      <c r="G4014" s="7" t="s">
        <v>1621</v>
      </c>
      <c r="H4014" s="7" t="s">
        <v>1362</v>
      </c>
      <c r="I4014" s="7" t="s">
        <v>1253</v>
      </c>
      <c r="K4014" s="39" t="s">
        <v>565</v>
      </c>
      <c r="L4014" s="40">
        <v>80.91</v>
      </c>
      <c r="M4014" s="40">
        <v>297486.24</v>
      </c>
      <c r="N4014" s="40">
        <f t="shared" si="153"/>
        <v>80.91</v>
      </c>
    </row>
    <row r="4015" spans="1:14" ht="12.75" hidden="1" customHeight="1" x14ac:dyDescent="0.2">
      <c r="A4015">
        <v>65061</v>
      </c>
      <c r="B4015" s="3" t="s">
        <v>1844</v>
      </c>
      <c r="C4015" s="7" t="s">
        <v>1728</v>
      </c>
      <c r="D4015" s="7" t="s">
        <v>221</v>
      </c>
      <c r="F4015" s="7" t="s">
        <v>548</v>
      </c>
      <c r="G4015" s="7" t="s">
        <v>1621</v>
      </c>
      <c r="H4015" s="7" t="s">
        <v>1362</v>
      </c>
      <c r="I4015" s="7" t="s">
        <v>1253</v>
      </c>
      <c r="K4015" s="39" t="s">
        <v>565</v>
      </c>
      <c r="L4015" s="40">
        <v>30.07</v>
      </c>
      <c r="M4015" s="40">
        <v>299602.27</v>
      </c>
      <c r="N4015" s="40">
        <f t="shared" si="153"/>
        <v>30.07</v>
      </c>
    </row>
    <row r="4016" spans="1:14" ht="12.75" hidden="1" customHeight="1" x14ac:dyDescent="0.2">
      <c r="A4016">
        <v>65062</v>
      </c>
      <c r="B4016" s="3" t="s">
        <v>1254</v>
      </c>
      <c r="C4016" s="7" t="s">
        <v>1638</v>
      </c>
      <c r="D4016" s="7" t="s">
        <v>183</v>
      </c>
      <c r="E4016" s="7">
        <v>730</v>
      </c>
      <c r="G4016" s="7" t="s">
        <v>1621</v>
      </c>
      <c r="H4016" s="7" t="s">
        <v>1362</v>
      </c>
      <c r="I4016" s="7" t="s">
        <v>1254</v>
      </c>
      <c r="J4016" s="39" t="s">
        <v>1682</v>
      </c>
      <c r="K4016" s="39" t="s">
        <v>180</v>
      </c>
      <c r="L4016" s="40">
        <v>120</v>
      </c>
      <c r="M4016" s="40">
        <v>49936.95</v>
      </c>
      <c r="N4016" s="40">
        <f t="shared" si="153"/>
        <v>120</v>
      </c>
    </row>
    <row r="4017" spans="1:14" ht="12.75" hidden="1" customHeight="1" x14ac:dyDescent="0.2">
      <c r="A4017">
        <v>65062</v>
      </c>
      <c r="B4017" s="3" t="s">
        <v>1254</v>
      </c>
      <c r="C4017" s="7" t="s">
        <v>1658</v>
      </c>
      <c r="D4017" s="7" t="s">
        <v>183</v>
      </c>
      <c r="E4017" s="7">
        <v>731</v>
      </c>
      <c r="G4017" s="7" t="s">
        <v>1621</v>
      </c>
      <c r="H4017" s="7" t="s">
        <v>1362</v>
      </c>
      <c r="I4017" s="7" t="s">
        <v>1254</v>
      </c>
      <c r="J4017" s="39" t="s">
        <v>1659</v>
      </c>
      <c r="K4017" s="39" t="s">
        <v>180</v>
      </c>
      <c r="L4017" s="40">
        <v>1000</v>
      </c>
      <c r="M4017" s="40">
        <v>37130.5</v>
      </c>
      <c r="N4017" s="40">
        <f t="shared" si="153"/>
        <v>1000</v>
      </c>
    </row>
    <row r="4018" spans="1:14" ht="12.75" hidden="1" customHeight="1" x14ac:dyDescent="0.2">
      <c r="A4018">
        <v>65062</v>
      </c>
      <c r="B4018" s="3" t="s">
        <v>1254</v>
      </c>
      <c r="C4018" s="7" t="s">
        <v>1617</v>
      </c>
      <c r="D4018" s="7" t="s">
        <v>183</v>
      </c>
      <c r="E4018" s="7">
        <v>732</v>
      </c>
      <c r="G4018" s="7" t="s">
        <v>1621</v>
      </c>
      <c r="H4018" s="7" t="s">
        <v>1362</v>
      </c>
      <c r="I4018" s="7" t="s">
        <v>1254</v>
      </c>
      <c r="J4018" s="39" t="s">
        <v>1659</v>
      </c>
      <c r="K4018" s="39" t="s">
        <v>180</v>
      </c>
      <c r="L4018" s="40">
        <v>1000</v>
      </c>
      <c r="M4018" s="40">
        <v>38130.5</v>
      </c>
      <c r="N4018" s="40">
        <f t="shared" si="153"/>
        <v>1000</v>
      </c>
    </row>
    <row r="4019" spans="1:14" ht="12.75" hidden="1" customHeight="1" x14ac:dyDescent="0.2">
      <c r="A4019">
        <v>65090</v>
      </c>
      <c r="B4019" s="3" t="s">
        <v>1993</v>
      </c>
      <c r="C4019" s="7" t="s">
        <v>1646</v>
      </c>
      <c r="D4019" s="7" t="s">
        <v>221</v>
      </c>
      <c r="F4019" s="7" t="s">
        <v>546</v>
      </c>
      <c r="G4019" s="7" t="s">
        <v>1621</v>
      </c>
      <c r="H4019" s="7" t="s">
        <v>1362</v>
      </c>
      <c r="I4019" s="7" t="s">
        <v>1258</v>
      </c>
      <c r="K4019" s="39" t="s">
        <v>565</v>
      </c>
      <c r="L4019" s="40">
        <v>43.95</v>
      </c>
      <c r="M4019" s="40">
        <v>1948.88</v>
      </c>
      <c r="N4019" s="40">
        <f t="shared" si="153"/>
        <v>43.95</v>
      </c>
    </row>
    <row r="4020" spans="1:14" ht="12.75" hidden="1" customHeight="1" x14ac:dyDescent="0.2">
      <c r="A4020">
        <v>65095</v>
      </c>
      <c r="B4020" s="3" t="s">
        <v>1259</v>
      </c>
      <c r="C4020" s="7" t="s">
        <v>1638</v>
      </c>
      <c r="D4020" s="7" t="s">
        <v>183</v>
      </c>
      <c r="E4020" s="7">
        <v>733</v>
      </c>
      <c r="G4020" s="7" t="s">
        <v>1621</v>
      </c>
      <c r="H4020" s="43" t="s">
        <v>1361</v>
      </c>
      <c r="I4020" s="7" t="s">
        <v>1259</v>
      </c>
      <c r="J4020" s="39" t="s">
        <v>208</v>
      </c>
      <c r="K4020" s="39" t="s">
        <v>180</v>
      </c>
      <c r="L4020" s="40">
        <v>12.2</v>
      </c>
      <c r="M4020" s="40">
        <v>1087.92</v>
      </c>
      <c r="N4020" s="40">
        <f t="shared" si="153"/>
        <v>12.2</v>
      </c>
    </row>
    <row r="4021" spans="1:14" ht="12.75" hidden="1" customHeight="1" x14ac:dyDescent="0.2">
      <c r="A4021">
        <v>67001</v>
      </c>
      <c r="B4021" s="3" t="s">
        <v>1268</v>
      </c>
      <c r="C4021" s="7" t="s">
        <v>1550</v>
      </c>
      <c r="D4021" s="7" t="s">
        <v>221</v>
      </c>
      <c r="F4021" s="7" t="s">
        <v>564</v>
      </c>
      <c r="G4021" s="7" t="s">
        <v>1621</v>
      </c>
      <c r="H4021" s="70" t="s">
        <v>2129</v>
      </c>
      <c r="I4021" s="7" t="s">
        <v>1268</v>
      </c>
      <c r="K4021" s="39" t="s">
        <v>565</v>
      </c>
      <c r="L4021" s="40">
        <v>150.94999999999999</v>
      </c>
      <c r="M4021" s="40">
        <v>77571.97</v>
      </c>
      <c r="N4021" s="40">
        <f t="shared" si="153"/>
        <v>150.94999999999999</v>
      </c>
    </row>
    <row r="4022" spans="1:14" ht="12.75" hidden="1" customHeight="1" x14ac:dyDescent="0.2">
      <c r="A4022">
        <v>68320</v>
      </c>
      <c r="B4022" s="3" t="s">
        <v>2083</v>
      </c>
      <c r="C4022" s="7" t="s">
        <v>1550</v>
      </c>
      <c r="D4022" s="7" t="s">
        <v>221</v>
      </c>
      <c r="F4022" s="7" t="s">
        <v>2084</v>
      </c>
      <c r="G4022" s="7" t="s">
        <v>1621</v>
      </c>
      <c r="H4022" s="7" t="s">
        <v>1369</v>
      </c>
      <c r="I4022" s="7" t="s">
        <v>1244</v>
      </c>
      <c r="K4022" s="39" t="s">
        <v>565</v>
      </c>
      <c r="L4022" s="40">
        <v>75.7</v>
      </c>
      <c r="M4022" s="40">
        <v>75.7</v>
      </c>
      <c r="N4022" s="40">
        <f t="shared" si="153"/>
        <v>75.7</v>
      </c>
    </row>
    <row r="4023" spans="1:14" ht="12.75" customHeight="1" x14ac:dyDescent="0.2">
      <c r="A4023">
        <v>44000</v>
      </c>
      <c r="B4023" s="3" t="s">
        <v>1229</v>
      </c>
      <c r="C4023" s="7" t="s">
        <v>229</v>
      </c>
      <c r="D4023" s="7" t="s">
        <v>242</v>
      </c>
      <c r="F4023" s="7" t="s">
        <v>665</v>
      </c>
      <c r="G4023" s="7" t="s">
        <v>1568</v>
      </c>
      <c r="H4023" s="7" t="s">
        <v>1359</v>
      </c>
      <c r="I4023" s="7" t="s">
        <v>2148</v>
      </c>
      <c r="K4023" s="7" t="s">
        <v>258</v>
      </c>
      <c r="L4023" s="11">
        <v>300</v>
      </c>
      <c r="M4023" s="11">
        <v>167350.51999999999</v>
      </c>
      <c r="N4023" s="9">
        <f>IF(A4023&lt;60000,-L4023,+L4023)</f>
        <v>-300</v>
      </c>
    </row>
    <row r="4024" spans="1:14" ht="12.75" hidden="1" customHeight="1" x14ac:dyDescent="0.2">
      <c r="A4024">
        <v>65025</v>
      </c>
      <c r="B4024" s="3" t="s">
        <v>1246</v>
      </c>
      <c r="C4024" s="7" t="s">
        <v>1556</v>
      </c>
      <c r="D4024" s="7" t="s">
        <v>221</v>
      </c>
      <c r="F4024" s="7" t="s">
        <v>446</v>
      </c>
      <c r="G4024" s="7" t="s">
        <v>1627</v>
      </c>
      <c r="H4024" s="7" t="s">
        <v>1362</v>
      </c>
      <c r="I4024" s="7" t="s">
        <v>1246</v>
      </c>
      <c r="K4024" s="39" t="s">
        <v>789</v>
      </c>
      <c r="L4024" s="40">
        <v>15</v>
      </c>
      <c r="M4024" s="40">
        <v>1691.52</v>
      </c>
      <c r="N4024" s="40">
        <f>+L4024</f>
        <v>15</v>
      </c>
    </row>
    <row r="4025" spans="1:14" ht="12.75" hidden="1" customHeight="1" x14ac:dyDescent="0.2">
      <c r="A4025">
        <v>65025</v>
      </c>
      <c r="B4025" s="3" t="s">
        <v>1246</v>
      </c>
      <c r="C4025" s="7" t="s">
        <v>1803</v>
      </c>
      <c r="D4025" s="7" t="s">
        <v>221</v>
      </c>
      <c r="F4025" s="7" t="s">
        <v>446</v>
      </c>
      <c r="G4025" s="7" t="s">
        <v>1627</v>
      </c>
      <c r="H4025" s="7" t="s">
        <v>1362</v>
      </c>
      <c r="I4025" s="7" t="s">
        <v>1246</v>
      </c>
      <c r="K4025" s="39" t="s">
        <v>789</v>
      </c>
      <c r="L4025" s="40">
        <v>15</v>
      </c>
      <c r="M4025" s="40">
        <v>2034.17</v>
      </c>
      <c r="N4025" s="40">
        <f>+L4025</f>
        <v>15</v>
      </c>
    </row>
    <row r="4026" spans="1:14" ht="12.75" hidden="1" customHeight="1" x14ac:dyDescent="0.2">
      <c r="A4026">
        <v>65025</v>
      </c>
      <c r="B4026" s="3" t="s">
        <v>1246</v>
      </c>
      <c r="C4026" s="7" t="s">
        <v>1804</v>
      </c>
      <c r="D4026" s="7" t="s">
        <v>221</v>
      </c>
      <c r="F4026" s="7" t="s">
        <v>446</v>
      </c>
      <c r="G4026" s="7" t="s">
        <v>1627</v>
      </c>
      <c r="H4026" s="7" t="s">
        <v>1362</v>
      </c>
      <c r="I4026" s="7" t="s">
        <v>1246</v>
      </c>
      <c r="K4026" s="39" t="s">
        <v>789</v>
      </c>
      <c r="L4026" s="40">
        <v>15</v>
      </c>
      <c r="M4026" s="40">
        <v>2326.1999999999998</v>
      </c>
      <c r="N4026" s="40">
        <f>+L4026</f>
        <v>15</v>
      </c>
    </row>
    <row r="4027" spans="1:14" ht="12.75" hidden="1" customHeight="1" x14ac:dyDescent="0.2">
      <c r="A4027">
        <v>65025</v>
      </c>
      <c r="B4027" s="3" t="s">
        <v>1246</v>
      </c>
      <c r="C4027" s="7" t="s">
        <v>1619</v>
      </c>
      <c r="D4027" s="7" t="s">
        <v>221</v>
      </c>
      <c r="F4027" s="7" t="s">
        <v>446</v>
      </c>
      <c r="G4027" s="7" t="s">
        <v>1627</v>
      </c>
      <c r="H4027" s="7" t="s">
        <v>1362</v>
      </c>
      <c r="I4027" s="7" t="s">
        <v>1246</v>
      </c>
      <c r="K4027" s="39" t="s">
        <v>789</v>
      </c>
      <c r="L4027" s="40">
        <v>15</v>
      </c>
      <c r="M4027" s="40">
        <v>2467.1</v>
      </c>
      <c r="N4027" s="40">
        <f>+L4027</f>
        <v>15</v>
      </c>
    </row>
    <row r="4028" spans="1:14" ht="12.75" customHeight="1" x14ac:dyDescent="0.2">
      <c r="A4028">
        <v>44000</v>
      </c>
      <c r="B4028" s="3" t="s">
        <v>1229</v>
      </c>
      <c r="C4028" s="7" t="s">
        <v>701</v>
      </c>
      <c r="D4028" s="7" t="s">
        <v>242</v>
      </c>
      <c r="F4028" s="7" t="s">
        <v>1137</v>
      </c>
      <c r="G4028" s="7" t="s">
        <v>1568</v>
      </c>
      <c r="H4028" s="7" t="s">
        <v>1359</v>
      </c>
      <c r="I4028" s="7" t="s">
        <v>2148</v>
      </c>
      <c r="J4028" s="7" t="s">
        <v>276</v>
      </c>
      <c r="K4028" s="7" t="s">
        <v>225</v>
      </c>
      <c r="L4028" s="11">
        <v>2000</v>
      </c>
      <c r="M4028" s="11">
        <v>169350.52</v>
      </c>
      <c r="N4028" s="9">
        <f>IF(A4028&lt;60000,-L4028,+L4028)</f>
        <v>-2000</v>
      </c>
    </row>
    <row r="4029" spans="1:14" ht="12.75" customHeight="1" x14ac:dyDescent="0.2">
      <c r="A4029">
        <v>44000</v>
      </c>
      <c r="B4029" s="3" t="s">
        <v>1229</v>
      </c>
      <c r="C4029" s="7" t="s">
        <v>637</v>
      </c>
      <c r="D4029" s="7" t="s">
        <v>242</v>
      </c>
      <c r="F4029" s="7" t="s">
        <v>665</v>
      </c>
      <c r="G4029" s="7" t="s">
        <v>1568</v>
      </c>
      <c r="H4029" s="7" t="s">
        <v>1359</v>
      </c>
      <c r="I4029" s="7" t="s">
        <v>2148</v>
      </c>
      <c r="K4029" s="7" t="s">
        <v>258</v>
      </c>
      <c r="L4029" s="11">
        <v>6370</v>
      </c>
      <c r="M4029" s="11">
        <v>177350.52</v>
      </c>
      <c r="N4029" s="9">
        <f>IF(A4029&lt;60000,-L4029,+L4029)</f>
        <v>-6370</v>
      </c>
    </row>
    <row r="4030" spans="1:14" ht="12.75" customHeight="1" x14ac:dyDescent="0.2">
      <c r="A4030">
        <v>44000</v>
      </c>
      <c r="B4030" s="3" t="s">
        <v>1229</v>
      </c>
      <c r="C4030" s="7" t="s">
        <v>637</v>
      </c>
      <c r="D4030" s="7" t="s">
        <v>242</v>
      </c>
      <c r="F4030" s="7" t="s">
        <v>665</v>
      </c>
      <c r="G4030" s="7" t="s">
        <v>1568</v>
      </c>
      <c r="H4030" s="7" t="s">
        <v>1359</v>
      </c>
      <c r="I4030" s="7" t="s">
        <v>2148</v>
      </c>
      <c r="K4030" s="7" t="s">
        <v>258</v>
      </c>
      <c r="L4030" s="11">
        <v>1550</v>
      </c>
      <c r="M4030" s="11">
        <v>178900.52</v>
      </c>
      <c r="N4030" s="9">
        <f>IF(A4030&lt;60000,-L4030,+L4030)</f>
        <v>-1550</v>
      </c>
    </row>
    <row r="4031" spans="1:14" ht="12.75" customHeight="1" x14ac:dyDescent="0.2">
      <c r="A4031">
        <v>44000</v>
      </c>
      <c r="B4031" s="3" t="s">
        <v>1229</v>
      </c>
      <c r="C4031" s="7" t="s">
        <v>576</v>
      </c>
      <c r="D4031" s="7" t="s">
        <v>242</v>
      </c>
      <c r="F4031" s="7" t="s">
        <v>665</v>
      </c>
      <c r="G4031" s="7" t="s">
        <v>1568</v>
      </c>
      <c r="H4031" s="7" t="s">
        <v>1359</v>
      </c>
      <c r="I4031" s="7" t="s">
        <v>2148</v>
      </c>
      <c r="J4031" s="7" t="s">
        <v>276</v>
      </c>
      <c r="K4031" s="7" t="s">
        <v>1131</v>
      </c>
      <c r="L4031" s="11">
        <v>1000</v>
      </c>
      <c r="M4031" s="11">
        <v>180370.52</v>
      </c>
      <c r="N4031" s="9">
        <f>IF(A4031&lt;60000,-L4031,+L4031)</f>
        <v>-1000</v>
      </c>
    </row>
    <row r="4032" spans="1:14" ht="12.75" customHeight="1" x14ac:dyDescent="0.2">
      <c r="A4032">
        <v>44000</v>
      </c>
      <c r="B4032" s="3" t="s">
        <v>1229</v>
      </c>
      <c r="C4032" s="7" t="s">
        <v>1638</v>
      </c>
      <c r="D4032" s="7" t="s">
        <v>183</v>
      </c>
      <c r="E4032" s="7">
        <v>733</v>
      </c>
      <c r="G4032" s="7" t="s">
        <v>1564</v>
      </c>
      <c r="H4032" s="7" t="s">
        <v>1359</v>
      </c>
      <c r="I4032" s="7" t="s">
        <v>2148</v>
      </c>
      <c r="K4032" s="39" t="s">
        <v>180</v>
      </c>
      <c r="L4032" s="40">
        <v>100</v>
      </c>
      <c r="M4032" s="40">
        <v>234140.2</v>
      </c>
      <c r="N4032" s="41">
        <f>-L4032</f>
        <v>-100</v>
      </c>
    </row>
    <row r="4033" spans="1:14" ht="12.75" customHeight="1" x14ac:dyDescent="0.2">
      <c r="A4033">
        <v>44000</v>
      </c>
      <c r="B4033" s="3" t="s">
        <v>1229</v>
      </c>
      <c r="C4033" s="7" t="s">
        <v>1638</v>
      </c>
      <c r="D4033" s="7" t="s">
        <v>183</v>
      </c>
      <c r="E4033" s="7">
        <v>733</v>
      </c>
      <c r="G4033" s="7" t="s">
        <v>1621</v>
      </c>
      <c r="H4033" s="7" t="s">
        <v>1359</v>
      </c>
      <c r="I4033" s="7" t="s">
        <v>2148</v>
      </c>
      <c r="J4033" s="39" t="s">
        <v>208</v>
      </c>
      <c r="K4033" s="39" t="s">
        <v>180</v>
      </c>
      <c r="L4033" s="40">
        <v>500</v>
      </c>
      <c r="M4033" s="40">
        <v>234640.2</v>
      </c>
      <c r="N4033" s="41">
        <f>-L4033</f>
        <v>-500</v>
      </c>
    </row>
    <row r="4034" spans="1:14" ht="12.75" hidden="1" customHeight="1" x14ac:dyDescent="0.2">
      <c r="A4034">
        <v>65015</v>
      </c>
      <c r="B4034" s="3" t="s">
        <v>1244</v>
      </c>
      <c r="C4034" s="7" t="s">
        <v>1631</v>
      </c>
      <c r="D4034" s="7" t="s">
        <v>221</v>
      </c>
      <c r="F4034" s="7" t="s">
        <v>1056</v>
      </c>
      <c r="G4034" s="7" t="s">
        <v>1592</v>
      </c>
      <c r="H4034" s="43" t="s">
        <v>1362</v>
      </c>
      <c r="I4034" s="7" t="s">
        <v>1244</v>
      </c>
      <c r="K4034" s="39" t="s">
        <v>561</v>
      </c>
      <c r="L4034" s="40">
        <v>314.7</v>
      </c>
      <c r="M4034" s="40">
        <v>8929.5300000000007</v>
      </c>
      <c r="N4034" s="40">
        <f t="shared" ref="N4034:N4078" si="154">+L4034</f>
        <v>314.7</v>
      </c>
    </row>
    <row r="4035" spans="1:14" ht="12.75" hidden="1" customHeight="1" x14ac:dyDescent="0.2">
      <c r="A4035">
        <v>65020</v>
      </c>
      <c r="B4035" s="3" t="s">
        <v>1245</v>
      </c>
      <c r="C4035" s="7" t="s">
        <v>1796</v>
      </c>
      <c r="D4035" s="7" t="s">
        <v>221</v>
      </c>
      <c r="F4035" s="7" t="s">
        <v>338</v>
      </c>
      <c r="G4035" s="7" t="s">
        <v>1592</v>
      </c>
      <c r="H4035" s="7" t="s">
        <v>1362</v>
      </c>
      <c r="I4035" s="7" t="s">
        <v>1245</v>
      </c>
      <c r="K4035" s="39" t="s">
        <v>561</v>
      </c>
      <c r="L4035" s="40">
        <v>3.04</v>
      </c>
      <c r="M4035" s="40">
        <v>2499.31</v>
      </c>
      <c r="N4035" s="40">
        <f t="shared" si="154"/>
        <v>3.04</v>
      </c>
    </row>
    <row r="4036" spans="1:14" ht="12.75" hidden="1" customHeight="1" x14ac:dyDescent="0.2">
      <c r="A4036">
        <v>65020</v>
      </c>
      <c r="B4036" s="3" t="s">
        <v>1245</v>
      </c>
      <c r="C4036" s="7" t="s">
        <v>1798</v>
      </c>
      <c r="D4036" s="7" t="s">
        <v>221</v>
      </c>
      <c r="F4036" s="7" t="s">
        <v>338</v>
      </c>
      <c r="G4036" s="7" t="s">
        <v>1592</v>
      </c>
      <c r="H4036" s="7" t="s">
        <v>1362</v>
      </c>
      <c r="I4036" s="7" t="s">
        <v>1245</v>
      </c>
      <c r="K4036" s="39" t="s">
        <v>561</v>
      </c>
      <c r="L4036" s="40">
        <v>18.2</v>
      </c>
      <c r="M4036" s="40">
        <v>2560.31</v>
      </c>
      <c r="N4036" s="40">
        <f t="shared" si="154"/>
        <v>18.2</v>
      </c>
    </row>
    <row r="4037" spans="1:14" ht="12.75" hidden="1" customHeight="1" x14ac:dyDescent="0.2">
      <c r="A4037">
        <v>65020</v>
      </c>
      <c r="B4037" s="3" t="s">
        <v>1245</v>
      </c>
      <c r="C4037" s="7" t="s">
        <v>1603</v>
      </c>
      <c r="D4037" s="7" t="s">
        <v>221</v>
      </c>
      <c r="F4037" s="7" t="s">
        <v>338</v>
      </c>
      <c r="G4037" s="7" t="s">
        <v>1592</v>
      </c>
      <c r="H4037" s="7" t="s">
        <v>1362</v>
      </c>
      <c r="I4037" s="7" t="s">
        <v>1245</v>
      </c>
      <c r="K4037" s="39" t="s">
        <v>561</v>
      </c>
      <c r="L4037" s="40">
        <v>25.35</v>
      </c>
      <c r="M4037" s="40">
        <v>2896.9</v>
      </c>
      <c r="N4037" s="40">
        <f t="shared" si="154"/>
        <v>25.35</v>
      </c>
    </row>
    <row r="4038" spans="1:14" ht="12.75" hidden="1" customHeight="1" x14ac:dyDescent="0.2">
      <c r="A4038">
        <v>65025</v>
      </c>
      <c r="B4038" s="3" t="s">
        <v>1246</v>
      </c>
      <c r="C4038" s="7" t="s">
        <v>1804</v>
      </c>
      <c r="D4038" s="7" t="s">
        <v>221</v>
      </c>
      <c r="F4038" s="7" t="s">
        <v>446</v>
      </c>
      <c r="G4038" s="7" t="s">
        <v>1592</v>
      </c>
      <c r="H4038" s="7" t="s">
        <v>1362</v>
      </c>
      <c r="I4038" s="7" t="s">
        <v>1246</v>
      </c>
      <c r="K4038" s="39" t="s">
        <v>561</v>
      </c>
      <c r="L4038" s="40">
        <v>15</v>
      </c>
      <c r="M4038" s="40">
        <v>2269.1999999999998</v>
      </c>
      <c r="N4038" s="40">
        <f t="shared" si="154"/>
        <v>15</v>
      </c>
    </row>
    <row r="4039" spans="1:14" ht="12.75" hidden="1" customHeight="1" x14ac:dyDescent="0.2">
      <c r="A4039">
        <v>65036</v>
      </c>
      <c r="B4039" s="3" t="s">
        <v>1249</v>
      </c>
      <c r="C4039" s="7" t="s">
        <v>1570</v>
      </c>
      <c r="D4039" s="7" t="s">
        <v>221</v>
      </c>
      <c r="F4039" s="7" t="s">
        <v>1817</v>
      </c>
      <c r="G4039" s="7" t="s">
        <v>1592</v>
      </c>
      <c r="H4039" s="7" t="s">
        <v>1362</v>
      </c>
      <c r="I4039" s="7" t="s">
        <v>1249</v>
      </c>
      <c r="K4039" s="39" t="s">
        <v>561</v>
      </c>
      <c r="L4039" s="40">
        <v>8.4499999999999993</v>
      </c>
      <c r="M4039" s="40">
        <v>5318.96</v>
      </c>
      <c r="N4039" s="40">
        <f t="shared" si="154"/>
        <v>8.4499999999999993</v>
      </c>
    </row>
    <row r="4040" spans="1:14" ht="12.75" hidden="1" customHeight="1" x14ac:dyDescent="0.2">
      <c r="A4040">
        <v>65036</v>
      </c>
      <c r="B4040" s="3" t="s">
        <v>1249</v>
      </c>
      <c r="C4040" s="7" t="s">
        <v>1744</v>
      </c>
      <c r="D4040" s="7" t="s">
        <v>221</v>
      </c>
      <c r="F4040" s="7" t="s">
        <v>1817</v>
      </c>
      <c r="G4040" s="7" t="s">
        <v>1592</v>
      </c>
      <c r="H4040" s="7" t="s">
        <v>1362</v>
      </c>
      <c r="I4040" s="7" t="s">
        <v>1249</v>
      </c>
      <c r="K4040" s="39" t="s">
        <v>561</v>
      </c>
      <c r="L4040" s="40">
        <v>19.940000000000001</v>
      </c>
      <c r="M4040" s="40">
        <v>6244.71</v>
      </c>
      <c r="N4040" s="40">
        <f t="shared" si="154"/>
        <v>19.940000000000001</v>
      </c>
    </row>
    <row r="4041" spans="1:14" ht="12.75" hidden="1" customHeight="1" x14ac:dyDescent="0.2">
      <c r="A4041">
        <v>65061</v>
      </c>
      <c r="B4041" s="3" t="s">
        <v>1844</v>
      </c>
      <c r="C4041" s="7" t="s">
        <v>1772</v>
      </c>
      <c r="D4041" s="7" t="s">
        <v>221</v>
      </c>
      <c r="F4041" s="7" t="s">
        <v>562</v>
      </c>
      <c r="G4041" s="7" t="s">
        <v>1592</v>
      </c>
      <c r="H4041" s="7" t="s">
        <v>1362</v>
      </c>
      <c r="I4041" s="7" t="s">
        <v>1253</v>
      </c>
      <c r="K4041" s="39" t="s">
        <v>561</v>
      </c>
      <c r="L4041" s="40">
        <v>99.95</v>
      </c>
      <c r="M4041" s="40">
        <v>201154.89</v>
      </c>
      <c r="N4041" s="40">
        <f t="shared" si="154"/>
        <v>99.95</v>
      </c>
    </row>
    <row r="4042" spans="1:14" ht="12.75" hidden="1" customHeight="1" x14ac:dyDescent="0.2">
      <c r="A4042">
        <v>65061</v>
      </c>
      <c r="B4042" s="3" t="s">
        <v>1844</v>
      </c>
      <c r="C4042" s="7" t="s">
        <v>1649</v>
      </c>
      <c r="D4042" s="7" t="s">
        <v>221</v>
      </c>
      <c r="F4042" s="7" t="s">
        <v>593</v>
      </c>
      <c r="G4042" s="7" t="s">
        <v>1592</v>
      </c>
      <c r="H4042" s="7" t="s">
        <v>1362</v>
      </c>
      <c r="I4042" s="7" t="s">
        <v>1253</v>
      </c>
      <c r="K4042" s="39" t="s">
        <v>561</v>
      </c>
      <c r="L4042" s="40">
        <v>289.99</v>
      </c>
      <c r="M4042" s="40">
        <v>208179.91</v>
      </c>
      <c r="N4042" s="40">
        <f t="shared" si="154"/>
        <v>289.99</v>
      </c>
    </row>
    <row r="4043" spans="1:14" ht="12.75" hidden="1" customHeight="1" x14ac:dyDescent="0.2">
      <c r="A4043">
        <v>65061</v>
      </c>
      <c r="B4043" s="3" t="s">
        <v>1844</v>
      </c>
      <c r="C4043" s="7" t="s">
        <v>1856</v>
      </c>
      <c r="D4043" s="7" t="s">
        <v>221</v>
      </c>
      <c r="F4043" s="7" t="s">
        <v>265</v>
      </c>
      <c r="G4043" s="7" t="s">
        <v>1592</v>
      </c>
      <c r="H4043" s="7" t="s">
        <v>1362</v>
      </c>
      <c r="I4043" s="7" t="s">
        <v>1253</v>
      </c>
      <c r="K4043" s="39" t="s">
        <v>561</v>
      </c>
      <c r="L4043" s="40">
        <v>28.98</v>
      </c>
      <c r="M4043" s="40">
        <v>209240.23</v>
      </c>
      <c r="N4043" s="40">
        <f t="shared" si="154"/>
        <v>28.98</v>
      </c>
    </row>
    <row r="4044" spans="1:14" ht="12.75" hidden="1" customHeight="1" x14ac:dyDescent="0.2">
      <c r="A4044">
        <v>65061</v>
      </c>
      <c r="B4044" s="3" t="s">
        <v>1844</v>
      </c>
      <c r="C4044" s="7" t="s">
        <v>1562</v>
      </c>
      <c r="D4044" s="7" t="s">
        <v>221</v>
      </c>
      <c r="F4044" s="7" t="s">
        <v>589</v>
      </c>
      <c r="G4044" s="7" t="s">
        <v>1592</v>
      </c>
      <c r="H4044" s="7" t="s">
        <v>1362</v>
      </c>
      <c r="I4044" s="7" t="s">
        <v>1253</v>
      </c>
      <c r="K4044" s="39" t="s">
        <v>561</v>
      </c>
      <c r="L4044" s="40">
        <v>332.31</v>
      </c>
      <c r="M4044" s="40">
        <v>212310.28</v>
      </c>
      <c r="N4044" s="40">
        <f t="shared" si="154"/>
        <v>332.31</v>
      </c>
    </row>
    <row r="4045" spans="1:14" ht="12.75" hidden="1" customHeight="1" x14ac:dyDescent="0.2">
      <c r="A4045">
        <v>65061</v>
      </c>
      <c r="B4045" s="3" t="s">
        <v>1844</v>
      </c>
      <c r="C4045" s="7" t="s">
        <v>1562</v>
      </c>
      <c r="D4045" s="7" t="s">
        <v>221</v>
      </c>
      <c r="F4045" s="7" t="s">
        <v>563</v>
      </c>
      <c r="G4045" s="7" t="s">
        <v>1592</v>
      </c>
      <c r="H4045" s="7" t="s">
        <v>1362</v>
      </c>
      <c r="I4045" s="7" t="s">
        <v>1253</v>
      </c>
      <c r="K4045" s="39" t="s">
        <v>561</v>
      </c>
      <c r="L4045" s="40">
        <v>84.99</v>
      </c>
      <c r="M4045" s="40">
        <v>212395.27</v>
      </c>
      <c r="N4045" s="40">
        <f t="shared" si="154"/>
        <v>84.99</v>
      </c>
    </row>
    <row r="4046" spans="1:14" ht="12.75" hidden="1" customHeight="1" x14ac:dyDescent="0.2">
      <c r="A4046">
        <v>65061</v>
      </c>
      <c r="B4046" s="3" t="s">
        <v>1844</v>
      </c>
      <c r="C4046" s="7" t="s">
        <v>1569</v>
      </c>
      <c r="D4046" s="7" t="s">
        <v>221</v>
      </c>
      <c r="F4046" s="7" t="s">
        <v>546</v>
      </c>
      <c r="G4046" s="7" t="s">
        <v>1592</v>
      </c>
      <c r="H4046" s="7" t="s">
        <v>1362</v>
      </c>
      <c r="I4046" s="7" t="s">
        <v>1253</v>
      </c>
      <c r="K4046" s="39" t="s">
        <v>561</v>
      </c>
      <c r="L4046" s="40">
        <v>4.91</v>
      </c>
      <c r="M4046" s="40">
        <v>219277.63</v>
      </c>
      <c r="N4046" s="40">
        <f t="shared" si="154"/>
        <v>4.91</v>
      </c>
    </row>
    <row r="4047" spans="1:14" ht="12.75" hidden="1" customHeight="1" x14ac:dyDescent="0.2">
      <c r="A4047">
        <v>65061</v>
      </c>
      <c r="B4047" s="3" t="s">
        <v>1844</v>
      </c>
      <c r="C4047" s="7" t="s">
        <v>1569</v>
      </c>
      <c r="D4047" s="7" t="s">
        <v>221</v>
      </c>
      <c r="F4047" s="7" t="s">
        <v>265</v>
      </c>
      <c r="G4047" s="7" t="s">
        <v>1592</v>
      </c>
      <c r="H4047" s="7" t="s">
        <v>1362</v>
      </c>
      <c r="I4047" s="7" t="s">
        <v>1253</v>
      </c>
      <c r="K4047" s="39" t="s">
        <v>561</v>
      </c>
      <c r="L4047" s="40">
        <v>108.29</v>
      </c>
      <c r="M4047" s="40">
        <v>220191.21</v>
      </c>
      <c r="N4047" s="40">
        <f t="shared" si="154"/>
        <v>108.29</v>
      </c>
    </row>
    <row r="4048" spans="1:14" ht="12.75" hidden="1" customHeight="1" x14ac:dyDescent="0.2">
      <c r="A4048">
        <v>65061</v>
      </c>
      <c r="B4048" s="3" t="s">
        <v>1844</v>
      </c>
      <c r="C4048" s="7" t="s">
        <v>1570</v>
      </c>
      <c r="D4048" s="7" t="s">
        <v>221</v>
      </c>
      <c r="F4048" s="7" t="s">
        <v>548</v>
      </c>
      <c r="G4048" s="7" t="s">
        <v>1592</v>
      </c>
      <c r="H4048" s="7" t="s">
        <v>1362</v>
      </c>
      <c r="I4048" s="7" t="s">
        <v>1253</v>
      </c>
      <c r="K4048" s="39" t="s">
        <v>561</v>
      </c>
      <c r="L4048" s="40">
        <v>105.44</v>
      </c>
      <c r="M4048" s="40">
        <v>221502.83</v>
      </c>
      <c r="N4048" s="40">
        <f t="shared" si="154"/>
        <v>105.44</v>
      </c>
    </row>
    <row r="4049" spans="1:14" ht="12.75" hidden="1" customHeight="1" x14ac:dyDescent="0.2">
      <c r="A4049">
        <v>65061</v>
      </c>
      <c r="B4049" s="3" t="s">
        <v>1844</v>
      </c>
      <c r="C4049" s="7" t="s">
        <v>1570</v>
      </c>
      <c r="D4049" s="7" t="s">
        <v>200</v>
      </c>
      <c r="E4049" s="7">
        <v>1048</v>
      </c>
      <c r="F4049" s="7" t="s">
        <v>616</v>
      </c>
      <c r="G4049" s="7" t="s">
        <v>1592</v>
      </c>
      <c r="H4049" s="7" t="s">
        <v>1362</v>
      </c>
      <c r="I4049" s="7" t="s">
        <v>1253</v>
      </c>
      <c r="K4049" s="39" t="s">
        <v>561</v>
      </c>
      <c r="L4049" s="40">
        <v>154.08000000000001</v>
      </c>
      <c r="M4049" s="40">
        <v>221656.91</v>
      </c>
      <c r="N4049" s="40">
        <f t="shared" si="154"/>
        <v>154.08000000000001</v>
      </c>
    </row>
    <row r="4050" spans="1:14" ht="12.75" hidden="1" customHeight="1" x14ac:dyDescent="0.2">
      <c r="A4050">
        <v>65061</v>
      </c>
      <c r="B4050" s="3" t="s">
        <v>1844</v>
      </c>
      <c r="C4050" s="7" t="s">
        <v>1570</v>
      </c>
      <c r="D4050" s="7" t="s">
        <v>221</v>
      </c>
      <c r="F4050" s="7" t="s">
        <v>546</v>
      </c>
      <c r="G4050" s="7" t="s">
        <v>1592</v>
      </c>
      <c r="H4050" s="7" t="s">
        <v>1362</v>
      </c>
      <c r="I4050" s="7" t="s">
        <v>1253</v>
      </c>
      <c r="K4050" s="39" t="s">
        <v>561</v>
      </c>
      <c r="L4050" s="40">
        <v>104.94</v>
      </c>
      <c r="M4050" s="40">
        <v>221761.85</v>
      </c>
      <c r="N4050" s="40">
        <f t="shared" si="154"/>
        <v>104.94</v>
      </c>
    </row>
    <row r="4051" spans="1:14" ht="12.75" hidden="1" customHeight="1" x14ac:dyDescent="0.2">
      <c r="A4051">
        <v>65061</v>
      </c>
      <c r="B4051" s="3" t="s">
        <v>1844</v>
      </c>
      <c r="C4051" s="7" t="s">
        <v>1570</v>
      </c>
      <c r="D4051" s="7" t="s">
        <v>221</v>
      </c>
      <c r="F4051" s="7" t="s">
        <v>546</v>
      </c>
      <c r="G4051" s="7" t="s">
        <v>1592</v>
      </c>
      <c r="H4051" s="7" t="s">
        <v>1362</v>
      </c>
      <c r="I4051" s="7" t="s">
        <v>1253</v>
      </c>
      <c r="K4051" s="39" t="s">
        <v>561</v>
      </c>
      <c r="L4051" s="40">
        <v>470.45</v>
      </c>
      <c r="M4051" s="40">
        <v>222232.3</v>
      </c>
      <c r="N4051" s="40">
        <f t="shared" si="154"/>
        <v>470.45</v>
      </c>
    </row>
    <row r="4052" spans="1:14" ht="12.75" hidden="1" customHeight="1" x14ac:dyDescent="0.2">
      <c r="A4052">
        <v>65061</v>
      </c>
      <c r="B4052" s="3" t="s">
        <v>1844</v>
      </c>
      <c r="C4052" s="7" t="s">
        <v>1818</v>
      </c>
      <c r="D4052" s="7" t="s">
        <v>200</v>
      </c>
      <c r="E4052" s="7">
        <v>1050</v>
      </c>
      <c r="F4052" s="7" t="s">
        <v>885</v>
      </c>
      <c r="G4052" s="7" t="s">
        <v>1592</v>
      </c>
      <c r="H4052" s="7" t="s">
        <v>1362</v>
      </c>
      <c r="I4052" s="7" t="s">
        <v>1253</v>
      </c>
      <c r="K4052" s="39" t="s">
        <v>561</v>
      </c>
      <c r="L4052" s="40">
        <v>200</v>
      </c>
      <c r="M4052" s="40">
        <v>224890.26</v>
      </c>
      <c r="N4052" s="40">
        <f t="shared" si="154"/>
        <v>200</v>
      </c>
    </row>
    <row r="4053" spans="1:14" ht="12.75" hidden="1" customHeight="1" x14ac:dyDescent="0.2">
      <c r="A4053">
        <v>65061</v>
      </c>
      <c r="B4053" s="3" t="s">
        <v>1844</v>
      </c>
      <c r="C4053" s="7" t="s">
        <v>1575</v>
      </c>
      <c r="D4053" s="7" t="s">
        <v>200</v>
      </c>
      <c r="E4053" s="7">
        <v>1051</v>
      </c>
      <c r="F4053" s="7" t="s">
        <v>929</v>
      </c>
      <c r="G4053" s="7" t="s">
        <v>1592</v>
      </c>
      <c r="H4053" s="7" t="s">
        <v>1362</v>
      </c>
      <c r="I4053" s="7" t="s">
        <v>1253</v>
      </c>
      <c r="K4053" s="39" t="s">
        <v>561</v>
      </c>
      <c r="L4053" s="40">
        <v>500</v>
      </c>
      <c r="M4053" s="40">
        <v>227084.74</v>
      </c>
      <c r="N4053" s="40">
        <f t="shared" si="154"/>
        <v>500</v>
      </c>
    </row>
    <row r="4054" spans="1:14" ht="12.75" hidden="1" customHeight="1" x14ac:dyDescent="0.2">
      <c r="A4054">
        <v>65061</v>
      </c>
      <c r="B4054" s="3" t="s">
        <v>1844</v>
      </c>
      <c r="C4054" s="7" t="s">
        <v>1585</v>
      </c>
      <c r="D4054" s="7" t="s">
        <v>200</v>
      </c>
      <c r="E4054" s="7">
        <v>1049</v>
      </c>
      <c r="F4054" s="7" t="s">
        <v>1891</v>
      </c>
      <c r="G4054" s="7" t="s">
        <v>1592</v>
      </c>
      <c r="H4054" s="7" t="s">
        <v>1362</v>
      </c>
      <c r="I4054" s="7" t="s">
        <v>1253</v>
      </c>
      <c r="K4054" s="39" t="s">
        <v>561</v>
      </c>
      <c r="L4054" s="40">
        <v>170.17</v>
      </c>
      <c r="M4054" s="40">
        <v>236555.18</v>
      </c>
      <c r="N4054" s="40">
        <f t="shared" si="154"/>
        <v>170.17</v>
      </c>
    </row>
    <row r="4055" spans="1:14" ht="12.75" hidden="1" customHeight="1" x14ac:dyDescent="0.2">
      <c r="A4055">
        <v>65061</v>
      </c>
      <c r="B4055" s="3" t="s">
        <v>1844</v>
      </c>
      <c r="C4055" s="7" t="s">
        <v>1587</v>
      </c>
      <c r="D4055" s="7" t="s">
        <v>221</v>
      </c>
      <c r="F4055" s="7" t="s">
        <v>1893</v>
      </c>
      <c r="G4055" s="7" t="s">
        <v>1592</v>
      </c>
      <c r="H4055" s="7" t="s">
        <v>1362</v>
      </c>
      <c r="I4055" s="7" t="s">
        <v>1253</v>
      </c>
      <c r="K4055" s="39" t="s">
        <v>561</v>
      </c>
      <c r="L4055" s="40">
        <v>10</v>
      </c>
      <c r="M4055" s="40">
        <v>236896.37</v>
      </c>
      <c r="N4055" s="40">
        <f t="shared" si="154"/>
        <v>10</v>
      </c>
    </row>
    <row r="4056" spans="1:14" ht="12.75" hidden="1" customHeight="1" x14ac:dyDescent="0.2">
      <c r="A4056">
        <v>65061</v>
      </c>
      <c r="B4056" s="3" t="s">
        <v>1844</v>
      </c>
      <c r="C4056" s="7" t="s">
        <v>1821</v>
      </c>
      <c r="D4056" s="7" t="s">
        <v>221</v>
      </c>
      <c r="F4056" s="7" t="s">
        <v>1893</v>
      </c>
      <c r="G4056" s="7" t="s">
        <v>1592</v>
      </c>
      <c r="H4056" s="7" t="s">
        <v>1362</v>
      </c>
      <c r="I4056" s="7" t="s">
        <v>1253</v>
      </c>
      <c r="K4056" s="39" t="s">
        <v>561</v>
      </c>
      <c r="L4056" s="40">
        <v>1.99</v>
      </c>
      <c r="M4056" s="40">
        <v>238316.67</v>
      </c>
      <c r="N4056" s="40">
        <f t="shared" si="154"/>
        <v>1.99</v>
      </c>
    </row>
    <row r="4057" spans="1:14" ht="12.75" hidden="1" customHeight="1" x14ac:dyDescent="0.2">
      <c r="A4057">
        <v>65061</v>
      </c>
      <c r="B4057" s="3" t="s">
        <v>1844</v>
      </c>
      <c r="C4057" s="7" t="s">
        <v>1795</v>
      </c>
      <c r="D4057" s="7" t="s">
        <v>221</v>
      </c>
      <c r="F4057" s="7" t="s">
        <v>241</v>
      </c>
      <c r="G4057" s="7" t="s">
        <v>1592</v>
      </c>
      <c r="H4057" s="7" t="s">
        <v>1362</v>
      </c>
      <c r="I4057" s="7" t="s">
        <v>1253</v>
      </c>
      <c r="K4057" s="39" t="s">
        <v>561</v>
      </c>
      <c r="L4057" s="40">
        <v>26.24</v>
      </c>
      <c r="M4057" s="40">
        <v>239691.36</v>
      </c>
      <c r="N4057" s="40">
        <f t="shared" si="154"/>
        <v>26.24</v>
      </c>
    </row>
    <row r="4058" spans="1:14" ht="12.75" hidden="1" customHeight="1" x14ac:dyDescent="0.2">
      <c r="A4058">
        <v>65061</v>
      </c>
      <c r="B4058" s="3" t="s">
        <v>1844</v>
      </c>
      <c r="C4058" s="7" t="s">
        <v>1759</v>
      </c>
      <c r="D4058" s="7" t="s">
        <v>242</v>
      </c>
      <c r="F4058" s="7" t="s">
        <v>568</v>
      </c>
      <c r="G4058" s="7" t="s">
        <v>1592</v>
      </c>
      <c r="H4058" s="7" t="s">
        <v>1362</v>
      </c>
      <c r="I4058" s="7" t="s">
        <v>1253</v>
      </c>
      <c r="K4058" s="39" t="s">
        <v>561</v>
      </c>
      <c r="L4058" s="40">
        <v>-28.45</v>
      </c>
      <c r="M4058" s="40">
        <v>250658.79</v>
      </c>
      <c r="N4058" s="40">
        <f t="shared" si="154"/>
        <v>-28.45</v>
      </c>
    </row>
    <row r="4059" spans="1:14" ht="12.75" hidden="1" customHeight="1" x14ac:dyDescent="0.2">
      <c r="A4059">
        <v>65061</v>
      </c>
      <c r="B4059" s="3" t="s">
        <v>1844</v>
      </c>
      <c r="C4059" s="7" t="s">
        <v>1608</v>
      </c>
      <c r="D4059" s="7" t="s">
        <v>221</v>
      </c>
      <c r="F4059" s="7" t="s">
        <v>593</v>
      </c>
      <c r="G4059" s="7" t="s">
        <v>1592</v>
      </c>
      <c r="H4059" s="7" t="s">
        <v>1362</v>
      </c>
      <c r="I4059" s="7" t="s">
        <v>1253</v>
      </c>
      <c r="K4059" s="39" t="s">
        <v>561</v>
      </c>
      <c r="L4059" s="40">
        <v>492.99</v>
      </c>
      <c r="M4059" s="40">
        <v>255378.7</v>
      </c>
      <c r="N4059" s="40">
        <f t="shared" si="154"/>
        <v>492.99</v>
      </c>
    </row>
    <row r="4060" spans="1:14" ht="12.75" hidden="1" customHeight="1" x14ac:dyDescent="0.2">
      <c r="A4060">
        <v>65061</v>
      </c>
      <c r="B4060" s="3" t="s">
        <v>1844</v>
      </c>
      <c r="C4060" s="7" t="s">
        <v>1703</v>
      </c>
      <c r="D4060" s="7" t="s">
        <v>221</v>
      </c>
      <c r="F4060" s="7" t="s">
        <v>771</v>
      </c>
      <c r="G4060" s="7" t="s">
        <v>1592</v>
      </c>
      <c r="H4060" s="7" t="s">
        <v>1362</v>
      </c>
      <c r="I4060" s="7" t="s">
        <v>1253</v>
      </c>
      <c r="K4060" s="39" t="s">
        <v>561</v>
      </c>
      <c r="L4060" s="40">
        <v>179.03</v>
      </c>
      <c r="M4060" s="40">
        <v>261764.28</v>
      </c>
      <c r="N4060" s="40">
        <f t="shared" si="154"/>
        <v>179.03</v>
      </c>
    </row>
    <row r="4061" spans="1:14" ht="12.75" hidden="1" customHeight="1" x14ac:dyDescent="0.2">
      <c r="A4061">
        <v>65061</v>
      </c>
      <c r="B4061" s="3" t="s">
        <v>1844</v>
      </c>
      <c r="C4061" s="7" t="s">
        <v>1703</v>
      </c>
      <c r="D4061" s="7" t="s">
        <v>221</v>
      </c>
      <c r="F4061" s="7" t="s">
        <v>1941</v>
      </c>
      <c r="G4061" s="7" t="s">
        <v>1592</v>
      </c>
      <c r="H4061" s="7" t="s">
        <v>1362</v>
      </c>
      <c r="I4061" s="7" t="s">
        <v>1253</v>
      </c>
      <c r="K4061" s="39" t="s">
        <v>561</v>
      </c>
      <c r="L4061" s="40">
        <v>76.66</v>
      </c>
      <c r="M4061" s="40">
        <v>261840.94</v>
      </c>
      <c r="N4061" s="40">
        <f t="shared" si="154"/>
        <v>76.66</v>
      </c>
    </row>
    <row r="4062" spans="1:14" ht="12.75" hidden="1" customHeight="1" x14ac:dyDescent="0.2">
      <c r="A4062">
        <v>65061</v>
      </c>
      <c r="B4062" s="3" t="s">
        <v>1844</v>
      </c>
      <c r="C4062" s="7" t="s">
        <v>1703</v>
      </c>
      <c r="D4062" s="7" t="s">
        <v>221</v>
      </c>
      <c r="F4062" s="7" t="s">
        <v>1941</v>
      </c>
      <c r="G4062" s="7" t="s">
        <v>1592</v>
      </c>
      <c r="H4062" s="7" t="s">
        <v>1362</v>
      </c>
      <c r="I4062" s="7" t="s">
        <v>1253</v>
      </c>
      <c r="K4062" s="39" t="s">
        <v>561</v>
      </c>
      <c r="L4062" s="40">
        <v>86.51</v>
      </c>
      <c r="M4062" s="40">
        <v>261927.45</v>
      </c>
      <c r="N4062" s="40">
        <f t="shared" si="154"/>
        <v>86.51</v>
      </c>
    </row>
    <row r="4063" spans="1:14" ht="12.75" hidden="1" customHeight="1" x14ac:dyDescent="0.2">
      <c r="A4063">
        <v>65061</v>
      </c>
      <c r="B4063" s="3" t="s">
        <v>1844</v>
      </c>
      <c r="C4063" s="7" t="s">
        <v>1616</v>
      </c>
      <c r="D4063" s="7" t="s">
        <v>221</v>
      </c>
      <c r="F4063" s="7" t="s">
        <v>265</v>
      </c>
      <c r="G4063" s="7" t="s">
        <v>1592</v>
      </c>
      <c r="H4063" s="7" t="s">
        <v>1362</v>
      </c>
      <c r="I4063" s="7" t="s">
        <v>1253</v>
      </c>
      <c r="K4063" s="39" t="s">
        <v>561</v>
      </c>
      <c r="L4063" s="40">
        <v>79.989999999999995</v>
      </c>
      <c r="M4063" s="40">
        <v>268007.28999999998</v>
      </c>
      <c r="N4063" s="40">
        <f t="shared" si="154"/>
        <v>79.989999999999995</v>
      </c>
    </row>
    <row r="4064" spans="1:14" ht="12.75" hidden="1" customHeight="1" x14ac:dyDescent="0.2">
      <c r="A4064">
        <v>65061</v>
      </c>
      <c r="B4064" s="3" t="s">
        <v>1844</v>
      </c>
      <c r="C4064" s="7" t="s">
        <v>1616</v>
      </c>
      <c r="D4064" s="7" t="s">
        <v>221</v>
      </c>
      <c r="F4064" s="7" t="s">
        <v>1947</v>
      </c>
      <c r="G4064" s="7" t="s">
        <v>1592</v>
      </c>
      <c r="H4064" s="7" t="s">
        <v>1362</v>
      </c>
      <c r="I4064" s="7" t="s">
        <v>1253</v>
      </c>
      <c r="K4064" s="39" t="s">
        <v>561</v>
      </c>
      <c r="L4064" s="40">
        <v>257.60000000000002</v>
      </c>
      <c r="M4064" s="40">
        <v>268264.89</v>
      </c>
      <c r="N4064" s="40">
        <f t="shared" si="154"/>
        <v>257.60000000000002</v>
      </c>
    </row>
    <row r="4065" spans="1:14" ht="12.75" hidden="1" customHeight="1" x14ac:dyDescent="0.2">
      <c r="A4065">
        <v>65061</v>
      </c>
      <c r="B4065" s="3" t="s">
        <v>1844</v>
      </c>
      <c r="C4065" s="7" t="s">
        <v>1805</v>
      </c>
      <c r="D4065" s="7" t="s">
        <v>221</v>
      </c>
      <c r="F4065" s="7" t="s">
        <v>1948</v>
      </c>
      <c r="G4065" s="7" t="s">
        <v>1592</v>
      </c>
      <c r="H4065" s="7" t="s">
        <v>1362</v>
      </c>
      <c r="I4065" s="7" t="s">
        <v>1253</v>
      </c>
      <c r="K4065" s="39" t="s">
        <v>561</v>
      </c>
      <c r="L4065" s="40">
        <v>571.25</v>
      </c>
      <c r="M4065" s="40">
        <v>269102.55</v>
      </c>
      <c r="N4065" s="40">
        <f t="shared" si="154"/>
        <v>571.25</v>
      </c>
    </row>
    <row r="4066" spans="1:14" ht="12.75" hidden="1" customHeight="1" x14ac:dyDescent="0.2">
      <c r="A4066">
        <v>65061</v>
      </c>
      <c r="B4066" s="3" t="s">
        <v>1844</v>
      </c>
      <c r="C4066" s="7" t="s">
        <v>1805</v>
      </c>
      <c r="D4066" s="7" t="s">
        <v>221</v>
      </c>
      <c r="F4066" s="7" t="s">
        <v>771</v>
      </c>
      <c r="G4066" s="7" t="s">
        <v>1592</v>
      </c>
      <c r="H4066" s="7" t="s">
        <v>1362</v>
      </c>
      <c r="I4066" s="7" t="s">
        <v>1253</v>
      </c>
      <c r="K4066" s="39" t="s">
        <v>561</v>
      </c>
      <c r="L4066" s="40">
        <v>126.47</v>
      </c>
      <c r="M4066" s="40">
        <v>269229.02</v>
      </c>
      <c r="N4066" s="40">
        <f t="shared" si="154"/>
        <v>126.47</v>
      </c>
    </row>
    <row r="4067" spans="1:14" ht="12.75" hidden="1" customHeight="1" x14ac:dyDescent="0.2">
      <c r="A4067">
        <v>65061</v>
      </c>
      <c r="B4067" s="3" t="s">
        <v>1844</v>
      </c>
      <c r="C4067" s="7" t="s">
        <v>1805</v>
      </c>
      <c r="D4067" s="7" t="s">
        <v>221</v>
      </c>
      <c r="F4067" s="7" t="s">
        <v>548</v>
      </c>
      <c r="G4067" s="7" t="s">
        <v>1592</v>
      </c>
      <c r="H4067" s="7" t="s">
        <v>1362</v>
      </c>
      <c r="I4067" s="7" t="s">
        <v>1253</v>
      </c>
      <c r="K4067" s="39" t="s">
        <v>561</v>
      </c>
      <c r="L4067" s="40">
        <v>218.99</v>
      </c>
      <c r="M4067" s="40">
        <v>269448.01</v>
      </c>
      <c r="N4067" s="40">
        <f t="shared" si="154"/>
        <v>218.99</v>
      </c>
    </row>
    <row r="4068" spans="1:14" ht="12.75" hidden="1" customHeight="1" x14ac:dyDescent="0.2">
      <c r="A4068">
        <v>65061</v>
      </c>
      <c r="B4068" s="3" t="s">
        <v>1844</v>
      </c>
      <c r="C4068" s="7" t="s">
        <v>1617</v>
      </c>
      <c r="D4068" s="7" t="s">
        <v>221</v>
      </c>
      <c r="F4068" s="7" t="s">
        <v>564</v>
      </c>
      <c r="G4068" s="7" t="s">
        <v>1592</v>
      </c>
      <c r="H4068" s="7" t="s">
        <v>1362</v>
      </c>
      <c r="I4068" s="7" t="s">
        <v>1253</v>
      </c>
      <c r="K4068" s="39" t="s">
        <v>561</v>
      </c>
      <c r="L4068" s="40">
        <v>6.44</v>
      </c>
      <c r="M4068" s="40">
        <v>270282.31</v>
      </c>
      <c r="N4068" s="40">
        <f t="shared" si="154"/>
        <v>6.44</v>
      </c>
    </row>
    <row r="4069" spans="1:14" ht="12.75" hidden="1" customHeight="1" x14ac:dyDescent="0.2">
      <c r="A4069">
        <v>65061</v>
      </c>
      <c r="B4069" s="3" t="s">
        <v>1844</v>
      </c>
      <c r="C4069" s="7" t="s">
        <v>1617</v>
      </c>
      <c r="D4069" s="7" t="s">
        <v>221</v>
      </c>
      <c r="F4069" s="7" t="s">
        <v>241</v>
      </c>
      <c r="G4069" s="7" t="s">
        <v>1592</v>
      </c>
      <c r="H4069" s="7" t="s">
        <v>1362</v>
      </c>
      <c r="I4069" s="7" t="s">
        <v>1253</v>
      </c>
      <c r="K4069" s="39" t="s">
        <v>561</v>
      </c>
      <c r="L4069" s="40">
        <v>315.95999999999998</v>
      </c>
      <c r="M4069" s="40">
        <v>270598.27</v>
      </c>
      <c r="N4069" s="40">
        <f t="shared" si="154"/>
        <v>315.95999999999998</v>
      </c>
    </row>
    <row r="4070" spans="1:14" ht="12.75" hidden="1" customHeight="1" x14ac:dyDescent="0.2">
      <c r="A4070">
        <v>65061</v>
      </c>
      <c r="B4070" s="3" t="s">
        <v>1844</v>
      </c>
      <c r="C4070" s="7" t="s">
        <v>1617</v>
      </c>
      <c r="D4070" s="7" t="s">
        <v>221</v>
      </c>
      <c r="F4070" s="7" t="s">
        <v>241</v>
      </c>
      <c r="G4070" s="7" t="s">
        <v>1592</v>
      </c>
      <c r="H4070" s="7" t="s">
        <v>1362</v>
      </c>
      <c r="I4070" s="7" t="s">
        <v>1253</v>
      </c>
      <c r="K4070" s="39" t="s">
        <v>561</v>
      </c>
      <c r="L4070" s="40">
        <v>122.34</v>
      </c>
      <c r="M4070" s="40">
        <v>270720.61</v>
      </c>
      <c r="N4070" s="40">
        <f t="shared" si="154"/>
        <v>122.34</v>
      </c>
    </row>
    <row r="4071" spans="1:14" ht="12.75" hidden="1" customHeight="1" x14ac:dyDescent="0.2">
      <c r="A4071">
        <v>65061</v>
      </c>
      <c r="B4071" s="3" t="s">
        <v>1844</v>
      </c>
      <c r="C4071" s="7" t="s">
        <v>1617</v>
      </c>
      <c r="D4071" s="7" t="s">
        <v>221</v>
      </c>
      <c r="F4071" s="7" t="s">
        <v>241</v>
      </c>
      <c r="G4071" s="7" t="s">
        <v>1592</v>
      </c>
      <c r="H4071" s="7" t="s">
        <v>1362</v>
      </c>
      <c r="I4071" s="7" t="s">
        <v>1253</v>
      </c>
      <c r="K4071" s="39" t="s">
        <v>561</v>
      </c>
      <c r="L4071" s="40">
        <v>150.77000000000001</v>
      </c>
      <c r="M4071" s="40">
        <v>270871.38</v>
      </c>
      <c r="N4071" s="40">
        <f t="shared" si="154"/>
        <v>150.77000000000001</v>
      </c>
    </row>
    <row r="4072" spans="1:14" ht="12.75" hidden="1" customHeight="1" x14ac:dyDescent="0.2">
      <c r="A4072">
        <v>65061</v>
      </c>
      <c r="B4072" s="3" t="s">
        <v>1844</v>
      </c>
      <c r="C4072" s="7" t="s">
        <v>1617</v>
      </c>
      <c r="D4072" s="7" t="s">
        <v>221</v>
      </c>
      <c r="F4072" s="7" t="s">
        <v>241</v>
      </c>
      <c r="G4072" s="7" t="s">
        <v>1592</v>
      </c>
      <c r="H4072" s="7" t="s">
        <v>1362</v>
      </c>
      <c r="I4072" s="7" t="s">
        <v>1253</v>
      </c>
      <c r="K4072" s="39" t="s">
        <v>561</v>
      </c>
      <c r="L4072" s="40">
        <v>61.31</v>
      </c>
      <c r="M4072" s="40">
        <v>270932.69</v>
      </c>
      <c r="N4072" s="40">
        <f t="shared" si="154"/>
        <v>61.31</v>
      </c>
    </row>
    <row r="4073" spans="1:14" ht="12.75" hidden="1" customHeight="1" x14ac:dyDescent="0.2">
      <c r="A4073">
        <v>65061</v>
      </c>
      <c r="B4073" s="3" t="s">
        <v>1844</v>
      </c>
      <c r="C4073" s="7" t="s">
        <v>1709</v>
      </c>
      <c r="D4073" s="7" t="s">
        <v>221</v>
      </c>
      <c r="F4073" s="7" t="s">
        <v>265</v>
      </c>
      <c r="G4073" s="7" t="s">
        <v>1592</v>
      </c>
      <c r="H4073" s="7" t="s">
        <v>1362</v>
      </c>
      <c r="I4073" s="7" t="s">
        <v>1253</v>
      </c>
      <c r="K4073" s="39" t="s">
        <v>561</v>
      </c>
      <c r="L4073" s="40">
        <v>888.14</v>
      </c>
      <c r="M4073" s="40">
        <v>276105.03000000003</v>
      </c>
      <c r="N4073" s="40">
        <f t="shared" si="154"/>
        <v>888.14</v>
      </c>
    </row>
    <row r="4074" spans="1:14" ht="12.75" hidden="1" customHeight="1" x14ac:dyDescent="0.2">
      <c r="A4074">
        <v>65061</v>
      </c>
      <c r="B4074" s="3" t="s">
        <v>1844</v>
      </c>
      <c r="C4074" s="7" t="s">
        <v>1760</v>
      </c>
      <c r="D4074" s="7" t="s">
        <v>200</v>
      </c>
      <c r="E4074" s="7">
        <v>1053</v>
      </c>
      <c r="F4074" s="7" t="s">
        <v>1959</v>
      </c>
      <c r="G4074" s="7" t="s">
        <v>1592</v>
      </c>
      <c r="H4074" s="7" t="s">
        <v>1362</v>
      </c>
      <c r="I4074" s="7" t="s">
        <v>1253</v>
      </c>
      <c r="K4074" s="39" t="s">
        <v>561</v>
      </c>
      <c r="L4074" s="40">
        <v>50</v>
      </c>
      <c r="M4074" s="40">
        <v>278990.17</v>
      </c>
      <c r="N4074" s="40">
        <f t="shared" si="154"/>
        <v>50</v>
      </c>
    </row>
    <row r="4075" spans="1:14" ht="12.75" hidden="1" customHeight="1" x14ac:dyDescent="0.2">
      <c r="A4075">
        <v>65061</v>
      </c>
      <c r="B4075" s="3" t="s">
        <v>1844</v>
      </c>
      <c r="C4075" s="7" t="s">
        <v>1631</v>
      </c>
      <c r="D4075" s="7" t="s">
        <v>221</v>
      </c>
      <c r="F4075" s="7" t="s">
        <v>1968</v>
      </c>
      <c r="G4075" s="7" t="s">
        <v>1592</v>
      </c>
      <c r="H4075" s="7" t="s">
        <v>1362</v>
      </c>
      <c r="I4075" s="7" t="s">
        <v>1253</v>
      </c>
      <c r="K4075" s="39" t="s">
        <v>561</v>
      </c>
      <c r="L4075" s="40">
        <v>95</v>
      </c>
      <c r="M4075" s="40">
        <v>289424.36</v>
      </c>
      <c r="N4075" s="40">
        <f t="shared" si="154"/>
        <v>95</v>
      </c>
    </row>
    <row r="4076" spans="1:14" ht="12.75" hidden="1" customHeight="1" x14ac:dyDescent="0.2">
      <c r="A4076">
        <v>65061</v>
      </c>
      <c r="B4076" s="3" t="s">
        <v>1844</v>
      </c>
      <c r="C4076" s="7" t="s">
        <v>1631</v>
      </c>
      <c r="D4076" s="7" t="s">
        <v>221</v>
      </c>
      <c r="F4076" s="7" t="s">
        <v>562</v>
      </c>
      <c r="G4076" s="7" t="s">
        <v>1592</v>
      </c>
      <c r="H4076" s="7" t="s">
        <v>1362</v>
      </c>
      <c r="I4076" s="7" t="s">
        <v>1253</v>
      </c>
      <c r="K4076" s="39" t="s">
        <v>561</v>
      </c>
      <c r="L4076" s="40">
        <v>229.99</v>
      </c>
      <c r="M4076" s="40">
        <v>291135.21000000002</v>
      </c>
      <c r="N4076" s="40">
        <f t="shared" si="154"/>
        <v>229.99</v>
      </c>
    </row>
    <row r="4077" spans="1:14" ht="12.75" hidden="1" customHeight="1" x14ac:dyDescent="0.2">
      <c r="A4077">
        <v>65061</v>
      </c>
      <c r="B4077" s="3" t="s">
        <v>1844</v>
      </c>
      <c r="C4077" s="7" t="s">
        <v>1647</v>
      </c>
      <c r="D4077" s="7" t="s">
        <v>221</v>
      </c>
      <c r="F4077" s="7" t="s">
        <v>1986</v>
      </c>
      <c r="G4077" s="7" t="s">
        <v>1592</v>
      </c>
      <c r="H4077" s="7" t="s">
        <v>1362</v>
      </c>
      <c r="I4077" s="7" t="s">
        <v>1253</v>
      </c>
      <c r="K4077" s="39" t="s">
        <v>561</v>
      </c>
      <c r="L4077" s="40">
        <v>119.95</v>
      </c>
      <c r="M4077" s="40">
        <v>302911.58</v>
      </c>
      <c r="N4077" s="40">
        <f t="shared" si="154"/>
        <v>119.95</v>
      </c>
    </row>
    <row r="4078" spans="1:14" ht="12.75" hidden="1" customHeight="1" x14ac:dyDescent="0.2">
      <c r="A4078">
        <v>65090</v>
      </c>
      <c r="B4078" s="3" t="s">
        <v>1993</v>
      </c>
      <c r="C4078" s="7" t="s">
        <v>1696</v>
      </c>
      <c r="D4078" s="7" t="s">
        <v>200</v>
      </c>
      <c r="E4078" s="7">
        <v>1047</v>
      </c>
      <c r="F4078" s="7" t="s">
        <v>1995</v>
      </c>
      <c r="G4078" s="7" t="s">
        <v>1592</v>
      </c>
      <c r="H4078" s="7" t="s">
        <v>1362</v>
      </c>
      <c r="I4078" s="7" t="s">
        <v>1258</v>
      </c>
      <c r="K4078" s="39" t="s">
        <v>561</v>
      </c>
      <c r="L4078" s="40">
        <v>500</v>
      </c>
      <c r="M4078" s="40">
        <v>1640.62</v>
      </c>
      <c r="N4078" s="40">
        <f t="shared" si="154"/>
        <v>500</v>
      </c>
    </row>
    <row r="4079" spans="1:14" ht="12.75" customHeight="1" x14ac:dyDescent="0.2">
      <c r="A4079">
        <v>44000</v>
      </c>
      <c r="B4079" s="3" t="s">
        <v>1229</v>
      </c>
      <c r="C4079" s="7" t="s">
        <v>1631</v>
      </c>
      <c r="D4079" s="7" t="s">
        <v>183</v>
      </c>
      <c r="E4079" s="7">
        <v>724</v>
      </c>
      <c r="G4079" s="7" t="s">
        <v>2120</v>
      </c>
      <c r="H4079" s="7" t="s">
        <v>1359</v>
      </c>
      <c r="I4079" s="7" t="s">
        <v>2148</v>
      </c>
      <c r="J4079" s="39" t="s">
        <v>1716</v>
      </c>
      <c r="K4079" s="39" t="s">
        <v>180</v>
      </c>
      <c r="L4079" s="40">
        <v>90</v>
      </c>
      <c r="M4079" s="40">
        <v>231690.2</v>
      </c>
      <c r="N4079" s="41">
        <f t="shared" ref="N4079:N4084" si="155">-L4079</f>
        <v>-90</v>
      </c>
    </row>
    <row r="4080" spans="1:14" ht="12.75" customHeight="1" x14ac:dyDescent="0.2">
      <c r="A4080">
        <v>44000</v>
      </c>
      <c r="B4080" s="3" t="s">
        <v>1229</v>
      </c>
      <c r="C4080" s="7" t="s">
        <v>1638</v>
      </c>
      <c r="D4080" s="7" t="s">
        <v>183</v>
      </c>
      <c r="E4080" s="7">
        <v>733</v>
      </c>
      <c r="G4080" s="7" t="s">
        <v>2120</v>
      </c>
      <c r="H4080" s="7" t="s">
        <v>1359</v>
      </c>
      <c r="I4080" s="7" t="s">
        <v>2148</v>
      </c>
      <c r="J4080" s="39" t="s">
        <v>1720</v>
      </c>
      <c r="K4080" s="39" t="s">
        <v>180</v>
      </c>
      <c r="L4080" s="40">
        <v>95</v>
      </c>
      <c r="M4080" s="40">
        <v>234735.2</v>
      </c>
      <c r="N4080" s="41">
        <f t="shared" si="155"/>
        <v>-95</v>
      </c>
    </row>
    <row r="4081" spans="1:14" ht="12.75" customHeight="1" x14ac:dyDescent="0.2">
      <c r="A4081">
        <v>44000</v>
      </c>
      <c r="B4081" s="3" t="s">
        <v>1229</v>
      </c>
      <c r="C4081" s="7" t="s">
        <v>1600</v>
      </c>
      <c r="D4081" s="7" t="s">
        <v>242</v>
      </c>
      <c r="F4081" s="7" t="s">
        <v>665</v>
      </c>
      <c r="G4081" s="7" t="s">
        <v>1548</v>
      </c>
      <c r="H4081" s="7" t="s">
        <v>1359</v>
      </c>
      <c r="I4081" s="7" t="s">
        <v>2148</v>
      </c>
      <c r="K4081" s="39" t="s">
        <v>1142</v>
      </c>
      <c r="L4081" s="40">
        <v>650</v>
      </c>
      <c r="M4081" s="40">
        <v>200989.14</v>
      </c>
      <c r="N4081" s="41">
        <f t="shared" si="155"/>
        <v>-650</v>
      </c>
    </row>
    <row r="4082" spans="1:14" ht="12.75" customHeight="1" x14ac:dyDescent="0.2">
      <c r="A4082">
        <v>44000</v>
      </c>
      <c r="B4082" s="3" t="s">
        <v>1229</v>
      </c>
      <c r="C4082" s="7" t="s">
        <v>1696</v>
      </c>
      <c r="D4082" s="7" t="s">
        <v>242</v>
      </c>
      <c r="F4082" s="7" t="s">
        <v>665</v>
      </c>
      <c r="G4082" s="7" t="s">
        <v>1548</v>
      </c>
      <c r="H4082" s="7" t="s">
        <v>1359</v>
      </c>
      <c r="I4082" s="7" t="s">
        <v>2148</v>
      </c>
      <c r="J4082" s="39" t="s">
        <v>1697</v>
      </c>
      <c r="K4082" s="39" t="s">
        <v>1142</v>
      </c>
      <c r="L4082" s="40">
        <v>661.3</v>
      </c>
      <c r="M4082" s="40">
        <v>203720.44</v>
      </c>
      <c r="N4082" s="41">
        <f t="shared" si="155"/>
        <v>-661.3</v>
      </c>
    </row>
    <row r="4083" spans="1:14" ht="12.75" customHeight="1" x14ac:dyDescent="0.2">
      <c r="A4083">
        <v>44000</v>
      </c>
      <c r="B4083" s="3" t="s">
        <v>1229</v>
      </c>
      <c r="C4083" s="7" t="s">
        <v>1629</v>
      </c>
      <c r="D4083" s="7" t="s">
        <v>242</v>
      </c>
      <c r="F4083" s="7" t="s">
        <v>665</v>
      </c>
      <c r="G4083" s="7" t="s">
        <v>1548</v>
      </c>
      <c r="H4083" s="7" t="s">
        <v>1359</v>
      </c>
      <c r="I4083" s="7" t="s">
        <v>2148</v>
      </c>
      <c r="K4083" s="39" t="s">
        <v>1142</v>
      </c>
      <c r="L4083" s="40">
        <v>787.5</v>
      </c>
      <c r="M4083" s="40">
        <v>230343.2</v>
      </c>
      <c r="N4083" s="41">
        <f t="shared" si="155"/>
        <v>-787.5</v>
      </c>
    </row>
    <row r="4084" spans="1:14" ht="12.75" customHeight="1" x14ac:dyDescent="0.2">
      <c r="A4084">
        <v>44000</v>
      </c>
      <c r="B4084" s="3" t="s">
        <v>1229</v>
      </c>
      <c r="C4084" s="7" t="s">
        <v>1550</v>
      </c>
      <c r="D4084" s="7" t="s">
        <v>242</v>
      </c>
      <c r="F4084" s="7" t="s">
        <v>665</v>
      </c>
      <c r="G4084" s="7" t="s">
        <v>1548</v>
      </c>
      <c r="H4084" s="7" t="s">
        <v>1359</v>
      </c>
      <c r="I4084" s="7" t="s">
        <v>2148</v>
      </c>
      <c r="J4084" s="39" t="s">
        <v>1724</v>
      </c>
      <c r="K4084" s="39" t="s">
        <v>1142</v>
      </c>
      <c r="L4084" s="40">
        <v>592.29999999999995</v>
      </c>
      <c r="M4084" s="40">
        <v>239152.98</v>
      </c>
      <c r="N4084" s="41">
        <f t="shared" si="155"/>
        <v>-592.29999999999995</v>
      </c>
    </row>
    <row r="4085" spans="1:14" ht="12.75" customHeight="1" x14ac:dyDescent="0.2">
      <c r="A4085">
        <v>44000</v>
      </c>
      <c r="B4085" s="3" t="s">
        <v>1229</v>
      </c>
      <c r="C4085" s="7" t="s">
        <v>290</v>
      </c>
      <c r="D4085" s="7" t="s">
        <v>183</v>
      </c>
      <c r="E4085" s="7">
        <v>483</v>
      </c>
      <c r="G4085" s="7" t="s">
        <v>1592</v>
      </c>
      <c r="H4085" s="7" t="s">
        <v>1359</v>
      </c>
      <c r="I4085" s="7" t="s">
        <v>2148</v>
      </c>
      <c r="J4085" s="7" t="s">
        <v>1145</v>
      </c>
      <c r="K4085" s="7" t="s">
        <v>180</v>
      </c>
      <c r="L4085" s="11">
        <v>250</v>
      </c>
      <c r="M4085" s="11">
        <v>154932.93</v>
      </c>
      <c r="N4085" s="9">
        <f>IF(A4085&lt;60000,-L4085,+L4085)</f>
        <v>-250</v>
      </c>
    </row>
    <row r="4086" spans="1:14" ht="12.75" customHeight="1" x14ac:dyDescent="0.2">
      <c r="A4086">
        <v>44000</v>
      </c>
      <c r="B4086" s="3" t="s">
        <v>1229</v>
      </c>
      <c r="C4086" s="7" t="s">
        <v>431</v>
      </c>
      <c r="D4086" s="7" t="s">
        <v>183</v>
      </c>
      <c r="E4086" s="7">
        <v>524</v>
      </c>
      <c r="G4086" s="7" t="s">
        <v>1592</v>
      </c>
      <c r="H4086" s="7" t="s">
        <v>1359</v>
      </c>
      <c r="I4086" s="7" t="s">
        <v>2148</v>
      </c>
      <c r="J4086" s="7" t="s">
        <v>1138</v>
      </c>
      <c r="K4086" s="7" t="s">
        <v>180</v>
      </c>
      <c r="L4086" s="11">
        <v>350</v>
      </c>
      <c r="M4086" s="11">
        <v>163390.51999999999</v>
      </c>
      <c r="N4086" s="9">
        <f>IF(A4086&lt;60000,-L4086,+L4086)</f>
        <v>-350</v>
      </c>
    </row>
    <row r="4087" spans="1:14" ht="12.75" customHeight="1" x14ac:dyDescent="0.2">
      <c r="A4087">
        <v>44530</v>
      </c>
      <c r="B4087" s="3" t="s">
        <v>1230</v>
      </c>
      <c r="C4087" s="7" t="s">
        <v>253</v>
      </c>
      <c r="D4087" s="7" t="s">
        <v>242</v>
      </c>
      <c r="F4087" s="7" t="s">
        <v>1128</v>
      </c>
      <c r="G4087" s="7" t="s">
        <v>1592</v>
      </c>
      <c r="H4087" s="7" t="s">
        <v>1359</v>
      </c>
      <c r="I4087" s="7" t="s">
        <v>2148</v>
      </c>
      <c r="K4087" s="7" t="s">
        <v>1045</v>
      </c>
      <c r="L4087" s="11">
        <v>1000</v>
      </c>
      <c r="M4087" s="11">
        <v>1000</v>
      </c>
      <c r="N4087" s="9">
        <f>IF(A4087&lt;60000,-L4087,+L4087)</f>
        <v>-1000</v>
      </c>
    </row>
    <row r="4088" spans="1:14" ht="12.75" customHeight="1" x14ac:dyDescent="0.2">
      <c r="A4088">
        <v>46430</v>
      </c>
      <c r="B4088" s="3" t="s">
        <v>1231</v>
      </c>
      <c r="C4088" s="7" t="s">
        <v>1578</v>
      </c>
      <c r="D4088" s="7" t="s">
        <v>242</v>
      </c>
      <c r="F4088" s="7" t="s">
        <v>446</v>
      </c>
      <c r="G4088" s="7" t="s">
        <v>1568</v>
      </c>
      <c r="H4088" s="7" t="s">
        <v>1359</v>
      </c>
      <c r="I4088" s="7" t="s">
        <v>1231</v>
      </c>
      <c r="K4088" s="39" t="s">
        <v>258</v>
      </c>
      <c r="L4088" s="40">
        <v>0.23</v>
      </c>
      <c r="M4088" s="40">
        <v>73.47</v>
      </c>
      <c r="N4088" s="41">
        <f>-L4088</f>
        <v>-0.23</v>
      </c>
    </row>
    <row r="4089" spans="1:14" ht="12.75" customHeight="1" x14ac:dyDescent="0.2">
      <c r="A4089">
        <v>46430</v>
      </c>
      <c r="B4089" s="3" t="s">
        <v>1231</v>
      </c>
      <c r="C4089" s="7" t="s">
        <v>1658</v>
      </c>
      <c r="D4089" s="7" t="s">
        <v>242</v>
      </c>
      <c r="F4089" s="7" t="s">
        <v>446</v>
      </c>
      <c r="G4089" s="7" t="s">
        <v>1568</v>
      </c>
      <c r="H4089" s="7" t="s">
        <v>1359</v>
      </c>
      <c r="I4089" s="7" t="s">
        <v>1231</v>
      </c>
      <c r="K4089" s="39" t="s">
        <v>258</v>
      </c>
      <c r="L4089" s="40">
        <v>0.08</v>
      </c>
      <c r="M4089" s="40">
        <v>80.05</v>
      </c>
      <c r="N4089" s="41">
        <f>-L4089</f>
        <v>-0.08</v>
      </c>
    </row>
    <row r="4090" spans="1:14" ht="12.75" hidden="1" customHeight="1" x14ac:dyDescent="0.2">
      <c r="A4090">
        <v>65015</v>
      </c>
      <c r="B4090" s="3" t="s">
        <v>1244</v>
      </c>
      <c r="C4090" s="7" t="s">
        <v>1704</v>
      </c>
      <c r="D4090" s="7" t="s">
        <v>200</v>
      </c>
      <c r="E4090" s="7">
        <v>533</v>
      </c>
      <c r="F4090" s="7" t="s">
        <v>1762</v>
      </c>
      <c r="G4090" s="7" t="s">
        <v>2120</v>
      </c>
      <c r="H4090" s="43" t="s">
        <v>1362</v>
      </c>
      <c r="I4090" s="7" t="s">
        <v>1244</v>
      </c>
      <c r="K4090" s="39" t="s">
        <v>198</v>
      </c>
      <c r="L4090" s="40">
        <v>120.5</v>
      </c>
      <c r="M4090" s="40">
        <v>7060.66</v>
      </c>
      <c r="N4090" s="40">
        <f t="shared" ref="N4090:N4126" si="156">+L4090</f>
        <v>120.5</v>
      </c>
    </row>
    <row r="4091" spans="1:14" ht="12.75" hidden="1" customHeight="1" x14ac:dyDescent="0.2">
      <c r="A4091">
        <v>65015</v>
      </c>
      <c r="B4091" s="3" t="s">
        <v>1244</v>
      </c>
      <c r="C4091" s="7" t="s">
        <v>1709</v>
      </c>
      <c r="D4091" s="7" t="s">
        <v>221</v>
      </c>
      <c r="F4091" s="7" t="s">
        <v>871</v>
      </c>
      <c r="G4091" s="7" t="s">
        <v>2120</v>
      </c>
      <c r="H4091" s="43" t="s">
        <v>1362</v>
      </c>
      <c r="I4091" s="7" t="s">
        <v>1244</v>
      </c>
      <c r="K4091" s="39" t="s">
        <v>1623</v>
      </c>
      <c r="L4091" s="40">
        <v>88.98</v>
      </c>
      <c r="M4091" s="40">
        <v>8614.83</v>
      </c>
      <c r="N4091" s="40">
        <f t="shared" si="156"/>
        <v>88.98</v>
      </c>
    </row>
    <row r="4092" spans="1:14" ht="12.75" hidden="1" customHeight="1" x14ac:dyDescent="0.2">
      <c r="A4092">
        <v>65015</v>
      </c>
      <c r="B4092" s="3" t="s">
        <v>1244</v>
      </c>
      <c r="C4092" s="7" t="s">
        <v>1728</v>
      </c>
      <c r="D4092" s="7" t="s">
        <v>221</v>
      </c>
      <c r="F4092" s="7" t="s">
        <v>1791</v>
      </c>
      <c r="G4092" s="7" t="s">
        <v>2120</v>
      </c>
      <c r="H4092" s="43" t="s">
        <v>1362</v>
      </c>
      <c r="I4092" s="7" t="s">
        <v>1244</v>
      </c>
      <c r="K4092" s="39" t="s">
        <v>1623</v>
      </c>
      <c r="L4092" s="40">
        <v>9</v>
      </c>
      <c r="M4092" s="40">
        <v>12053.73</v>
      </c>
      <c r="N4092" s="40">
        <f t="shared" si="156"/>
        <v>9</v>
      </c>
    </row>
    <row r="4093" spans="1:14" ht="12.75" hidden="1" customHeight="1" x14ac:dyDescent="0.2">
      <c r="A4093">
        <v>65025</v>
      </c>
      <c r="B4093" s="3" t="s">
        <v>1246</v>
      </c>
      <c r="C4093" s="7" t="s">
        <v>1805</v>
      </c>
      <c r="D4093" s="7" t="s">
        <v>242</v>
      </c>
      <c r="F4093" s="7" t="s">
        <v>446</v>
      </c>
      <c r="G4093" s="7" t="s">
        <v>2120</v>
      </c>
      <c r="H4093" s="7" t="s">
        <v>1362</v>
      </c>
      <c r="I4093" s="7" t="s">
        <v>1246</v>
      </c>
      <c r="K4093" s="39" t="s">
        <v>1623</v>
      </c>
      <c r="L4093" s="40">
        <v>-20</v>
      </c>
      <c r="M4093" s="40">
        <v>2290.1999999999998</v>
      </c>
      <c r="N4093" s="40">
        <f t="shared" si="156"/>
        <v>-20</v>
      </c>
    </row>
    <row r="4094" spans="1:14" ht="12.75" hidden="1" customHeight="1" x14ac:dyDescent="0.2">
      <c r="A4094">
        <v>65025</v>
      </c>
      <c r="B4094" s="3" t="s">
        <v>1246</v>
      </c>
      <c r="C4094" s="7" t="s">
        <v>1805</v>
      </c>
      <c r="D4094" s="7" t="s">
        <v>221</v>
      </c>
      <c r="F4094" s="7" t="s">
        <v>446</v>
      </c>
      <c r="G4094" s="7" t="s">
        <v>2120</v>
      </c>
      <c r="H4094" s="7" t="s">
        <v>1362</v>
      </c>
      <c r="I4094" s="7" t="s">
        <v>1246</v>
      </c>
      <c r="K4094" s="39" t="s">
        <v>1623</v>
      </c>
      <c r="L4094" s="40">
        <v>20</v>
      </c>
      <c r="M4094" s="40">
        <v>2310.1999999999998</v>
      </c>
      <c r="N4094" s="40">
        <f t="shared" si="156"/>
        <v>20</v>
      </c>
    </row>
    <row r="4095" spans="1:14" ht="12.75" hidden="1" customHeight="1" x14ac:dyDescent="0.2">
      <c r="A4095">
        <v>65040</v>
      </c>
      <c r="B4095" s="3" t="s">
        <v>1836</v>
      </c>
      <c r="C4095" s="7" t="s">
        <v>1704</v>
      </c>
      <c r="D4095" s="7" t="s">
        <v>200</v>
      </c>
      <c r="E4095" s="7">
        <v>533</v>
      </c>
      <c r="F4095" s="7" t="s">
        <v>1762</v>
      </c>
      <c r="G4095" s="7" t="s">
        <v>2120</v>
      </c>
      <c r="H4095" s="7" t="s">
        <v>1369</v>
      </c>
      <c r="I4095" s="7" t="s">
        <v>1250</v>
      </c>
      <c r="K4095" s="39" t="s">
        <v>198</v>
      </c>
      <c r="L4095" s="40">
        <v>40</v>
      </c>
      <c r="M4095" s="40">
        <v>2584.6999999999998</v>
      </c>
      <c r="N4095" s="40">
        <f t="shared" si="156"/>
        <v>40</v>
      </c>
    </row>
    <row r="4096" spans="1:14" ht="12.75" hidden="1" customHeight="1" x14ac:dyDescent="0.2">
      <c r="A4096">
        <v>65040</v>
      </c>
      <c r="B4096" s="3" t="s">
        <v>1836</v>
      </c>
      <c r="C4096" s="7" t="s">
        <v>1704</v>
      </c>
      <c r="D4096" s="7" t="s">
        <v>200</v>
      </c>
      <c r="E4096" s="7">
        <v>533</v>
      </c>
      <c r="F4096" s="7" t="s">
        <v>1762</v>
      </c>
      <c r="G4096" s="7" t="s">
        <v>2120</v>
      </c>
      <c r="H4096" s="7" t="s">
        <v>1369</v>
      </c>
      <c r="I4096" s="7" t="s">
        <v>1250</v>
      </c>
      <c r="J4096" s="39" t="s">
        <v>1838</v>
      </c>
      <c r="K4096" s="39" t="s">
        <v>198</v>
      </c>
      <c r="L4096" s="40">
        <v>9.8000000000000007</v>
      </c>
      <c r="M4096" s="40">
        <v>2594.5</v>
      </c>
      <c r="N4096" s="40">
        <f t="shared" si="156"/>
        <v>9.8000000000000007</v>
      </c>
    </row>
    <row r="4097" spans="1:14" ht="12.75" hidden="1" customHeight="1" x14ac:dyDescent="0.2">
      <c r="A4097">
        <v>65061</v>
      </c>
      <c r="B4097" s="3" t="s">
        <v>1844</v>
      </c>
      <c r="C4097" s="7" t="s">
        <v>1635</v>
      </c>
      <c r="D4097" s="7" t="s">
        <v>221</v>
      </c>
      <c r="F4097" s="7" t="s">
        <v>1973</v>
      </c>
      <c r="G4097" s="7" t="s">
        <v>2120</v>
      </c>
      <c r="H4097" s="7" t="s">
        <v>1362</v>
      </c>
      <c r="I4097" s="7" t="s">
        <v>1253</v>
      </c>
      <c r="K4097" s="39" t="s">
        <v>1623</v>
      </c>
      <c r="L4097" s="40">
        <v>152.5</v>
      </c>
      <c r="M4097" s="40">
        <v>291638.43</v>
      </c>
      <c r="N4097" s="40">
        <f t="shared" si="156"/>
        <v>152.5</v>
      </c>
    </row>
    <row r="4098" spans="1:14" ht="12.75" hidden="1" customHeight="1" x14ac:dyDescent="0.2">
      <c r="A4098">
        <v>65061</v>
      </c>
      <c r="B4098" s="3" t="s">
        <v>1844</v>
      </c>
      <c r="C4098" s="7" t="s">
        <v>1635</v>
      </c>
      <c r="D4098" s="7" t="s">
        <v>221</v>
      </c>
      <c r="F4098" s="7" t="s">
        <v>1973</v>
      </c>
      <c r="G4098" s="7" t="s">
        <v>2120</v>
      </c>
      <c r="H4098" s="7" t="s">
        <v>1362</v>
      </c>
      <c r="I4098" s="7" t="s">
        <v>1253</v>
      </c>
      <c r="K4098" s="39" t="s">
        <v>1623</v>
      </c>
      <c r="L4098" s="40">
        <v>168</v>
      </c>
      <c r="M4098" s="40">
        <v>292006.43</v>
      </c>
      <c r="N4098" s="40">
        <f t="shared" si="156"/>
        <v>168</v>
      </c>
    </row>
    <row r="4099" spans="1:14" ht="12.75" hidden="1" customHeight="1" x14ac:dyDescent="0.2">
      <c r="A4099">
        <v>65061</v>
      </c>
      <c r="B4099" s="3" t="s">
        <v>1844</v>
      </c>
      <c r="C4099" s="7" t="s">
        <v>1789</v>
      </c>
      <c r="D4099" s="7" t="s">
        <v>221</v>
      </c>
      <c r="F4099" s="7" t="s">
        <v>1974</v>
      </c>
      <c r="G4099" s="7" t="s">
        <v>2120</v>
      </c>
      <c r="H4099" s="7" t="s">
        <v>1362</v>
      </c>
      <c r="I4099" s="7" t="s">
        <v>1253</v>
      </c>
      <c r="K4099" s="39" t="s">
        <v>1623</v>
      </c>
      <c r="L4099" s="40">
        <v>338</v>
      </c>
      <c r="M4099" s="40">
        <v>292344.43</v>
      </c>
      <c r="N4099" s="40">
        <f t="shared" si="156"/>
        <v>338</v>
      </c>
    </row>
    <row r="4100" spans="1:14" ht="12.75" hidden="1" customHeight="1" x14ac:dyDescent="0.2">
      <c r="A4100">
        <v>65061</v>
      </c>
      <c r="B4100" s="3" t="s">
        <v>1844</v>
      </c>
      <c r="C4100" s="7" t="s">
        <v>1638</v>
      </c>
      <c r="D4100" s="7" t="s">
        <v>221</v>
      </c>
      <c r="F4100" s="7" t="s">
        <v>1978</v>
      </c>
      <c r="G4100" s="7" t="s">
        <v>2120</v>
      </c>
      <c r="H4100" s="7" t="s">
        <v>1362</v>
      </c>
      <c r="I4100" s="7" t="s">
        <v>1253</v>
      </c>
      <c r="K4100" s="39" t="s">
        <v>1623</v>
      </c>
      <c r="L4100" s="40">
        <v>244.65</v>
      </c>
      <c r="M4100" s="40">
        <v>295548.01</v>
      </c>
      <c r="N4100" s="40">
        <f t="shared" si="156"/>
        <v>244.65</v>
      </c>
    </row>
    <row r="4101" spans="1:14" ht="12.75" hidden="1" customHeight="1" x14ac:dyDescent="0.2">
      <c r="A4101">
        <v>65061</v>
      </c>
      <c r="B4101" s="3" t="s">
        <v>1844</v>
      </c>
      <c r="C4101" s="7" t="s">
        <v>1638</v>
      </c>
      <c r="D4101" s="7" t="s">
        <v>221</v>
      </c>
      <c r="F4101" s="7" t="s">
        <v>241</v>
      </c>
      <c r="G4101" s="7" t="s">
        <v>2120</v>
      </c>
      <c r="H4101" s="7" t="s">
        <v>1362</v>
      </c>
      <c r="I4101" s="7" t="s">
        <v>1253</v>
      </c>
      <c r="K4101" s="39" t="s">
        <v>1623</v>
      </c>
      <c r="L4101" s="40">
        <v>77.3</v>
      </c>
      <c r="M4101" s="40">
        <v>295563.18</v>
      </c>
      <c r="N4101" s="40">
        <f t="shared" si="156"/>
        <v>77.3</v>
      </c>
    </row>
    <row r="4102" spans="1:14" ht="12.75" hidden="1" customHeight="1" x14ac:dyDescent="0.2">
      <c r="A4102">
        <v>65061</v>
      </c>
      <c r="B4102" s="3" t="s">
        <v>1844</v>
      </c>
      <c r="C4102" s="7" t="s">
        <v>1638</v>
      </c>
      <c r="D4102" s="7" t="s">
        <v>221</v>
      </c>
      <c r="F4102" s="7" t="s">
        <v>241</v>
      </c>
      <c r="G4102" s="7" t="s">
        <v>2120</v>
      </c>
      <c r="H4102" s="7" t="s">
        <v>1362</v>
      </c>
      <c r="I4102" s="7" t="s">
        <v>1253</v>
      </c>
      <c r="K4102" s="39" t="s">
        <v>1623</v>
      </c>
      <c r="L4102" s="40">
        <v>57.97</v>
      </c>
      <c r="M4102" s="40">
        <v>295621.15000000002</v>
      </c>
      <c r="N4102" s="40">
        <f t="shared" si="156"/>
        <v>57.97</v>
      </c>
    </row>
    <row r="4103" spans="1:14" ht="12.75" hidden="1" customHeight="1" x14ac:dyDescent="0.2">
      <c r="A4103">
        <v>65061</v>
      </c>
      <c r="B4103" s="3" t="s">
        <v>1844</v>
      </c>
      <c r="C4103" s="7" t="s">
        <v>1638</v>
      </c>
      <c r="D4103" s="7" t="s">
        <v>221</v>
      </c>
      <c r="F4103" s="7" t="s">
        <v>563</v>
      </c>
      <c r="G4103" s="7" t="s">
        <v>2120</v>
      </c>
      <c r="H4103" s="7" t="s">
        <v>1362</v>
      </c>
      <c r="I4103" s="7" t="s">
        <v>1253</v>
      </c>
      <c r="K4103" s="39" t="s">
        <v>1623</v>
      </c>
      <c r="L4103" s="40">
        <v>153</v>
      </c>
      <c r="M4103" s="40">
        <v>296534.34000000003</v>
      </c>
      <c r="N4103" s="40">
        <f t="shared" si="156"/>
        <v>153</v>
      </c>
    </row>
    <row r="4104" spans="1:14" ht="12.75" hidden="1" customHeight="1" x14ac:dyDescent="0.2">
      <c r="A4104">
        <v>65061</v>
      </c>
      <c r="B4104" s="3" t="s">
        <v>1844</v>
      </c>
      <c r="C4104" s="7" t="s">
        <v>1640</v>
      </c>
      <c r="D4104" s="7" t="s">
        <v>221</v>
      </c>
      <c r="F4104" s="7" t="s">
        <v>563</v>
      </c>
      <c r="G4104" s="7" t="s">
        <v>2120</v>
      </c>
      <c r="H4104" s="7" t="s">
        <v>1362</v>
      </c>
      <c r="I4104" s="7" t="s">
        <v>1253</v>
      </c>
      <c r="K4104" s="39" t="s">
        <v>1623</v>
      </c>
      <c r="L4104" s="40">
        <v>94.99</v>
      </c>
      <c r="M4104" s="40">
        <v>296629.33</v>
      </c>
      <c r="N4104" s="40">
        <f t="shared" si="156"/>
        <v>94.99</v>
      </c>
    </row>
    <row r="4105" spans="1:14" ht="12.75" hidden="1" customHeight="1" x14ac:dyDescent="0.2">
      <c r="A4105">
        <v>65061</v>
      </c>
      <c r="B4105" s="3" t="s">
        <v>1844</v>
      </c>
      <c r="C4105" s="7" t="s">
        <v>1722</v>
      </c>
      <c r="D4105" s="7" t="s">
        <v>221</v>
      </c>
      <c r="F4105" s="7" t="s">
        <v>564</v>
      </c>
      <c r="G4105" s="7" t="s">
        <v>2120</v>
      </c>
      <c r="H4105" s="7" t="s">
        <v>1362</v>
      </c>
      <c r="I4105" s="7" t="s">
        <v>1253</v>
      </c>
      <c r="K4105" s="39" t="s">
        <v>1623</v>
      </c>
      <c r="L4105" s="40">
        <v>154.80000000000001</v>
      </c>
      <c r="M4105" s="40">
        <v>297774.31</v>
      </c>
      <c r="N4105" s="40">
        <f t="shared" si="156"/>
        <v>154.80000000000001</v>
      </c>
    </row>
    <row r="4106" spans="1:14" ht="12.75" hidden="1" customHeight="1" x14ac:dyDescent="0.2">
      <c r="A4106">
        <v>65061</v>
      </c>
      <c r="B4106" s="3" t="s">
        <v>1844</v>
      </c>
      <c r="C4106" s="7" t="s">
        <v>1648</v>
      </c>
      <c r="D4106" s="7" t="s">
        <v>221</v>
      </c>
      <c r="F4106" s="7" t="s">
        <v>571</v>
      </c>
      <c r="G4106" s="7" t="s">
        <v>2120</v>
      </c>
      <c r="H4106" s="7" t="s">
        <v>1362</v>
      </c>
      <c r="I4106" s="7" t="s">
        <v>1253</v>
      </c>
      <c r="K4106" s="39" t="s">
        <v>1623</v>
      </c>
      <c r="L4106" s="40">
        <v>434.96</v>
      </c>
      <c r="M4106" s="40">
        <v>303415.76</v>
      </c>
      <c r="N4106" s="40">
        <f t="shared" si="156"/>
        <v>434.96</v>
      </c>
    </row>
    <row r="4107" spans="1:14" ht="12.75" hidden="1" customHeight="1" x14ac:dyDescent="0.2">
      <c r="A4107">
        <v>65061</v>
      </c>
      <c r="B4107" s="3" t="s">
        <v>1844</v>
      </c>
      <c r="C4107" s="7" t="s">
        <v>1648</v>
      </c>
      <c r="D4107" s="7" t="s">
        <v>221</v>
      </c>
      <c r="F4107" s="7" t="s">
        <v>546</v>
      </c>
      <c r="G4107" s="7" t="s">
        <v>2120</v>
      </c>
      <c r="H4107" s="7" t="s">
        <v>1362</v>
      </c>
      <c r="I4107" s="7" t="s">
        <v>1253</v>
      </c>
      <c r="K4107" s="39" t="s">
        <v>1623</v>
      </c>
      <c r="L4107" s="40">
        <v>156.34</v>
      </c>
      <c r="M4107" s="40">
        <v>303572.09999999998</v>
      </c>
      <c r="N4107" s="40">
        <f t="shared" si="156"/>
        <v>156.34</v>
      </c>
    </row>
    <row r="4108" spans="1:14" ht="12.75" hidden="1" customHeight="1" x14ac:dyDescent="0.2">
      <c r="A4108">
        <v>65061</v>
      </c>
      <c r="B4108" s="3" t="s">
        <v>1844</v>
      </c>
      <c r="C4108" s="7" t="s">
        <v>1664</v>
      </c>
      <c r="D4108" s="7" t="s">
        <v>221</v>
      </c>
      <c r="F4108" s="7" t="s">
        <v>1989</v>
      </c>
      <c r="G4108" s="7" t="s">
        <v>2120</v>
      </c>
      <c r="H4108" s="7" t="s">
        <v>1362</v>
      </c>
      <c r="I4108" s="7" t="s">
        <v>1253</v>
      </c>
      <c r="K4108" s="39" t="s">
        <v>1623</v>
      </c>
      <c r="L4108" s="40">
        <v>626</v>
      </c>
      <c r="M4108" s="40">
        <v>305752.2</v>
      </c>
      <c r="N4108" s="40">
        <f t="shared" si="156"/>
        <v>626</v>
      </c>
    </row>
    <row r="4109" spans="1:14" ht="12.75" hidden="1" customHeight="1" x14ac:dyDescent="0.2">
      <c r="A4109">
        <v>65090</v>
      </c>
      <c r="B4109" s="3" t="s">
        <v>1993</v>
      </c>
      <c r="C4109" s="7" t="s">
        <v>1704</v>
      </c>
      <c r="D4109" s="7" t="s">
        <v>200</v>
      </c>
      <c r="E4109" s="7">
        <v>533</v>
      </c>
      <c r="F4109" s="7" t="s">
        <v>1762</v>
      </c>
      <c r="G4109" s="7" t="s">
        <v>2120</v>
      </c>
      <c r="H4109" s="7" t="s">
        <v>1369</v>
      </c>
      <c r="I4109" s="7" t="s">
        <v>1258</v>
      </c>
      <c r="J4109" s="39" t="s">
        <v>1996</v>
      </c>
      <c r="K4109" s="39" t="s">
        <v>198</v>
      </c>
      <c r="L4109" s="40">
        <v>49</v>
      </c>
      <c r="M4109" s="40">
        <v>1689.62</v>
      </c>
      <c r="N4109" s="40">
        <f t="shared" si="156"/>
        <v>49</v>
      </c>
    </row>
    <row r="4110" spans="1:14" ht="12.75" hidden="1" customHeight="1" x14ac:dyDescent="0.2">
      <c r="A4110">
        <v>65095</v>
      </c>
      <c r="B4110" s="3" t="s">
        <v>1259</v>
      </c>
      <c r="C4110" s="7" t="s">
        <v>1631</v>
      </c>
      <c r="D4110" s="7" t="s">
        <v>183</v>
      </c>
      <c r="E4110" s="7">
        <v>724</v>
      </c>
      <c r="G4110" s="7" t="s">
        <v>2120</v>
      </c>
      <c r="H4110" s="43" t="s">
        <v>1361</v>
      </c>
      <c r="I4110" s="7" t="s">
        <v>1259</v>
      </c>
      <c r="K4110" s="39" t="s">
        <v>180</v>
      </c>
      <c r="L4110" s="40">
        <v>2.88</v>
      </c>
      <c r="M4110" s="40">
        <v>1075.4000000000001</v>
      </c>
      <c r="N4110" s="40">
        <f t="shared" si="156"/>
        <v>2.88</v>
      </c>
    </row>
    <row r="4111" spans="1:14" ht="12.75" hidden="1" customHeight="1" x14ac:dyDescent="0.2">
      <c r="A4111">
        <v>65095</v>
      </c>
      <c r="B4111" s="3" t="s">
        <v>1259</v>
      </c>
      <c r="C4111" s="7" t="s">
        <v>1638</v>
      </c>
      <c r="D4111" s="7" t="s">
        <v>183</v>
      </c>
      <c r="E4111" s="7">
        <v>733</v>
      </c>
      <c r="G4111" s="7" t="s">
        <v>2120</v>
      </c>
      <c r="H4111" s="43" t="s">
        <v>1361</v>
      </c>
      <c r="I4111" s="7" t="s">
        <v>1259</v>
      </c>
      <c r="J4111" s="39" t="s">
        <v>2008</v>
      </c>
      <c r="K4111" s="39" t="s">
        <v>180</v>
      </c>
      <c r="L4111" s="40">
        <v>3.29</v>
      </c>
      <c r="M4111" s="40">
        <v>1091.21</v>
      </c>
      <c r="N4111" s="40">
        <f t="shared" si="156"/>
        <v>3.29</v>
      </c>
    </row>
    <row r="4112" spans="1:14" ht="12.75" hidden="1" customHeight="1" x14ac:dyDescent="0.2">
      <c r="A4112">
        <v>65095</v>
      </c>
      <c r="B4112" s="3" t="s">
        <v>1259</v>
      </c>
      <c r="C4112" s="7" t="s">
        <v>1646</v>
      </c>
      <c r="D4112" s="7" t="s">
        <v>183</v>
      </c>
      <c r="E4112" s="7">
        <v>746</v>
      </c>
      <c r="G4112" s="7" t="s">
        <v>2120</v>
      </c>
      <c r="H4112" s="43" t="s">
        <v>1361</v>
      </c>
      <c r="I4112" s="7" t="s">
        <v>1259</v>
      </c>
      <c r="J4112" s="39" t="s">
        <v>425</v>
      </c>
      <c r="K4112" s="39" t="s">
        <v>180</v>
      </c>
      <c r="L4112" s="40">
        <v>3.76</v>
      </c>
      <c r="M4112" s="40">
        <v>1158.6400000000001</v>
      </c>
      <c r="N4112" s="40">
        <f t="shared" si="156"/>
        <v>3.76</v>
      </c>
    </row>
    <row r="4113" spans="1:14" ht="12.75" hidden="1" customHeight="1" x14ac:dyDescent="0.2">
      <c r="A4113">
        <v>65110</v>
      </c>
      <c r="B4113" s="3" t="s">
        <v>1261</v>
      </c>
      <c r="C4113" s="7" t="s">
        <v>1789</v>
      </c>
      <c r="D4113" s="7" t="s">
        <v>221</v>
      </c>
      <c r="F4113" s="7" t="s">
        <v>2010</v>
      </c>
      <c r="G4113" s="7" t="s">
        <v>2120</v>
      </c>
      <c r="H4113" s="7" t="s">
        <v>1369</v>
      </c>
      <c r="I4113" s="7" t="s">
        <v>1258</v>
      </c>
      <c r="K4113" s="39" t="s">
        <v>1623</v>
      </c>
      <c r="L4113" s="40">
        <v>41.02</v>
      </c>
      <c r="M4113" s="40">
        <v>266.02</v>
      </c>
      <c r="N4113" s="40">
        <f t="shared" si="156"/>
        <v>41.02</v>
      </c>
    </row>
    <row r="4114" spans="1:14" ht="12.75" hidden="1" customHeight="1" x14ac:dyDescent="0.2">
      <c r="A4114">
        <v>65110</v>
      </c>
      <c r="B4114" s="3" t="s">
        <v>1261</v>
      </c>
      <c r="C4114" s="7" t="s">
        <v>1638</v>
      </c>
      <c r="D4114" s="7" t="s">
        <v>221</v>
      </c>
      <c r="F4114" s="7" t="s">
        <v>2010</v>
      </c>
      <c r="G4114" s="7" t="s">
        <v>2120</v>
      </c>
      <c r="H4114" s="7" t="s">
        <v>1369</v>
      </c>
      <c r="I4114" s="7" t="s">
        <v>1258</v>
      </c>
      <c r="K4114" s="39" t="s">
        <v>1623</v>
      </c>
      <c r="L4114" s="40">
        <v>3.23</v>
      </c>
      <c r="M4114" s="40">
        <v>269.25</v>
      </c>
      <c r="N4114" s="40">
        <f t="shared" si="156"/>
        <v>3.23</v>
      </c>
    </row>
    <row r="4115" spans="1:14" ht="12.75" hidden="1" customHeight="1" x14ac:dyDescent="0.2">
      <c r="A4115">
        <v>65110</v>
      </c>
      <c r="B4115" s="3" t="s">
        <v>1261</v>
      </c>
      <c r="C4115" s="7" t="s">
        <v>1790</v>
      </c>
      <c r="D4115" s="7" t="s">
        <v>221</v>
      </c>
      <c r="F4115" s="7" t="s">
        <v>2010</v>
      </c>
      <c r="G4115" s="7" t="s">
        <v>2120</v>
      </c>
      <c r="H4115" s="7" t="s">
        <v>1369</v>
      </c>
      <c r="I4115" s="7" t="s">
        <v>1258</v>
      </c>
      <c r="K4115" s="39" t="s">
        <v>1623</v>
      </c>
      <c r="L4115" s="40">
        <v>242.68</v>
      </c>
      <c r="M4115" s="40">
        <v>511.93</v>
      </c>
      <c r="N4115" s="40">
        <f t="shared" si="156"/>
        <v>242.68</v>
      </c>
    </row>
    <row r="4116" spans="1:14" ht="12.75" hidden="1" customHeight="1" x14ac:dyDescent="0.2">
      <c r="A4116">
        <v>66800</v>
      </c>
      <c r="B4116" s="3" t="s">
        <v>2021</v>
      </c>
      <c r="C4116" s="7" t="s">
        <v>1658</v>
      </c>
      <c r="D4116" s="7" t="s">
        <v>190</v>
      </c>
      <c r="E4116" s="7" t="s">
        <v>189</v>
      </c>
      <c r="F4116" s="7" t="s">
        <v>2022</v>
      </c>
      <c r="G4116" s="7" t="s">
        <v>2120</v>
      </c>
      <c r="H4116" s="7" t="s">
        <v>1362</v>
      </c>
      <c r="I4116" s="7" t="s">
        <v>1538</v>
      </c>
      <c r="J4116" s="39" t="s">
        <v>411</v>
      </c>
      <c r="K4116" s="39" t="s">
        <v>186</v>
      </c>
      <c r="L4116" s="40">
        <v>76.5</v>
      </c>
      <c r="M4116" s="40">
        <v>5726.23</v>
      </c>
      <c r="N4116" s="40">
        <f t="shared" si="156"/>
        <v>76.5</v>
      </c>
    </row>
    <row r="4117" spans="1:14" ht="12.75" hidden="1" customHeight="1" x14ac:dyDescent="0.2">
      <c r="A4117">
        <v>66800</v>
      </c>
      <c r="B4117" s="3" t="s">
        <v>2021</v>
      </c>
      <c r="C4117" s="7" t="s">
        <v>1543</v>
      </c>
      <c r="D4117" s="7" t="s">
        <v>190</v>
      </c>
      <c r="E4117" s="7" t="s">
        <v>189</v>
      </c>
      <c r="F4117" s="7" t="s">
        <v>2022</v>
      </c>
      <c r="G4117" s="7" t="s">
        <v>2120</v>
      </c>
      <c r="H4117" s="7" t="s">
        <v>1362</v>
      </c>
      <c r="I4117" s="7" t="s">
        <v>1538</v>
      </c>
      <c r="J4117" s="39" t="s">
        <v>411</v>
      </c>
      <c r="K4117" s="39" t="s">
        <v>186</v>
      </c>
      <c r="L4117" s="40">
        <v>76.5</v>
      </c>
      <c r="M4117" s="40">
        <v>6191.6</v>
      </c>
      <c r="N4117" s="40">
        <f t="shared" si="156"/>
        <v>76.5</v>
      </c>
    </row>
    <row r="4118" spans="1:14" ht="12.75" hidden="1" customHeight="1" x14ac:dyDescent="0.2">
      <c r="A4118">
        <v>66800</v>
      </c>
      <c r="B4118" s="3" t="s">
        <v>2021</v>
      </c>
      <c r="C4118" s="7" t="s">
        <v>1619</v>
      </c>
      <c r="D4118" s="7" t="s">
        <v>190</v>
      </c>
      <c r="E4118" s="7" t="s">
        <v>189</v>
      </c>
      <c r="F4118" s="7" t="s">
        <v>2022</v>
      </c>
      <c r="G4118" s="7" t="s">
        <v>2120</v>
      </c>
      <c r="H4118" s="7" t="s">
        <v>1369</v>
      </c>
      <c r="I4118" s="7" t="s">
        <v>1538</v>
      </c>
      <c r="J4118" s="39" t="s">
        <v>411</v>
      </c>
      <c r="K4118" s="39" t="s">
        <v>186</v>
      </c>
      <c r="L4118" s="40">
        <v>76.5</v>
      </c>
      <c r="M4118" s="40">
        <v>6586.85</v>
      </c>
      <c r="N4118" s="40">
        <f t="shared" si="156"/>
        <v>76.5</v>
      </c>
    </row>
    <row r="4119" spans="1:14" ht="12.75" hidden="1" customHeight="1" x14ac:dyDescent="0.2">
      <c r="A4119">
        <v>66800</v>
      </c>
      <c r="B4119" s="3" t="s">
        <v>2021</v>
      </c>
      <c r="C4119" s="7" t="s">
        <v>1635</v>
      </c>
      <c r="D4119" s="7" t="s">
        <v>190</v>
      </c>
      <c r="E4119" s="7" t="s">
        <v>189</v>
      </c>
      <c r="F4119" s="7" t="s">
        <v>2022</v>
      </c>
      <c r="G4119" s="7" t="s">
        <v>2120</v>
      </c>
      <c r="H4119" s="7" t="s">
        <v>1369</v>
      </c>
      <c r="I4119" s="7" t="s">
        <v>1538</v>
      </c>
      <c r="J4119" s="39" t="s">
        <v>411</v>
      </c>
      <c r="K4119" s="39" t="s">
        <v>186</v>
      </c>
      <c r="L4119" s="40">
        <v>76.5</v>
      </c>
      <c r="M4119" s="40">
        <v>6803.98</v>
      </c>
      <c r="N4119" s="40">
        <f t="shared" si="156"/>
        <v>76.5</v>
      </c>
    </row>
    <row r="4120" spans="1:14" ht="12.75" hidden="1" customHeight="1" x14ac:dyDescent="0.2">
      <c r="A4120">
        <v>66800</v>
      </c>
      <c r="B4120" s="3" t="s">
        <v>2021</v>
      </c>
      <c r="C4120" s="7" t="s">
        <v>1664</v>
      </c>
      <c r="D4120" s="7" t="s">
        <v>190</v>
      </c>
      <c r="E4120" s="7" t="s">
        <v>189</v>
      </c>
      <c r="F4120" s="7" t="s">
        <v>2022</v>
      </c>
      <c r="G4120" s="7" t="s">
        <v>2120</v>
      </c>
      <c r="H4120" s="7" t="s">
        <v>1369</v>
      </c>
      <c r="I4120" s="7" t="s">
        <v>1538</v>
      </c>
      <c r="J4120" s="39" t="s">
        <v>411</v>
      </c>
      <c r="K4120" s="39" t="s">
        <v>186</v>
      </c>
      <c r="L4120" s="40">
        <v>76.5</v>
      </c>
      <c r="M4120" s="40">
        <v>7256.97</v>
      </c>
      <c r="N4120" s="40">
        <f t="shared" si="156"/>
        <v>76.5</v>
      </c>
    </row>
    <row r="4121" spans="1:14" ht="12.75" hidden="1" customHeight="1" x14ac:dyDescent="0.2">
      <c r="A4121">
        <v>66855</v>
      </c>
      <c r="B4121" s="3" t="s">
        <v>1265</v>
      </c>
      <c r="C4121" s="7" t="s">
        <v>1658</v>
      </c>
      <c r="D4121" s="7" t="s">
        <v>190</v>
      </c>
      <c r="E4121" s="7" t="s">
        <v>189</v>
      </c>
      <c r="F4121" s="7" t="s">
        <v>2022</v>
      </c>
      <c r="G4121" s="7" t="s">
        <v>2120</v>
      </c>
      <c r="H4121" s="7" t="s">
        <v>1362</v>
      </c>
      <c r="I4121" s="7" t="s">
        <v>1538</v>
      </c>
      <c r="J4121" s="39" t="s">
        <v>187</v>
      </c>
      <c r="K4121" s="39" t="s">
        <v>186</v>
      </c>
      <c r="L4121" s="40">
        <v>1000</v>
      </c>
      <c r="M4121" s="40">
        <v>20499.990000000002</v>
      </c>
      <c r="N4121" s="40">
        <f t="shared" si="156"/>
        <v>1000</v>
      </c>
    </row>
    <row r="4122" spans="1:14" ht="12.75" hidden="1" customHeight="1" x14ac:dyDescent="0.2">
      <c r="A4122">
        <v>66855</v>
      </c>
      <c r="B4122" s="3" t="s">
        <v>1265</v>
      </c>
      <c r="C4122" s="7" t="s">
        <v>1543</v>
      </c>
      <c r="D4122" s="7" t="s">
        <v>190</v>
      </c>
      <c r="E4122" s="7" t="s">
        <v>189</v>
      </c>
      <c r="F4122" s="7" t="s">
        <v>2022</v>
      </c>
      <c r="G4122" s="7" t="s">
        <v>2120</v>
      </c>
      <c r="H4122" s="7" t="s">
        <v>1362</v>
      </c>
      <c r="I4122" s="7" t="s">
        <v>1538</v>
      </c>
      <c r="J4122" s="39" t="s">
        <v>187</v>
      </c>
      <c r="K4122" s="39" t="s">
        <v>186</v>
      </c>
      <c r="L4122" s="40">
        <v>1000</v>
      </c>
      <c r="M4122" s="40">
        <v>21499.99</v>
      </c>
      <c r="N4122" s="40">
        <f t="shared" si="156"/>
        <v>1000</v>
      </c>
    </row>
    <row r="4123" spans="1:14" ht="12.75" hidden="1" customHeight="1" x14ac:dyDescent="0.2">
      <c r="A4123">
        <v>66855</v>
      </c>
      <c r="B4123" s="3" t="s">
        <v>1265</v>
      </c>
      <c r="C4123" s="7" t="s">
        <v>1619</v>
      </c>
      <c r="D4123" s="7" t="s">
        <v>190</v>
      </c>
      <c r="E4123" s="7" t="s">
        <v>189</v>
      </c>
      <c r="F4123" s="7" t="s">
        <v>2022</v>
      </c>
      <c r="G4123" s="7" t="s">
        <v>2120</v>
      </c>
      <c r="H4123" s="7" t="s">
        <v>1369</v>
      </c>
      <c r="I4123" s="7" t="s">
        <v>1538</v>
      </c>
      <c r="J4123" s="39" t="s">
        <v>187</v>
      </c>
      <c r="K4123" s="39" t="s">
        <v>186</v>
      </c>
      <c r="L4123" s="40">
        <v>1000</v>
      </c>
      <c r="M4123" s="40">
        <v>22499.99</v>
      </c>
      <c r="N4123" s="40">
        <f t="shared" si="156"/>
        <v>1000</v>
      </c>
    </row>
    <row r="4124" spans="1:14" ht="12.75" hidden="1" customHeight="1" x14ac:dyDescent="0.2">
      <c r="A4124">
        <v>66855</v>
      </c>
      <c r="B4124" s="3" t="s">
        <v>1265</v>
      </c>
      <c r="C4124" s="7" t="s">
        <v>1635</v>
      </c>
      <c r="D4124" s="7" t="s">
        <v>190</v>
      </c>
      <c r="E4124" s="7" t="s">
        <v>189</v>
      </c>
      <c r="F4124" s="7" t="s">
        <v>2022</v>
      </c>
      <c r="G4124" s="7" t="s">
        <v>2120</v>
      </c>
      <c r="H4124" s="7" t="s">
        <v>1369</v>
      </c>
      <c r="I4124" s="7" t="s">
        <v>1538</v>
      </c>
      <c r="J4124" s="39" t="s">
        <v>187</v>
      </c>
      <c r="K4124" s="39" t="s">
        <v>186</v>
      </c>
      <c r="L4124" s="40">
        <v>1000</v>
      </c>
      <c r="M4124" s="40">
        <v>24749.99</v>
      </c>
      <c r="N4124" s="40">
        <f t="shared" si="156"/>
        <v>1000</v>
      </c>
    </row>
    <row r="4125" spans="1:14" ht="12.75" hidden="1" customHeight="1" x14ac:dyDescent="0.2">
      <c r="A4125">
        <v>66855</v>
      </c>
      <c r="B4125" s="3" t="s">
        <v>1265</v>
      </c>
      <c r="C4125" s="7" t="s">
        <v>1664</v>
      </c>
      <c r="D4125" s="7" t="s">
        <v>190</v>
      </c>
      <c r="E4125" s="7" t="s">
        <v>189</v>
      </c>
      <c r="F4125" s="7" t="s">
        <v>2022</v>
      </c>
      <c r="G4125" s="7" t="s">
        <v>2120</v>
      </c>
      <c r="H4125" s="7" t="s">
        <v>1369</v>
      </c>
      <c r="I4125" s="7" t="s">
        <v>1538</v>
      </c>
      <c r="J4125" s="39" t="s">
        <v>187</v>
      </c>
      <c r="K4125" s="39" t="s">
        <v>186</v>
      </c>
      <c r="L4125" s="40">
        <v>1000</v>
      </c>
      <c r="M4125" s="40">
        <v>27576.87</v>
      </c>
      <c r="N4125" s="40">
        <f t="shared" si="156"/>
        <v>1000</v>
      </c>
    </row>
    <row r="4126" spans="1:14" ht="12.75" hidden="1" customHeight="1" x14ac:dyDescent="0.2">
      <c r="A4126">
        <v>67001</v>
      </c>
      <c r="B4126" s="3" t="s">
        <v>1268</v>
      </c>
      <c r="C4126" s="7" t="s">
        <v>1624</v>
      </c>
      <c r="D4126" s="7" t="s">
        <v>200</v>
      </c>
      <c r="E4126" s="7">
        <v>1</v>
      </c>
      <c r="F4126" s="7" t="s">
        <v>259</v>
      </c>
      <c r="G4126" s="7" t="s">
        <v>2120</v>
      </c>
      <c r="H4126" s="70" t="s">
        <v>2129</v>
      </c>
      <c r="I4126" s="7" t="s">
        <v>1268</v>
      </c>
      <c r="K4126" s="39" t="s">
        <v>1615</v>
      </c>
      <c r="L4126" s="40">
        <v>0.49</v>
      </c>
      <c r="M4126" s="40">
        <v>76519.570000000007</v>
      </c>
      <c r="N4126" s="40">
        <f t="shared" si="156"/>
        <v>0.49</v>
      </c>
    </row>
    <row r="4127" spans="1:14" ht="12.75" customHeight="1" x14ac:dyDescent="0.2">
      <c r="A4127">
        <v>46430</v>
      </c>
      <c r="B4127" s="3" t="s">
        <v>1231</v>
      </c>
      <c r="C4127" s="7" t="s">
        <v>1663</v>
      </c>
      <c r="D4127" s="7" t="s">
        <v>242</v>
      </c>
      <c r="F4127" s="7" t="s">
        <v>446</v>
      </c>
      <c r="G4127" s="7" t="s">
        <v>1568</v>
      </c>
      <c r="H4127" s="7" t="s">
        <v>1359</v>
      </c>
      <c r="I4127" s="7" t="s">
        <v>1231</v>
      </c>
      <c r="K4127" s="39" t="s">
        <v>258</v>
      </c>
      <c r="L4127" s="40">
        <v>0.08</v>
      </c>
      <c r="M4127" s="40">
        <v>90.01</v>
      </c>
      <c r="N4127" s="41">
        <f>-L4127</f>
        <v>-0.08</v>
      </c>
    </row>
    <row r="4128" spans="1:14" ht="12.75" customHeight="1" x14ac:dyDescent="0.2">
      <c r="A4128">
        <v>46430</v>
      </c>
      <c r="B4128" s="3" t="s">
        <v>1231</v>
      </c>
      <c r="C4128" s="7" t="s">
        <v>1664</v>
      </c>
      <c r="D4128" s="7" t="s">
        <v>242</v>
      </c>
      <c r="F4128" s="7" t="s">
        <v>446</v>
      </c>
      <c r="G4128" s="7" t="s">
        <v>1568</v>
      </c>
      <c r="H4128" s="7" t="s">
        <v>1359</v>
      </c>
      <c r="I4128" s="7" t="s">
        <v>1231</v>
      </c>
      <c r="K4128" s="39" t="s">
        <v>258</v>
      </c>
      <c r="L4128" s="40">
        <v>0.08</v>
      </c>
      <c r="M4128" s="40">
        <v>100.3</v>
      </c>
      <c r="N4128" s="41">
        <f>-L4128</f>
        <v>-0.08</v>
      </c>
    </row>
    <row r="4129" spans="1:14" ht="12.75" customHeight="1" x14ac:dyDescent="0.2">
      <c r="A4129">
        <v>43430</v>
      </c>
      <c r="B4129" s="3" t="s">
        <v>1231</v>
      </c>
      <c r="C4129" s="7" t="s">
        <v>448</v>
      </c>
      <c r="D4129" s="7" t="s">
        <v>242</v>
      </c>
      <c r="F4129" s="7" t="s">
        <v>336</v>
      </c>
      <c r="G4129" s="7" t="s">
        <v>1579</v>
      </c>
      <c r="H4129" s="7" t="s">
        <v>1359</v>
      </c>
      <c r="I4129" s="7" t="s">
        <v>1231</v>
      </c>
      <c r="K4129" s="7" t="s">
        <v>547</v>
      </c>
      <c r="L4129" s="11">
        <v>7.0000000000000007E-2</v>
      </c>
      <c r="M4129" s="11">
        <v>5.77</v>
      </c>
      <c r="N4129" s="9">
        <f t="shared" ref="N4129:N4135" si="157">IF(A4129&lt;60000,-L4129,+L4129)</f>
        <v>-7.0000000000000007E-2</v>
      </c>
    </row>
    <row r="4130" spans="1:14" ht="12.75" customHeight="1" x14ac:dyDescent="0.2">
      <c r="A4130">
        <v>43430</v>
      </c>
      <c r="B4130" s="3" t="s">
        <v>1231</v>
      </c>
      <c r="C4130" s="7" t="s">
        <v>340</v>
      </c>
      <c r="D4130" s="7" t="s">
        <v>242</v>
      </c>
      <c r="F4130" s="7" t="s">
        <v>336</v>
      </c>
      <c r="G4130" s="7" t="s">
        <v>1579</v>
      </c>
      <c r="H4130" s="7" t="s">
        <v>1359</v>
      </c>
      <c r="I4130" s="7" t="s">
        <v>1231</v>
      </c>
      <c r="K4130" s="7" t="s">
        <v>547</v>
      </c>
      <c r="L4130" s="11">
        <v>0.06</v>
      </c>
      <c r="M4130" s="11">
        <v>8.23</v>
      </c>
      <c r="N4130" s="9">
        <f t="shared" si="157"/>
        <v>-0.06</v>
      </c>
    </row>
    <row r="4131" spans="1:14" ht="12.75" customHeight="1" x14ac:dyDescent="0.2">
      <c r="A4131">
        <v>43430</v>
      </c>
      <c r="B4131" s="3" t="s">
        <v>1231</v>
      </c>
      <c r="C4131" s="7" t="s">
        <v>298</v>
      </c>
      <c r="D4131" s="7" t="s">
        <v>242</v>
      </c>
      <c r="F4131" s="7" t="s">
        <v>336</v>
      </c>
      <c r="G4131" s="7" t="s">
        <v>1579</v>
      </c>
      <c r="H4131" s="7" t="s">
        <v>1359</v>
      </c>
      <c r="I4131" s="7" t="s">
        <v>1231</v>
      </c>
      <c r="K4131" s="7" t="s">
        <v>547</v>
      </c>
      <c r="L4131" s="11">
        <v>0.1</v>
      </c>
      <c r="M4131" s="11">
        <v>16.57</v>
      </c>
      <c r="N4131" s="9">
        <f t="shared" si="157"/>
        <v>-0.1</v>
      </c>
    </row>
    <row r="4132" spans="1:14" ht="12.75" customHeight="1" x14ac:dyDescent="0.2">
      <c r="A4132">
        <v>43430</v>
      </c>
      <c r="B4132" s="3" t="s">
        <v>1231</v>
      </c>
      <c r="C4132" s="7" t="s">
        <v>417</v>
      </c>
      <c r="D4132" s="7" t="s">
        <v>242</v>
      </c>
      <c r="F4132" s="7" t="s">
        <v>336</v>
      </c>
      <c r="G4132" s="7" t="s">
        <v>1579</v>
      </c>
      <c r="H4132" s="7" t="s">
        <v>1359</v>
      </c>
      <c r="I4132" s="7" t="s">
        <v>1231</v>
      </c>
      <c r="K4132" s="7" t="s">
        <v>547</v>
      </c>
      <c r="L4132" s="11">
        <v>0.13</v>
      </c>
      <c r="M4132" s="11">
        <v>28.9</v>
      </c>
      <c r="N4132" s="9">
        <f t="shared" si="157"/>
        <v>-0.13</v>
      </c>
    </row>
    <row r="4133" spans="1:14" ht="12.75" customHeight="1" x14ac:dyDescent="0.2">
      <c r="A4133">
        <v>43430</v>
      </c>
      <c r="B4133" s="3" t="s">
        <v>1231</v>
      </c>
      <c r="C4133" s="7" t="s">
        <v>191</v>
      </c>
      <c r="D4133" s="7" t="s">
        <v>242</v>
      </c>
      <c r="F4133" s="7" t="s">
        <v>336</v>
      </c>
      <c r="G4133" s="7" t="s">
        <v>1579</v>
      </c>
      <c r="H4133" s="7" t="s">
        <v>1359</v>
      </c>
      <c r="I4133" s="7" t="s">
        <v>1231</v>
      </c>
      <c r="K4133" s="7" t="s">
        <v>547</v>
      </c>
      <c r="L4133" s="11">
        <v>0.12</v>
      </c>
      <c r="M4133" s="11">
        <v>52.83</v>
      </c>
      <c r="N4133" s="9">
        <f t="shared" si="157"/>
        <v>-0.12</v>
      </c>
    </row>
    <row r="4134" spans="1:14" ht="12.75" customHeight="1" x14ac:dyDescent="0.2">
      <c r="A4134">
        <v>43430</v>
      </c>
      <c r="B4134" s="3" t="s">
        <v>1231</v>
      </c>
      <c r="C4134" s="7" t="s">
        <v>204</v>
      </c>
      <c r="D4134" s="7" t="s">
        <v>242</v>
      </c>
      <c r="F4134" s="7" t="s">
        <v>336</v>
      </c>
      <c r="G4134" s="7" t="s">
        <v>1579</v>
      </c>
      <c r="H4134" s="7" t="s">
        <v>1359</v>
      </c>
      <c r="I4134" s="7" t="s">
        <v>1231</v>
      </c>
      <c r="K4134" s="7" t="s">
        <v>547</v>
      </c>
      <c r="L4134" s="11">
        <v>0.1</v>
      </c>
      <c r="M4134" s="11">
        <v>53.11</v>
      </c>
      <c r="N4134" s="9">
        <f t="shared" si="157"/>
        <v>-0.1</v>
      </c>
    </row>
    <row r="4135" spans="1:14" ht="12.75" customHeight="1" x14ac:dyDescent="0.2">
      <c r="A4135">
        <v>43430</v>
      </c>
      <c r="B4135" s="3" t="s">
        <v>1231</v>
      </c>
      <c r="C4135" s="7" t="s">
        <v>448</v>
      </c>
      <c r="D4135" s="7" t="s">
        <v>242</v>
      </c>
      <c r="F4135" s="7" t="s">
        <v>446</v>
      </c>
      <c r="G4135" s="7" t="s">
        <v>1581</v>
      </c>
      <c r="H4135" s="7" t="s">
        <v>1359</v>
      </c>
      <c r="I4135" s="7" t="s">
        <v>1231</v>
      </c>
      <c r="K4135" s="7" t="s">
        <v>1123</v>
      </c>
      <c r="L4135" s="11">
        <v>2.72</v>
      </c>
      <c r="M4135" s="11">
        <v>3.88</v>
      </c>
      <c r="N4135" s="9">
        <f t="shared" si="157"/>
        <v>-2.72</v>
      </c>
    </row>
    <row r="4136" spans="1:14" ht="12.75" hidden="1" customHeight="1" x14ac:dyDescent="0.2">
      <c r="A4136">
        <v>65025</v>
      </c>
      <c r="B4136" s="3" t="s">
        <v>1246</v>
      </c>
      <c r="C4136" s="7" t="s">
        <v>1803</v>
      </c>
      <c r="D4136" s="7" t="s">
        <v>221</v>
      </c>
      <c r="F4136" s="7" t="s">
        <v>446</v>
      </c>
      <c r="G4136" s="7" t="s">
        <v>1548</v>
      </c>
      <c r="H4136" s="7" t="s">
        <v>1362</v>
      </c>
      <c r="I4136" s="7" t="s">
        <v>1246</v>
      </c>
      <c r="K4136" s="39" t="s">
        <v>294</v>
      </c>
      <c r="L4136" s="40">
        <v>15</v>
      </c>
      <c r="M4136" s="40">
        <v>1886.22</v>
      </c>
      <c r="N4136" s="40">
        <f t="shared" ref="N4136:N4174" si="158">+L4136</f>
        <v>15</v>
      </c>
    </row>
    <row r="4137" spans="1:14" ht="12.75" hidden="1" customHeight="1" x14ac:dyDescent="0.2">
      <c r="A4137">
        <v>65025</v>
      </c>
      <c r="B4137" s="3" t="s">
        <v>1246</v>
      </c>
      <c r="C4137" s="7" t="s">
        <v>1804</v>
      </c>
      <c r="D4137" s="7" t="s">
        <v>221</v>
      </c>
      <c r="F4137" s="7" t="s">
        <v>446</v>
      </c>
      <c r="G4137" s="7" t="s">
        <v>1548</v>
      </c>
      <c r="H4137" s="7" t="s">
        <v>1362</v>
      </c>
      <c r="I4137" s="7" t="s">
        <v>1246</v>
      </c>
      <c r="K4137" s="39" t="s">
        <v>294</v>
      </c>
      <c r="L4137" s="40">
        <v>15</v>
      </c>
      <c r="M4137" s="40">
        <v>2178.1999999999998</v>
      </c>
      <c r="N4137" s="40">
        <f t="shared" si="158"/>
        <v>15</v>
      </c>
    </row>
    <row r="4138" spans="1:14" ht="12.75" hidden="1" customHeight="1" x14ac:dyDescent="0.2">
      <c r="A4138">
        <v>65061</v>
      </c>
      <c r="B4138" s="3" t="s">
        <v>1844</v>
      </c>
      <c r="C4138" s="7" t="s">
        <v>1856</v>
      </c>
      <c r="D4138" s="7" t="s">
        <v>242</v>
      </c>
      <c r="F4138" s="7" t="s">
        <v>589</v>
      </c>
      <c r="G4138" s="7" t="s">
        <v>1548</v>
      </c>
      <c r="H4138" s="7" t="s">
        <v>1362</v>
      </c>
      <c r="I4138" s="7" t="s">
        <v>1253</v>
      </c>
      <c r="K4138" s="39" t="s">
        <v>294</v>
      </c>
      <c r="L4138" s="40">
        <v>-54.11</v>
      </c>
      <c r="M4138" s="40">
        <v>209498.16</v>
      </c>
      <c r="N4138" s="40">
        <f t="shared" si="158"/>
        <v>-54.11</v>
      </c>
    </row>
    <row r="4139" spans="1:14" ht="12.75" hidden="1" customHeight="1" x14ac:dyDescent="0.2">
      <c r="A4139">
        <v>65061</v>
      </c>
      <c r="B4139" s="3" t="s">
        <v>1844</v>
      </c>
      <c r="C4139" s="7" t="s">
        <v>1795</v>
      </c>
      <c r="D4139" s="7" t="s">
        <v>200</v>
      </c>
      <c r="E4139" s="7">
        <v>1005</v>
      </c>
      <c r="F4139" s="7" t="s">
        <v>1899</v>
      </c>
      <c r="G4139" s="7" t="s">
        <v>1548</v>
      </c>
      <c r="H4139" s="7" t="s">
        <v>1362</v>
      </c>
      <c r="I4139" s="7" t="s">
        <v>1253</v>
      </c>
      <c r="K4139" s="39" t="s">
        <v>294</v>
      </c>
      <c r="L4139" s="40">
        <v>178.21</v>
      </c>
      <c r="M4139" s="40">
        <v>239665.12</v>
      </c>
      <c r="N4139" s="40">
        <f t="shared" si="158"/>
        <v>178.21</v>
      </c>
    </row>
    <row r="4140" spans="1:14" ht="12.75" hidden="1" customHeight="1" x14ac:dyDescent="0.2">
      <c r="A4140">
        <v>65061</v>
      </c>
      <c r="B4140" s="3" t="s">
        <v>1844</v>
      </c>
      <c r="C4140" s="7" t="s">
        <v>1804</v>
      </c>
      <c r="D4140" s="7" t="s">
        <v>221</v>
      </c>
      <c r="F4140" s="7" t="s">
        <v>570</v>
      </c>
      <c r="G4140" s="7" t="s">
        <v>1548</v>
      </c>
      <c r="H4140" s="7" t="s">
        <v>1362</v>
      </c>
      <c r="I4140" s="7" t="s">
        <v>1253</v>
      </c>
      <c r="K4140" s="39" t="s">
        <v>294</v>
      </c>
      <c r="L4140" s="40">
        <v>145.84</v>
      </c>
      <c r="M4140" s="40">
        <v>248051.06</v>
      </c>
      <c r="N4140" s="40">
        <f t="shared" si="158"/>
        <v>145.84</v>
      </c>
    </row>
    <row r="4141" spans="1:14" ht="12.75" hidden="1" customHeight="1" x14ac:dyDescent="0.2">
      <c r="A4141">
        <v>65061</v>
      </c>
      <c r="B4141" s="3" t="s">
        <v>1844</v>
      </c>
      <c r="C4141" s="7" t="s">
        <v>1804</v>
      </c>
      <c r="D4141" s="7" t="s">
        <v>221</v>
      </c>
      <c r="F4141" s="7" t="s">
        <v>241</v>
      </c>
      <c r="G4141" s="7" t="s">
        <v>1548</v>
      </c>
      <c r="H4141" s="7" t="s">
        <v>1362</v>
      </c>
      <c r="I4141" s="7" t="s">
        <v>1253</v>
      </c>
      <c r="K4141" s="39" t="s">
        <v>294</v>
      </c>
      <c r="L4141" s="40">
        <v>56.42</v>
      </c>
      <c r="M4141" s="40">
        <v>248107.48</v>
      </c>
      <c r="N4141" s="40">
        <f t="shared" si="158"/>
        <v>56.42</v>
      </c>
    </row>
    <row r="4142" spans="1:14" ht="12.75" hidden="1" customHeight="1" x14ac:dyDescent="0.2">
      <c r="A4142">
        <v>65061</v>
      </c>
      <c r="B4142" s="3" t="s">
        <v>1844</v>
      </c>
      <c r="C4142" s="7" t="s">
        <v>1804</v>
      </c>
      <c r="D4142" s="7" t="s">
        <v>221</v>
      </c>
      <c r="F4142" s="7" t="s">
        <v>1922</v>
      </c>
      <c r="G4142" s="7" t="s">
        <v>1548</v>
      </c>
      <c r="H4142" s="7" t="s">
        <v>1362</v>
      </c>
      <c r="I4142" s="7" t="s">
        <v>1253</v>
      </c>
      <c r="K4142" s="39" t="s">
        <v>294</v>
      </c>
      <c r="L4142" s="40">
        <v>16.190000000000001</v>
      </c>
      <c r="M4142" s="40">
        <v>248123.67</v>
      </c>
      <c r="N4142" s="40">
        <f t="shared" si="158"/>
        <v>16.190000000000001</v>
      </c>
    </row>
    <row r="4143" spans="1:14" ht="12.75" hidden="1" customHeight="1" x14ac:dyDescent="0.2">
      <c r="A4143">
        <v>65061</v>
      </c>
      <c r="B4143" s="3" t="s">
        <v>1844</v>
      </c>
      <c r="C4143" s="7" t="s">
        <v>1804</v>
      </c>
      <c r="D4143" s="7" t="s">
        <v>221</v>
      </c>
      <c r="F4143" s="7" t="s">
        <v>241</v>
      </c>
      <c r="G4143" s="7" t="s">
        <v>1548</v>
      </c>
      <c r="H4143" s="7" t="s">
        <v>1362</v>
      </c>
      <c r="I4143" s="7" t="s">
        <v>1253</v>
      </c>
      <c r="K4143" s="39" t="s">
        <v>294</v>
      </c>
      <c r="L4143" s="40">
        <v>35.450000000000003</v>
      </c>
      <c r="M4143" s="40">
        <v>248159.12</v>
      </c>
      <c r="N4143" s="40">
        <f t="shared" si="158"/>
        <v>35.450000000000003</v>
      </c>
    </row>
    <row r="4144" spans="1:14" ht="12.75" hidden="1" customHeight="1" x14ac:dyDescent="0.2">
      <c r="A4144">
        <v>65061</v>
      </c>
      <c r="B4144" s="3" t="s">
        <v>1844</v>
      </c>
      <c r="C4144" s="7" t="s">
        <v>1804</v>
      </c>
      <c r="D4144" s="7" t="s">
        <v>221</v>
      </c>
      <c r="F4144" s="7" t="s">
        <v>548</v>
      </c>
      <c r="G4144" s="7" t="s">
        <v>1548</v>
      </c>
      <c r="H4144" s="7" t="s">
        <v>1362</v>
      </c>
      <c r="I4144" s="7" t="s">
        <v>1253</v>
      </c>
      <c r="K4144" s="39" t="s">
        <v>294</v>
      </c>
      <c r="L4144" s="40">
        <v>73.97</v>
      </c>
      <c r="M4144" s="40">
        <v>248233.09</v>
      </c>
      <c r="N4144" s="40">
        <f t="shared" si="158"/>
        <v>73.97</v>
      </c>
    </row>
    <row r="4145" spans="1:14" ht="12.75" hidden="1" customHeight="1" x14ac:dyDescent="0.2">
      <c r="A4145">
        <v>65061</v>
      </c>
      <c r="B4145" s="3" t="s">
        <v>1844</v>
      </c>
      <c r="C4145" s="7" t="s">
        <v>1759</v>
      </c>
      <c r="D4145" s="7" t="s">
        <v>221</v>
      </c>
      <c r="F4145" s="7" t="s">
        <v>1929</v>
      </c>
      <c r="G4145" s="7" t="s">
        <v>1548</v>
      </c>
      <c r="H4145" s="7" t="s">
        <v>1362</v>
      </c>
      <c r="I4145" s="7" t="s">
        <v>1253</v>
      </c>
      <c r="K4145" s="39" t="s">
        <v>294</v>
      </c>
      <c r="L4145" s="40">
        <v>112</v>
      </c>
      <c r="M4145" s="40">
        <v>250776.18</v>
      </c>
      <c r="N4145" s="40">
        <f t="shared" si="158"/>
        <v>112</v>
      </c>
    </row>
    <row r="4146" spans="1:14" ht="12.75" hidden="1" customHeight="1" x14ac:dyDescent="0.2">
      <c r="A4146">
        <v>65061</v>
      </c>
      <c r="B4146" s="3" t="s">
        <v>1844</v>
      </c>
      <c r="C4146" s="7" t="s">
        <v>1608</v>
      </c>
      <c r="D4146" s="7" t="s">
        <v>221</v>
      </c>
      <c r="F4146" s="7" t="s">
        <v>548</v>
      </c>
      <c r="G4146" s="7" t="s">
        <v>1548</v>
      </c>
      <c r="H4146" s="7" t="s">
        <v>1362</v>
      </c>
      <c r="I4146" s="7" t="s">
        <v>1253</v>
      </c>
      <c r="K4146" s="39" t="s">
        <v>294</v>
      </c>
      <c r="L4146" s="40">
        <v>18.23</v>
      </c>
      <c r="M4146" s="40">
        <v>255575.49</v>
      </c>
      <c r="N4146" s="40">
        <f t="shared" si="158"/>
        <v>18.23</v>
      </c>
    </row>
    <row r="4147" spans="1:14" ht="12.75" hidden="1" customHeight="1" x14ac:dyDescent="0.2">
      <c r="A4147">
        <v>65061</v>
      </c>
      <c r="B4147" s="3" t="s">
        <v>1844</v>
      </c>
      <c r="C4147" s="7" t="s">
        <v>1608</v>
      </c>
      <c r="D4147" s="7" t="s">
        <v>221</v>
      </c>
      <c r="F4147" s="7" t="s">
        <v>691</v>
      </c>
      <c r="G4147" s="7" t="s">
        <v>1548</v>
      </c>
      <c r="H4147" s="7" t="s">
        <v>1362</v>
      </c>
      <c r="I4147" s="7" t="s">
        <v>1253</v>
      </c>
      <c r="K4147" s="39" t="s">
        <v>294</v>
      </c>
      <c r="L4147" s="40">
        <v>6.5</v>
      </c>
      <c r="M4147" s="40">
        <v>256253.57</v>
      </c>
      <c r="N4147" s="40">
        <f t="shared" si="158"/>
        <v>6.5</v>
      </c>
    </row>
    <row r="4148" spans="1:14" ht="12.75" hidden="1" customHeight="1" x14ac:dyDescent="0.2">
      <c r="A4148">
        <v>65061</v>
      </c>
      <c r="B4148" s="3" t="s">
        <v>1844</v>
      </c>
      <c r="C4148" s="7" t="s">
        <v>1746</v>
      </c>
      <c r="D4148" s="7" t="s">
        <v>221</v>
      </c>
      <c r="F4148" s="7" t="s">
        <v>589</v>
      </c>
      <c r="G4148" s="7" t="s">
        <v>1548</v>
      </c>
      <c r="H4148" s="7" t="s">
        <v>1362</v>
      </c>
      <c r="I4148" s="7" t="s">
        <v>1253</v>
      </c>
      <c r="K4148" s="39" t="s">
        <v>294</v>
      </c>
      <c r="L4148" s="40">
        <v>12.41</v>
      </c>
      <c r="M4148" s="40">
        <v>257782.67</v>
      </c>
      <c r="N4148" s="40">
        <f t="shared" si="158"/>
        <v>12.41</v>
      </c>
    </row>
    <row r="4149" spans="1:14" ht="12.75" hidden="1" customHeight="1" x14ac:dyDescent="0.2">
      <c r="A4149">
        <v>65061</v>
      </c>
      <c r="B4149" s="3" t="s">
        <v>1844</v>
      </c>
      <c r="C4149" s="7" t="s">
        <v>1703</v>
      </c>
      <c r="D4149" s="7" t="s">
        <v>221</v>
      </c>
      <c r="F4149" s="7" t="s">
        <v>589</v>
      </c>
      <c r="G4149" s="7" t="s">
        <v>1548</v>
      </c>
      <c r="H4149" s="7" t="s">
        <v>1362</v>
      </c>
      <c r="I4149" s="7" t="s">
        <v>1253</v>
      </c>
      <c r="K4149" s="39" t="s">
        <v>294</v>
      </c>
      <c r="L4149" s="40">
        <v>6.48</v>
      </c>
      <c r="M4149" s="40">
        <v>262063.99</v>
      </c>
      <c r="N4149" s="40">
        <f t="shared" si="158"/>
        <v>6.48</v>
      </c>
    </row>
    <row r="4150" spans="1:14" ht="12.75" hidden="1" customHeight="1" x14ac:dyDescent="0.2">
      <c r="A4150">
        <v>65061</v>
      </c>
      <c r="B4150" s="3" t="s">
        <v>1844</v>
      </c>
      <c r="C4150" s="7" t="s">
        <v>1703</v>
      </c>
      <c r="D4150" s="7" t="s">
        <v>221</v>
      </c>
      <c r="F4150" s="7" t="s">
        <v>1942</v>
      </c>
      <c r="G4150" s="7" t="s">
        <v>1548</v>
      </c>
      <c r="H4150" s="7" t="s">
        <v>1362</v>
      </c>
      <c r="I4150" s="7" t="s">
        <v>1253</v>
      </c>
      <c r="K4150" s="39" t="s">
        <v>294</v>
      </c>
      <c r="L4150" s="40">
        <v>9.74</v>
      </c>
      <c r="M4150" s="40">
        <v>262073.73</v>
      </c>
      <c r="N4150" s="40">
        <f t="shared" si="158"/>
        <v>9.74</v>
      </c>
    </row>
    <row r="4151" spans="1:14" ht="12.75" hidden="1" customHeight="1" x14ac:dyDescent="0.2">
      <c r="A4151">
        <v>65061</v>
      </c>
      <c r="B4151" s="3" t="s">
        <v>1844</v>
      </c>
      <c r="C4151" s="7" t="s">
        <v>1703</v>
      </c>
      <c r="D4151" s="7" t="s">
        <v>221</v>
      </c>
      <c r="F4151" s="7" t="s">
        <v>241</v>
      </c>
      <c r="G4151" s="7" t="s">
        <v>1548</v>
      </c>
      <c r="H4151" s="7" t="s">
        <v>1362</v>
      </c>
      <c r="I4151" s="7" t="s">
        <v>1253</v>
      </c>
      <c r="K4151" s="39" t="s">
        <v>294</v>
      </c>
      <c r="L4151" s="40">
        <v>30.29</v>
      </c>
      <c r="M4151" s="40">
        <v>262104.02</v>
      </c>
      <c r="N4151" s="40">
        <f t="shared" si="158"/>
        <v>30.29</v>
      </c>
    </row>
    <row r="4152" spans="1:14" ht="12.75" hidden="1" customHeight="1" x14ac:dyDescent="0.2">
      <c r="A4152">
        <v>65061</v>
      </c>
      <c r="B4152" s="3" t="s">
        <v>1844</v>
      </c>
      <c r="C4152" s="7" t="s">
        <v>1703</v>
      </c>
      <c r="D4152" s="7" t="s">
        <v>221</v>
      </c>
      <c r="F4152" s="7" t="s">
        <v>548</v>
      </c>
      <c r="G4152" s="7" t="s">
        <v>1548</v>
      </c>
      <c r="H4152" s="7" t="s">
        <v>1362</v>
      </c>
      <c r="I4152" s="7" t="s">
        <v>1253</v>
      </c>
      <c r="K4152" s="39" t="s">
        <v>294</v>
      </c>
      <c r="L4152" s="40">
        <v>62.27</v>
      </c>
      <c r="M4152" s="40">
        <v>262166.28999999998</v>
      </c>
      <c r="N4152" s="40">
        <f t="shared" si="158"/>
        <v>62.27</v>
      </c>
    </row>
    <row r="4153" spans="1:14" ht="12.75" hidden="1" customHeight="1" x14ac:dyDescent="0.2">
      <c r="A4153">
        <v>65061</v>
      </c>
      <c r="B4153" s="3" t="s">
        <v>1844</v>
      </c>
      <c r="C4153" s="7" t="s">
        <v>1622</v>
      </c>
      <c r="D4153" s="7" t="s">
        <v>221</v>
      </c>
      <c r="F4153" s="7" t="s">
        <v>589</v>
      </c>
      <c r="G4153" s="7" t="s">
        <v>1548</v>
      </c>
      <c r="H4153" s="7" t="s">
        <v>1362</v>
      </c>
      <c r="I4153" s="7" t="s">
        <v>1253</v>
      </c>
      <c r="K4153" s="39" t="s">
        <v>294</v>
      </c>
      <c r="L4153" s="40">
        <v>9.7200000000000006</v>
      </c>
      <c r="M4153" s="40">
        <v>276941.01</v>
      </c>
      <c r="N4153" s="40">
        <f t="shared" si="158"/>
        <v>9.7200000000000006</v>
      </c>
    </row>
    <row r="4154" spans="1:14" ht="12.75" hidden="1" customHeight="1" x14ac:dyDescent="0.2">
      <c r="A4154">
        <v>65061</v>
      </c>
      <c r="B4154" s="3" t="s">
        <v>1844</v>
      </c>
      <c r="C4154" s="7" t="s">
        <v>1622</v>
      </c>
      <c r="D4154" s="7" t="s">
        <v>221</v>
      </c>
      <c r="F4154" s="7" t="s">
        <v>241</v>
      </c>
      <c r="G4154" s="7" t="s">
        <v>1548</v>
      </c>
      <c r="H4154" s="7" t="s">
        <v>1362</v>
      </c>
      <c r="I4154" s="7" t="s">
        <v>1253</v>
      </c>
      <c r="K4154" s="39" t="s">
        <v>294</v>
      </c>
      <c r="L4154" s="40">
        <v>37.840000000000003</v>
      </c>
      <c r="M4154" s="40">
        <v>276978.84999999998</v>
      </c>
      <c r="N4154" s="40">
        <f t="shared" si="158"/>
        <v>37.840000000000003</v>
      </c>
    </row>
    <row r="4155" spans="1:14" ht="12.75" hidden="1" customHeight="1" x14ac:dyDescent="0.2">
      <c r="A4155">
        <v>65061</v>
      </c>
      <c r="B4155" s="3" t="s">
        <v>1844</v>
      </c>
      <c r="C4155" s="7" t="s">
        <v>1760</v>
      </c>
      <c r="D4155" s="7" t="s">
        <v>221</v>
      </c>
      <c r="F4155" s="7" t="s">
        <v>548</v>
      </c>
      <c r="G4155" s="7" t="s">
        <v>1548</v>
      </c>
      <c r="H4155" s="7" t="s">
        <v>1362</v>
      </c>
      <c r="I4155" s="7" t="s">
        <v>1253</v>
      </c>
      <c r="K4155" s="39" t="s">
        <v>294</v>
      </c>
      <c r="L4155" s="40">
        <v>10.25</v>
      </c>
      <c r="M4155" s="40">
        <v>277451.21999999997</v>
      </c>
      <c r="N4155" s="40">
        <f t="shared" si="158"/>
        <v>10.25</v>
      </c>
    </row>
    <row r="4156" spans="1:14" ht="12.75" hidden="1" customHeight="1" x14ac:dyDescent="0.2">
      <c r="A4156">
        <v>65061</v>
      </c>
      <c r="B4156" s="3" t="s">
        <v>1844</v>
      </c>
      <c r="C4156" s="7" t="s">
        <v>1760</v>
      </c>
      <c r="D4156" s="7" t="s">
        <v>221</v>
      </c>
      <c r="F4156" s="7" t="s">
        <v>873</v>
      </c>
      <c r="G4156" s="7" t="s">
        <v>1548</v>
      </c>
      <c r="H4156" s="7" t="s">
        <v>1362</v>
      </c>
      <c r="I4156" s="7" t="s">
        <v>1253</v>
      </c>
      <c r="K4156" s="39" t="s">
        <v>294</v>
      </c>
      <c r="L4156" s="40">
        <v>14.98</v>
      </c>
      <c r="M4156" s="40">
        <v>280247.46999999997</v>
      </c>
      <c r="N4156" s="40">
        <f t="shared" si="158"/>
        <v>14.98</v>
      </c>
    </row>
    <row r="4157" spans="1:14" ht="12.75" hidden="1" customHeight="1" x14ac:dyDescent="0.2">
      <c r="A4157">
        <v>65061</v>
      </c>
      <c r="B4157" s="3" t="s">
        <v>1844</v>
      </c>
      <c r="C4157" s="7" t="s">
        <v>1760</v>
      </c>
      <c r="D4157" s="7" t="s">
        <v>221</v>
      </c>
      <c r="F4157" s="7" t="s">
        <v>589</v>
      </c>
      <c r="G4157" s="7" t="s">
        <v>1548</v>
      </c>
      <c r="H4157" s="7" t="s">
        <v>1362</v>
      </c>
      <c r="I4157" s="7" t="s">
        <v>1253</v>
      </c>
      <c r="K4157" s="39" t="s">
        <v>294</v>
      </c>
      <c r="L4157" s="40">
        <v>67.63</v>
      </c>
      <c r="M4157" s="40">
        <v>280315.09999999998</v>
      </c>
      <c r="N4157" s="40">
        <f t="shared" si="158"/>
        <v>67.63</v>
      </c>
    </row>
    <row r="4158" spans="1:14" ht="12.75" hidden="1" customHeight="1" x14ac:dyDescent="0.2">
      <c r="A4158">
        <v>65061</v>
      </c>
      <c r="B4158" s="3" t="s">
        <v>1844</v>
      </c>
      <c r="C4158" s="7" t="s">
        <v>1760</v>
      </c>
      <c r="D4158" s="7" t="s">
        <v>221</v>
      </c>
      <c r="F4158" s="7" t="s">
        <v>769</v>
      </c>
      <c r="G4158" s="7" t="s">
        <v>1548</v>
      </c>
      <c r="H4158" s="7" t="s">
        <v>1362</v>
      </c>
      <c r="I4158" s="7" t="s">
        <v>1253</v>
      </c>
      <c r="K4158" s="39" t="s">
        <v>294</v>
      </c>
      <c r="L4158" s="40">
        <v>30.3</v>
      </c>
      <c r="M4158" s="40">
        <v>280345.40000000002</v>
      </c>
      <c r="N4158" s="40">
        <f t="shared" si="158"/>
        <v>30.3</v>
      </c>
    </row>
    <row r="4159" spans="1:14" ht="12.75" hidden="1" customHeight="1" x14ac:dyDescent="0.2">
      <c r="A4159">
        <v>65061</v>
      </c>
      <c r="B4159" s="3" t="s">
        <v>1844</v>
      </c>
      <c r="C4159" s="7" t="s">
        <v>1760</v>
      </c>
      <c r="D4159" s="7" t="s">
        <v>221</v>
      </c>
      <c r="F4159" s="7" t="s">
        <v>774</v>
      </c>
      <c r="G4159" s="7" t="s">
        <v>1548</v>
      </c>
      <c r="H4159" s="7" t="s">
        <v>1362</v>
      </c>
      <c r="I4159" s="7" t="s">
        <v>1253</v>
      </c>
      <c r="K4159" s="39" t="s">
        <v>294</v>
      </c>
      <c r="L4159" s="40">
        <v>20</v>
      </c>
      <c r="M4159" s="40">
        <v>280365.40000000002</v>
      </c>
      <c r="N4159" s="40">
        <f t="shared" si="158"/>
        <v>20</v>
      </c>
    </row>
    <row r="4160" spans="1:14" ht="12.75" hidden="1" customHeight="1" x14ac:dyDescent="0.2">
      <c r="A4160">
        <v>65061</v>
      </c>
      <c r="B4160" s="3" t="s">
        <v>1844</v>
      </c>
      <c r="C4160" s="7" t="s">
        <v>1760</v>
      </c>
      <c r="D4160" s="7" t="s">
        <v>221</v>
      </c>
      <c r="F4160" s="7" t="s">
        <v>774</v>
      </c>
      <c r="G4160" s="7" t="s">
        <v>1548</v>
      </c>
      <c r="H4160" s="7" t="s">
        <v>1362</v>
      </c>
      <c r="I4160" s="7" t="s">
        <v>1253</v>
      </c>
      <c r="K4160" s="39" t="s">
        <v>294</v>
      </c>
      <c r="L4160" s="40">
        <v>8.65</v>
      </c>
      <c r="M4160" s="40">
        <v>280374.05</v>
      </c>
      <c r="N4160" s="40">
        <f t="shared" si="158"/>
        <v>8.65</v>
      </c>
    </row>
    <row r="4161" spans="1:14" ht="12.75" hidden="1" customHeight="1" x14ac:dyDescent="0.2">
      <c r="A4161">
        <v>65061</v>
      </c>
      <c r="B4161" s="3" t="s">
        <v>1844</v>
      </c>
      <c r="C4161" s="7" t="s">
        <v>1760</v>
      </c>
      <c r="D4161" s="7" t="s">
        <v>221</v>
      </c>
      <c r="F4161" s="7" t="s">
        <v>241</v>
      </c>
      <c r="G4161" s="7" t="s">
        <v>1548</v>
      </c>
      <c r="H4161" s="7" t="s">
        <v>1362</v>
      </c>
      <c r="I4161" s="7" t="s">
        <v>1253</v>
      </c>
      <c r="K4161" s="39" t="s">
        <v>294</v>
      </c>
      <c r="L4161" s="40">
        <v>59.52</v>
      </c>
      <c r="M4161" s="40">
        <v>280433.57</v>
      </c>
      <c r="N4161" s="40">
        <f t="shared" si="158"/>
        <v>59.52</v>
      </c>
    </row>
    <row r="4162" spans="1:14" ht="12.75" hidden="1" customHeight="1" x14ac:dyDescent="0.2">
      <c r="A4162">
        <v>65061</v>
      </c>
      <c r="B4162" s="3" t="s">
        <v>1844</v>
      </c>
      <c r="C4162" s="7" t="s">
        <v>1760</v>
      </c>
      <c r="D4162" s="7" t="s">
        <v>221</v>
      </c>
      <c r="F4162" s="7" t="s">
        <v>548</v>
      </c>
      <c r="G4162" s="7" t="s">
        <v>1548</v>
      </c>
      <c r="H4162" s="7" t="s">
        <v>1362</v>
      </c>
      <c r="I4162" s="7" t="s">
        <v>1253</v>
      </c>
      <c r="K4162" s="39" t="s">
        <v>294</v>
      </c>
      <c r="L4162" s="40">
        <v>37.46</v>
      </c>
      <c r="M4162" s="40">
        <v>280471.03000000003</v>
      </c>
      <c r="N4162" s="40">
        <f t="shared" si="158"/>
        <v>37.46</v>
      </c>
    </row>
    <row r="4163" spans="1:14" ht="12.75" hidden="1" customHeight="1" x14ac:dyDescent="0.2">
      <c r="A4163">
        <v>65061</v>
      </c>
      <c r="B4163" s="3" t="s">
        <v>1844</v>
      </c>
      <c r="C4163" s="7" t="s">
        <v>1761</v>
      </c>
      <c r="D4163" s="7" t="s">
        <v>221</v>
      </c>
      <c r="F4163" s="7" t="s">
        <v>355</v>
      </c>
      <c r="G4163" s="7" t="s">
        <v>1548</v>
      </c>
      <c r="H4163" s="7" t="s">
        <v>1362</v>
      </c>
      <c r="I4163" s="7" t="s">
        <v>1253</v>
      </c>
      <c r="K4163" s="39" t="s">
        <v>294</v>
      </c>
      <c r="L4163" s="40">
        <v>8.09</v>
      </c>
      <c r="M4163" s="40">
        <v>281219.48</v>
      </c>
      <c r="N4163" s="40">
        <f t="shared" si="158"/>
        <v>8.09</v>
      </c>
    </row>
    <row r="4164" spans="1:14" ht="12.75" hidden="1" customHeight="1" x14ac:dyDescent="0.2">
      <c r="A4164">
        <v>65061</v>
      </c>
      <c r="B4164" s="3" t="s">
        <v>1844</v>
      </c>
      <c r="C4164" s="7" t="s">
        <v>1761</v>
      </c>
      <c r="D4164" s="7" t="s">
        <v>221</v>
      </c>
      <c r="F4164" s="7" t="s">
        <v>589</v>
      </c>
      <c r="G4164" s="7" t="s">
        <v>1548</v>
      </c>
      <c r="H4164" s="7" t="s">
        <v>1362</v>
      </c>
      <c r="I4164" s="7" t="s">
        <v>1253</v>
      </c>
      <c r="K4164" s="39" t="s">
        <v>294</v>
      </c>
      <c r="L4164" s="40">
        <v>15.88</v>
      </c>
      <c r="M4164" s="40">
        <v>283056.27</v>
      </c>
      <c r="N4164" s="40">
        <f t="shared" si="158"/>
        <v>15.88</v>
      </c>
    </row>
    <row r="4165" spans="1:14" ht="12.75" hidden="1" customHeight="1" x14ac:dyDescent="0.2">
      <c r="A4165">
        <v>65061</v>
      </c>
      <c r="B4165" s="3" t="s">
        <v>1844</v>
      </c>
      <c r="C4165" s="7" t="s">
        <v>1546</v>
      </c>
      <c r="D4165" s="7" t="s">
        <v>221</v>
      </c>
      <c r="F4165" s="7" t="s">
        <v>634</v>
      </c>
      <c r="G4165" s="7" t="s">
        <v>1548</v>
      </c>
      <c r="H4165" s="7" t="s">
        <v>1362</v>
      </c>
      <c r="I4165" s="7" t="s">
        <v>1253</v>
      </c>
      <c r="K4165" s="39" t="s">
        <v>294</v>
      </c>
      <c r="L4165" s="40">
        <v>16.22</v>
      </c>
      <c r="M4165" s="40">
        <v>289074.36</v>
      </c>
      <c r="N4165" s="40">
        <f t="shared" si="158"/>
        <v>16.22</v>
      </c>
    </row>
    <row r="4166" spans="1:14" ht="12.75" hidden="1" customHeight="1" x14ac:dyDescent="0.2">
      <c r="A4166">
        <v>65061</v>
      </c>
      <c r="B4166" s="3" t="s">
        <v>1844</v>
      </c>
      <c r="C4166" s="7" t="s">
        <v>1631</v>
      </c>
      <c r="D4166" s="7" t="s">
        <v>242</v>
      </c>
      <c r="G4166" s="7" t="s">
        <v>1548</v>
      </c>
      <c r="H4166" s="7" t="s">
        <v>1362</v>
      </c>
      <c r="I4166" s="7" t="s">
        <v>1253</v>
      </c>
      <c r="K4166" s="39" t="s">
        <v>294</v>
      </c>
      <c r="L4166" s="40">
        <v>-54.08</v>
      </c>
      <c r="M4166" s="40">
        <v>290248.92</v>
      </c>
      <c r="N4166" s="40">
        <f t="shared" si="158"/>
        <v>-54.08</v>
      </c>
    </row>
    <row r="4167" spans="1:14" ht="12.75" hidden="1" customHeight="1" x14ac:dyDescent="0.2">
      <c r="A4167">
        <v>65061</v>
      </c>
      <c r="B4167" s="3" t="s">
        <v>1844</v>
      </c>
      <c r="C4167" s="7" t="s">
        <v>1631</v>
      </c>
      <c r="D4167" s="7" t="s">
        <v>242</v>
      </c>
      <c r="G4167" s="7" t="s">
        <v>1548</v>
      </c>
      <c r="H4167" s="7" t="s">
        <v>1362</v>
      </c>
      <c r="I4167" s="7" t="s">
        <v>1253</v>
      </c>
      <c r="K4167" s="39" t="s">
        <v>294</v>
      </c>
      <c r="L4167" s="40">
        <v>-22.73</v>
      </c>
      <c r="M4167" s="40">
        <v>290226.19</v>
      </c>
      <c r="N4167" s="40">
        <f t="shared" si="158"/>
        <v>-22.73</v>
      </c>
    </row>
    <row r="4168" spans="1:14" ht="12.75" hidden="1" customHeight="1" x14ac:dyDescent="0.2">
      <c r="A4168">
        <v>65061</v>
      </c>
      <c r="B4168" s="3" t="s">
        <v>1844</v>
      </c>
      <c r="C4168" s="7" t="s">
        <v>1631</v>
      </c>
      <c r="D4168" s="7" t="s">
        <v>221</v>
      </c>
      <c r="F4168" s="7" t="s">
        <v>548</v>
      </c>
      <c r="G4168" s="7" t="s">
        <v>1548</v>
      </c>
      <c r="H4168" s="7" t="s">
        <v>1362</v>
      </c>
      <c r="I4168" s="7" t="s">
        <v>1253</v>
      </c>
      <c r="K4168" s="39" t="s">
        <v>294</v>
      </c>
      <c r="L4168" s="40">
        <v>33.22</v>
      </c>
      <c r="M4168" s="40">
        <v>290259.40999999997</v>
      </c>
      <c r="N4168" s="40">
        <f t="shared" si="158"/>
        <v>33.22</v>
      </c>
    </row>
    <row r="4169" spans="1:14" ht="12.75" hidden="1" customHeight="1" x14ac:dyDescent="0.2">
      <c r="A4169">
        <v>65061</v>
      </c>
      <c r="B4169" s="3" t="s">
        <v>1844</v>
      </c>
      <c r="C4169" s="7" t="s">
        <v>1631</v>
      </c>
      <c r="D4169" s="7" t="s">
        <v>242</v>
      </c>
      <c r="F4169" s="7" t="s">
        <v>616</v>
      </c>
      <c r="G4169" s="7" t="s">
        <v>1548</v>
      </c>
      <c r="H4169" s="7" t="s">
        <v>1362</v>
      </c>
      <c r="I4169" s="7" t="s">
        <v>1253</v>
      </c>
      <c r="K4169" s="39" t="s">
        <v>294</v>
      </c>
      <c r="L4169" s="40">
        <v>-18.27</v>
      </c>
      <c r="M4169" s="40">
        <v>290241.14</v>
      </c>
      <c r="N4169" s="40">
        <f t="shared" si="158"/>
        <v>-18.27</v>
      </c>
    </row>
    <row r="4170" spans="1:14" ht="12.75" hidden="1" customHeight="1" x14ac:dyDescent="0.2">
      <c r="A4170">
        <v>65061</v>
      </c>
      <c r="B4170" s="3" t="s">
        <v>1844</v>
      </c>
      <c r="C4170" s="7" t="s">
        <v>1680</v>
      </c>
      <c r="D4170" s="7" t="s">
        <v>242</v>
      </c>
      <c r="F4170" s="7" t="s">
        <v>589</v>
      </c>
      <c r="G4170" s="7" t="s">
        <v>1548</v>
      </c>
      <c r="H4170" s="7" t="s">
        <v>1362</v>
      </c>
      <c r="I4170" s="7" t="s">
        <v>1253</v>
      </c>
      <c r="K4170" s="39" t="s">
        <v>294</v>
      </c>
      <c r="L4170" s="40">
        <v>-9.74</v>
      </c>
      <c r="M4170" s="40">
        <v>291439.71000000002</v>
      </c>
      <c r="N4170" s="40">
        <f t="shared" si="158"/>
        <v>-9.74</v>
      </c>
    </row>
    <row r="4171" spans="1:14" ht="12.75" hidden="1" customHeight="1" x14ac:dyDescent="0.2">
      <c r="A4171">
        <v>65061</v>
      </c>
      <c r="B4171" s="3" t="s">
        <v>1844</v>
      </c>
      <c r="C4171" s="7" t="s">
        <v>1680</v>
      </c>
      <c r="D4171" s="7" t="s">
        <v>242</v>
      </c>
      <c r="F4171" s="7" t="s">
        <v>774</v>
      </c>
      <c r="G4171" s="7" t="s">
        <v>1548</v>
      </c>
      <c r="H4171" s="7" t="s">
        <v>1362</v>
      </c>
      <c r="I4171" s="7" t="s">
        <v>1253</v>
      </c>
      <c r="K4171" s="39" t="s">
        <v>294</v>
      </c>
      <c r="L4171" s="40">
        <v>-5.94</v>
      </c>
      <c r="M4171" s="40">
        <v>291433.77</v>
      </c>
      <c r="N4171" s="40">
        <f t="shared" si="158"/>
        <v>-5.94</v>
      </c>
    </row>
    <row r="4172" spans="1:14" ht="12.75" hidden="1" customHeight="1" x14ac:dyDescent="0.2">
      <c r="A4172">
        <v>65061</v>
      </c>
      <c r="B4172" s="3" t="s">
        <v>1844</v>
      </c>
      <c r="C4172" s="7" t="s">
        <v>1789</v>
      </c>
      <c r="D4172" s="7" t="s">
        <v>242</v>
      </c>
      <c r="F4172" s="7" t="s">
        <v>634</v>
      </c>
      <c r="G4172" s="7" t="s">
        <v>1548</v>
      </c>
      <c r="H4172" s="7" t="s">
        <v>1362</v>
      </c>
      <c r="I4172" s="7" t="s">
        <v>1253</v>
      </c>
      <c r="K4172" s="39" t="s">
        <v>294</v>
      </c>
      <c r="L4172" s="40">
        <v>-16.22</v>
      </c>
      <c r="M4172" s="40">
        <v>295220.90999999997</v>
      </c>
      <c r="N4172" s="40">
        <f t="shared" si="158"/>
        <v>-16.22</v>
      </c>
    </row>
    <row r="4173" spans="1:14" ht="12.75" hidden="1" customHeight="1" x14ac:dyDescent="0.2">
      <c r="A4173">
        <v>65095</v>
      </c>
      <c r="B4173" s="3" t="s">
        <v>1259</v>
      </c>
      <c r="C4173" s="7" t="s">
        <v>1543</v>
      </c>
      <c r="D4173" s="7" t="s">
        <v>183</v>
      </c>
      <c r="E4173" s="7">
        <v>670</v>
      </c>
      <c r="G4173" s="7" t="s">
        <v>1548</v>
      </c>
      <c r="H4173" s="43" t="s">
        <v>1361</v>
      </c>
      <c r="I4173" s="7" t="s">
        <v>1259</v>
      </c>
      <c r="J4173" s="39" t="s">
        <v>2001</v>
      </c>
      <c r="K4173" s="39" t="s">
        <v>180</v>
      </c>
      <c r="L4173" s="40">
        <v>2.5</v>
      </c>
      <c r="M4173" s="40">
        <v>969.34</v>
      </c>
      <c r="N4173" s="40">
        <f t="shared" si="158"/>
        <v>2.5</v>
      </c>
    </row>
    <row r="4174" spans="1:14" ht="12.75" hidden="1" customHeight="1" x14ac:dyDescent="0.2">
      <c r="A4174">
        <v>65095</v>
      </c>
      <c r="B4174" s="3" t="s">
        <v>1259</v>
      </c>
      <c r="C4174" s="7" t="s">
        <v>1629</v>
      </c>
      <c r="D4174" s="7" t="s">
        <v>183</v>
      </c>
      <c r="E4174" s="7">
        <v>716</v>
      </c>
      <c r="G4174" s="7" t="s">
        <v>1548</v>
      </c>
      <c r="H4174" s="43" t="s">
        <v>1361</v>
      </c>
      <c r="I4174" s="7" t="s">
        <v>1259</v>
      </c>
      <c r="J4174" s="39" t="s">
        <v>428</v>
      </c>
      <c r="K4174" s="39" t="s">
        <v>180</v>
      </c>
      <c r="L4174" s="40">
        <v>11.3</v>
      </c>
      <c r="M4174" s="40">
        <v>1028.72</v>
      </c>
      <c r="N4174" s="40">
        <f t="shared" si="158"/>
        <v>11.3</v>
      </c>
    </row>
    <row r="4175" spans="1:14" ht="12.75" customHeight="1" x14ac:dyDescent="0.2">
      <c r="A4175">
        <v>43430</v>
      </c>
      <c r="B4175" s="3" t="s">
        <v>1231</v>
      </c>
      <c r="C4175" s="7" t="s">
        <v>340</v>
      </c>
      <c r="D4175" s="7" t="s">
        <v>242</v>
      </c>
      <c r="F4175" s="7" t="s">
        <v>446</v>
      </c>
      <c r="G4175" s="7" t="s">
        <v>1581</v>
      </c>
      <c r="H4175" s="7" t="s">
        <v>1359</v>
      </c>
      <c r="I4175" s="7" t="s">
        <v>1231</v>
      </c>
      <c r="K4175" s="7" t="s">
        <v>1123</v>
      </c>
      <c r="L4175" s="11">
        <v>2.4700000000000002</v>
      </c>
      <c r="M4175" s="11">
        <v>16.309999999999999</v>
      </c>
      <c r="N4175" s="9">
        <f>IF(A4175&lt;60000,-L4175,+L4175)</f>
        <v>-2.4700000000000002</v>
      </c>
    </row>
    <row r="4176" spans="1:14" ht="12.75" customHeight="1" x14ac:dyDescent="0.2">
      <c r="A4176">
        <v>43430</v>
      </c>
      <c r="B4176" s="3" t="s">
        <v>1231</v>
      </c>
      <c r="C4176" s="7" t="s">
        <v>298</v>
      </c>
      <c r="D4176" s="7" t="s">
        <v>242</v>
      </c>
      <c r="F4176" s="7" t="s">
        <v>446</v>
      </c>
      <c r="G4176" s="7" t="s">
        <v>1581</v>
      </c>
      <c r="H4176" s="7" t="s">
        <v>1359</v>
      </c>
      <c r="I4176" s="7" t="s">
        <v>1231</v>
      </c>
      <c r="K4176" s="7" t="s">
        <v>1123</v>
      </c>
      <c r="L4176" s="11">
        <v>2.79</v>
      </c>
      <c r="M4176" s="11">
        <v>27.48</v>
      </c>
      <c r="N4176" s="9">
        <f>IF(A4176&lt;60000,-L4176,+L4176)</f>
        <v>-2.79</v>
      </c>
    </row>
    <row r="4177" spans="1:14" ht="12.75" customHeight="1" x14ac:dyDescent="0.2">
      <c r="A4177">
        <v>43430</v>
      </c>
      <c r="B4177" s="3" t="s">
        <v>1231</v>
      </c>
      <c r="C4177" s="7" t="s">
        <v>417</v>
      </c>
      <c r="D4177" s="7" t="s">
        <v>242</v>
      </c>
      <c r="F4177" s="7" t="s">
        <v>446</v>
      </c>
      <c r="G4177" s="7" t="s">
        <v>1581</v>
      </c>
      <c r="H4177" s="7" t="s">
        <v>1359</v>
      </c>
      <c r="I4177" s="7" t="s">
        <v>1231</v>
      </c>
      <c r="K4177" s="7" t="s">
        <v>1123</v>
      </c>
      <c r="L4177" s="11">
        <v>2.79</v>
      </c>
      <c r="M4177" s="11">
        <v>40.96</v>
      </c>
      <c r="N4177" s="9">
        <f>IF(A4177&lt;60000,-L4177,+L4177)</f>
        <v>-2.79</v>
      </c>
    </row>
    <row r="4178" spans="1:14" ht="12.75" customHeight="1" x14ac:dyDescent="0.2">
      <c r="A4178">
        <v>43430</v>
      </c>
      <c r="B4178" s="3" t="s">
        <v>1231</v>
      </c>
      <c r="C4178" s="7" t="s">
        <v>191</v>
      </c>
      <c r="D4178" s="7" t="s">
        <v>242</v>
      </c>
      <c r="F4178" s="7" t="s">
        <v>446</v>
      </c>
      <c r="G4178" s="7" t="s">
        <v>1581</v>
      </c>
      <c r="H4178" s="7" t="s">
        <v>1359</v>
      </c>
      <c r="I4178" s="7" t="s">
        <v>1231</v>
      </c>
      <c r="K4178" s="7" t="s">
        <v>1123</v>
      </c>
      <c r="L4178" s="11">
        <v>2.62</v>
      </c>
      <c r="M4178" s="11">
        <v>52.09</v>
      </c>
      <c r="N4178" s="9">
        <f>IF(A4178&lt;60000,-L4178,+L4178)</f>
        <v>-2.62</v>
      </c>
    </row>
    <row r="4179" spans="1:14" ht="12.75" hidden="1" customHeight="1" x14ac:dyDescent="0.2">
      <c r="A4179">
        <v>65030</v>
      </c>
      <c r="B4179" s="3" t="s">
        <v>1247</v>
      </c>
      <c r="C4179" s="7" t="s">
        <v>1658</v>
      </c>
      <c r="D4179" s="7" t="s">
        <v>221</v>
      </c>
      <c r="F4179" s="7" t="s">
        <v>1811</v>
      </c>
      <c r="G4179" s="7" t="s">
        <v>1581</v>
      </c>
      <c r="H4179" s="7" t="s">
        <v>1362</v>
      </c>
      <c r="I4179" s="7" t="s">
        <v>1247</v>
      </c>
      <c r="K4179" s="39" t="s">
        <v>1582</v>
      </c>
      <c r="L4179" s="40">
        <v>39.46</v>
      </c>
      <c r="M4179" s="40">
        <v>5647.46</v>
      </c>
      <c r="N4179" s="40">
        <f t="shared" ref="N4179:N4198" si="159">+L4179</f>
        <v>39.46</v>
      </c>
    </row>
    <row r="4180" spans="1:14" ht="12.75" hidden="1" customHeight="1" x14ac:dyDescent="0.2">
      <c r="A4180">
        <v>65045</v>
      </c>
      <c r="B4180" s="3" t="s">
        <v>1840</v>
      </c>
      <c r="C4180" s="7" t="s">
        <v>1737</v>
      </c>
      <c r="D4180" s="7" t="s">
        <v>221</v>
      </c>
      <c r="F4180" s="7" t="s">
        <v>1002</v>
      </c>
      <c r="G4180" s="7" t="s">
        <v>1581</v>
      </c>
      <c r="H4180" s="7" t="s">
        <v>1362</v>
      </c>
      <c r="I4180" s="7" t="s">
        <v>1251</v>
      </c>
      <c r="K4180" s="39" t="s">
        <v>558</v>
      </c>
      <c r="L4180" s="40">
        <v>85</v>
      </c>
      <c r="M4180" s="40">
        <v>4164.3500000000004</v>
      </c>
      <c r="N4180" s="40">
        <f t="shared" si="159"/>
        <v>85</v>
      </c>
    </row>
    <row r="4181" spans="1:14" ht="12.75" hidden="1" customHeight="1" x14ac:dyDescent="0.2">
      <c r="A4181">
        <v>65045</v>
      </c>
      <c r="B4181" s="3" t="s">
        <v>1840</v>
      </c>
      <c r="C4181" s="7" t="s">
        <v>1583</v>
      </c>
      <c r="D4181" s="7" t="s">
        <v>221</v>
      </c>
      <c r="F4181" s="7" t="s">
        <v>1002</v>
      </c>
      <c r="G4181" s="7" t="s">
        <v>1581</v>
      </c>
      <c r="H4181" s="7" t="s">
        <v>1362</v>
      </c>
      <c r="I4181" s="7" t="s">
        <v>1251</v>
      </c>
      <c r="K4181" s="39" t="s">
        <v>558</v>
      </c>
      <c r="L4181" s="40">
        <v>85</v>
      </c>
      <c r="M4181" s="40">
        <v>5403.35</v>
      </c>
      <c r="N4181" s="40">
        <f t="shared" si="159"/>
        <v>85</v>
      </c>
    </row>
    <row r="4182" spans="1:14" ht="12.75" hidden="1" customHeight="1" x14ac:dyDescent="0.2">
      <c r="A4182">
        <v>65045</v>
      </c>
      <c r="B4182" s="3" t="s">
        <v>1840</v>
      </c>
      <c r="C4182" s="7" t="s">
        <v>1775</v>
      </c>
      <c r="D4182" s="7" t="s">
        <v>221</v>
      </c>
      <c r="F4182" s="7" t="s">
        <v>1002</v>
      </c>
      <c r="G4182" s="7" t="s">
        <v>1581</v>
      </c>
      <c r="H4182" s="7" t="s">
        <v>1362</v>
      </c>
      <c r="I4182" s="7" t="s">
        <v>1251</v>
      </c>
      <c r="K4182" s="39" t="s">
        <v>558</v>
      </c>
      <c r="L4182" s="40">
        <v>85</v>
      </c>
      <c r="M4182" s="40">
        <v>5488.35</v>
      </c>
      <c r="N4182" s="40">
        <f t="shared" si="159"/>
        <v>85</v>
      </c>
    </row>
    <row r="4183" spans="1:14" ht="12.75" hidden="1" customHeight="1" x14ac:dyDescent="0.2">
      <c r="A4183">
        <v>65045</v>
      </c>
      <c r="B4183" s="3" t="s">
        <v>1840</v>
      </c>
      <c r="C4183" s="7" t="s">
        <v>1709</v>
      </c>
      <c r="D4183" s="7" t="s">
        <v>221</v>
      </c>
      <c r="F4183" s="7" t="s">
        <v>1002</v>
      </c>
      <c r="G4183" s="7" t="s">
        <v>1581</v>
      </c>
      <c r="H4183" s="7" t="s">
        <v>1362</v>
      </c>
      <c r="I4183" s="7" t="s">
        <v>1251</v>
      </c>
      <c r="K4183" s="39" t="s">
        <v>558</v>
      </c>
      <c r="L4183" s="40">
        <v>85</v>
      </c>
      <c r="M4183" s="40">
        <v>5763.35</v>
      </c>
      <c r="N4183" s="40">
        <f t="shared" si="159"/>
        <v>85</v>
      </c>
    </row>
    <row r="4184" spans="1:14" ht="12.75" hidden="1" customHeight="1" x14ac:dyDescent="0.2">
      <c r="A4184">
        <v>65061</v>
      </c>
      <c r="B4184" s="3" t="s">
        <v>1844</v>
      </c>
      <c r="C4184" s="7" t="s">
        <v>1686</v>
      </c>
      <c r="D4184" s="7" t="s">
        <v>221</v>
      </c>
      <c r="F4184" s="7" t="s">
        <v>564</v>
      </c>
      <c r="G4184" s="7" t="s">
        <v>1581</v>
      </c>
      <c r="H4184" s="7" t="s">
        <v>1362</v>
      </c>
      <c r="I4184" s="7" t="s">
        <v>1253</v>
      </c>
      <c r="K4184" s="39" t="s">
        <v>558</v>
      </c>
      <c r="L4184" s="40">
        <v>45.37</v>
      </c>
      <c r="M4184" s="40">
        <v>207670.84</v>
      </c>
      <c r="N4184" s="40">
        <f t="shared" si="159"/>
        <v>45.37</v>
      </c>
    </row>
    <row r="4185" spans="1:14" ht="12.75" hidden="1" customHeight="1" x14ac:dyDescent="0.2">
      <c r="A4185">
        <v>65061</v>
      </c>
      <c r="B4185" s="3" t="s">
        <v>1844</v>
      </c>
      <c r="C4185" s="7" t="s">
        <v>1570</v>
      </c>
      <c r="D4185" s="7" t="s">
        <v>242</v>
      </c>
      <c r="F4185" s="7" t="s">
        <v>564</v>
      </c>
      <c r="G4185" s="7" t="s">
        <v>1581</v>
      </c>
      <c r="H4185" s="7" t="s">
        <v>1362</v>
      </c>
      <c r="I4185" s="7" t="s">
        <v>1253</v>
      </c>
      <c r="K4185" s="39" t="s">
        <v>558</v>
      </c>
      <c r="L4185" s="40">
        <v>-32.44</v>
      </c>
      <c r="M4185" s="40">
        <v>220872.81</v>
      </c>
      <c r="N4185" s="40">
        <f t="shared" si="159"/>
        <v>-32.44</v>
      </c>
    </row>
    <row r="4186" spans="1:14" ht="12.75" hidden="1" customHeight="1" x14ac:dyDescent="0.2">
      <c r="A4186">
        <v>65061</v>
      </c>
      <c r="B4186" s="3" t="s">
        <v>1844</v>
      </c>
      <c r="C4186" s="7" t="s">
        <v>1593</v>
      </c>
      <c r="D4186" s="7" t="s">
        <v>242</v>
      </c>
      <c r="F4186" s="7" t="s">
        <v>564</v>
      </c>
      <c r="G4186" s="7" t="s">
        <v>1581</v>
      </c>
      <c r="H4186" s="7" t="s">
        <v>1362</v>
      </c>
      <c r="I4186" s="7" t="s">
        <v>1253</v>
      </c>
      <c r="K4186" s="39" t="s">
        <v>1800</v>
      </c>
      <c r="L4186" s="40">
        <v>-18.149999999999999</v>
      </c>
      <c r="M4186" s="40">
        <v>243528.47</v>
      </c>
      <c r="N4186" s="40">
        <f t="shared" si="159"/>
        <v>-18.149999999999999</v>
      </c>
    </row>
    <row r="4187" spans="1:14" ht="12.75" hidden="1" customHeight="1" x14ac:dyDescent="0.2">
      <c r="A4187">
        <v>65061</v>
      </c>
      <c r="B4187" s="3" t="s">
        <v>1844</v>
      </c>
      <c r="C4187" s="7" t="s">
        <v>1761</v>
      </c>
      <c r="D4187" s="7" t="s">
        <v>221</v>
      </c>
      <c r="F4187" s="7" t="s">
        <v>570</v>
      </c>
      <c r="G4187" s="7" t="s">
        <v>1581</v>
      </c>
      <c r="H4187" s="7" t="s">
        <v>1362</v>
      </c>
      <c r="I4187" s="7" t="s">
        <v>1253</v>
      </c>
      <c r="K4187" s="39" t="s">
        <v>558</v>
      </c>
      <c r="L4187" s="40">
        <v>391.55</v>
      </c>
      <c r="M4187" s="40">
        <v>281211.39</v>
      </c>
      <c r="N4187" s="40">
        <f t="shared" si="159"/>
        <v>391.55</v>
      </c>
    </row>
    <row r="4188" spans="1:14" ht="12.75" hidden="1" customHeight="1" x14ac:dyDescent="0.2">
      <c r="A4188">
        <v>65061</v>
      </c>
      <c r="B4188" s="3" t="s">
        <v>1844</v>
      </c>
      <c r="C4188" s="7" t="s">
        <v>1761</v>
      </c>
      <c r="D4188" s="7" t="s">
        <v>221</v>
      </c>
      <c r="F4188" s="7" t="s">
        <v>570</v>
      </c>
      <c r="G4188" s="7" t="s">
        <v>1581</v>
      </c>
      <c r="H4188" s="7" t="s">
        <v>1362</v>
      </c>
      <c r="I4188" s="7" t="s">
        <v>1253</v>
      </c>
      <c r="K4188" s="39" t="s">
        <v>558</v>
      </c>
      <c r="L4188" s="40">
        <v>1820.91</v>
      </c>
      <c r="M4188" s="40">
        <v>283040.39</v>
      </c>
      <c r="N4188" s="40">
        <f t="shared" si="159"/>
        <v>1820.91</v>
      </c>
    </row>
    <row r="4189" spans="1:14" ht="12.75" hidden="1" customHeight="1" x14ac:dyDescent="0.2">
      <c r="A4189">
        <v>65061</v>
      </c>
      <c r="B4189" s="3" t="s">
        <v>1844</v>
      </c>
      <c r="C4189" s="7" t="s">
        <v>1626</v>
      </c>
      <c r="D4189" s="7" t="s">
        <v>221</v>
      </c>
      <c r="F4189" s="7" t="s">
        <v>548</v>
      </c>
      <c r="G4189" s="7" t="s">
        <v>1581</v>
      </c>
      <c r="H4189" s="7" t="s">
        <v>1362</v>
      </c>
      <c r="I4189" s="7" t="s">
        <v>1253</v>
      </c>
      <c r="K4189" s="39" t="s">
        <v>558</v>
      </c>
      <c r="L4189" s="40">
        <v>365.02</v>
      </c>
      <c r="M4189" s="40">
        <v>287740.68</v>
      </c>
      <c r="N4189" s="40">
        <f t="shared" si="159"/>
        <v>365.02</v>
      </c>
    </row>
    <row r="4190" spans="1:14" ht="12.75" hidden="1" customHeight="1" x14ac:dyDescent="0.2">
      <c r="A4190">
        <v>65061</v>
      </c>
      <c r="B4190" s="3" t="s">
        <v>1844</v>
      </c>
      <c r="C4190" s="7" t="s">
        <v>1626</v>
      </c>
      <c r="D4190" s="7" t="s">
        <v>221</v>
      </c>
      <c r="F4190" s="7" t="s">
        <v>648</v>
      </c>
      <c r="G4190" s="7" t="s">
        <v>1581</v>
      </c>
      <c r="H4190" s="7" t="s">
        <v>1362</v>
      </c>
      <c r="I4190" s="7" t="s">
        <v>1253</v>
      </c>
      <c r="K4190" s="39" t="s">
        <v>558</v>
      </c>
      <c r="L4190" s="40">
        <v>77.599999999999994</v>
      </c>
      <c r="M4190" s="40">
        <v>288046.5</v>
      </c>
      <c r="N4190" s="40">
        <f t="shared" si="159"/>
        <v>77.599999999999994</v>
      </c>
    </row>
    <row r="4191" spans="1:14" ht="12.75" hidden="1" customHeight="1" x14ac:dyDescent="0.2">
      <c r="A4191">
        <v>65061</v>
      </c>
      <c r="B4191" s="3" t="s">
        <v>1844</v>
      </c>
      <c r="C4191" s="7" t="s">
        <v>1631</v>
      </c>
      <c r="D4191" s="7" t="s">
        <v>221</v>
      </c>
      <c r="F4191" s="7" t="s">
        <v>564</v>
      </c>
      <c r="G4191" s="7" t="s">
        <v>1581</v>
      </c>
      <c r="H4191" s="7" t="s">
        <v>1362</v>
      </c>
      <c r="I4191" s="7" t="s">
        <v>1253</v>
      </c>
      <c r="K4191" s="39" t="s">
        <v>558</v>
      </c>
      <c r="L4191" s="40">
        <v>46.33</v>
      </c>
      <c r="M4191" s="40">
        <v>290015.17</v>
      </c>
      <c r="N4191" s="40">
        <f t="shared" si="159"/>
        <v>46.33</v>
      </c>
    </row>
    <row r="4192" spans="1:14" ht="12.75" hidden="1" customHeight="1" x14ac:dyDescent="0.2">
      <c r="A4192">
        <v>65061</v>
      </c>
      <c r="B4192" s="3" t="s">
        <v>1844</v>
      </c>
      <c r="C4192" s="7" t="s">
        <v>1631</v>
      </c>
      <c r="D4192" s="7" t="s">
        <v>221</v>
      </c>
      <c r="F4192" s="7" t="s">
        <v>564</v>
      </c>
      <c r="G4192" s="7" t="s">
        <v>1581</v>
      </c>
      <c r="H4192" s="7" t="s">
        <v>1362</v>
      </c>
      <c r="I4192" s="7" t="s">
        <v>1253</v>
      </c>
      <c r="K4192" s="39" t="s">
        <v>558</v>
      </c>
      <c r="L4192" s="40">
        <v>27.68</v>
      </c>
      <c r="M4192" s="40">
        <v>290042.84999999998</v>
      </c>
      <c r="N4192" s="40">
        <f t="shared" si="159"/>
        <v>27.68</v>
      </c>
    </row>
    <row r="4193" spans="1:14" ht="12.75" hidden="1" customHeight="1" x14ac:dyDescent="0.2">
      <c r="A4193">
        <v>65061</v>
      </c>
      <c r="B4193" s="3" t="s">
        <v>1844</v>
      </c>
      <c r="C4193" s="7" t="s">
        <v>1631</v>
      </c>
      <c r="D4193" s="7" t="s">
        <v>221</v>
      </c>
      <c r="F4193" s="7" t="s">
        <v>241</v>
      </c>
      <c r="G4193" s="7" t="s">
        <v>1581</v>
      </c>
      <c r="H4193" s="7" t="s">
        <v>1362</v>
      </c>
      <c r="I4193" s="7" t="s">
        <v>1253</v>
      </c>
      <c r="K4193" s="39" t="s">
        <v>558</v>
      </c>
      <c r="L4193" s="40">
        <v>64.930000000000007</v>
      </c>
      <c r="M4193" s="40">
        <v>290107.78000000003</v>
      </c>
      <c r="N4193" s="40">
        <f t="shared" si="159"/>
        <v>64.930000000000007</v>
      </c>
    </row>
    <row r="4194" spans="1:14" ht="12.75" hidden="1" customHeight="1" x14ac:dyDescent="0.2">
      <c r="A4194">
        <v>65061</v>
      </c>
      <c r="B4194" s="3" t="s">
        <v>1844</v>
      </c>
      <c r="C4194" s="7" t="s">
        <v>1631</v>
      </c>
      <c r="D4194" s="7" t="s">
        <v>221</v>
      </c>
      <c r="F4194" s="7" t="s">
        <v>241</v>
      </c>
      <c r="G4194" s="7" t="s">
        <v>1581</v>
      </c>
      <c r="H4194" s="7" t="s">
        <v>1362</v>
      </c>
      <c r="I4194" s="7" t="s">
        <v>1253</v>
      </c>
      <c r="K4194" s="39" t="s">
        <v>558</v>
      </c>
      <c r="L4194" s="40">
        <v>195.22</v>
      </c>
      <c r="M4194" s="40">
        <v>290303</v>
      </c>
      <c r="N4194" s="40">
        <f t="shared" si="159"/>
        <v>195.22</v>
      </c>
    </row>
    <row r="4195" spans="1:14" ht="12.75" hidden="1" customHeight="1" x14ac:dyDescent="0.2">
      <c r="A4195">
        <v>65061</v>
      </c>
      <c r="B4195" s="3" t="s">
        <v>1844</v>
      </c>
      <c r="C4195" s="7" t="s">
        <v>1680</v>
      </c>
      <c r="D4195" s="7" t="s">
        <v>221</v>
      </c>
      <c r="F4195" s="7" t="s">
        <v>355</v>
      </c>
      <c r="G4195" s="7" t="s">
        <v>1581</v>
      </c>
      <c r="H4195" s="7" t="s">
        <v>1362</v>
      </c>
      <c r="I4195" s="7" t="s">
        <v>1253</v>
      </c>
      <c r="K4195" s="39" t="s">
        <v>558</v>
      </c>
      <c r="L4195" s="40">
        <v>5.4</v>
      </c>
      <c r="M4195" s="40">
        <v>291449.45</v>
      </c>
      <c r="N4195" s="40">
        <f t="shared" si="159"/>
        <v>5.4</v>
      </c>
    </row>
    <row r="4196" spans="1:14" ht="12.75" hidden="1" customHeight="1" x14ac:dyDescent="0.2">
      <c r="A4196">
        <v>65061</v>
      </c>
      <c r="B4196" s="3" t="s">
        <v>1844</v>
      </c>
      <c r="C4196" s="7" t="s">
        <v>1728</v>
      </c>
      <c r="D4196" s="7" t="s">
        <v>242</v>
      </c>
      <c r="F4196" s="7" t="s">
        <v>241</v>
      </c>
      <c r="G4196" s="7" t="s">
        <v>1581</v>
      </c>
      <c r="H4196" s="7" t="s">
        <v>1362</v>
      </c>
      <c r="I4196" s="7" t="s">
        <v>1253</v>
      </c>
      <c r="K4196" s="39" t="s">
        <v>558</v>
      </c>
      <c r="L4196" s="40">
        <v>-35.86</v>
      </c>
      <c r="M4196" s="40">
        <v>299566.40999999997</v>
      </c>
      <c r="N4196" s="40">
        <f t="shared" si="159"/>
        <v>-35.86</v>
      </c>
    </row>
    <row r="4197" spans="1:14" ht="12.75" hidden="1" customHeight="1" x14ac:dyDescent="0.2">
      <c r="A4197">
        <v>65061</v>
      </c>
      <c r="B4197" s="3" t="s">
        <v>1844</v>
      </c>
      <c r="C4197" s="7" t="s">
        <v>1664</v>
      </c>
      <c r="D4197" s="7" t="s">
        <v>242</v>
      </c>
      <c r="F4197" s="7" t="s">
        <v>570</v>
      </c>
      <c r="G4197" s="7" t="s">
        <v>1581</v>
      </c>
      <c r="H4197" s="7" t="s">
        <v>1362</v>
      </c>
      <c r="I4197" s="7" t="s">
        <v>1253</v>
      </c>
      <c r="K4197" s="39" t="s">
        <v>558</v>
      </c>
      <c r="L4197" s="40">
        <v>-111.9</v>
      </c>
      <c r="M4197" s="40">
        <v>306204.71999999997</v>
      </c>
      <c r="N4197" s="40">
        <f t="shared" si="159"/>
        <v>-111.9</v>
      </c>
    </row>
    <row r="4198" spans="1:14" ht="12.75" hidden="1" customHeight="1" x14ac:dyDescent="0.2">
      <c r="A4198">
        <v>65095</v>
      </c>
      <c r="B4198" s="3" t="s">
        <v>1259</v>
      </c>
      <c r="C4198" s="7" t="s">
        <v>1555</v>
      </c>
      <c r="D4198" s="7" t="s">
        <v>183</v>
      </c>
      <c r="E4198" s="7">
        <v>652</v>
      </c>
      <c r="G4198" s="7" t="s">
        <v>1581</v>
      </c>
      <c r="H4198" s="43" t="s">
        <v>1361</v>
      </c>
      <c r="I4198" s="7" t="s">
        <v>1259</v>
      </c>
      <c r="J4198" s="39" t="s">
        <v>425</v>
      </c>
      <c r="K4198" s="39" t="s">
        <v>180</v>
      </c>
      <c r="L4198" s="40">
        <v>8.77</v>
      </c>
      <c r="M4198" s="40">
        <v>755.59</v>
      </c>
      <c r="N4198" s="40">
        <f t="shared" si="159"/>
        <v>8.77</v>
      </c>
    </row>
    <row r="4199" spans="1:14" ht="12.75" customHeight="1" x14ac:dyDescent="0.2">
      <c r="A4199">
        <v>43430</v>
      </c>
      <c r="B4199" s="3" t="s">
        <v>1231</v>
      </c>
      <c r="C4199" s="7" t="s">
        <v>204</v>
      </c>
      <c r="D4199" s="7" t="s">
        <v>242</v>
      </c>
      <c r="F4199" s="7" t="s">
        <v>446</v>
      </c>
      <c r="G4199" s="7" t="s">
        <v>1581</v>
      </c>
      <c r="H4199" s="7" t="s">
        <v>1359</v>
      </c>
      <c r="I4199" s="7" t="s">
        <v>1231</v>
      </c>
      <c r="K4199" s="7" t="s">
        <v>1123</v>
      </c>
      <c r="L4199" s="11">
        <v>2.04</v>
      </c>
      <c r="M4199" s="11">
        <v>63.33</v>
      </c>
      <c r="N4199" s="9">
        <f>IF(A4199&lt;60000,-L4199,+L4199)</f>
        <v>-2.04</v>
      </c>
    </row>
    <row r="4200" spans="1:14" ht="12.75" hidden="1" customHeight="1" x14ac:dyDescent="0.2">
      <c r="A4200">
        <v>65025</v>
      </c>
      <c r="B4200" s="3" t="s">
        <v>1246</v>
      </c>
      <c r="C4200" s="7" t="s">
        <v>1556</v>
      </c>
      <c r="D4200" s="7" t="s">
        <v>221</v>
      </c>
      <c r="F4200" s="7" t="s">
        <v>446</v>
      </c>
      <c r="G4200" s="7" t="s">
        <v>1641</v>
      </c>
      <c r="H4200" s="7" t="s">
        <v>1362</v>
      </c>
      <c r="I4200" s="7" t="s">
        <v>1246</v>
      </c>
      <c r="K4200" s="39" t="s">
        <v>936</v>
      </c>
      <c r="L4200" s="40">
        <v>16</v>
      </c>
      <c r="M4200" s="40">
        <v>1837.52</v>
      </c>
      <c r="N4200" s="40">
        <f>+L4200</f>
        <v>16</v>
      </c>
    </row>
    <row r="4201" spans="1:14" ht="12.75" hidden="1" customHeight="1" x14ac:dyDescent="0.2">
      <c r="A4201">
        <v>65025</v>
      </c>
      <c r="B4201" s="3" t="s">
        <v>1246</v>
      </c>
      <c r="C4201" s="7" t="s">
        <v>1803</v>
      </c>
      <c r="D4201" s="7" t="s">
        <v>221</v>
      </c>
      <c r="F4201" s="7" t="s">
        <v>446</v>
      </c>
      <c r="G4201" s="7" t="s">
        <v>1641</v>
      </c>
      <c r="H4201" s="7" t="s">
        <v>1362</v>
      </c>
      <c r="I4201" s="7" t="s">
        <v>1246</v>
      </c>
      <c r="K4201" s="39" t="s">
        <v>936</v>
      </c>
      <c r="L4201" s="40">
        <v>16</v>
      </c>
      <c r="M4201" s="40">
        <v>1963.17</v>
      </c>
      <c r="N4201" s="40">
        <f>+L4201</f>
        <v>16</v>
      </c>
    </row>
    <row r="4202" spans="1:14" ht="12.75" hidden="1" customHeight="1" x14ac:dyDescent="0.2">
      <c r="A4202">
        <v>65025</v>
      </c>
      <c r="B4202" s="3" t="s">
        <v>1246</v>
      </c>
      <c r="C4202" s="7" t="s">
        <v>1804</v>
      </c>
      <c r="D4202" s="7" t="s">
        <v>221</v>
      </c>
      <c r="F4202" s="7" t="s">
        <v>446</v>
      </c>
      <c r="G4202" s="7" t="s">
        <v>1641</v>
      </c>
      <c r="H4202" s="7" t="s">
        <v>1362</v>
      </c>
      <c r="I4202" s="7" t="s">
        <v>1246</v>
      </c>
      <c r="K4202" s="39" t="s">
        <v>936</v>
      </c>
      <c r="L4202" s="40">
        <v>16</v>
      </c>
      <c r="M4202" s="40">
        <v>2194.1999999999998</v>
      </c>
      <c r="N4202" s="40">
        <f>+L4202</f>
        <v>16</v>
      </c>
    </row>
    <row r="4203" spans="1:14" ht="12.75" hidden="1" customHeight="1" x14ac:dyDescent="0.2">
      <c r="A4203">
        <v>65025</v>
      </c>
      <c r="B4203" s="3" t="s">
        <v>1246</v>
      </c>
      <c r="C4203" s="7" t="s">
        <v>1619</v>
      </c>
      <c r="D4203" s="7" t="s">
        <v>221</v>
      </c>
      <c r="F4203" s="7" t="s">
        <v>446</v>
      </c>
      <c r="G4203" s="7" t="s">
        <v>1641</v>
      </c>
      <c r="H4203" s="7" t="s">
        <v>1362</v>
      </c>
      <c r="I4203" s="7" t="s">
        <v>1246</v>
      </c>
      <c r="K4203" s="39" t="s">
        <v>936</v>
      </c>
      <c r="L4203" s="40">
        <v>16</v>
      </c>
      <c r="M4203" s="40">
        <v>2422.1</v>
      </c>
      <c r="N4203" s="40">
        <f>+L4203</f>
        <v>16</v>
      </c>
    </row>
    <row r="4204" spans="1:14" ht="12.75" customHeight="1" x14ac:dyDescent="0.2">
      <c r="A4204">
        <v>43430</v>
      </c>
      <c r="B4204" s="3" t="s">
        <v>1231</v>
      </c>
      <c r="C4204" s="7" t="s">
        <v>448</v>
      </c>
      <c r="D4204" s="7" t="s">
        <v>242</v>
      </c>
      <c r="F4204" s="7" t="s">
        <v>336</v>
      </c>
      <c r="G4204" s="7" t="s">
        <v>1610</v>
      </c>
      <c r="H4204" s="7" t="s">
        <v>1359</v>
      </c>
      <c r="I4204" s="7" t="s">
        <v>1231</v>
      </c>
      <c r="K4204" s="7" t="s">
        <v>245</v>
      </c>
      <c r="L4204" s="11">
        <v>1.82</v>
      </c>
      <c r="M4204" s="11">
        <v>5.7</v>
      </c>
      <c r="N4204" s="9">
        <f t="shared" ref="N4204:N4212" si="160">IF(A4204&lt;60000,-L4204,+L4204)</f>
        <v>-1.82</v>
      </c>
    </row>
    <row r="4205" spans="1:14" ht="12.75" customHeight="1" x14ac:dyDescent="0.2">
      <c r="A4205">
        <v>43430</v>
      </c>
      <c r="B4205" s="3" t="s">
        <v>1231</v>
      </c>
      <c r="C4205" s="7" t="s">
        <v>340</v>
      </c>
      <c r="D4205" s="7" t="s">
        <v>242</v>
      </c>
      <c r="F4205" s="7" t="s">
        <v>336</v>
      </c>
      <c r="G4205" s="7" t="s">
        <v>1610</v>
      </c>
      <c r="H4205" s="7" t="s">
        <v>1359</v>
      </c>
      <c r="I4205" s="7" t="s">
        <v>1231</v>
      </c>
      <c r="K4205" s="7" t="s">
        <v>245</v>
      </c>
      <c r="L4205" s="11">
        <v>1.99</v>
      </c>
      <c r="M4205" s="11">
        <v>11.28</v>
      </c>
      <c r="N4205" s="9">
        <f t="shared" si="160"/>
        <v>-1.99</v>
      </c>
    </row>
    <row r="4206" spans="1:14" ht="12.75" customHeight="1" x14ac:dyDescent="0.2">
      <c r="A4206">
        <v>43430</v>
      </c>
      <c r="B4206" s="3" t="s">
        <v>1231</v>
      </c>
      <c r="C4206" s="7" t="s">
        <v>298</v>
      </c>
      <c r="D4206" s="7" t="s">
        <v>242</v>
      </c>
      <c r="F4206" s="7" t="s">
        <v>336</v>
      </c>
      <c r="G4206" s="7" t="s">
        <v>1610</v>
      </c>
      <c r="H4206" s="7" t="s">
        <v>1359</v>
      </c>
      <c r="I4206" s="7" t="s">
        <v>1231</v>
      </c>
      <c r="K4206" s="7" t="s">
        <v>245</v>
      </c>
      <c r="L4206" s="11">
        <v>5.03</v>
      </c>
      <c r="M4206" s="11">
        <v>21.74</v>
      </c>
      <c r="N4206" s="9">
        <f t="shared" si="160"/>
        <v>-5.03</v>
      </c>
    </row>
    <row r="4207" spans="1:14" ht="12.75" customHeight="1" x14ac:dyDescent="0.2">
      <c r="A4207">
        <v>43430</v>
      </c>
      <c r="B4207" s="3" t="s">
        <v>1231</v>
      </c>
      <c r="C4207" s="7" t="s">
        <v>417</v>
      </c>
      <c r="D4207" s="7" t="s">
        <v>242</v>
      </c>
      <c r="F4207" s="7" t="s">
        <v>336</v>
      </c>
      <c r="G4207" s="7" t="s">
        <v>1610</v>
      </c>
      <c r="H4207" s="7" t="s">
        <v>1359</v>
      </c>
      <c r="I4207" s="7" t="s">
        <v>1231</v>
      </c>
      <c r="K4207" s="7" t="s">
        <v>245</v>
      </c>
      <c r="L4207" s="11">
        <v>5.41</v>
      </c>
      <c r="M4207" s="11">
        <v>34.31</v>
      </c>
      <c r="N4207" s="9">
        <f t="shared" si="160"/>
        <v>-5.41</v>
      </c>
    </row>
    <row r="4208" spans="1:14" ht="12.75" customHeight="1" x14ac:dyDescent="0.2">
      <c r="A4208">
        <v>43430</v>
      </c>
      <c r="B4208" s="3" t="s">
        <v>1231</v>
      </c>
      <c r="C4208" s="7" t="s">
        <v>191</v>
      </c>
      <c r="D4208" s="7" t="s">
        <v>242</v>
      </c>
      <c r="F4208" s="7" t="s">
        <v>336</v>
      </c>
      <c r="G4208" s="7" t="s">
        <v>1610</v>
      </c>
      <c r="H4208" s="7" t="s">
        <v>1359</v>
      </c>
      <c r="I4208" s="7" t="s">
        <v>1231</v>
      </c>
      <c r="K4208" s="7" t="s">
        <v>245</v>
      </c>
      <c r="L4208" s="11">
        <v>5.26</v>
      </c>
      <c r="M4208" s="11">
        <v>46.22</v>
      </c>
      <c r="N4208" s="9">
        <f t="shared" si="160"/>
        <v>-5.26</v>
      </c>
    </row>
    <row r="4209" spans="1:14" ht="12.75" customHeight="1" x14ac:dyDescent="0.2">
      <c r="A4209">
        <v>43430</v>
      </c>
      <c r="B4209" s="3" t="s">
        <v>1231</v>
      </c>
      <c r="C4209" s="7" t="s">
        <v>204</v>
      </c>
      <c r="D4209" s="7" t="s">
        <v>242</v>
      </c>
      <c r="F4209" s="7" t="s">
        <v>336</v>
      </c>
      <c r="G4209" s="7" t="s">
        <v>1610</v>
      </c>
      <c r="H4209" s="7" t="s">
        <v>1359</v>
      </c>
      <c r="I4209" s="7" t="s">
        <v>1231</v>
      </c>
      <c r="K4209" s="7" t="s">
        <v>245</v>
      </c>
      <c r="L4209" s="11">
        <v>4.7300000000000004</v>
      </c>
      <c r="M4209" s="11">
        <v>58.21</v>
      </c>
      <c r="N4209" s="9">
        <f t="shared" si="160"/>
        <v>-4.7300000000000004</v>
      </c>
    </row>
    <row r="4210" spans="1:14" ht="12.75" customHeight="1" x14ac:dyDescent="0.2">
      <c r="A4210">
        <v>43430</v>
      </c>
      <c r="B4210" s="3" t="s">
        <v>1231</v>
      </c>
      <c r="C4210" s="7" t="s">
        <v>448</v>
      </c>
      <c r="D4210" s="7" t="s">
        <v>183</v>
      </c>
      <c r="E4210" s="7">
        <v>408</v>
      </c>
      <c r="G4210" s="7" t="s">
        <v>182</v>
      </c>
      <c r="H4210" s="7" t="s">
        <v>1359</v>
      </c>
      <c r="I4210" s="7" t="s">
        <v>1231</v>
      </c>
      <c r="K4210" s="7" t="s">
        <v>180</v>
      </c>
      <c r="L4210" s="11">
        <v>0.17</v>
      </c>
      <c r="M4210" s="11">
        <v>8.06</v>
      </c>
      <c r="N4210" s="9">
        <f t="shared" si="160"/>
        <v>-0.17</v>
      </c>
    </row>
    <row r="4211" spans="1:14" ht="12.75" customHeight="1" x14ac:dyDescent="0.2">
      <c r="A4211">
        <v>43430</v>
      </c>
      <c r="B4211" s="3" t="s">
        <v>1231</v>
      </c>
      <c r="C4211" s="7" t="s">
        <v>417</v>
      </c>
      <c r="D4211" s="7" t="s">
        <v>242</v>
      </c>
      <c r="F4211" s="7" t="s">
        <v>336</v>
      </c>
      <c r="G4211" s="7" t="s">
        <v>182</v>
      </c>
      <c r="H4211" s="7" t="s">
        <v>1359</v>
      </c>
      <c r="I4211" s="7" t="s">
        <v>1231</v>
      </c>
      <c r="K4211" s="7" t="s">
        <v>1124</v>
      </c>
      <c r="L4211" s="11">
        <v>0.11</v>
      </c>
      <c r="M4211" s="11">
        <v>37.14</v>
      </c>
      <c r="N4211" s="9">
        <f t="shared" si="160"/>
        <v>-0.11</v>
      </c>
    </row>
    <row r="4212" spans="1:14" ht="12.75" customHeight="1" x14ac:dyDescent="0.2">
      <c r="A4212">
        <v>43430</v>
      </c>
      <c r="B4212" s="3" t="s">
        <v>1231</v>
      </c>
      <c r="C4212" s="7" t="s">
        <v>191</v>
      </c>
      <c r="D4212" s="7" t="s">
        <v>242</v>
      </c>
      <c r="F4212" s="7" t="s">
        <v>336</v>
      </c>
      <c r="G4212" s="7" t="s">
        <v>182</v>
      </c>
      <c r="H4212" s="7" t="s">
        <v>1359</v>
      </c>
      <c r="I4212" s="7" t="s">
        <v>1231</v>
      </c>
      <c r="K4212" s="7" t="s">
        <v>1124</v>
      </c>
      <c r="L4212" s="11">
        <v>0.06</v>
      </c>
      <c r="M4212" s="11">
        <v>46.28</v>
      </c>
      <c r="N4212" s="9">
        <f t="shared" si="160"/>
        <v>-0.06</v>
      </c>
    </row>
    <row r="4213" spans="1:14" ht="12.75" customHeight="1" x14ac:dyDescent="0.2">
      <c r="A4213">
        <v>46430</v>
      </c>
      <c r="B4213" s="3" t="s">
        <v>1231</v>
      </c>
      <c r="C4213" s="7" t="s">
        <v>1578</v>
      </c>
      <c r="D4213" s="7" t="s">
        <v>242</v>
      </c>
      <c r="F4213" s="7" t="s">
        <v>336</v>
      </c>
      <c r="G4213" s="7" t="s">
        <v>182</v>
      </c>
      <c r="H4213" s="7" t="s">
        <v>1359</v>
      </c>
      <c r="I4213" s="7" t="s">
        <v>1231</v>
      </c>
      <c r="K4213" s="39" t="s">
        <v>1735</v>
      </c>
      <c r="L4213" s="40">
        <v>7.0000000000000007E-2</v>
      </c>
      <c r="M4213" s="40">
        <v>71.13</v>
      </c>
      <c r="N4213" s="41">
        <f>-L4213</f>
        <v>-7.0000000000000007E-2</v>
      </c>
    </row>
    <row r="4214" spans="1:14" ht="12.75" customHeight="1" x14ac:dyDescent="0.2">
      <c r="A4214">
        <v>46430</v>
      </c>
      <c r="B4214" s="3" t="s">
        <v>1231</v>
      </c>
      <c r="C4214" s="7" t="s">
        <v>1648</v>
      </c>
      <c r="D4214" s="7" t="s">
        <v>242</v>
      </c>
      <c r="F4214" s="7" t="s">
        <v>336</v>
      </c>
      <c r="G4214" s="7" t="s">
        <v>182</v>
      </c>
      <c r="H4214" s="7" t="s">
        <v>1359</v>
      </c>
      <c r="I4214" s="7" t="s">
        <v>1231</v>
      </c>
      <c r="K4214" s="39" t="s">
        <v>1735</v>
      </c>
      <c r="L4214" s="40">
        <v>0.08</v>
      </c>
      <c r="M4214" s="40">
        <v>93.95</v>
      </c>
      <c r="N4214" s="41">
        <f>-L4214</f>
        <v>-0.08</v>
      </c>
    </row>
    <row r="4215" spans="1:14" ht="12.75" customHeight="1" x14ac:dyDescent="0.2">
      <c r="A4215">
        <v>43430</v>
      </c>
      <c r="B4215" s="3" t="s">
        <v>1231</v>
      </c>
      <c r="C4215" s="7" t="s">
        <v>340</v>
      </c>
      <c r="D4215" s="7" t="s">
        <v>242</v>
      </c>
      <c r="F4215" s="7" t="s">
        <v>336</v>
      </c>
      <c r="G4215" s="7" t="s">
        <v>1734</v>
      </c>
      <c r="H4215" s="7" t="s">
        <v>1359</v>
      </c>
      <c r="I4215" s="7" t="s">
        <v>1231</v>
      </c>
      <c r="K4215" s="7" t="s">
        <v>750</v>
      </c>
      <c r="L4215" s="11">
        <v>0.11</v>
      </c>
      <c r="M4215" s="11">
        <v>8.17</v>
      </c>
      <c r="N4215" s="9">
        <f t="shared" ref="N4215:N4223" si="161">IF(A4215&lt;60000,-L4215,+L4215)</f>
        <v>-0.11</v>
      </c>
    </row>
    <row r="4216" spans="1:14" ht="12.75" customHeight="1" x14ac:dyDescent="0.2">
      <c r="A4216">
        <v>43430</v>
      </c>
      <c r="B4216" s="3" t="s">
        <v>1231</v>
      </c>
      <c r="C4216" s="7" t="s">
        <v>298</v>
      </c>
      <c r="D4216" s="7" t="s">
        <v>242</v>
      </c>
      <c r="F4216" s="7" t="s">
        <v>336</v>
      </c>
      <c r="G4216" s="7" t="s">
        <v>1734</v>
      </c>
      <c r="H4216" s="7" t="s">
        <v>1359</v>
      </c>
      <c r="I4216" s="7" t="s">
        <v>1231</v>
      </c>
      <c r="K4216" s="7" t="s">
        <v>750</v>
      </c>
      <c r="L4216" s="11">
        <v>0.1</v>
      </c>
      <c r="M4216" s="11">
        <v>24.69</v>
      </c>
      <c r="N4216" s="9">
        <f t="shared" si="161"/>
        <v>-0.1</v>
      </c>
    </row>
    <row r="4217" spans="1:14" ht="12.75" customHeight="1" x14ac:dyDescent="0.2">
      <c r="A4217">
        <v>43430</v>
      </c>
      <c r="B4217" s="3" t="s">
        <v>1231</v>
      </c>
      <c r="C4217" s="7" t="s">
        <v>417</v>
      </c>
      <c r="D4217" s="7" t="s">
        <v>242</v>
      </c>
      <c r="F4217" s="7" t="s">
        <v>336</v>
      </c>
      <c r="G4217" s="7" t="s">
        <v>1734</v>
      </c>
      <c r="H4217" s="7" t="s">
        <v>1359</v>
      </c>
      <c r="I4217" s="7" t="s">
        <v>1231</v>
      </c>
      <c r="K4217" s="7" t="s">
        <v>750</v>
      </c>
      <c r="L4217" s="11">
        <v>0.1</v>
      </c>
      <c r="M4217" s="11">
        <v>28.77</v>
      </c>
      <c r="N4217" s="9">
        <f t="shared" si="161"/>
        <v>-0.1</v>
      </c>
    </row>
    <row r="4218" spans="1:14" ht="12.75" customHeight="1" x14ac:dyDescent="0.2">
      <c r="A4218">
        <v>43430</v>
      </c>
      <c r="B4218" s="3" t="s">
        <v>1231</v>
      </c>
      <c r="C4218" s="7" t="s">
        <v>191</v>
      </c>
      <c r="D4218" s="7" t="s">
        <v>242</v>
      </c>
      <c r="F4218" s="7" t="s">
        <v>336</v>
      </c>
      <c r="G4218" s="7" t="s">
        <v>1734</v>
      </c>
      <c r="H4218" s="7" t="s">
        <v>1359</v>
      </c>
      <c r="I4218" s="7" t="s">
        <v>1231</v>
      </c>
      <c r="K4218" s="7" t="s">
        <v>750</v>
      </c>
      <c r="L4218" s="11">
        <v>0.17</v>
      </c>
      <c r="M4218" s="11">
        <v>46.45</v>
      </c>
      <c r="N4218" s="9">
        <f t="shared" si="161"/>
        <v>-0.17</v>
      </c>
    </row>
    <row r="4219" spans="1:14" ht="12.75" customHeight="1" x14ac:dyDescent="0.2">
      <c r="A4219">
        <v>43430</v>
      </c>
      <c r="B4219" s="3" t="s">
        <v>1231</v>
      </c>
      <c r="C4219" s="7" t="s">
        <v>204</v>
      </c>
      <c r="D4219" s="7" t="s">
        <v>242</v>
      </c>
      <c r="F4219" s="7" t="s">
        <v>336</v>
      </c>
      <c r="G4219" s="7" t="s">
        <v>1734</v>
      </c>
      <c r="H4219" s="7" t="s">
        <v>1359</v>
      </c>
      <c r="I4219" s="7" t="s">
        <v>1231</v>
      </c>
      <c r="K4219" s="7" t="s">
        <v>750</v>
      </c>
      <c r="L4219" s="11">
        <v>0.18</v>
      </c>
      <c r="M4219" s="11">
        <v>53.01</v>
      </c>
      <c r="N4219" s="9">
        <f t="shared" si="161"/>
        <v>-0.18</v>
      </c>
    </row>
    <row r="4220" spans="1:14" ht="12.75" customHeight="1" x14ac:dyDescent="0.2">
      <c r="A4220">
        <v>43430</v>
      </c>
      <c r="B4220" s="3" t="s">
        <v>1231</v>
      </c>
      <c r="C4220" s="7" t="s">
        <v>340</v>
      </c>
      <c r="D4220" s="7" t="s">
        <v>242</v>
      </c>
      <c r="F4220" s="7" t="s">
        <v>336</v>
      </c>
      <c r="G4220" s="7" t="s">
        <v>1579</v>
      </c>
      <c r="H4220" s="7" t="s">
        <v>1359</v>
      </c>
      <c r="I4220" s="7" t="s">
        <v>1231</v>
      </c>
      <c r="K4220" s="7" t="s">
        <v>1124</v>
      </c>
      <c r="L4220" s="11">
        <v>0.16</v>
      </c>
      <c r="M4220" s="11">
        <v>16.47</v>
      </c>
      <c r="N4220" s="9">
        <f t="shared" si="161"/>
        <v>-0.16</v>
      </c>
    </row>
    <row r="4221" spans="1:14" ht="12.75" customHeight="1" x14ac:dyDescent="0.2">
      <c r="A4221">
        <v>43430</v>
      </c>
      <c r="B4221" s="3" t="s">
        <v>1231</v>
      </c>
      <c r="C4221" s="7" t="s">
        <v>298</v>
      </c>
      <c r="D4221" s="7" t="s">
        <v>242</v>
      </c>
      <c r="F4221" s="7" t="s">
        <v>336</v>
      </c>
      <c r="G4221" s="7" t="s">
        <v>1579</v>
      </c>
      <c r="H4221" s="7" t="s">
        <v>1359</v>
      </c>
      <c r="I4221" s="7" t="s">
        <v>1231</v>
      </c>
      <c r="K4221" s="7" t="s">
        <v>1124</v>
      </c>
      <c r="L4221" s="11">
        <v>0.14000000000000001</v>
      </c>
      <c r="M4221" s="11">
        <v>16.71</v>
      </c>
      <c r="N4221" s="9">
        <f t="shared" si="161"/>
        <v>-0.14000000000000001</v>
      </c>
    </row>
    <row r="4222" spans="1:14" ht="12.75" hidden="1" customHeight="1" x14ac:dyDescent="0.2">
      <c r="A4222">
        <v>43440</v>
      </c>
      <c r="B4222" s="3" t="s">
        <v>1228</v>
      </c>
      <c r="C4222" s="7" t="s">
        <v>503</v>
      </c>
      <c r="D4222" s="7" t="s">
        <v>183</v>
      </c>
      <c r="E4222" s="7">
        <v>575</v>
      </c>
      <c r="G4222" s="7" t="s">
        <v>1592</v>
      </c>
      <c r="H4222" s="7" t="s">
        <v>1360</v>
      </c>
      <c r="I4222" s="7" t="s">
        <v>1228</v>
      </c>
      <c r="J4222" s="7" t="s">
        <v>501</v>
      </c>
      <c r="K4222" s="7" t="s">
        <v>180</v>
      </c>
      <c r="L4222" s="11">
        <v>750</v>
      </c>
      <c r="M4222" s="11">
        <v>22141.63</v>
      </c>
      <c r="N4222" s="9">
        <f t="shared" si="161"/>
        <v>-750</v>
      </c>
    </row>
    <row r="4223" spans="1:14" ht="12.75" customHeight="1" x14ac:dyDescent="0.2">
      <c r="A4223">
        <v>43430</v>
      </c>
      <c r="B4223" s="3" t="s">
        <v>1231</v>
      </c>
      <c r="C4223" s="7" t="s">
        <v>204</v>
      </c>
      <c r="D4223" s="7" t="s">
        <v>242</v>
      </c>
      <c r="F4223" s="7" t="s">
        <v>336</v>
      </c>
      <c r="G4223" s="7" t="s">
        <v>1579</v>
      </c>
      <c r="H4223" s="7" t="s">
        <v>1359</v>
      </c>
      <c r="I4223" s="7" t="s">
        <v>1231</v>
      </c>
      <c r="K4223" s="7" t="s">
        <v>1124</v>
      </c>
      <c r="L4223" s="11">
        <v>0.06</v>
      </c>
      <c r="M4223" s="11">
        <v>53.17</v>
      </c>
      <c r="N4223" s="9">
        <f t="shared" si="161"/>
        <v>-0.06</v>
      </c>
    </row>
    <row r="4224" spans="1:14" ht="12.75" customHeight="1" x14ac:dyDescent="0.2">
      <c r="A4224">
        <v>46430</v>
      </c>
      <c r="B4224" s="3" t="s">
        <v>1231</v>
      </c>
      <c r="C4224" s="7" t="s">
        <v>1596</v>
      </c>
      <c r="D4224" s="7" t="s">
        <v>242</v>
      </c>
      <c r="F4224" s="7" t="s">
        <v>336</v>
      </c>
      <c r="G4224" s="7" t="s">
        <v>1579</v>
      </c>
      <c r="H4224" s="7" t="s">
        <v>1359</v>
      </c>
      <c r="I4224" s="7" t="s">
        <v>1231</v>
      </c>
      <c r="K4224" s="39" t="s">
        <v>1735</v>
      </c>
      <c r="L4224" s="40">
        <v>7.0000000000000007E-2</v>
      </c>
      <c r="M4224" s="40">
        <v>73.75</v>
      </c>
      <c r="N4224" s="41">
        <f>-L4224</f>
        <v>-7.0000000000000007E-2</v>
      </c>
    </row>
    <row r="4225" spans="1:14" ht="12.75" customHeight="1" x14ac:dyDescent="0.2">
      <c r="A4225">
        <v>46430</v>
      </c>
      <c r="B4225" s="3" t="s">
        <v>1231</v>
      </c>
      <c r="C4225" s="7" t="s">
        <v>1663</v>
      </c>
      <c r="D4225" s="7" t="s">
        <v>242</v>
      </c>
      <c r="F4225" s="7" t="s">
        <v>336</v>
      </c>
      <c r="G4225" s="7" t="s">
        <v>1579</v>
      </c>
      <c r="H4225" s="7" t="s">
        <v>1359</v>
      </c>
      <c r="I4225" s="7" t="s">
        <v>1231</v>
      </c>
      <c r="K4225" s="39" t="s">
        <v>1735</v>
      </c>
      <c r="L4225" s="40">
        <v>7.0000000000000007E-2</v>
      </c>
      <c r="M4225" s="40">
        <v>87.51</v>
      </c>
      <c r="N4225" s="41">
        <f>-L4225</f>
        <v>-7.0000000000000007E-2</v>
      </c>
    </row>
    <row r="4226" spans="1:14" ht="12.75" hidden="1" customHeight="1" x14ac:dyDescent="0.2">
      <c r="A4226">
        <v>65020</v>
      </c>
      <c r="B4226" s="3" t="s">
        <v>1245</v>
      </c>
      <c r="C4226" s="7" t="s">
        <v>222</v>
      </c>
      <c r="D4226" s="7" t="s">
        <v>221</v>
      </c>
      <c r="F4226" s="7" t="s">
        <v>338</v>
      </c>
      <c r="G4226" s="7" t="s">
        <v>1592</v>
      </c>
      <c r="H4226" s="7" t="s">
        <v>1362</v>
      </c>
      <c r="I4226" s="7" t="s">
        <v>1245</v>
      </c>
      <c r="K4226" s="7" t="s">
        <v>561</v>
      </c>
      <c r="L4226" s="11">
        <v>9.8000000000000007</v>
      </c>
      <c r="M4226" s="11">
        <v>1551.88</v>
      </c>
      <c r="N4226" s="9">
        <f t="shared" ref="N4226:N4257" si="162">IF(A4226&lt;60000,-L4226,+L4226)</f>
        <v>9.8000000000000007</v>
      </c>
    </row>
    <row r="4227" spans="1:14" ht="12.75" hidden="1" customHeight="1" x14ac:dyDescent="0.2">
      <c r="A4227">
        <v>65020</v>
      </c>
      <c r="B4227" s="3" t="s">
        <v>1245</v>
      </c>
      <c r="C4227" s="7" t="s">
        <v>645</v>
      </c>
      <c r="D4227" s="7" t="s">
        <v>221</v>
      </c>
      <c r="F4227" s="7" t="s">
        <v>338</v>
      </c>
      <c r="G4227" s="7" t="s">
        <v>1592</v>
      </c>
      <c r="H4227" s="7" t="s">
        <v>1362</v>
      </c>
      <c r="I4227" s="7" t="s">
        <v>1245</v>
      </c>
      <c r="K4227" s="7" t="s">
        <v>561</v>
      </c>
      <c r="L4227" s="11">
        <v>14.7</v>
      </c>
      <c r="M4227" s="11">
        <v>1629.98</v>
      </c>
      <c r="N4227" s="9">
        <f t="shared" si="162"/>
        <v>14.7</v>
      </c>
    </row>
    <row r="4228" spans="1:14" ht="12.75" hidden="1" customHeight="1" x14ac:dyDescent="0.2">
      <c r="A4228">
        <v>65020</v>
      </c>
      <c r="B4228" s="3" t="s">
        <v>1245</v>
      </c>
      <c r="C4228" s="7" t="s">
        <v>645</v>
      </c>
      <c r="D4228" s="7" t="s">
        <v>221</v>
      </c>
      <c r="F4228" s="7" t="s">
        <v>338</v>
      </c>
      <c r="G4228" s="7" t="s">
        <v>1592</v>
      </c>
      <c r="H4228" s="7" t="s">
        <v>1362</v>
      </c>
      <c r="I4228" s="7" t="s">
        <v>1245</v>
      </c>
      <c r="K4228" s="7" t="s">
        <v>561</v>
      </c>
      <c r="L4228" s="11">
        <v>3.08</v>
      </c>
      <c r="M4228" s="11">
        <v>1633.06</v>
      </c>
      <c r="N4228" s="9">
        <f t="shared" si="162"/>
        <v>3.08</v>
      </c>
    </row>
    <row r="4229" spans="1:14" ht="12.75" hidden="1" customHeight="1" x14ac:dyDescent="0.2">
      <c r="A4229">
        <v>65025</v>
      </c>
      <c r="B4229" s="3" t="s">
        <v>1246</v>
      </c>
      <c r="C4229" s="7" t="s">
        <v>449</v>
      </c>
      <c r="D4229" s="7" t="s">
        <v>200</v>
      </c>
      <c r="F4229" s="7" t="s">
        <v>446</v>
      </c>
      <c r="G4229" s="7" t="s">
        <v>1592</v>
      </c>
      <c r="H4229" s="7" t="s">
        <v>1362</v>
      </c>
      <c r="I4229" s="7" t="s">
        <v>1246</v>
      </c>
      <c r="K4229" s="7" t="s">
        <v>1045</v>
      </c>
      <c r="L4229" s="11">
        <v>15</v>
      </c>
      <c r="M4229" s="11">
        <v>153</v>
      </c>
      <c r="N4229" s="9">
        <f t="shared" si="162"/>
        <v>15</v>
      </c>
    </row>
    <row r="4230" spans="1:14" ht="12.75" hidden="1" customHeight="1" x14ac:dyDescent="0.2">
      <c r="A4230">
        <v>65036</v>
      </c>
      <c r="B4230" s="3" t="s">
        <v>1249</v>
      </c>
      <c r="C4230" s="7" t="s">
        <v>361</v>
      </c>
      <c r="D4230" s="7" t="s">
        <v>200</v>
      </c>
      <c r="E4230" s="7">
        <v>1040</v>
      </c>
      <c r="F4230" s="7" t="s">
        <v>1024</v>
      </c>
      <c r="G4230" s="7" t="s">
        <v>1592</v>
      </c>
      <c r="H4230" s="7" t="s">
        <v>1362</v>
      </c>
      <c r="I4230" s="7" t="s">
        <v>1249</v>
      </c>
      <c r="K4230" s="7" t="s">
        <v>561</v>
      </c>
      <c r="L4230" s="11">
        <v>50</v>
      </c>
      <c r="M4230" s="11">
        <v>751.54</v>
      </c>
      <c r="N4230" s="9">
        <f t="shared" si="162"/>
        <v>50</v>
      </c>
    </row>
    <row r="4231" spans="1:14" ht="12.75" hidden="1" customHeight="1" x14ac:dyDescent="0.2">
      <c r="A4231">
        <v>65036</v>
      </c>
      <c r="B4231" s="3" t="s">
        <v>1249</v>
      </c>
      <c r="C4231" s="7" t="s">
        <v>353</v>
      </c>
      <c r="D4231" s="7" t="s">
        <v>200</v>
      </c>
      <c r="E4231" s="7">
        <v>1041</v>
      </c>
      <c r="F4231" s="7" t="s">
        <v>1011</v>
      </c>
      <c r="G4231" s="7" t="s">
        <v>1592</v>
      </c>
      <c r="H4231" s="7" t="s">
        <v>1362</v>
      </c>
      <c r="I4231" s="7" t="s">
        <v>1249</v>
      </c>
      <c r="K4231" s="7" t="s">
        <v>561</v>
      </c>
      <c r="L4231" s="11">
        <v>42</v>
      </c>
      <c r="M4231" s="11">
        <v>918.54</v>
      </c>
      <c r="N4231" s="9">
        <f t="shared" si="162"/>
        <v>42</v>
      </c>
    </row>
    <row r="4232" spans="1:14" ht="12.75" hidden="1" customHeight="1" x14ac:dyDescent="0.2">
      <c r="A4232">
        <v>65036</v>
      </c>
      <c r="B4232" s="3" t="s">
        <v>1249</v>
      </c>
      <c r="C4232" s="7" t="s">
        <v>290</v>
      </c>
      <c r="D4232" s="7" t="s">
        <v>200</v>
      </c>
      <c r="F4232" s="7" t="s">
        <v>1019</v>
      </c>
      <c r="G4232" s="7" t="s">
        <v>1592</v>
      </c>
      <c r="H4232" s="7" t="s">
        <v>1362</v>
      </c>
      <c r="I4232" s="7" t="s">
        <v>1249</v>
      </c>
      <c r="K4232" s="7" t="s">
        <v>561</v>
      </c>
      <c r="L4232" s="11">
        <v>26.28</v>
      </c>
      <c r="M4232" s="11">
        <v>3821.18</v>
      </c>
      <c r="N4232" s="9">
        <f t="shared" si="162"/>
        <v>26.28</v>
      </c>
    </row>
    <row r="4233" spans="1:14" ht="12.75" hidden="1" customHeight="1" x14ac:dyDescent="0.2">
      <c r="A4233">
        <v>65036</v>
      </c>
      <c r="B4233" s="3" t="s">
        <v>1249</v>
      </c>
      <c r="C4233" s="7" t="s">
        <v>496</v>
      </c>
      <c r="D4233" s="7" t="s">
        <v>221</v>
      </c>
      <c r="G4233" s="7" t="s">
        <v>1592</v>
      </c>
      <c r="H4233" s="7" t="s">
        <v>1362</v>
      </c>
      <c r="I4233" s="7" t="s">
        <v>1249</v>
      </c>
      <c r="K4233" s="7" t="s">
        <v>561</v>
      </c>
      <c r="L4233" s="11">
        <v>299.95999999999998</v>
      </c>
      <c r="M4233" s="11">
        <v>4532.1499999999996</v>
      </c>
      <c r="N4233" s="9">
        <f t="shared" si="162"/>
        <v>299.95999999999998</v>
      </c>
    </row>
    <row r="4234" spans="1:14" ht="12.75" hidden="1" customHeight="1" x14ac:dyDescent="0.2">
      <c r="A4234">
        <v>65036</v>
      </c>
      <c r="B4234" s="3" t="s">
        <v>1249</v>
      </c>
      <c r="C4234" s="7" t="s">
        <v>442</v>
      </c>
      <c r="D4234" s="7" t="s">
        <v>221</v>
      </c>
      <c r="F4234" s="7" t="s">
        <v>1013</v>
      </c>
      <c r="G4234" s="7" t="s">
        <v>1592</v>
      </c>
      <c r="H4234" s="7" t="s">
        <v>1362</v>
      </c>
      <c r="I4234" s="7" t="s">
        <v>1249</v>
      </c>
      <c r="K4234" s="7" t="s">
        <v>561</v>
      </c>
      <c r="L4234" s="11">
        <v>24.16</v>
      </c>
      <c r="M4234" s="11">
        <v>4876.54</v>
      </c>
      <c r="N4234" s="9">
        <f t="shared" si="162"/>
        <v>24.16</v>
      </c>
    </row>
    <row r="4235" spans="1:14" ht="12.75" hidden="1" customHeight="1" x14ac:dyDescent="0.2">
      <c r="A4235">
        <v>65040</v>
      </c>
      <c r="B4235" s="3" t="s">
        <v>1250</v>
      </c>
      <c r="C4235" s="7" t="s">
        <v>845</v>
      </c>
      <c r="D4235" s="7" t="s">
        <v>200</v>
      </c>
      <c r="F4235" s="7" t="s">
        <v>805</v>
      </c>
      <c r="G4235" s="7" t="s">
        <v>1592</v>
      </c>
      <c r="H4235" s="7" t="s">
        <v>1362</v>
      </c>
      <c r="I4235" s="7" t="s">
        <v>1250</v>
      </c>
      <c r="K4235" s="7" t="s">
        <v>561</v>
      </c>
      <c r="L4235" s="11">
        <v>32.83</v>
      </c>
      <c r="M4235" s="11">
        <v>950.52</v>
      </c>
      <c r="N4235" s="9">
        <f t="shared" si="162"/>
        <v>32.83</v>
      </c>
    </row>
    <row r="4236" spans="1:14" ht="12.75" hidden="1" customHeight="1" x14ac:dyDescent="0.2">
      <c r="A4236">
        <v>65061</v>
      </c>
      <c r="B4236" s="3" t="s">
        <v>1253</v>
      </c>
      <c r="C4236" s="7" t="s">
        <v>432</v>
      </c>
      <c r="D4236" s="7" t="s">
        <v>200</v>
      </c>
      <c r="F4236" s="7" t="s">
        <v>896</v>
      </c>
      <c r="G4236" s="7" t="s">
        <v>1592</v>
      </c>
      <c r="H4236" s="7" t="s">
        <v>1362</v>
      </c>
      <c r="I4236" s="7" t="s">
        <v>1253</v>
      </c>
      <c r="K4236" s="7" t="s">
        <v>561</v>
      </c>
      <c r="L4236" s="11">
        <v>265.04000000000002</v>
      </c>
      <c r="M4236" s="11">
        <v>-5434.74</v>
      </c>
      <c r="N4236" s="9">
        <f t="shared" si="162"/>
        <v>265.04000000000002</v>
      </c>
    </row>
    <row r="4237" spans="1:14" ht="12.75" hidden="1" customHeight="1" x14ac:dyDescent="0.2">
      <c r="A4237">
        <v>65061</v>
      </c>
      <c r="B4237" s="3" t="s">
        <v>1253</v>
      </c>
      <c r="C4237" s="7" t="s">
        <v>976</v>
      </c>
      <c r="D4237" s="7" t="s">
        <v>200</v>
      </c>
      <c r="F4237" s="7" t="s">
        <v>578</v>
      </c>
      <c r="G4237" s="7" t="s">
        <v>1592</v>
      </c>
      <c r="H4237" s="7" t="s">
        <v>1362</v>
      </c>
      <c r="I4237" s="7" t="s">
        <v>1253</v>
      </c>
      <c r="K4237" s="7" t="s">
        <v>561</v>
      </c>
      <c r="L4237" s="11">
        <v>41.97</v>
      </c>
      <c r="M4237" s="11">
        <v>-4167.43</v>
      </c>
      <c r="N4237" s="9">
        <f t="shared" si="162"/>
        <v>41.97</v>
      </c>
    </row>
    <row r="4238" spans="1:14" ht="12.75" hidden="1" customHeight="1" x14ac:dyDescent="0.2">
      <c r="A4238">
        <v>65061</v>
      </c>
      <c r="B4238" s="3" t="s">
        <v>1253</v>
      </c>
      <c r="C4238" s="7" t="s">
        <v>976</v>
      </c>
      <c r="D4238" s="7" t="s">
        <v>200</v>
      </c>
      <c r="F4238" s="7" t="s">
        <v>578</v>
      </c>
      <c r="G4238" s="7" t="s">
        <v>1592</v>
      </c>
      <c r="H4238" s="7" t="s">
        <v>1362</v>
      </c>
      <c r="I4238" s="7" t="s">
        <v>1253</v>
      </c>
      <c r="K4238" s="7" t="s">
        <v>561</v>
      </c>
      <c r="L4238" s="11">
        <v>29.98</v>
      </c>
      <c r="M4238" s="11">
        <v>-4137.45</v>
      </c>
      <c r="N4238" s="9">
        <f t="shared" si="162"/>
        <v>29.98</v>
      </c>
    </row>
    <row r="4239" spans="1:14" ht="12.75" hidden="1" customHeight="1" x14ac:dyDescent="0.2">
      <c r="A4239">
        <v>65061</v>
      </c>
      <c r="B4239" s="3" t="s">
        <v>1253</v>
      </c>
      <c r="C4239" s="7" t="s">
        <v>962</v>
      </c>
      <c r="D4239" s="7" t="s">
        <v>200</v>
      </c>
      <c r="F4239" s="7" t="s">
        <v>896</v>
      </c>
      <c r="G4239" s="7" t="s">
        <v>1592</v>
      </c>
      <c r="H4239" s="7" t="s">
        <v>1362</v>
      </c>
      <c r="I4239" s="7" t="s">
        <v>1253</v>
      </c>
      <c r="K4239" s="7" t="s">
        <v>561</v>
      </c>
      <c r="L4239" s="11">
        <v>24.03</v>
      </c>
      <c r="M4239" s="11">
        <v>5767.95</v>
      </c>
      <c r="N4239" s="9">
        <f t="shared" si="162"/>
        <v>24.03</v>
      </c>
    </row>
    <row r="4240" spans="1:14" ht="12.75" hidden="1" customHeight="1" x14ac:dyDescent="0.2">
      <c r="A4240">
        <v>65061</v>
      </c>
      <c r="B4240" s="3" t="s">
        <v>1253</v>
      </c>
      <c r="C4240" s="7" t="s">
        <v>392</v>
      </c>
      <c r="D4240" s="7" t="s">
        <v>200</v>
      </c>
      <c r="F4240" s="7" t="s">
        <v>593</v>
      </c>
      <c r="G4240" s="7" t="s">
        <v>1592</v>
      </c>
      <c r="H4240" s="7" t="s">
        <v>1362</v>
      </c>
      <c r="I4240" s="7" t="s">
        <v>1253</v>
      </c>
      <c r="K4240" s="7" t="s">
        <v>561</v>
      </c>
      <c r="L4240" s="11">
        <v>912</v>
      </c>
      <c r="M4240" s="11">
        <v>9745.49</v>
      </c>
      <c r="N4240" s="9">
        <f t="shared" si="162"/>
        <v>912</v>
      </c>
    </row>
    <row r="4241" spans="1:14" ht="12.75" hidden="1" customHeight="1" x14ac:dyDescent="0.2">
      <c r="A4241">
        <v>65061</v>
      </c>
      <c r="B4241" s="3" t="s">
        <v>1253</v>
      </c>
      <c r="C4241" s="7" t="s">
        <v>384</v>
      </c>
      <c r="D4241" s="7" t="s">
        <v>200</v>
      </c>
      <c r="F4241" s="7" t="s">
        <v>957</v>
      </c>
      <c r="G4241" s="7" t="s">
        <v>1592</v>
      </c>
      <c r="H4241" s="7" t="s">
        <v>1362</v>
      </c>
      <c r="I4241" s="7" t="s">
        <v>1253</v>
      </c>
      <c r="K4241" s="7" t="s">
        <v>561</v>
      </c>
      <c r="L4241" s="11">
        <v>5.37</v>
      </c>
      <c r="M4241" s="11">
        <v>12244.1</v>
      </c>
      <c r="N4241" s="9">
        <f t="shared" si="162"/>
        <v>5.37</v>
      </c>
    </row>
    <row r="4242" spans="1:14" ht="12.75" hidden="1" customHeight="1" x14ac:dyDescent="0.2">
      <c r="A4242">
        <v>65061</v>
      </c>
      <c r="B4242" s="3" t="s">
        <v>1253</v>
      </c>
      <c r="C4242" s="7" t="s">
        <v>384</v>
      </c>
      <c r="D4242" s="7" t="s">
        <v>200</v>
      </c>
      <c r="F4242" s="7" t="s">
        <v>956</v>
      </c>
      <c r="G4242" s="7" t="s">
        <v>1592</v>
      </c>
      <c r="H4242" s="7" t="s">
        <v>1362</v>
      </c>
      <c r="I4242" s="7" t="s">
        <v>1253</v>
      </c>
      <c r="K4242" s="7" t="s">
        <v>561</v>
      </c>
      <c r="L4242" s="11">
        <v>2.0699999999999998</v>
      </c>
      <c r="M4242" s="11">
        <v>12246.17</v>
      </c>
      <c r="N4242" s="9">
        <f t="shared" si="162"/>
        <v>2.0699999999999998</v>
      </c>
    </row>
    <row r="4243" spans="1:14" ht="12.75" hidden="1" customHeight="1" x14ac:dyDescent="0.2">
      <c r="A4243">
        <v>65061</v>
      </c>
      <c r="B4243" s="3" t="s">
        <v>1253</v>
      </c>
      <c r="C4243" s="7" t="s">
        <v>376</v>
      </c>
      <c r="D4243" s="7" t="s">
        <v>200</v>
      </c>
      <c r="F4243" s="7" t="s">
        <v>835</v>
      </c>
      <c r="G4243" s="7" t="s">
        <v>1592</v>
      </c>
      <c r="H4243" s="7" t="s">
        <v>1362</v>
      </c>
      <c r="I4243" s="7" t="s">
        <v>1253</v>
      </c>
      <c r="K4243" s="7" t="s">
        <v>561</v>
      </c>
      <c r="L4243" s="11">
        <v>319.95999999999998</v>
      </c>
      <c r="M4243" s="11">
        <v>30858.74</v>
      </c>
      <c r="N4243" s="9">
        <f t="shared" si="162"/>
        <v>319.95999999999998</v>
      </c>
    </row>
    <row r="4244" spans="1:14" ht="12.75" hidden="1" customHeight="1" x14ac:dyDescent="0.2">
      <c r="A4244">
        <v>65061</v>
      </c>
      <c r="B4244" s="3" t="s">
        <v>1253</v>
      </c>
      <c r="C4244" s="7" t="s">
        <v>376</v>
      </c>
      <c r="D4244" s="7" t="s">
        <v>200</v>
      </c>
      <c r="F4244" s="7" t="s">
        <v>241</v>
      </c>
      <c r="G4244" s="7" t="s">
        <v>1592</v>
      </c>
      <c r="H4244" s="7" t="s">
        <v>1362</v>
      </c>
      <c r="I4244" s="7" t="s">
        <v>1253</v>
      </c>
      <c r="K4244" s="7" t="s">
        <v>561</v>
      </c>
      <c r="L4244" s="11">
        <v>385.11</v>
      </c>
      <c r="M4244" s="11">
        <v>31718.89</v>
      </c>
      <c r="N4244" s="9">
        <f t="shared" si="162"/>
        <v>385.11</v>
      </c>
    </row>
    <row r="4245" spans="1:14" ht="12.75" hidden="1" customHeight="1" x14ac:dyDescent="0.2">
      <c r="A4245">
        <v>65061</v>
      </c>
      <c r="B4245" s="3" t="s">
        <v>1253</v>
      </c>
      <c r="C4245" s="7" t="s">
        <v>353</v>
      </c>
      <c r="D4245" s="7" t="s">
        <v>200</v>
      </c>
      <c r="F4245" s="7" t="s">
        <v>546</v>
      </c>
      <c r="G4245" s="7" t="s">
        <v>1592</v>
      </c>
      <c r="H4245" s="7" t="s">
        <v>1362</v>
      </c>
      <c r="I4245" s="7" t="s">
        <v>1253</v>
      </c>
      <c r="K4245" s="7" t="s">
        <v>561</v>
      </c>
      <c r="L4245" s="11">
        <v>50</v>
      </c>
      <c r="M4245" s="11">
        <v>51296.83</v>
      </c>
      <c r="N4245" s="9">
        <f t="shared" si="162"/>
        <v>50</v>
      </c>
    </row>
    <row r="4246" spans="1:14" ht="12.75" hidden="1" customHeight="1" x14ac:dyDescent="0.2">
      <c r="A4246">
        <v>65061</v>
      </c>
      <c r="B4246" s="3" t="s">
        <v>1253</v>
      </c>
      <c r="C4246" s="7" t="s">
        <v>353</v>
      </c>
      <c r="D4246" s="7" t="s">
        <v>242</v>
      </c>
      <c r="F4246" s="7" t="s">
        <v>241</v>
      </c>
      <c r="G4246" s="7" t="s">
        <v>1592</v>
      </c>
      <c r="H4246" s="7" t="s">
        <v>1362</v>
      </c>
      <c r="I4246" s="7" t="s">
        <v>1253</v>
      </c>
      <c r="K4246" s="7" t="s">
        <v>561</v>
      </c>
      <c r="L4246" s="11">
        <v>-61.57</v>
      </c>
      <c r="M4246" s="11">
        <v>52440.11</v>
      </c>
      <c r="N4246" s="9">
        <f t="shared" si="162"/>
        <v>-61.57</v>
      </c>
    </row>
    <row r="4247" spans="1:14" ht="12.75" hidden="1" customHeight="1" x14ac:dyDescent="0.2">
      <c r="A4247">
        <v>65061</v>
      </c>
      <c r="B4247" s="3" t="s">
        <v>1253</v>
      </c>
      <c r="C4247" s="7" t="s">
        <v>353</v>
      </c>
      <c r="D4247" s="7" t="s">
        <v>200</v>
      </c>
      <c r="F4247" s="7" t="s">
        <v>241</v>
      </c>
      <c r="G4247" s="7" t="s">
        <v>1592</v>
      </c>
      <c r="H4247" s="7" t="s">
        <v>1362</v>
      </c>
      <c r="I4247" s="7" t="s">
        <v>1253</v>
      </c>
      <c r="K4247" s="7" t="s">
        <v>561</v>
      </c>
      <c r="L4247" s="11">
        <v>349.23</v>
      </c>
      <c r="M4247" s="11">
        <v>52789.34</v>
      </c>
      <c r="N4247" s="9">
        <f t="shared" si="162"/>
        <v>349.23</v>
      </c>
    </row>
    <row r="4248" spans="1:14" ht="12.75" hidden="1" customHeight="1" x14ac:dyDescent="0.2">
      <c r="A4248">
        <v>65061</v>
      </c>
      <c r="B4248" s="3" t="s">
        <v>1253</v>
      </c>
      <c r="C4248" s="7" t="s">
        <v>353</v>
      </c>
      <c r="D4248" s="7" t="s">
        <v>200</v>
      </c>
      <c r="E4248" s="7">
        <v>1043</v>
      </c>
      <c r="F4248" s="7" t="s">
        <v>885</v>
      </c>
      <c r="G4248" s="7" t="s">
        <v>1592</v>
      </c>
      <c r="H4248" s="7" t="s">
        <v>1362</v>
      </c>
      <c r="I4248" s="7" t="s">
        <v>1253</v>
      </c>
      <c r="K4248" s="7" t="s">
        <v>561</v>
      </c>
      <c r="L4248" s="11">
        <v>66.989999999999995</v>
      </c>
      <c r="M4248" s="11">
        <v>53250.69</v>
      </c>
      <c r="N4248" s="9">
        <f t="shared" si="162"/>
        <v>66.989999999999995</v>
      </c>
    </row>
    <row r="4249" spans="1:14" ht="12.75" hidden="1" customHeight="1" x14ac:dyDescent="0.2">
      <c r="A4249">
        <v>65061</v>
      </c>
      <c r="B4249" s="3" t="s">
        <v>1253</v>
      </c>
      <c r="C4249" s="7" t="s">
        <v>353</v>
      </c>
      <c r="D4249" s="7" t="s">
        <v>200</v>
      </c>
      <c r="E4249" s="7">
        <v>1042</v>
      </c>
      <c r="F4249" s="7" t="s">
        <v>885</v>
      </c>
      <c r="G4249" s="7" t="s">
        <v>1592</v>
      </c>
      <c r="H4249" s="7" t="s">
        <v>1362</v>
      </c>
      <c r="I4249" s="7" t="s">
        <v>1253</v>
      </c>
      <c r="K4249" s="7" t="s">
        <v>561</v>
      </c>
      <c r="L4249" s="11">
        <v>143.28</v>
      </c>
      <c r="M4249" s="11">
        <v>53393.97</v>
      </c>
      <c r="N4249" s="9">
        <f t="shared" si="162"/>
        <v>143.28</v>
      </c>
    </row>
    <row r="4250" spans="1:14" ht="12.75" hidden="1" customHeight="1" x14ac:dyDescent="0.2">
      <c r="A4250">
        <v>65061</v>
      </c>
      <c r="B4250" s="3" t="s">
        <v>1253</v>
      </c>
      <c r="C4250" s="7" t="s">
        <v>353</v>
      </c>
      <c r="D4250" s="7" t="s">
        <v>200</v>
      </c>
      <c r="F4250" s="7" t="s">
        <v>689</v>
      </c>
      <c r="G4250" s="7" t="s">
        <v>1592</v>
      </c>
      <c r="H4250" s="7" t="s">
        <v>1362</v>
      </c>
      <c r="I4250" s="7" t="s">
        <v>1253</v>
      </c>
      <c r="K4250" s="7" t="s">
        <v>561</v>
      </c>
      <c r="L4250" s="11">
        <v>24.23</v>
      </c>
      <c r="M4250" s="11">
        <v>54167.01</v>
      </c>
      <c r="N4250" s="9">
        <f t="shared" si="162"/>
        <v>24.23</v>
      </c>
    </row>
    <row r="4251" spans="1:14" ht="12.75" hidden="1" customHeight="1" x14ac:dyDescent="0.2">
      <c r="A4251">
        <v>65061</v>
      </c>
      <c r="B4251" s="3" t="s">
        <v>1253</v>
      </c>
      <c r="C4251" s="7" t="s">
        <v>348</v>
      </c>
      <c r="D4251" s="7" t="s">
        <v>200</v>
      </c>
      <c r="F4251" s="7" t="s">
        <v>593</v>
      </c>
      <c r="G4251" s="7" t="s">
        <v>1592</v>
      </c>
      <c r="H4251" s="7" t="s">
        <v>1362</v>
      </c>
      <c r="I4251" s="7" t="s">
        <v>1253</v>
      </c>
      <c r="K4251" s="7" t="s">
        <v>561</v>
      </c>
      <c r="L4251" s="11">
        <v>1377</v>
      </c>
      <c r="M4251" s="11">
        <v>56294.83</v>
      </c>
      <c r="N4251" s="9">
        <f t="shared" si="162"/>
        <v>1377</v>
      </c>
    </row>
    <row r="4252" spans="1:14" ht="12.75" hidden="1" customHeight="1" x14ac:dyDescent="0.2">
      <c r="A4252">
        <v>65061</v>
      </c>
      <c r="B4252" s="3" t="s">
        <v>1253</v>
      </c>
      <c r="C4252" s="7" t="s">
        <v>327</v>
      </c>
      <c r="D4252" s="7" t="s">
        <v>200</v>
      </c>
      <c r="F4252" s="7" t="s">
        <v>593</v>
      </c>
      <c r="G4252" s="7" t="s">
        <v>1592</v>
      </c>
      <c r="H4252" s="7" t="s">
        <v>1362</v>
      </c>
      <c r="I4252" s="7" t="s">
        <v>1253</v>
      </c>
      <c r="K4252" s="7" t="s">
        <v>561</v>
      </c>
      <c r="L4252" s="11">
        <v>298</v>
      </c>
      <c r="M4252" s="11">
        <v>64754.26</v>
      </c>
      <c r="N4252" s="9">
        <f t="shared" si="162"/>
        <v>298</v>
      </c>
    </row>
    <row r="4253" spans="1:14" ht="12.75" hidden="1" customHeight="1" x14ac:dyDescent="0.2">
      <c r="A4253">
        <v>65061</v>
      </c>
      <c r="B4253" s="3" t="s">
        <v>1253</v>
      </c>
      <c r="C4253" s="7" t="s">
        <v>308</v>
      </c>
      <c r="D4253" s="7" t="s">
        <v>200</v>
      </c>
      <c r="F4253" s="7" t="s">
        <v>265</v>
      </c>
      <c r="G4253" s="7" t="s">
        <v>1592</v>
      </c>
      <c r="H4253" s="7" t="s">
        <v>1362</v>
      </c>
      <c r="I4253" s="7" t="s">
        <v>1253</v>
      </c>
      <c r="K4253" s="7" t="s">
        <v>561</v>
      </c>
      <c r="L4253" s="11">
        <v>42.44</v>
      </c>
      <c r="M4253" s="11">
        <v>74951.64</v>
      </c>
      <c r="N4253" s="9">
        <f t="shared" si="162"/>
        <v>42.44</v>
      </c>
    </row>
    <row r="4254" spans="1:14" ht="12.75" hidden="1" customHeight="1" x14ac:dyDescent="0.2">
      <c r="A4254">
        <v>65061</v>
      </c>
      <c r="B4254" s="3" t="s">
        <v>1253</v>
      </c>
      <c r="C4254" s="7" t="s">
        <v>305</v>
      </c>
      <c r="D4254" s="7" t="s">
        <v>242</v>
      </c>
      <c r="F4254" s="7" t="s">
        <v>241</v>
      </c>
      <c r="G4254" s="7" t="s">
        <v>1592</v>
      </c>
      <c r="H4254" s="7" t="s">
        <v>1362</v>
      </c>
      <c r="I4254" s="7" t="s">
        <v>1253</v>
      </c>
      <c r="K4254" s="7" t="s">
        <v>561</v>
      </c>
      <c r="L4254" s="11">
        <v>-34.96</v>
      </c>
      <c r="M4254" s="11">
        <v>77398.47</v>
      </c>
      <c r="N4254" s="9">
        <f t="shared" si="162"/>
        <v>-34.96</v>
      </c>
    </row>
    <row r="4255" spans="1:14" ht="12.75" hidden="1" customHeight="1" x14ac:dyDescent="0.2">
      <c r="A4255">
        <v>65061</v>
      </c>
      <c r="B4255" s="3" t="s">
        <v>1253</v>
      </c>
      <c r="C4255" s="7" t="s">
        <v>305</v>
      </c>
      <c r="D4255" s="7" t="s">
        <v>200</v>
      </c>
      <c r="F4255" s="7" t="s">
        <v>241</v>
      </c>
      <c r="G4255" s="7" t="s">
        <v>1592</v>
      </c>
      <c r="H4255" s="7" t="s">
        <v>1362</v>
      </c>
      <c r="I4255" s="7" t="s">
        <v>1253</v>
      </c>
      <c r="K4255" s="7" t="s">
        <v>561</v>
      </c>
      <c r="L4255" s="11">
        <v>16.41</v>
      </c>
      <c r="M4255" s="11">
        <v>77414.880000000005</v>
      </c>
      <c r="N4255" s="9">
        <f t="shared" si="162"/>
        <v>16.41</v>
      </c>
    </row>
    <row r="4256" spans="1:14" ht="12.75" hidden="1" customHeight="1" x14ac:dyDescent="0.2">
      <c r="A4256">
        <v>65061</v>
      </c>
      <c r="B4256" s="3" t="s">
        <v>1253</v>
      </c>
      <c r="C4256" s="7" t="s">
        <v>302</v>
      </c>
      <c r="D4256" s="7" t="s">
        <v>200</v>
      </c>
      <c r="F4256" s="7" t="s">
        <v>689</v>
      </c>
      <c r="G4256" s="7" t="s">
        <v>1592</v>
      </c>
      <c r="H4256" s="7" t="s">
        <v>1362</v>
      </c>
      <c r="I4256" s="7" t="s">
        <v>1253</v>
      </c>
      <c r="K4256" s="7" t="s">
        <v>561</v>
      </c>
      <c r="L4256" s="11">
        <v>504.95</v>
      </c>
      <c r="M4256" s="11">
        <v>77919.83</v>
      </c>
      <c r="N4256" s="9">
        <f t="shared" si="162"/>
        <v>504.95</v>
      </c>
    </row>
    <row r="4257" spans="1:14" ht="12.75" hidden="1" customHeight="1" x14ac:dyDescent="0.2">
      <c r="A4257">
        <v>65061</v>
      </c>
      <c r="B4257" s="3" t="s">
        <v>1253</v>
      </c>
      <c r="C4257" s="7" t="s">
        <v>302</v>
      </c>
      <c r="D4257" s="7" t="s">
        <v>200</v>
      </c>
      <c r="F4257" s="7" t="s">
        <v>836</v>
      </c>
      <c r="G4257" s="7" t="s">
        <v>1592</v>
      </c>
      <c r="H4257" s="7" t="s">
        <v>1362</v>
      </c>
      <c r="I4257" s="7" t="s">
        <v>1253</v>
      </c>
      <c r="K4257" s="7" t="s">
        <v>561</v>
      </c>
      <c r="L4257" s="11">
        <v>230.92</v>
      </c>
      <c r="M4257" s="11">
        <v>78150.75</v>
      </c>
      <c r="N4257" s="9">
        <f t="shared" si="162"/>
        <v>230.92</v>
      </c>
    </row>
    <row r="4258" spans="1:14" ht="12.75" hidden="1" customHeight="1" x14ac:dyDescent="0.2">
      <c r="A4258">
        <v>65061</v>
      </c>
      <c r="B4258" s="3" t="s">
        <v>1253</v>
      </c>
      <c r="C4258" s="7" t="s">
        <v>302</v>
      </c>
      <c r="D4258" s="7" t="s">
        <v>200</v>
      </c>
      <c r="F4258" s="7" t="s">
        <v>832</v>
      </c>
      <c r="G4258" s="7" t="s">
        <v>1592</v>
      </c>
      <c r="H4258" s="7" t="s">
        <v>1362</v>
      </c>
      <c r="I4258" s="7" t="s">
        <v>1253</v>
      </c>
      <c r="K4258" s="7" t="s">
        <v>561</v>
      </c>
      <c r="L4258" s="11">
        <v>50</v>
      </c>
      <c r="M4258" s="11">
        <v>79394.59</v>
      </c>
      <c r="N4258" s="9">
        <f t="shared" ref="N4258:N4289" si="163">IF(A4258&lt;60000,-L4258,+L4258)</f>
        <v>50</v>
      </c>
    </row>
    <row r="4259" spans="1:14" ht="12.75" hidden="1" customHeight="1" x14ac:dyDescent="0.2">
      <c r="A4259">
        <v>65061</v>
      </c>
      <c r="B4259" s="3" t="s">
        <v>1253</v>
      </c>
      <c r="C4259" s="7" t="s">
        <v>814</v>
      </c>
      <c r="D4259" s="7" t="s">
        <v>200</v>
      </c>
      <c r="F4259" s="7" t="s">
        <v>816</v>
      </c>
      <c r="G4259" s="7" t="s">
        <v>1592</v>
      </c>
      <c r="H4259" s="7" t="s">
        <v>1362</v>
      </c>
      <c r="I4259" s="7" t="s">
        <v>1253</v>
      </c>
      <c r="K4259" s="7" t="s">
        <v>561</v>
      </c>
      <c r="L4259" s="11">
        <v>144.99</v>
      </c>
      <c r="M4259" s="11">
        <v>84276.63</v>
      </c>
      <c r="N4259" s="9">
        <f t="shared" si="163"/>
        <v>144.99</v>
      </c>
    </row>
    <row r="4260" spans="1:14" ht="12.75" hidden="1" customHeight="1" x14ac:dyDescent="0.2">
      <c r="A4260">
        <v>65061</v>
      </c>
      <c r="B4260" s="3" t="s">
        <v>1253</v>
      </c>
      <c r="C4260" s="7" t="s">
        <v>293</v>
      </c>
      <c r="D4260" s="7" t="s">
        <v>200</v>
      </c>
      <c r="E4260" s="7">
        <v>1044</v>
      </c>
      <c r="F4260" s="7" t="s">
        <v>813</v>
      </c>
      <c r="G4260" s="7" t="s">
        <v>1592</v>
      </c>
      <c r="H4260" s="7" t="s">
        <v>1362</v>
      </c>
      <c r="I4260" s="7" t="s">
        <v>1253</v>
      </c>
      <c r="K4260" s="7" t="s">
        <v>561</v>
      </c>
      <c r="L4260" s="11">
        <v>750</v>
      </c>
      <c r="M4260" s="11">
        <v>85717.53</v>
      </c>
      <c r="N4260" s="9">
        <f t="shared" si="163"/>
        <v>750</v>
      </c>
    </row>
    <row r="4261" spans="1:14" ht="12.75" hidden="1" customHeight="1" x14ac:dyDescent="0.2">
      <c r="A4261">
        <v>65061</v>
      </c>
      <c r="B4261" s="3" t="s">
        <v>1253</v>
      </c>
      <c r="C4261" s="7" t="s">
        <v>290</v>
      </c>
      <c r="D4261" s="7" t="s">
        <v>200</v>
      </c>
      <c r="F4261" s="7" t="s">
        <v>689</v>
      </c>
      <c r="G4261" s="7" t="s">
        <v>1592</v>
      </c>
      <c r="H4261" s="7" t="s">
        <v>1362</v>
      </c>
      <c r="I4261" s="7" t="s">
        <v>1253</v>
      </c>
      <c r="K4261" s="7" t="s">
        <v>561</v>
      </c>
      <c r="L4261" s="11">
        <v>4.68</v>
      </c>
      <c r="M4261" s="11">
        <v>86755.73</v>
      </c>
      <c r="N4261" s="9">
        <f t="shared" si="163"/>
        <v>4.68</v>
      </c>
    </row>
    <row r="4262" spans="1:14" ht="12.75" hidden="1" customHeight="1" x14ac:dyDescent="0.2">
      <c r="A4262">
        <v>65061</v>
      </c>
      <c r="B4262" s="3" t="s">
        <v>1253</v>
      </c>
      <c r="C4262" s="7" t="s">
        <v>290</v>
      </c>
      <c r="D4262" s="7" t="s">
        <v>200</v>
      </c>
      <c r="F4262" s="7" t="s">
        <v>589</v>
      </c>
      <c r="G4262" s="7" t="s">
        <v>1592</v>
      </c>
      <c r="H4262" s="7" t="s">
        <v>1362</v>
      </c>
      <c r="I4262" s="7" t="s">
        <v>1253</v>
      </c>
      <c r="K4262" s="7" t="s">
        <v>561</v>
      </c>
      <c r="L4262" s="11">
        <v>274.63</v>
      </c>
      <c r="M4262" s="11">
        <v>87853.61</v>
      </c>
      <c r="N4262" s="9">
        <f t="shared" si="163"/>
        <v>274.63</v>
      </c>
    </row>
    <row r="4263" spans="1:14" ht="12.75" hidden="1" customHeight="1" x14ac:dyDescent="0.2">
      <c r="A4263">
        <v>65061</v>
      </c>
      <c r="B4263" s="3" t="s">
        <v>1253</v>
      </c>
      <c r="C4263" s="7" t="s">
        <v>290</v>
      </c>
      <c r="D4263" s="7" t="s">
        <v>200</v>
      </c>
      <c r="F4263" s="7" t="s">
        <v>546</v>
      </c>
      <c r="G4263" s="7" t="s">
        <v>1592</v>
      </c>
      <c r="H4263" s="7" t="s">
        <v>1362</v>
      </c>
      <c r="I4263" s="7" t="s">
        <v>1253</v>
      </c>
      <c r="K4263" s="7" t="s">
        <v>561</v>
      </c>
      <c r="L4263" s="11">
        <v>82.13</v>
      </c>
      <c r="M4263" s="11">
        <v>88061.51</v>
      </c>
      <c r="N4263" s="9">
        <f t="shared" si="163"/>
        <v>82.13</v>
      </c>
    </row>
    <row r="4264" spans="1:14" ht="12.75" hidden="1" customHeight="1" x14ac:dyDescent="0.2">
      <c r="A4264">
        <v>65061</v>
      </c>
      <c r="B4264" s="3" t="s">
        <v>1253</v>
      </c>
      <c r="C4264" s="7" t="s">
        <v>290</v>
      </c>
      <c r="D4264" s="7" t="s">
        <v>200</v>
      </c>
      <c r="F4264" s="7" t="s">
        <v>546</v>
      </c>
      <c r="G4264" s="7" t="s">
        <v>1592</v>
      </c>
      <c r="H4264" s="7" t="s">
        <v>1362</v>
      </c>
      <c r="I4264" s="7" t="s">
        <v>1253</v>
      </c>
      <c r="K4264" s="7" t="s">
        <v>561</v>
      </c>
      <c r="L4264" s="11">
        <v>58.85</v>
      </c>
      <c r="M4264" s="11">
        <v>88120.36</v>
      </c>
      <c r="N4264" s="9">
        <f t="shared" si="163"/>
        <v>58.85</v>
      </c>
    </row>
    <row r="4265" spans="1:14" ht="12.75" hidden="1" customHeight="1" x14ac:dyDescent="0.2">
      <c r="A4265">
        <v>65061</v>
      </c>
      <c r="B4265" s="3" t="s">
        <v>1253</v>
      </c>
      <c r="C4265" s="7" t="s">
        <v>290</v>
      </c>
      <c r="D4265" s="7" t="s">
        <v>200</v>
      </c>
      <c r="F4265" s="7" t="s">
        <v>546</v>
      </c>
      <c r="G4265" s="7" t="s">
        <v>1592</v>
      </c>
      <c r="H4265" s="7" t="s">
        <v>1362</v>
      </c>
      <c r="I4265" s="7" t="s">
        <v>1253</v>
      </c>
      <c r="K4265" s="7" t="s">
        <v>561</v>
      </c>
      <c r="L4265" s="11">
        <v>128.68</v>
      </c>
      <c r="M4265" s="11">
        <v>88249.04</v>
      </c>
      <c r="N4265" s="9">
        <f t="shared" si="163"/>
        <v>128.68</v>
      </c>
    </row>
    <row r="4266" spans="1:14" ht="12.75" hidden="1" customHeight="1" x14ac:dyDescent="0.2">
      <c r="A4266">
        <v>65061</v>
      </c>
      <c r="B4266" s="3" t="s">
        <v>1253</v>
      </c>
      <c r="C4266" s="7" t="s">
        <v>290</v>
      </c>
      <c r="D4266" s="7" t="s">
        <v>200</v>
      </c>
      <c r="F4266" s="7" t="s">
        <v>546</v>
      </c>
      <c r="G4266" s="7" t="s">
        <v>1592</v>
      </c>
      <c r="H4266" s="7" t="s">
        <v>1362</v>
      </c>
      <c r="I4266" s="7" t="s">
        <v>1253</v>
      </c>
      <c r="K4266" s="7" t="s">
        <v>561</v>
      </c>
      <c r="L4266" s="11">
        <v>30.63</v>
      </c>
      <c r="M4266" s="11">
        <v>88279.67</v>
      </c>
      <c r="N4266" s="9">
        <f t="shared" si="163"/>
        <v>30.63</v>
      </c>
    </row>
    <row r="4267" spans="1:14" ht="12.75" hidden="1" customHeight="1" x14ac:dyDescent="0.2">
      <c r="A4267">
        <v>65061</v>
      </c>
      <c r="B4267" s="3" t="s">
        <v>1253</v>
      </c>
      <c r="C4267" s="7" t="s">
        <v>290</v>
      </c>
      <c r="D4267" s="7" t="s">
        <v>200</v>
      </c>
      <c r="F4267" s="7" t="s">
        <v>548</v>
      </c>
      <c r="G4267" s="7" t="s">
        <v>1592</v>
      </c>
      <c r="H4267" s="7" t="s">
        <v>1362</v>
      </c>
      <c r="I4267" s="7" t="s">
        <v>1253</v>
      </c>
      <c r="K4267" s="7" t="s">
        <v>561</v>
      </c>
      <c r="L4267" s="11">
        <v>105.44</v>
      </c>
      <c r="M4267" s="11">
        <v>88746.54</v>
      </c>
      <c r="N4267" s="9">
        <f t="shared" si="163"/>
        <v>105.44</v>
      </c>
    </row>
    <row r="4268" spans="1:14" ht="12.75" hidden="1" customHeight="1" x14ac:dyDescent="0.2">
      <c r="A4268">
        <v>65061</v>
      </c>
      <c r="B4268" s="3" t="s">
        <v>1253</v>
      </c>
      <c r="C4268" s="7" t="s">
        <v>290</v>
      </c>
      <c r="D4268" s="7" t="s">
        <v>200</v>
      </c>
      <c r="F4268" s="7" t="s">
        <v>548</v>
      </c>
      <c r="G4268" s="7" t="s">
        <v>1592</v>
      </c>
      <c r="H4268" s="7" t="s">
        <v>1362</v>
      </c>
      <c r="I4268" s="7" t="s">
        <v>1253</v>
      </c>
      <c r="K4268" s="7" t="s">
        <v>561</v>
      </c>
      <c r="L4268" s="11">
        <v>184.88</v>
      </c>
      <c r="M4268" s="11">
        <v>88931.42</v>
      </c>
      <c r="N4268" s="9">
        <f t="shared" si="163"/>
        <v>184.88</v>
      </c>
    </row>
    <row r="4269" spans="1:14" ht="12.75" hidden="1" customHeight="1" x14ac:dyDescent="0.2">
      <c r="A4269">
        <v>65061</v>
      </c>
      <c r="B4269" s="3" t="s">
        <v>1253</v>
      </c>
      <c r="C4269" s="7" t="s">
        <v>280</v>
      </c>
      <c r="D4269" s="7" t="s">
        <v>200</v>
      </c>
      <c r="F4269" s="7" t="s">
        <v>593</v>
      </c>
      <c r="G4269" s="7" t="s">
        <v>1592</v>
      </c>
      <c r="H4269" s="7" t="s">
        <v>1362</v>
      </c>
      <c r="I4269" s="7" t="s">
        <v>1253</v>
      </c>
      <c r="K4269" s="7" t="s">
        <v>561</v>
      </c>
      <c r="L4269" s="11">
        <v>3100.88</v>
      </c>
      <c r="M4269" s="11">
        <v>96958.33</v>
      </c>
      <c r="N4269" s="9">
        <f t="shared" si="163"/>
        <v>3100.88</v>
      </c>
    </row>
    <row r="4270" spans="1:14" ht="12.75" hidden="1" customHeight="1" x14ac:dyDescent="0.2">
      <c r="A4270">
        <v>65061</v>
      </c>
      <c r="B4270" s="3" t="s">
        <v>1253</v>
      </c>
      <c r="C4270" s="7" t="s">
        <v>788</v>
      </c>
      <c r="D4270" s="7" t="s">
        <v>200</v>
      </c>
      <c r="F4270" s="7" t="s">
        <v>355</v>
      </c>
      <c r="G4270" s="7" t="s">
        <v>1592</v>
      </c>
      <c r="H4270" s="7" t="s">
        <v>1362</v>
      </c>
      <c r="I4270" s="7" t="s">
        <v>1253</v>
      </c>
      <c r="K4270" s="7" t="s">
        <v>561</v>
      </c>
      <c r="L4270" s="11">
        <v>73.95</v>
      </c>
      <c r="M4270" s="11">
        <v>99085.28</v>
      </c>
      <c r="N4270" s="9">
        <f t="shared" si="163"/>
        <v>73.95</v>
      </c>
    </row>
    <row r="4271" spans="1:14" ht="12.75" hidden="1" customHeight="1" x14ac:dyDescent="0.2">
      <c r="A4271">
        <v>65061</v>
      </c>
      <c r="B4271" s="3" t="s">
        <v>1253</v>
      </c>
      <c r="C4271" s="7" t="s">
        <v>201</v>
      </c>
      <c r="D4271" s="7" t="s">
        <v>200</v>
      </c>
      <c r="F4271" s="7" t="s">
        <v>548</v>
      </c>
      <c r="G4271" s="7" t="s">
        <v>1592</v>
      </c>
      <c r="H4271" s="7" t="s">
        <v>1362</v>
      </c>
      <c r="I4271" s="7" t="s">
        <v>1253</v>
      </c>
      <c r="K4271" s="7" t="s">
        <v>561</v>
      </c>
      <c r="L4271" s="11">
        <v>25.85</v>
      </c>
      <c r="M4271" s="11">
        <v>99833.31</v>
      </c>
      <c r="N4271" s="9">
        <f t="shared" si="163"/>
        <v>25.85</v>
      </c>
    </row>
    <row r="4272" spans="1:14" ht="12.75" hidden="1" customHeight="1" x14ac:dyDescent="0.2">
      <c r="A4272">
        <v>65061</v>
      </c>
      <c r="B4272" s="3" t="s">
        <v>1253</v>
      </c>
      <c r="C4272" s="7" t="s">
        <v>270</v>
      </c>
      <c r="D4272" s="7" t="s">
        <v>200</v>
      </c>
      <c r="F4272" s="7" t="s">
        <v>784</v>
      </c>
      <c r="G4272" s="7" t="s">
        <v>1592</v>
      </c>
      <c r="H4272" s="7" t="s">
        <v>1362</v>
      </c>
      <c r="I4272" s="7" t="s">
        <v>1253</v>
      </c>
      <c r="K4272" s="7" t="s">
        <v>561</v>
      </c>
      <c r="L4272" s="11">
        <v>44.14</v>
      </c>
      <c r="M4272" s="11">
        <v>101625.48</v>
      </c>
      <c r="N4272" s="9">
        <f t="shared" si="163"/>
        <v>44.14</v>
      </c>
    </row>
    <row r="4273" spans="1:14" ht="12.75" hidden="1" customHeight="1" x14ac:dyDescent="0.2">
      <c r="A4273">
        <v>65061</v>
      </c>
      <c r="B4273" s="3" t="s">
        <v>1253</v>
      </c>
      <c r="C4273" s="7" t="s">
        <v>267</v>
      </c>
      <c r="D4273" s="7" t="s">
        <v>200</v>
      </c>
      <c r="E4273" s="7">
        <v>1045</v>
      </c>
      <c r="F4273" s="7" t="s">
        <v>783</v>
      </c>
      <c r="G4273" s="7" t="s">
        <v>1592</v>
      </c>
      <c r="H4273" s="7" t="s">
        <v>1362</v>
      </c>
      <c r="I4273" s="7" t="s">
        <v>1253</v>
      </c>
      <c r="K4273" s="7" t="s">
        <v>561</v>
      </c>
      <c r="L4273" s="11">
        <v>262.32</v>
      </c>
      <c r="M4273" s="11">
        <v>102626</v>
      </c>
      <c r="N4273" s="9">
        <f t="shared" si="163"/>
        <v>262.32</v>
      </c>
    </row>
    <row r="4274" spans="1:14" ht="12.75" hidden="1" customHeight="1" x14ac:dyDescent="0.2">
      <c r="A4274">
        <v>65061</v>
      </c>
      <c r="B4274" s="3" t="s">
        <v>1253</v>
      </c>
      <c r="C4274" s="7" t="s">
        <v>257</v>
      </c>
      <c r="D4274" s="7" t="s">
        <v>200</v>
      </c>
      <c r="F4274" s="7" t="s">
        <v>546</v>
      </c>
      <c r="G4274" s="7" t="s">
        <v>1592</v>
      </c>
      <c r="H4274" s="7" t="s">
        <v>1362</v>
      </c>
      <c r="I4274" s="7" t="s">
        <v>1253</v>
      </c>
      <c r="K4274" s="7" t="s">
        <v>561</v>
      </c>
      <c r="L4274" s="11">
        <v>219</v>
      </c>
      <c r="M4274" s="11">
        <v>105651.99</v>
      </c>
      <c r="N4274" s="9">
        <f t="shared" si="163"/>
        <v>219</v>
      </c>
    </row>
    <row r="4275" spans="1:14" ht="12.75" hidden="1" customHeight="1" x14ac:dyDescent="0.2">
      <c r="A4275">
        <v>65061</v>
      </c>
      <c r="B4275" s="3" t="s">
        <v>1253</v>
      </c>
      <c r="C4275" s="7" t="s">
        <v>257</v>
      </c>
      <c r="D4275" s="7" t="s">
        <v>200</v>
      </c>
      <c r="F4275" s="7" t="s">
        <v>548</v>
      </c>
      <c r="G4275" s="7" t="s">
        <v>1592</v>
      </c>
      <c r="H4275" s="7" t="s">
        <v>1362</v>
      </c>
      <c r="I4275" s="7" t="s">
        <v>1253</v>
      </c>
      <c r="K4275" s="7" t="s">
        <v>561</v>
      </c>
      <c r="L4275" s="11">
        <v>583.03</v>
      </c>
      <c r="M4275" s="11">
        <v>106235.02</v>
      </c>
      <c r="N4275" s="9">
        <f t="shared" si="163"/>
        <v>583.03</v>
      </c>
    </row>
    <row r="4276" spans="1:14" ht="12.75" hidden="1" customHeight="1" x14ac:dyDescent="0.2">
      <c r="A4276">
        <v>65061</v>
      </c>
      <c r="B4276" s="3" t="s">
        <v>1253</v>
      </c>
      <c r="C4276" s="7" t="s">
        <v>749</v>
      </c>
      <c r="D4276" s="7" t="s">
        <v>221</v>
      </c>
      <c r="F4276" s="7" t="s">
        <v>568</v>
      </c>
      <c r="G4276" s="7" t="s">
        <v>1592</v>
      </c>
      <c r="H4276" s="7" t="s">
        <v>1362</v>
      </c>
      <c r="I4276" s="7" t="s">
        <v>1253</v>
      </c>
      <c r="K4276" s="7" t="s">
        <v>561</v>
      </c>
      <c r="L4276" s="11">
        <v>74.97</v>
      </c>
      <c r="M4276" s="11">
        <v>123682.82</v>
      </c>
      <c r="N4276" s="9">
        <f t="shared" si="163"/>
        <v>74.97</v>
      </c>
    </row>
    <row r="4277" spans="1:14" ht="12.75" hidden="1" customHeight="1" x14ac:dyDescent="0.2">
      <c r="A4277">
        <v>65061</v>
      </c>
      <c r="B4277" s="3" t="s">
        <v>1253</v>
      </c>
      <c r="C4277" s="7" t="s">
        <v>749</v>
      </c>
      <c r="D4277" s="7" t="s">
        <v>200</v>
      </c>
      <c r="E4277" s="7">
        <v>1046</v>
      </c>
      <c r="F4277" s="7" t="s">
        <v>754</v>
      </c>
      <c r="G4277" s="7" t="s">
        <v>1592</v>
      </c>
      <c r="H4277" s="7" t="s">
        <v>1362</v>
      </c>
      <c r="I4277" s="7" t="s">
        <v>1253</v>
      </c>
      <c r="K4277" s="7" t="s">
        <v>561</v>
      </c>
      <c r="L4277" s="11">
        <v>368.65</v>
      </c>
      <c r="M4277" s="11">
        <v>124078.46</v>
      </c>
      <c r="N4277" s="9">
        <f t="shared" si="163"/>
        <v>368.65</v>
      </c>
    </row>
    <row r="4278" spans="1:14" ht="12.75" hidden="1" customHeight="1" x14ac:dyDescent="0.2">
      <c r="A4278">
        <v>65061</v>
      </c>
      <c r="B4278" s="3" t="s">
        <v>1253</v>
      </c>
      <c r="C4278" s="7" t="s">
        <v>749</v>
      </c>
      <c r="D4278" s="7" t="s">
        <v>221</v>
      </c>
      <c r="F4278" s="7" t="s">
        <v>241</v>
      </c>
      <c r="G4278" s="7" t="s">
        <v>1592</v>
      </c>
      <c r="H4278" s="7" t="s">
        <v>1362</v>
      </c>
      <c r="I4278" s="7" t="s">
        <v>1253</v>
      </c>
      <c r="K4278" s="7" t="s">
        <v>561</v>
      </c>
      <c r="L4278" s="11">
        <v>323.91000000000003</v>
      </c>
      <c r="M4278" s="11">
        <v>125479.95</v>
      </c>
      <c r="N4278" s="9">
        <f t="shared" si="163"/>
        <v>323.91000000000003</v>
      </c>
    </row>
    <row r="4279" spans="1:14" ht="12.75" hidden="1" customHeight="1" x14ac:dyDescent="0.2">
      <c r="A4279">
        <v>65061</v>
      </c>
      <c r="B4279" s="3" t="s">
        <v>1253</v>
      </c>
      <c r="C4279" s="7" t="s">
        <v>496</v>
      </c>
      <c r="D4279" s="7" t="s">
        <v>221</v>
      </c>
      <c r="F4279" s="7" t="s">
        <v>589</v>
      </c>
      <c r="G4279" s="7" t="s">
        <v>1592</v>
      </c>
      <c r="H4279" s="7" t="s">
        <v>1362</v>
      </c>
      <c r="I4279" s="7" t="s">
        <v>1253</v>
      </c>
      <c r="K4279" s="7" t="s">
        <v>561</v>
      </c>
      <c r="L4279" s="11">
        <v>383.02</v>
      </c>
      <c r="M4279" s="11">
        <v>126239.81</v>
      </c>
      <c r="N4279" s="9">
        <f t="shared" si="163"/>
        <v>383.02</v>
      </c>
    </row>
    <row r="4280" spans="1:14" ht="12.75" hidden="1" customHeight="1" x14ac:dyDescent="0.2">
      <c r="A4280">
        <v>65061</v>
      </c>
      <c r="B4280" s="3" t="s">
        <v>1253</v>
      </c>
      <c r="C4280" s="7" t="s">
        <v>496</v>
      </c>
      <c r="D4280" s="7" t="s">
        <v>221</v>
      </c>
      <c r="F4280" s="7" t="s">
        <v>546</v>
      </c>
      <c r="G4280" s="7" t="s">
        <v>1592</v>
      </c>
      <c r="H4280" s="7" t="s">
        <v>1362</v>
      </c>
      <c r="I4280" s="7" t="s">
        <v>1253</v>
      </c>
      <c r="K4280" s="7" t="s">
        <v>561</v>
      </c>
      <c r="L4280" s="11">
        <v>313.47000000000003</v>
      </c>
      <c r="M4280" s="11">
        <v>126553.28</v>
      </c>
      <c r="N4280" s="9">
        <f t="shared" si="163"/>
        <v>313.47000000000003</v>
      </c>
    </row>
    <row r="4281" spans="1:14" ht="12.75" hidden="1" customHeight="1" x14ac:dyDescent="0.2">
      <c r="A4281">
        <v>65061</v>
      </c>
      <c r="B4281" s="3" t="s">
        <v>1253</v>
      </c>
      <c r="C4281" s="7" t="s">
        <v>496</v>
      </c>
      <c r="D4281" s="7" t="s">
        <v>221</v>
      </c>
      <c r="F4281" s="7" t="s">
        <v>746</v>
      </c>
      <c r="G4281" s="7" t="s">
        <v>1592</v>
      </c>
      <c r="H4281" s="7" t="s">
        <v>1362</v>
      </c>
      <c r="I4281" s="7" t="s">
        <v>1253</v>
      </c>
      <c r="K4281" s="7" t="s">
        <v>561</v>
      </c>
      <c r="L4281" s="11">
        <v>16.75</v>
      </c>
      <c r="M4281" s="11">
        <v>126570.03</v>
      </c>
      <c r="N4281" s="9">
        <f t="shared" si="163"/>
        <v>16.75</v>
      </c>
    </row>
    <row r="4282" spans="1:14" ht="12.75" hidden="1" customHeight="1" x14ac:dyDescent="0.2">
      <c r="A4282">
        <v>65061</v>
      </c>
      <c r="B4282" s="3" t="s">
        <v>1253</v>
      </c>
      <c r="C4282" s="7" t="s">
        <v>496</v>
      </c>
      <c r="D4282" s="7" t="s">
        <v>221</v>
      </c>
      <c r="F4282" s="7" t="s">
        <v>742</v>
      </c>
      <c r="G4282" s="7" t="s">
        <v>1592</v>
      </c>
      <c r="H4282" s="7" t="s">
        <v>1362</v>
      </c>
      <c r="I4282" s="7" t="s">
        <v>1253</v>
      </c>
      <c r="K4282" s="7" t="s">
        <v>561</v>
      </c>
      <c r="L4282" s="11">
        <v>71.459999999999994</v>
      </c>
      <c r="M4282" s="11">
        <v>128660.94</v>
      </c>
      <c r="N4282" s="9">
        <f t="shared" si="163"/>
        <v>71.459999999999994</v>
      </c>
    </row>
    <row r="4283" spans="1:14" ht="12.75" hidden="1" customHeight="1" x14ac:dyDescent="0.2">
      <c r="A4283">
        <v>65061</v>
      </c>
      <c r="B4283" s="3" t="s">
        <v>1253</v>
      </c>
      <c r="C4283" s="7" t="s">
        <v>222</v>
      </c>
      <c r="D4283" s="7" t="s">
        <v>221</v>
      </c>
      <c r="F4283" s="7" t="s">
        <v>689</v>
      </c>
      <c r="G4283" s="7" t="s">
        <v>1592</v>
      </c>
      <c r="H4283" s="7" t="s">
        <v>1362</v>
      </c>
      <c r="I4283" s="7" t="s">
        <v>1253</v>
      </c>
      <c r="K4283" s="7" t="s">
        <v>561</v>
      </c>
      <c r="L4283" s="11">
        <v>59.98</v>
      </c>
      <c r="M4283" s="11">
        <v>148097.48000000001</v>
      </c>
      <c r="N4283" s="9">
        <f t="shared" si="163"/>
        <v>59.98</v>
      </c>
    </row>
    <row r="4284" spans="1:14" ht="12.75" hidden="1" customHeight="1" x14ac:dyDescent="0.2">
      <c r="A4284">
        <v>65061</v>
      </c>
      <c r="B4284" s="3" t="s">
        <v>1253</v>
      </c>
      <c r="C4284" s="7" t="s">
        <v>645</v>
      </c>
      <c r="D4284" s="7" t="s">
        <v>221</v>
      </c>
      <c r="F4284" s="7" t="s">
        <v>593</v>
      </c>
      <c r="G4284" s="7" t="s">
        <v>1592</v>
      </c>
      <c r="H4284" s="7" t="s">
        <v>1362</v>
      </c>
      <c r="I4284" s="7" t="s">
        <v>1253</v>
      </c>
      <c r="K4284" s="7" t="s">
        <v>561</v>
      </c>
      <c r="L4284" s="11">
        <v>1274</v>
      </c>
      <c r="M4284" s="11">
        <v>167568.13</v>
      </c>
      <c r="N4284" s="9">
        <f t="shared" si="163"/>
        <v>1274</v>
      </c>
    </row>
    <row r="4285" spans="1:14" ht="12.75" hidden="1" customHeight="1" x14ac:dyDescent="0.2">
      <c r="A4285">
        <v>65061</v>
      </c>
      <c r="B4285" s="3" t="s">
        <v>1253</v>
      </c>
      <c r="C4285" s="7" t="s">
        <v>639</v>
      </c>
      <c r="D4285" s="7" t="s">
        <v>221</v>
      </c>
      <c r="F4285" s="7" t="s">
        <v>241</v>
      </c>
      <c r="G4285" s="7" t="s">
        <v>1592</v>
      </c>
      <c r="H4285" s="7" t="s">
        <v>1362</v>
      </c>
      <c r="I4285" s="7" t="s">
        <v>1253</v>
      </c>
      <c r="K4285" s="7" t="s">
        <v>561</v>
      </c>
      <c r="L4285" s="11">
        <v>90.62</v>
      </c>
      <c r="M4285" s="11">
        <v>167704.24</v>
      </c>
      <c r="N4285" s="9">
        <f t="shared" si="163"/>
        <v>90.62</v>
      </c>
    </row>
    <row r="4286" spans="1:14" ht="12.75" hidden="1" customHeight="1" x14ac:dyDescent="0.2">
      <c r="A4286">
        <v>65061</v>
      </c>
      <c r="B4286" s="3" t="s">
        <v>1253</v>
      </c>
      <c r="C4286" s="7" t="s">
        <v>639</v>
      </c>
      <c r="D4286" s="7" t="s">
        <v>221</v>
      </c>
      <c r="F4286" s="7" t="s">
        <v>578</v>
      </c>
      <c r="G4286" s="7" t="s">
        <v>1592</v>
      </c>
      <c r="H4286" s="7" t="s">
        <v>1362</v>
      </c>
      <c r="I4286" s="7" t="s">
        <v>1253</v>
      </c>
      <c r="K4286" s="7" t="s">
        <v>561</v>
      </c>
      <c r="L4286" s="11">
        <v>87.58</v>
      </c>
      <c r="M4286" s="11">
        <v>169137.9</v>
      </c>
      <c r="N4286" s="9">
        <f t="shared" si="163"/>
        <v>87.58</v>
      </c>
    </row>
    <row r="4287" spans="1:14" ht="12.75" hidden="1" customHeight="1" x14ac:dyDescent="0.2">
      <c r="A4287">
        <v>65061</v>
      </c>
      <c r="B4287" s="3" t="s">
        <v>1253</v>
      </c>
      <c r="C4287" s="7" t="s">
        <v>637</v>
      </c>
      <c r="D4287" s="7" t="s">
        <v>242</v>
      </c>
      <c r="F4287" s="7" t="s">
        <v>578</v>
      </c>
      <c r="G4287" s="7" t="s">
        <v>1592</v>
      </c>
      <c r="H4287" s="7" t="s">
        <v>1362</v>
      </c>
      <c r="I4287" s="7" t="s">
        <v>1253</v>
      </c>
      <c r="K4287" s="7" t="s">
        <v>561</v>
      </c>
      <c r="L4287" s="11">
        <v>-87.58</v>
      </c>
      <c r="M4287" s="11">
        <v>169405.86</v>
      </c>
      <c r="N4287" s="9">
        <f t="shared" si="163"/>
        <v>-87.58</v>
      </c>
    </row>
    <row r="4288" spans="1:14" ht="12.75" hidden="1" customHeight="1" x14ac:dyDescent="0.2">
      <c r="A4288">
        <v>65061</v>
      </c>
      <c r="B4288" s="3" t="s">
        <v>1253</v>
      </c>
      <c r="C4288" s="7" t="s">
        <v>427</v>
      </c>
      <c r="D4288" s="7" t="s">
        <v>221</v>
      </c>
      <c r="F4288" s="7" t="s">
        <v>627</v>
      </c>
      <c r="G4288" s="7" t="s">
        <v>1592</v>
      </c>
      <c r="H4288" s="7" t="s">
        <v>1362</v>
      </c>
      <c r="I4288" s="7" t="s">
        <v>1253</v>
      </c>
      <c r="K4288" s="7" t="s">
        <v>561</v>
      </c>
      <c r="L4288" s="11">
        <v>420.03</v>
      </c>
      <c r="M4288" s="11">
        <v>172929.91</v>
      </c>
      <c r="N4288" s="9">
        <f t="shared" si="163"/>
        <v>420.03</v>
      </c>
    </row>
    <row r="4289" spans="1:14" ht="12.75" hidden="1" customHeight="1" x14ac:dyDescent="0.2">
      <c r="A4289">
        <v>65061</v>
      </c>
      <c r="B4289" s="3" t="s">
        <v>1253</v>
      </c>
      <c r="C4289" s="7" t="s">
        <v>617</v>
      </c>
      <c r="D4289" s="7" t="s">
        <v>221</v>
      </c>
      <c r="F4289" s="7" t="s">
        <v>619</v>
      </c>
      <c r="G4289" s="7" t="s">
        <v>1592</v>
      </c>
      <c r="H4289" s="7" t="s">
        <v>1362</v>
      </c>
      <c r="I4289" s="7" t="s">
        <v>1253</v>
      </c>
      <c r="K4289" s="7" t="s">
        <v>561</v>
      </c>
      <c r="L4289" s="11">
        <v>113</v>
      </c>
      <c r="M4289" s="11">
        <v>178715.34</v>
      </c>
      <c r="N4289" s="9">
        <f t="shared" si="163"/>
        <v>113</v>
      </c>
    </row>
    <row r="4290" spans="1:14" ht="12.75" hidden="1" customHeight="1" x14ac:dyDescent="0.2">
      <c r="A4290">
        <v>65061</v>
      </c>
      <c r="B4290" s="3" t="s">
        <v>1253</v>
      </c>
      <c r="C4290" s="7" t="s">
        <v>617</v>
      </c>
      <c r="D4290" s="7" t="s">
        <v>221</v>
      </c>
      <c r="F4290" s="7" t="s">
        <v>618</v>
      </c>
      <c r="G4290" s="7" t="s">
        <v>1592</v>
      </c>
      <c r="H4290" s="7" t="s">
        <v>1362</v>
      </c>
      <c r="I4290" s="7" t="s">
        <v>1253</v>
      </c>
      <c r="K4290" s="7" t="s">
        <v>561</v>
      </c>
      <c r="L4290" s="11">
        <v>550</v>
      </c>
      <c r="M4290" s="11">
        <v>179265.34</v>
      </c>
      <c r="N4290" s="9">
        <f t="shared" ref="N4290:N4302" si="164">IF(A4290&lt;60000,-L4290,+L4290)</f>
        <v>550</v>
      </c>
    </row>
    <row r="4291" spans="1:14" ht="12.75" hidden="1" customHeight="1" x14ac:dyDescent="0.2">
      <c r="A4291">
        <v>65061</v>
      </c>
      <c r="B4291" s="3" t="s">
        <v>1253</v>
      </c>
      <c r="C4291" s="7" t="s">
        <v>585</v>
      </c>
      <c r="D4291" s="7" t="s">
        <v>221</v>
      </c>
      <c r="F4291" s="7" t="s">
        <v>594</v>
      </c>
      <c r="G4291" s="7" t="s">
        <v>1592</v>
      </c>
      <c r="H4291" s="7" t="s">
        <v>1362</v>
      </c>
      <c r="I4291" s="7" t="s">
        <v>1253</v>
      </c>
      <c r="K4291" s="7" t="s">
        <v>561</v>
      </c>
      <c r="L4291" s="11">
        <v>52.84</v>
      </c>
      <c r="M4291" s="11">
        <v>181848.73</v>
      </c>
      <c r="N4291" s="9">
        <f t="shared" si="164"/>
        <v>52.84</v>
      </c>
    </row>
    <row r="4292" spans="1:14" ht="12.75" hidden="1" customHeight="1" x14ac:dyDescent="0.2">
      <c r="A4292">
        <v>65061</v>
      </c>
      <c r="B4292" s="3" t="s">
        <v>1253</v>
      </c>
      <c r="C4292" s="7" t="s">
        <v>585</v>
      </c>
      <c r="D4292" s="7" t="s">
        <v>221</v>
      </c>
      <c r="F4292" s="7" t="s">
        <v>593</v>
      </c>
      <c r="G4292" s="7" t="s">
        <v>1592</v>
      </c>
      <c r="H4292" s="7" t="s">
        <v>1362</v>
      </c>
      <c r="I4292" s="7" t="s">
        <v>1253</v>
      </c>
      <c r="K4292" s="7" t="s">
        <v>561</v>
      </c>
      <c r="L4292" s="11">
        <v>217</v>
      </c>
      <c r="M4292" s="11">
        <v>182065.73</v>
      </c>
      <c r="N4292" s="9">
        <f t="shared" si="164"/>
        <v>217</v>
      </c>
    </row>
    <row r="4293" spans="1:14" ht="12.75" hidden="1" customHeight="1" x14ac:dyDescent="0.2">
      <c r="A4293">
        <v>65061</v>
      </c>
      <c r="B4293" s="3" t="s">
        <v>1253</v>
      </c>
      <c r="C4293" s="7" t="s">
        <v>576</v>
      </c>
      <c r="D4293" s="7" t="s">
        <v>221</v>
      </c>
      <c r="F4293" s="7" t="s">
        <v>241</v>
      </c>
      <c r="G4293" s="7" t="s">
        <v>1592</v>
      </c>
      <c r="H4293" s="7" t="s">
        <v>1362</v>
      </c>
      <c r="I4293" s="7" t="s">
        <v>1253</v>
      </c>
      <c r="K4293" s="7" t="s">
        <v>561</v>
      </c>
      <c r="L4293" s="11">
        <v>168.05</v>
      </c>
      <c r="M4293" s="11">
        <v>184930.5</v>
      </c>
      <c r="N4293" s="9">
        <f t="shared" si="164"/>
        <v>168.05</v>
      </c>
    </row>
    <row r="4294" spans="1:14" ht="12.75" hidden="1" customHeight="1" x14ac:dyDescent="0.2">
      <c r="A4294">
        <v>65061</v>
      </c>
      <c r="B4294" s="3" t="s">
        <v>1253</v>
      </c>
      <c r="C4294" s="7" t="s">
        <v>576</v>
      </c>
      <c r="D4294" s="7" t="s">
        <v>221</v>
      </c>
      <c r="F4294" s="7" t="s">
        <v>580</v>
      </c>
      <c r="G4294" s="7" t="s">
        <v>1592</v>
      </c>
      <c r="H4294" s="7" t="s">
        <v>1362</v>
      </c>
      <c r="I4294" s="7" t="s">
        <v>1253</v>
      </c>
      <c r="K4294" s="7" t="s">
        <v>561</v>
      </c>
      <c r="L4294" s="11">
        <v>17.48</v>
      </c>
      <c r="M4294" s="11">
        <v>184947.98</v>
      </c>
      <c r="N4294" s="9">
        <f t="shared" si="164"/>
        <v>17.48</v>
      </c>
    </row>
    <row r="4295" spans="1:14" ht="12.75" hidden="1" customHeight="1" x14ac:dyDescent="0.2">
      <c r="A4295">
        <v>65061</v>
      </c>
      <c r="B4295" s="3" t="s">
        <v>1253</v>
      </c>
      <c r="C4295" s="7" t="s">
        <v>576</v>
      </c>
      <c r="D4295" s="7" t="s">
        <v>221</v>
      </c>
      <c r="F4295" s="7" t="s">
        <v>265</v>
      </c>
      <c r="G4295" s="7" t="s">
        <v>1592</v>
      </c>
      <c r="H4295" s="7" t="s">
        <v>1362</v>
      </c>
      <c r="I4295" s="7" t="s">
        <v>1253</v>
      </c>
      <c r="K4295" s="7" t="s">
        <v>561</v>
      </c>
      <c r="L4295" s="11">
        <v>28.9</v>
      </c>
      <c r="M4295" s="11">
        <v>184976.88</v>
      </c>
      <c r="N4295" s="9">
        <f t="shared" si="164"/>
        <v>28.9</v>
      </c>
    </row>
    <row r="4296" spans="1:14" ht="12.75" hidden="1" customHeight="1" x14ac:dyDescent="0.2">
      <c r="A4296">
        <v>65061</v>
      </c>
      <c r="B4296" s="3" t="s">
        <v>1253</v>
      </c>
      <c r="C4296" s="7" t="s">
        <v>210</v>
      </c>
      <c r="D4296" s="7" t="s">
        <v>221</v>
      </c>
      <c r="F4296" s="7" t="s">
        <v>563</v>
      </c>
      <c r="G4296" s="7" t="s">
        <v>1592</v>
      </c>
      <c r="H4296" s="7" t="s">
        <v>1362</v>
      </c>
      <c r="I4296" s="7" t="s">
        <v>1253</v>
      </c>
      <c r="K4296" s="7" t="s">
        <v>561</v>
      </c>
      <c r="L4296" s="11">
        <v>227.01</v>
      </c>
      <c r="M4296" s="11">
        <v>187066.82</v>
      </c>
      <c r="N4296" s="9">
        <f t="shared" si="164"/>
        <v>227.01</v>
      </c>
    </row>
    <row r="4297" spans="1:14" ht="12.75" hidden="1" customHeight="1" x14ac:dyDescent="0.2">
      <c r="A4297">
        <v>65061</v>
      </c>
      <c r="B4297" s="3" t="s">
        <v>1253</v>
      </c>
      <c r="C4297" s="7" t="s">
        <v>210</v>
      </c>
      <c r="D4297" s="7" t="s">
        <v>221</v>
      </c>
      <c r="F4297" s="7" t="s">
        <v>575</v>
      </c>
      <c r="G4297" s="7" t="s">
        <v>1592</v>
      </c>
      <c r="H4297" s="7" t="s">
        <v>1362</v>
      </c>
      <c r="I4297" s="7" t="s">
        <v>1253</v>
      </c>
      <c r="K4297" s="7" t="s">
        <v>561</v>
      </c>
      <c r="L4297" s="11">
        <v>26.17</v>
      </c>
      <c r="M4297" s="11">
        <v>187092.99</v>
      </c>
      <c r="N4297" s="9">
        <f t="shared" si="164"/>
        <v>26.17</v>
      </c>
    </row>
    <row r="4298" spans="1:14" ht="12.75" hidden="1" customHeight="1" x14ac:dyDescent="0.2">
      <c r="A4298">
        <v>65061</v>
      </c>
      <c r="B4298" s="3" t="s">
        <v>1253</v>
      </c>
      <c r="C4298" s="7" t="s">
        <v>210</v>
      </c>
      <c r="D4298" s="7" t="s">
        <v>221</v>
      </c>
      <c r="F4298" s="7" t="s">
        <v>574</v>
      </c>
      <c r="G4298" s="7" t="s">
        <v>1592</v>
      </c>
      <c r="H4298" s="7" t="s">
        <v>1362</v>
      </c>
      <c r="I4298" s="7" t="s">
        <v>1253</v>
      </c>
      <c r="K4298" s="7" t="s">
        <v>561</v>
      </c>
      <c r="L4298" s="11">
        <v>13.11</v>
      </c>
      <c r="M4298" s="11">
        <v>187106.1</v>
      </c>
      <c r="N4298" s="9">
        <f t="shared" si="164"/>
        <v>13.11</v>
      </c>
    </row>
    <row r="4299" spans="1:14" ht="12.75" hidden="1" customHeight="1" x14ac:dyDescent="0.2">
      <c r="A4299">
        <v>65061</v>
      </c>
      <c r="B4299" s="3" t="s">
        <v>1253</v>
      </c>
      <c r="C4299" s="7" t="s">
        <v>426</v>
      </c>
      <c r="D4299" s="7" t="s">
        <v>221</v>
      </c>
      <c r="F4299" s="7" t="s">
        <v>568</v>
      </c>
      <c r="G4299" s="7" t="s">
        <v>1592</v>
      </c>
      <c r="H4299" s="7" t="s">
        <v>1362</v>
      </c>
      <c r="I4299" s="7" t="s">
        <v>1253</v>
      </c>
      <c r="K4299" s="7" t="s">
        <v>561</v>
      </c>
      <c r="L4299" s="11">
        <v>28.45</v>
      </c>
      <c r="M4299" s="11">
        <v>190164.53</v>
      </c>
      <c r="N4299" s="9">
        <f t="shared" si="164"/>
        <v>28.45</v>
      </c>
    </row>
    <row r="4300" spans="1:14" ht="12.75" hidden="1" customHeight="1" x14ac:dyDescent="0.2">
      <c r="A4300">
        <v>65061</v>
      </c>
      <c r="B4300" s="3" t="s">
        <v>1253</v>
      </c>
      <c r="C4300" s="7" t="s">
        <v>207</v>
      </c>
      <c r="D4300" s="7" t="s">
        <v>221</v>
      </c>
      <c r="F4300" s="7" t="s">
        <v>563</v>
      </c>
      <c r="G4300" s="7" t="s">
        <v>1592</v>
      </c>
      <c r="H4300" s="7" t="s">
        <v>1362</v>
      </c>
      <c r="I4300" s="7" t="s">
        <v>1253</v>
      </c>
      <c r="K4300" s="7" t="s">
        <v>561</v>
      </c>
      <c r="L4300" s="11">
        <v>43.44</v>
      </c>
      <c r="M4300" s="11">
        <v>192526.93</v>
      </c>
      <c r="N4300" s="9">
        <f t="shared" si="164"/>
        <v>43.44</v>
      </c>
    </row>
    <row r="4301" spans="1:14" ht="12.75" hidden="1" customHeight="1" x14ac:dyDescent="0.2">
      <c r="A4301">
        <v>65061</v>
      </c>
      <c r="B4301" s="3" t="s">
        <v>1253</v>
      </c>
      <c r="C4301" s="7" t="s">
        <v>204</v>
      </c>
      <c r="D4301" s="7" t="s">
        <v>221</v>
      </c>
      <c r="F4301" s="7" t="s">
        <v>562</v>
      </c>
      <c r="G4301" s="7" t="s">
        <v>1592</v>
      </c>
      <c r="H4301" s="7" t="s">
        <v>1362</v>
      </c>
      <c r="I4301" s="7" t="s">
        <v>1253</v>
      </c>
      <c r="K4301" s="7" t="s">
        <v>561</v>
      </c>
      <c r="L4301" s="11">
        <v>269.95</v>
      </c>
      <c r="M4301" s="11">
        <v>192796.88</v>
      </c>
      <c r="N4301" s="9">
        <f t="shared" si="164"/>
        <v>269.95</v>
      </c>
    </row>
    <row r="4302" spans="1:14" ht="12.75" hidden="1" customHeight="1" x14ac:dyDescent="0.2">
      <c r="A4302">
        <v>65062</v>
      </c>
      <c r="B4302" s="3" t="s">
        <v>1254</v>
      </c>
      <c r="C4302" s="7" t="s">
        <v>503</v>
      </c>
      <c r="D4302" s="7" t="s">
        <v>183</v>
      </c>
      <c r="E4302" s="7">
        <v>575</v>
      </c>
      <c r="G4302" s="7" t="s">
        <v>1592</v>
      </c>
      <c r="H4302" s="7" t="s">
        <v>1362</v>
      </c>
      <c r="I4302" s="7" t="s">
        <v>1254</v>
      </c>
      <c r="J4302" s="7" t="s">
        <v>501</v>
      </c>
      <c r="K4302" s="7" t="s">
        <v>180</v>
      </c>
      <c r="L4302" s="11">
        <v>750</v>
      </c>
      <c r="M4302" s="11">
        <v>22141.63</v>
      </c>
      <c r="N4302" s="9">
        <f t="shared" si="164"/>
        <v>750</v>
      </c>
    </row>
    <row r="4303" spans="1:14" ht="12.75" customHeight="1" x14ac:dyDescent="0.2">
      <c r="A4303">
        <v>46430</v>
      </c>
      <c r="B4303" s="3" t="s">
        <v>1231</v>
      </c>
      <c r="C4303" s="7" t="s">
        <v>1578</v>
      </c>
      <c r="D4303" s="7" t="s">
        <v>242</v>
      </c>
      <c r="F4303" s="7" t="s">
        <v>336</v>
      </c>
      <c r="G4303" s="7" t="s">
        <v>1579</v>
      </c>
      <c r="H4303" s="7" t="s">
        <v>1359</v>
      </c>
      <c r="I4303" s="7" t="s">
        <v>1231</v>
      </c>
      <c r="K4303" s="39" t="s">
        <v>547</v>
      </c>
      <c r="L4303" s="40">
        <v>7.0000000000000007E-2</v>
      </c>
      <c r="M4303" s="40">
        <v>63.4</v>
      </c>
      <c r="N4303" s="41">
        <f>-L4303</f>
        <v>-7.0000000000000007E-2</v>
      </c>
    </row>
    <row r="4304" spans="1:14" ht="12.75" customHeight="1" x14ac:dyDescent="0.2">
      <c r="A4304">
        <v>46430</v>
      </c>
      <c r="B4304" s="3" t="s">
        <v>1231</v>
      </c>
      <c r="C4304" s="7" t="s">
        <v>1658</v>
      </c>
      <c r="D4304" s="7" t="s">
        <v>242</v>
      </c>
      <c r="F4304" s="7" t="s">
        <v>336</v>
      </c>
      <c r="G4304" s="7" t="s">
        <v>1579</v>
      </c>
      <c r="H4304" s="7" t="s">
        <v>1359</v>
      </c>
      <c r="I4304" s="7" t="s">
        <v>1231</v>
      </c>
      <c r="K4304" s="39" t="s">
        <v>547</v>
      </c>
      <c r="L4304" s="40">
        <v>0.06</v>
      </c>
      <c r="M4304" s="40">
        <v>77.67</v>
      </c>
      <c r="N4304" s="41">
        <f>-L4304</f>
        <v>-0.06</v>
      </c>
    </row>
    <row r="4305" spans="1:14" ht="12.75" hidden="1" customHeight="1" x14ac:dyDescent="0.2">
      <c r="A4305">
        <v>43430</v>
      </c>
      <c r="B4305" s="3" t="s">
        <v>1226</v>
      </c>
      <c r="C4305" s="7" t="s">
        <v>348</v>
      </c>
      <c r="D4305" s="7" t="s">
        <v>183</v>
      </c>
      <c r="E4305" s="7">
        <v>458</v>
      </c>
      <c r="G4305" s="7" t="s">
        <v>1584</v>
      </c>
      <c r="H4305" s="7" t="s">
        <v>1360</v>
      </c>
      <c r="I4305" s="7" t="s">
        <v>1226</v>
      </c>
      <c r="J4305" s="7" t="s">
        <v>473</v>
      </c>
      <c r="K4305" s="7" t="s">
        <v>180</v>
      </c>
      <c r="L4305" s="11">
        <v>160</v>
      </c>
      <c r="M4305" s="11">
        <v>8157</v>
      </c>
      <c r="N4305" s="9">
        <f t="shared" ref="N4305:N4325" si="165">IF(A4305&lt;60000,-L4305,+L4305)</f>
        <v>-160</v>
      </c>
    </row>
    <row r="4306" spans="1:14" ht="12.75" hidden="1" customHeight="1" x14ac:dyDescent="0.2">
      <c r="A4306">
        <v>43430</v>
      </c>
      <c r="B4306" s="3" t="s">
        <v>1226</v>
      </c>
      <c r="C4306" s="7" t="s">
        <v>348</v>
      </c>
      <c r="D4306" s="7" t="s">
        <v>183</v>
      </c>
      <c r="E4306" s="7">
        <v>457</v>
      </c>
      <c r="G4306" s="7" t="s">
        <v>1584</v>
      </c>
      <c r="H4306" s="7" t="s">
        <v>1360</v>
      </c>
      <c r="I4306" s="7" t="s">
        <v>1226</v>
      </c>
      <c r="J4306" s="7" t="s">
        <v>474</v>
      </c>
      <c r="K4306" s="7" t="s">
        <v>180</v>
      </c>
      <c r="L4306" s="11">
        <v>720</v>
      </c>
      <c r="M4306" s="11">
        <v>8877</v>
      </c>
      <c r="N4306" s="9">
        <f t="shared" si="165"/>
        <v>-720</v>
      </c>
    </row>
    <row r="4307" spans="1:14" ht="12.75" hidden="1" customHeight="1" x14ac:dyDescent="0.2">
      <c r="A4307">
        <v>43440</v>
      </c>
      <c r="B4307" s="3" t="s">
        <v>1228</v>
      </c>
      <c r="C4307" s="7" t="s">
        <v>348</v>
      </c>
      <c r="D4307" s="7" t="s">
        <v>183</v>
      </c>
      <c r="E4307" s="7">
        <v>459</v>
      </c>
      <c r="G4307" s="7" t="s">
        <v>1584</v>
      </c>
      <c r="H4307" s="7" t="s">
        <v>1360</v>
      </c>
      <c r="I4307" s="7" t="s">
        <v>1228</v>
      </c>
      <c r="J4307" s="7" t="s">
        <v>514</v>
      </c>
      <c r="K4307" s="7" t="s">
        <v>180</v>
      </c>
      <c r="L4307" s="11">
        <v>99.99</v>
      </c>
      <c r="M4307" s="11">
        <v>12419.8</v>
      </c>
      <c r="N4307" s="9">
        <f t="shared" si="165"/>
        <v>-99.99</v>
      </c>
    </row>
    <row r="4308" spans="1:14" ht="12.75" hidden="1" customHeight="1" x14ac:dyDescent="0.2">
      <c r="A4308">
        <v>65061</v>
      </c>
      <c r="B4308" s="3" t="s">
        <v>1253</v>
      </c>
      <c r="C4308" s="7" t="s">
        <v>367</v>
      </c>
      <c r="D4308" s="7" t="s">
        <v>200</v>
      </c>
      <c r="F4308" s="7" t="s">
        <v>883</v>
      </c>
      <c r="G4308" s="7" t="s">
        <v>1584</v>
      </c>
      <c r="H4308" s="7" t="s">
        <v>1362</v>
      </c>
      <c r="I4308" s="7" t="s">
        <v>1253</v>
      </c>
      <c r="K4308" s="7" t="s">
        <v>693</v>
      </c>
      <c r="L4308" s="11">
        <v>1655.75</v>
      </c>
      <c r="M4308" s="11">
        <v>42757.45</v>
      </c>
      <c r="N4308" s="9">
        <f t="shared" si="165"/>
        <v>1655.75</v>
      </c>
    </row>
    <row r="4309" spans="1:14" ht="12.75" hidden="1" customHeight="1" x14ac:dyDescent="0.2">
      <c r="A4309">
        <v>65061</v>
      </c>
      <c r="B4309" s="3" t="s">
        <v>1253</v>
      </c>
      <c r="C4309" s="7" t="s">
        <v>897</v>
      </c>
      <c r="D4309" s="7" t="s">
        <v>200</v>
      </c>
      <c r="F4309" s="7" t="s">
        <v>548</v>
      </c>
      <c r="G4309" s="7" t="s">
        <v>1584</v>
      </c>
      <c r="H4309" s="7" t="s">
        <v>1362</v>
      </c>
      <c r="I4309" s="7" t="s">
        <v>1253</v>
      </c>
      <c r="K4309" s="7" t="s">
        <v>693</v>
      </c>
      <c r="L4309" s="11">
        <v>161.04</v>
      </c>
      <c r="M4309" s="11">
        <v>45678.55</v>
      </c>
      <c r="N4309" s="9">
        <f t="shared" si="165"/>
        <v>161.04</v>
      </c>
    </row>
    <row r="4310" spans="1:14" ht="12.75" hidden="1" customHeight="1" x14ac:dyDescent="0.2">
      <c r="A4310">
        <v>65061</v>
      </c>
      <c r="B4310" s="3" t="s">
        <v>1253</v>
      </c>
      <c r="C4310" s="7" t="s">
        <v>356</v>
      </c>
      <c r="D4310" s="7" t="s">
        <v>200</v>
      </c>
      <c r="F4310" s="7" t="s">
        <v>546</v>
      </c>
      <c r="G4310" s="7" t="s">
        <v>1584</v>
      </c>
      <c r="H4310" s="7" t="s">
        <v>1362</v>
      </c>
      <c r="I4310" s="7" t="s">
        <v>1253</v>
      </c>
      <c r="K4310" s="7" t="s">
        <v>693</v>
      </c>
      <c r="L4310" s="11">
        <v>161.88</v>
      </c>
      <c r="M4310" s="11">
        <v>47880.3</v>
      </c>
      <c r="N4310" s="9">
        <f t="shared" si="165"/>
        <v>161.88</v>
      </c>
    </row>
    <row r="4311" spans="1:14" ht="12.75" hidden="1" customHeight="1" x14ac:dyDescent="0.2">
      <c r="A4311">
        <v>65061</v>
      </c>
      <c r="B4311" s="3" t="s">
        <v>1253</v>
      </c>
      <c r="C4311" s="7" t="s">
        <v>353</v>
      </c>
      <c r="D4311" s="7" t="s">
        <v>200</v>
      </c>
      <c r="F4311" s="7" t="s">
        <v>352</v>
      </c>
      <c r="G4311" s="7" t="s">
        <v>1584</v>
      </c>
      <c r="H4311" s="7" t="s">
        <v>1362</v>
      </c>
      <c r="I4311" s="7" t="s">
        <v>1253</v>
      </c>
      <c r="K4311" s="7" t="s">
        <v>693</v>
      </c>
      <c r="L4311" s="11">
        <v>137.94</v>
      </c>
      <c r="M4311" s="11">
        <v>51010.83</v>
      </c>
      <c r="N4311" s="9">
        <f t="shared" si="165"/>
        <v>137.94</v>
      </c>
    </row>
    <row r="4312" spans="1:14" ht="12.75" hidden="1" customHeight="1" x14ac:dyDescent="0.2">
      <c r="A4312">
        <v>65061</v>
      </c>
      <c r="B4312" s="3" t="s">
        <v>1253</v>
      </c>
      <c r="C4312" s="7" t="s">
        <v>353</v>
      </c>
      <c r="D4312" s="7" t="s">
        <v>200</v>
      </c>
      <c r="F4312" s="7" t="s">
        <v>891</v>
      </c>
      <c r="G4312" s="7" t="s">
        <v>1584</v>
      </c>
      <c r="H4312" s="7" t="s">
        <v>1362</v>
      </c>
      <c r="I4312" s="7" t="s">
        <v>1253</v>
      </c>
      <c r="K4312" s="7" t="s">
        <v>693</v>
      </c>
      <c r="L4312" s="11">
        <v>212</v>
      </c>
      <c r="M4312" s="11">
        <v>51246.83</v>
      </c>
      <c r="N4312" s="9">
        <f t="shared" si="165"/>
        <v>212</v>
      </c>
    </row>
    <row r="4313" spans="1:14" ht="12.75" hidden="1" customHeight="1" x14ac:dyDescent="0.2">
      <c r="A4313">
        <v>65061</v>
      </c>
      <c r="B4313" s="3" t="s">
        <v>1253</v>
      </c>
      <c r="C4313" s="7" t="s">
        <v>353</v>
      </c>
      <c r="D4313" s="7" t="s">
        <v>200</v>
      </c>
      <c r="F4313" s="7" t="s">
        <v>241</v>
      </c>
      <c r="G4313" s="7" t="s">
        <v>1584</v>
      </c>
      <c r="H4313" s="7" t="s">
        <v>1362</v>
      </c>
      <c r="I4313" s="7" t="s">
        <v>1253</v>
      </c>
      <c r="K4313" s="7" t="s">
        <v>693</v>
      </c>
      <c r="L4313" s="11">
        <v>98.48</v>
      </c>
      <c r="M4313" s="11">
        <v>52887.82</v>
      </c>
      <c r="N4313" s="9">
        <f t="shared" si="165"/>
        <v>98.48</v>
      </c>
    </row>
    <row r="4314" spans="1:14" ht="12.75" hidden="1" customHeight="1" x14ac:dyDescent="0.2">
      <c r="A4314">
        <v>65061</v>
      </c>
      <c r="B4314" s="3" t="s">
        <v>1253</v>
      </c>
      <c r="C4314" s="7" t="s">
        <v>353</v>
      </c>
      <c r="D4314" s="7" t="s">
        <v>200</v>
      </c>
      <c r="F4314" s="7" t="s">
        <v>241</v>
      </c>
      <c r="G4314" s="7" t="s">
        <v>1584</v>
      </c>
      <c r="H4314" s="7" t="s">
        <v>1362</v>
      </c>
      <c r="I4314" s="7" t="s">
        <v>1253</v>
      </c>
      <c r="K4314" s="7" t="s">
        <v>693</v>
      </c>
      <c r="L4314" s="11">
        <v>149.99</v>
      </c>
      <c r="M4314" s="11">
        <v>53037.81</v>
      </c>
      <c r="N4314" s="9">
        <f t="shared" si="165"/>
        <v>149.99</v>
      </c>
    </row>
    <row r="4315" spans="1:14" ht="12.75" hidden="1" customHeight="1" x14ac:dyDescent="0.2">
      <c r="A4315">
        <v>65061</v>
      </c>
      <c r="B4315" s="3" t="s">
        <v>1253</v>
      </c>
      <c r="C4315" s="7" t="s">
        <v>353</v>
      </c>
      <c r="D4315" s="7" t="s">
        <v>242</v>
      </c>
      <c r="F4315" s="7" t="s">
        <v>883</v>
      </c>
      <c r="G4315" s="7" t="s">
        <v>1584</v>
      </c>
      <c r="H4315" s="7" t="s">
        <v>1362</v>
      </c>
      <c r="I4315" s="7" t="s">
        <v>1253</v>
      </c>
      <c r="K4315" s="7" t="s">
        <v>693</v>
      </c>
      <c r="L4315" s="11">
        <v>-240</v>
      </c>
      <c r="M4315" s="11">
        <v>53358.46</v>
      </c>
      <c r="N4315" s="9">
        <f t="shared" si="165"/>
        <v>-240</v>
      </c>
    </row>
    <row r="4316" spans="1:14" ht="12.75" hidden="1" customHeight="1" x14ac:dyDescent="0.2">
      <c r="A4316">
        <v>65061</v>
      </c>
      <c r="B4316" s="3" t="s">
        <v>1253</v>
      </c>
      <c r="C4316" s="7" t="s">
        <v>353</v>
      </c>
      <c r="D4316" s="7" t="s">
        <v>200</v>
      </c>
      <c r="F4316" s="7" t="s">
        <v>564</v>
      </c>
      <c r="G4316" s="7" t="s">
        <v>1584</v>
      </c>
      <c r="H4316" s="7" t="s">
        <v>1362</v>
      </c>
      <c r="I4316" s="7" t="s">
        <v>1253</v>
      </c>
      <c r="K4316" s="7" t="s">
        <v>693</v>
      </c>
      <c r="L4316" s="11">
        <v>205.91</v>
      </c>
      <c r="M4316" s="11">
        <v>53576.13</v>
      </c>
      <c r="N4316" s="9">
        <f t="shared" si="165"/>
        <v>205.91</v>
      </c>
    </row>
    <row r="4317" spans="1:14" ht="12.75" hidden="1" customHeight="1" x14ac:dyDescent="0.2">
      <c r="A4317">
        <v>65061</v>
      </c>
      <c r="B4317" s="3" t="s">
        <v>1253</v>
      </c>
      <c r="C4317" s="7" t="s">
        <v>351</v>
      </c>
      <c r="D4317" s="7" t="s">
        <v>200</v>
      </c>
      <c r="F4317" s="7" t="s">
        <v>546</v>
      </c>
      <c r="G4317" s="7" t="s">
        <v>1584</v>
      </c>
      <c r="H4317" s="7" t="s">
        <v>1362</v>
      </c>
      <c r="I4317" s="7" t="s">
        <v>1253</v>
      </c>
      <c r="K4317" s="7" t="s">
        <v>693</v>
      </c>
      <c r="L4317" s="11">
        <v>241.37</v>
      </c>
      <c r="M4317" s="11">
        <v>54446.02</v>
      </c>
      <c r="N4317" s="9">
        <f t="shared" si="165"/>
        <v>241.37</v>
      </c>
    </row>
    <row r="4318" spans="1:14" ht="12.75" hidden="1" customHeight="1" x14ac:dyDescent="0.2">
      <c r="A4318">
        <v>65061</v>
      </c>
      <c r="B4318" s="3" t="s">
        <v>1253</v>
      </c>
      <c r="C4318" s="7" t="s">
        <v>351</v>
      </c>
      <c r="D4318" s="7" t="s">
        <v>200</v>
      </c>
      <c r="F4318" s="7" t="s">
        <v>881</v>
      </c>
      <c r="G4318" s="7" t="s">
        <v>1584</v>
      </c>
      <c r="H4318" s="7" t="s">
        <v>1362</v>
      </c>
      <c r="I4318" s="7" t="s">
        <v>1253</v>
      </c>
      <c r="K4318" s="7" t="s">
        <v>693</v>
      </c>
      <c r="L4318" s="11">
        <v>26.57</v>
      </c>
      <c r="M4318" s="11">
        <v>54303.16</v>
      </c>
      <c r="N4318" s="9">
        <f t="shared" si="165"/>
        <v>26.57</v>
      </c>
    </row>
    <row r="4319" spans="1:14" ht="12.75" hidden="1" customHeight="1" x14ac:dyDescent="0.2">
      <c r="A4319">
        <v>65061</v>
      </c>
      <c r="B4319" s="3" t="s">
        <v>1253</v>
      </c>
      <c r="C4319" s="7" t="s">
        <v>348</v>
      </c>
      <c r="D4319" s="7" t="s">
        <v>200</v>
      </c>
      <c r="F4319" s="7" t="s">
        <v>871</v>
      </c>
      <c r="G4319" s="7" t="s">
        <v>1584</v>
      </c>
      <c r="H4319" s="7" t="s">
        <v>1362</v>
      </c>
      <c r="I4319" s="7" t="s">
        <v>1253</v>
      </c>
      <c r="K4319" s="7" t="s">
        <v>693</v>
      </c>
      <c r="L4319" s="11">
        <v>132.4</v>
      </c>
      <c r="M4319" s="11">
        <v>54675.59</v>
      </c>
      <c r="N4319" s="9">
        <f t="shared" si="165"/>
        <v>132.4</v>
      </c>
    </row>
    <row r="4320" spans="1:14" ht="12.75" hidden="1" customHeight="1" x14ac:dyDescent="0.2">
      <c r="A4320">
        <v>65061</v>
      </c>
      <c r="B4320" s="3" t="s">
        <v>1253</v>
      </c>
      <c r="C4320" s="7" t="s">
        <v>327</v>
      </c>
      <c r="D4320" s="7" t="s">
        <v>200</v>
      </c>
      <c r="F4320" s="7" t="s">
        <v>871</v>
      </c>
      <c r="G4320" s="7" t="s">
        <v>1584</v>
      </c>
      <c r="H4320" s="7" t="s">
        <v>1362</v>
      </c>
      <c r="I4320" s="7" t="s">
        <v>1253</v>
      </c>
      <c r="K4320" s="7" t="s">
        <v>693</v>
      </c>
      <c r="L4320" s="11">
        <v>50</v>
      </c>
      <c r="M4320" s="11">
        <v>64804.26</v>
      </c>
      <c r="N4320" s="9">
        <f t="shared" si="165"/>
        <v>50</v>
      </c>
    </row>
    <row r="4321" spans="1:14" ht="12.75" hidden="1" customHeight="1" x14ac:dyDescent="0.2">
      <c r="A4321">
        <v>65061</v>
      </c>
      <c r="B4321" s="3" t="s">
        <v>1253</v>
      </c>
      <c r="C4321" s="7" t="s">
        <v>287</v>
      </c>
      <c r="D4321" s="7" t="s">
        <v>200</v>
      </c>
      <c r="E4321" s="7">
        <v>442</v>
      </c>
      <c r="F4321" s="7" t="s">
        <v>730</v>
      </c>
      <c r="G4321" s="7" t="s">
        <v>1584</v>
      </c>
      <c r="H4321" s="7" t="s">
        <v>1362</v>
      </c>
      <c r="I4321" s="7" t="s">
        <v>1253</v>
      </c>
      <c r="J4321" s="7" t="s">
        <v>807</v>
      </c>
      <c r="K4321" s="7" t="s">
        <v>198</v>
      </c>
      <c r="L4321" s="11">
        <v>545.02</v>
      </c>
      <c r="M4321" s="11">
        <v>90053.35</v>
      </c>
      <c r="N4321" s="9">
        <f t="shared" si="165"/>
        <v>545.02</v>
      </c>
    </row>
    <row r="4322" spans="1:14" ht="12.75" hidden="1" customHeight="1" x14ac:dyDescent="0.2">
      <c r="A4322">
        <v>65061</v>
      </c>
      <c r="B4322" s="3" t="s">
        <v>1253</v>
      </c>
      <c r="C4322" s="7" t="s">
        <v>430</v>
      </c>
      <c r="D4322" s="7" t="s">
        <v>221</v>
      </c>
      <c r="F4322" s="7" t="s">
        <v>366</v>
      </c>
      <c r="G4322" s="7" t="s">
        <v>1584</v>
      </c>
      <c r="H4322" s="7" t="s">
        <v>1362</v>
      </c>
      <c r="I4322" s="7" t="s">
        <v>1253</v>
      </c>
      <c r="K4322" s="7" t="s">
        <v>693</v>
      </c>
      <c r="L4322" s="11">
        <v>100</v>
      </c>
      <c r="M4322" s="11">
        <v>146669.10999999999</v>
      </c>
      <c r="N4322" s="9">
        <f t="shared" si="165"/>
        <v>100</v>
      </c>
    </row>
    <row r="4323" spans="1:14" ht="12.75" hidden="1" customHeight="1" x14ac:dyDescent="0.2">
      <c r="A4323">
        <v>65062</v>
      </c>
      <c r="B4323" s="3" t="s">
        <v>1254</v>
      </c>
      <c r="C4323" s="7" t="s">
        <v>348</v>
      </c>
      <c r="D4323" s="7" t="s">
        <v>183</v>
      </c>
      <c r="E4323" s="7">
        <v>459</v>
      </c>
      <c r="G4323" s="7" t="s">
        <v>1584</v>
      </c>
      <c r="H4323" s="7" t="s">
        <v>1362</v>
      </c>
      <c r="I4323" s="7" t="s">
        <v>1254</v>
      </c>
      <c r="J4323" s="7" t="s">
        <v>514</v>
      </c>
      <c r="K4323" s="7" t="s">
        <v>180</v>
      </c>
      <c r="L4323" s="11">
        <v>99.99</v>
      </c>
      <c r="M4323" s="11">
        <v>12419.8</v>
      </c>
      <c r="N4323" s="9">
        <f t="shared" si="165"/>
        <v>99.99</v>
      </c>
    </row>
    <row r="4324" spans="1:14" ht="12.75" hidden="1" customHeight="1" x14ac:dyDescent="0.2">
      <c r="A4324">
        <v>65063</v>
      </c>
      <c r="B4324" s="3" t="s">
        <v>1255</v>
      </c>
      <c r="C4324" s="7" t="s">
        <v>348</v>
      </c>
      <c r="D4324" s="7" t="s">
        <v>183</v>
      </c>
      <c r="E4324" s="7">
        <v>457</v>
      </c>
      <c r="G4324" s="7" t="s">
        <v>1584</v>
      </c>
      <c r="H4324" s="7" t="s">
        <v>1362</v>
      </c>
      <c r="I4324" s="7" t="s">
        <v>1255</v>
      </c>
      <c r="J4324" s="7" t="s">
        <v>474</v>
      </c>
      <c r="K4324" s="7" t="s">
        <v>180</v>
      </c>
      <c r="L4324" s="11">
        <v>720</v>
      </c>
      <c r="M4324" s="11">
        <v>8717</v>
      </c>
      <c r="N4324" s="9">
        <f t="shared" si="165"/>
        <v>720</v>
      </c>
    </row>
    <row r="4325" spans="1:14" ht="12.75" hidden="1" customHeight="1" x14ac:dyDescent="0.2">
      <c r="A4325">
        <v>65063</v>
      </c>
      <c r="B4325" s="3" t="s">
        <v>1255</v>
      </c>
      <c r="C4325" s="7" t="s">
        <v>348</v>
      </c>
      <c r="D4325" s="7" t="s">
        <v>183</v>
      </c>
      <c r="E4325" s="7">
        <v>458</v>
      </c>
      <c r="G4325" s="7" t="s">
        <v>1584</v>
      </c>
      <c r="H4325" s="7" t="s">
        <v>1362</v>
      </c>
      <c r="I4325" s="7" t="s">
        <v>1255</v>
      </c>
      <c r="J4325" s="7" t="s">
        <v>473</v>
      </c>
      <c r="K4325" s="7" t="s">
        <v>180</v>
      </c>
      <c r="L4325" s="11">
        <v>160</v>
      </c>
      <c r="M4325" s="11">
        <v>8877</v>
      </c>
      <c r="N4325" s="9">
        <f t="shared" si="165"/>
        <v>160</v>
      </c>
    </row>
    <row r="4326" spans="1:14" ht="12.75" customHeight="1" x14ac:dyDescent="0.2">
      <c r="A4326">
        <v>46430</v>
      </c>
      <c r="B4326" s="3" t="s">
        <v>1231</v>
      </c>
      <c r="C4326" s="7" t="s">
        <v>1663</v>
      </c>
      <c r="D4326" s="7" t="s">
        <v>242</v>
      </c>
      <c r="F4326" s="7" t="s">
        <v>336</v>
      </c>
      <c r="G4326" s="7" t="s">
        <v>1579</v>
      </c>
      <c r="H4326" s="7" t="s">
        <v>1359</v>
      </c>
      <c r="I4326" s="7" t="s">
        <v>1231</v>
      </c>
      <c r="K4326" s="39" t="s">
        <v>547</v>
      </c>
      <c r="L4326" s="40">
        <v>0.06</v>
      </c>
      <c r="M4326" s="40">
        <v>91.74</v>
      </c>
      <c r="N4326" s="41">
        <f>-L4326</f>
        <v>-0.06</v>
      </c>
    </row>
    <row r="4327" spans="1:14" ht="12.75" customHeight="1" x14ac:dyDescent="0.2">
      <c r="A4327">
        <v>46430</v>
      </c>
      <c r="B4327" s="3" t="s">
        <v>1231</v>
      </c>
      <c r="C4327" s="7" t="s">
        <v>1664</v>
      </c>
      <c r="D4327" s="7" t="s">
        <v>242</v>
      </c>
      <c r="F4327" s="7" t="s">
        <v>336</v>
      </c>
      <c r="G4327" s="7" t="s">
        <v>1579</v>
      </c>
      <c r="H4327" s="7" t="s">
        <v>1359</v>
      </c>
      <c r="I4327" s="7" t="s">
        <v>1231</v>
      </c>
      <c r="K4327" s="39" t="s">
        <v>547</v>
      </c>
      <c r="L4327" s="40">
        <v>0.02</v>
      </c>
      <c r="M4327" s="40">
        <v>100.32</v>
      </c>
      <c r="N4327" s="41">
        <f>-L4327</f>
        <v>-0.02</v>
      </c>
    </row>
    <row r="4328" spans="1:14" ht="12.75" customHeight="1" x14ac:dyDescent="0.2">
      <c r="A4328">
        <v>43430</v>
      </c>
      <c r="B4328" s="3" t="s">
        <v>1231</v>
      </c>
      <c r="C4328" s="7" t="s">
        <v>448</v>
      </c>
      <c r="D4328" s="7" t="s">
        <v>242</v>
      </c>
      <c r="F4328" s="7" t="s">
        <v>446</v>
      </c>
      <c r="G4328" s="7" t="s">
        <v>1568</v>
      </c>
      <c r="H4328" s="7" t="s">
        <v>1359</v>
      </c>
      <c r="I4328" s="7" t="s">
        <v>1231</v>
      </c>
      <c r="K4328" s="7" t="s">
        <v>258</v>
      </c>
      <c r="L4328" s="11">
        <v>0.91</v>
      </c>
      <c r="M4328" s="11">
        <v>0.91</v>
      </c>
      <c r="N4328" s="9">
        <f t="shared" ref="N4328:N4333" si="166">IF(A4328&lt;60000,-L4328,+L4328)</f>
        <v>-0.91</v>
      </c>
    </row>
    <row r="4329" spans="1:14" ht="12.75" customHeight="1" x14ac:dyDescent="0.2">
      <c r="A4329">
        <v>43430</v>
      </c>
      <c r="B4329" s="3" t="s">
        <v>1231</v>
      </c>
      <c r="C4329" s="7" t="s">
        <v>340</v>
      </c>
      <c r="D4329" s="7" t="s">
        <v>242</v>
      </c>
      <c r="F4329" s="7" t="s">
        <v>446</v>
      </c>
      <c r="G4329" s="7" t="s">
        <v>1568</v>
      </c>
      <c r="H4329" s="7" t="s">
        <v>1359</v>
      </c>
      <c r="I4329" s="7" t="s">
        <v>1231</v>
      </c>
      <c r="K4329" s="7" t="s">
        <v>258</v>
      </c>
      <c r="L4329" s="11">
        <v>0.85</v>
      </c>
      <c r="M4329" s="11">
        <v>9.2899999999999991</v>
      </c>
      <c r="N4329" s="9">
        <f t="shared" si="166"/>
        <v>-0.85</v>
      </c>
    </row>
    <row r="4330" spans="1:14" ht="12.75" customHeight="1" x14ac:dyDescent="0.2">
      <c r="A4330">
        <v>43430</v>
      </c>
      <c r="B4330" s="3" t="s">
        <v>1231</v>
      </c>
      <c r="C4330" s="7" t="s">
        <v>298</v>
      </c>
      <c r="D4330" s="7" t="s">
        <v>242</v>
      </c>
      <c r="F4330" s="7" t="s">
        <v>446</v>
      </c>
      <c r="G4330" s="7" t="s">
        <v>1568</v>
      </c>
      <c r="H4330" s="7" t="s">
        <v>1359</v>
      </c>
      <c r="I4330" s="7" t="s">
        <v>1231</v>
      </c>
      <c r="K4330" s="7" t="s">
        <v>258</v>
      </c>
      <c r="L4330" s="11">
        <v>0.95</v>
      </c>
      <c r="M4330" s="11">
        <v>28.67</v>
      </c>
      <c r="N4330" s="9">
        <f t="shared" si="166"/>
        <v>-0.95</v>
      </c>
    </row>
    <row r="4331" spans="1:14" ht="12.75" customHeight="1" x14ac:dyDescent="0.2">
      <c r="A4331">
        <v>43430</v>
      </c>
      <c r="B4331" s="3" t="s">
        <v>1231</v>
      </c>
      <c r="C4331" s="7" t="s">
        <v>417</v>
      </c>
      <c r="D4331" s="7" t="s">
        <v>242</v>
      </c>
      <c r="F4331" s="7" t="s">
        <v>446</v>
      </c>
      <c r="G4331" s="7" t="s">
        <v>1568</v>
      </c>
      <c r="H4331" s="7" t="s">
        <v>1359</v>
      </c>
      <c r="I4331" s="7" t="s">
        <v>1231</v>
      </c>
      <c r="K4331" s="7" t="s">
        <v>258</v>
      </c>
      <c r="L4331" s="11">
        <v>0.85</v>
      </c>
      <c r="M4331" s="11">
        <v>37.99</v>
      </c>
      <c r="N4331" s="9">
        <f t="shared" si="166"/>
        <v>-0.85</v>
      </c>
    </row>
    <row r="4332" spans="1:14" ht="12.75" customHeight="1" x14ac:dyDescent="0.2">
      <c r="A4332">
        <v>43430</v>
      </c>
      <c r="B4332" s="3" t="s">
        <v>1231</v>
      </c>
      <c r="C4332" s="7" t="s">
        <v>191</v>
      </c>
      <c r="D4332" s="7" t="s">
        <v>242</v>
      </c>
      <c r="F4332" s="7" t="s">
        <v>446</v>
      </c>
      <c r="G4332" s="7" t="s">
        <v>1568</v>
      </c>
      <c r="H4332" s="7" t="s">
        <v>1359</v>
      </c>
      <c r="I4332" s="7" t="s">
        <v>1231</v>
      </c>
      <c r="K4332" s="7" t="s">
        <v>258</v>
      </c>
      <c r="L4332" s="11">
        <v>0.62</v>
      </c>
      <c r="M4332" s="11">
        <v>52.71</v>
      </c>
      <c r="N4332" s="9">
        <f t="shared" si="166"/>
        <v>-0.62</v>
      </c>
    </row>
    <row r="4333" spans="1:14" ht="12.75" customHeight="1" x14ac:dyDescent="0.2">
      <c r="A4333">
        <v>43430</v>
      </c>
      <c r="B4333" s="3" t="s">
        <v>1231</v>
      </c>
      <c r="C4333" s="7" t="s">
        <v>204</v>
      </c>
      <c r="D4333" s="7" t="s">
        <v>242</v>
      </c>
      <c r="F4333" s="7" t="s">
        <v>446</v>
      </c>
      <c r="G4333" s="7" t="s">
        <v>1568</v>
      </c>
      <c r="H4333" s="7" t="s">
        <v>1359</v>
      </c>
      <c r="I4333" s="7" t="s">
        <v>1231</v>
      </c>
      <c r="K4333" s="7" t="s">
        <v>258</v>
      </c>
      <c r="L4333" s="11">
        <v>0.38</v>
      </c>
      <c r="M4333" s="11">
        <v>58.59</v>
      </c>
      <c r="N4333" s="9">
        <f t="shared" si="166"/>
        <v>-0.38</v>
      </c>
    </row>
    <row r="4334" spans="1:14" ht="12.75" customHeight="1" x14ac:dyDescent="0.2">
      <c r="A4334">
        <v>46430</v>
      </c>
      <c r="B4334" s="3" t="s">
        <v>1231</v>
      </c>
      <c r="C4334" s="7" t="s">
        <v>1578</v>
      </c>
      <c r="D4334" s="7" t="s">
        <v>242</v>
      </c>
      <c r="F4334" s="7" t="s">
        <v>446</v>
      </c>
      <c r="G4334" s="7" t="s">
        <v>1592</v>
      </c>
      <c r="H4334" s="7" t="s">
        <v>1359</v>
      </c>
      <c r="I4334" s="7" t="s">
        <v>1231</v>
      </c>
      <c r="K4334" s="39" t="s">
        <v>1045</v>
      </c>
      <c r="L4334" s="40">
        <v>0.21</v>
      </c>
      <c r="M4334" s="40">
        <v>73.680000000000007</v>
      </c>
      <c r="N4334" s="41">
        <f t="shared" ref="N4334:N4341" si="167">-L4334</f>
        <v>-0.21</v>
      </c>
    </row>
    <row r="4335" spans="1:14" ht="12.75" customHeight="1" x14ac:dyDescent="0.2">
      <c r="A4335">
        <v>46430</v>
      </c>
      <c r="B4335" s="3" t="s">
        <v>1231</v>
      </c>
      <c r="C4335" s="7" t="s">
        <v>1658</v>
      </c>
      <c r="D4335" s="7" t="s">
        <v>242</v>
      </c>
      <c r="F4335" s="7" t="s">
        <v>446</v>
      </c>
      <c r="G4335" s="7" t="s">
        <v>1592</v>
      </c>
      <c r="H4335" s="7" t="s">
        <v>1359</v>
      </c>
      <c r="I4335" s="7" t="s">
        <v>1231</v>
      </c>
      <c r="K4335" s="39" t="s">
        <v>1045</v>
      </c>
      <c r="L4335" s="40">
        <v>0.18</v>
      </c>
      <c r="M4335" s="40">
        <v>77.849999999999994</v>
      </c>
      <c r="N4335" s="41">
        <f t="shared" si="167"/>
        <v>-0.18</v>
      </c>
    </row>
    <row r="4336" spans="1:14" ht="12.75" customHeight="1" x14ac:dyDescent="0.2">
      <c r="A4336">
        <v>46430</v>
      </c>
      <c r="B4336" s="3" t="s">
        <v>1231</v>
      </c>
      <c r="C4336" s="7" t="s">
        <v>1663</v>
      </c>
      <c r="D4336" s="7" t="s">
        <v>242</v>
      </c>
      <c r="F4336" s="7" t="s">
        <v>446</v>
      </c>
      <c r="G4336" s="7" t="s">
        <v>1592</v>
      </c>
      <c r="H4336" s="7" t="s">
        <v>1359</v>
      </c>
      <c r="I4336" s="7" t="s">
        <v>1231</v>
      </c>
      <c r="K4336" s="39" t="s">
        <v>1045</v>
      </c>
      <c r="L4336" s="40">
        <v>0.13</v>
      </c>
      <c r="M4336" s="40">
        <v>89.93</v>
      </c>
      <c r="N4336" s="41">
        <f t="shared" si="167"/>
        <v>-0.13</v>
      </c>
    </row>
    <row r="4337" spans="1:14" ht="12.75" customHeight="1" x14ac:dyDescent="0.2">
      <c r="A4337">
        <v>46430</v>
      </c>
      <c r="B4337" s="3" t="s">
        <v>1231</v>
      </c>
      <c r="C4337" s="7" t="s">
        <v>1664</v>
      </c>
      <c r="D4337" s="7" t="s">
        <v>242</v>
      </c>
      <c r="F4337" s="7" t="s">
        <v>446</v>
      </c>
      <c r="G4337" s="7" t="s">
        <v>1592</v>
      </c>
      <c r="H4337" s="7" t="s">
        <v>1359</v>
      </c>
      <c r="I4337" s="7" t="s">
        <v>1231</v>
      </c>
      <c r="K4337" s="39" t="s">
        <v>1045</v>
      </c>
      <c r="L4337" s="40">
        <v>0.14000000000000001</v>
      </c>
      <c r="M4337" s="40">
        <v>100.22</v>
      </c>
      <c r="N4337" s="41">
        <f t="shared" si="167"/>
        <v>-0.14000000000000001</v>
      </c>
    </row>
    <row r="4338" spans="1:14" ht="12.75" customHeight="1" x14ac:dyDescent="0.2">
      <c r="A4338">
        <v>46430</v>
      </c>
      <c r="B4338" s="3" t="s">
        <v>1231</v>
      </c>
      <c r="C4338" s="7" t="s">
        <v>1663</v>
      </c>
      <c r="D4338" s="7" t="s">
        <v>242</v>
      </c>
      <c r="F4338" s="7" t="s">
        <v>446</v>
      </c>
      <c r="G4338" s="7" t="s">
        <v>2120</v>
      </c>
      <c r="H4338" s="7" t="s">
        <v>1359</v>
      </c>
      <c r="I4338" s="7" t="s">
        <v>1231</v>
      </c>
      <c r="K4338" s="39" t="s">
        <v>1736</v>
      </c>
      <c r="L4338" s="40">
        <v>2.0499999999999998</v>
      </c>
      <c r="M4338" s="40">
        <v>89.56</v>
      </c>
      <c r="N4338" s="41">
        <f t="shared" si="167"/>
        <v>-2.0499999999999998</v>
      </c>
    </row>
    <row r="4339" spans="1:14" ht="12.75" customHeight="1" x14ac:dyDescent="0.2">
      <c r="A4339">
        <v>46430</v>
      </c>
      <c r="B4339" s="3" t="s">
        <v>1231</v>
      </c>
      <c r="C4339" s="7" t="s">
        <v>1624</v>
      </c>
      <c r="D4339" s="7" t="s">
        <v>242</v>
      </c>
      <c r="F4339" s="7" t="s">
        <v>446</v>
      </c>
      <c r="G4339" s="7" t="s">
        <v>2120</v>
      </c>
      <c r="H4339" s="7" t="s">
        <v>1359</v>
      </c>
      <c r="I4339" s="7" t="s">
        <v>1231</v>
      </c>
      <c r="K4339" s="39" t="s">
        <v>1615</v>
      </c>
      <c r="L4339" s="40">
        <v>2.13</v>
      </c>
      <c r="M4339" s="40">
        <v>93.87</v>
      </c>
      <c r="N4339" s="41">
        <f t="shared" si="167"/>
        <v>-2.13</v>
      </c>
    </row>
    <row r="4340" spans="1:14" ht="12.75" customHeight="1" x14ac:dyDescent="0.2">
      <c r="A4340">
        <v>46430</v>
      </c>
      <c r="B4340" s="3" t="s">
        <v>1231</v>
      </c>
      <c r="C4340" s="7" t="s">
        <v>1578</v>
      </c>
      <c r="D4340" s="7" t="s">
        <v>242</v>
      </c>
      <c r="F4340" s="7" t="s">
        <v>446</v>
      </c>
      <c r="G4340" s="7" t="s">
        <v>1581</v>
      </c>
      <c r="H4340" s="7" t="s">
        <v>1359</v>
      </c>
      <c r="I4340" s="7" t="s">
        <v>1231</v>
      </c>
      <c r="K4340" s="39" t="s">
        <v>1582</v>
      </c>
      <c r="L4340" s="40">
        <v>2.11</v>
      </c>
      <c r="M4340" s="40">
        <v>73.239999999999995</v>
      </c>
      <c r="N4340" s="41">
        <f t="shared" si="167"/>
        <v>-2.11</v>
      </c>
    </row>
    <row r="4341" spans="1:14" ht="12.75" customHeight="1" x14ac:dyDescent="0.2">
      <c r="A4341">
        <v>46430</v>
      </c>
      <c r="B4341" s="3" t="s">
        <v>1231</v>
      </c>
      <c r="C4341" s="7" t="s">
        <v>1658</v>
      </c>
      <c r="D4341" s="7" t="s">
        <v>242</v>
      </c>
      <c r="F4341" s="7" t="s">
        <v>446</v>
      </c>
      <c r="G4341" s="7" t="s">
        <v>1581</v>
      </c>
      <c r="H4341" s="7" t="s">
        <v>1359</v>
      </c>
      <c r="I4341" s="7" t="s">
        <v>1231</v>
      </c>
      <c r="K4341" s="39" t="s">
        <v>1582</v>
      </c>
      <c r="L4341" s="40">
        <v>2.12</v>
      </c>
      <c r="M4341" s="40">
        <v>79.97</v>
      </c>
      <c r="N4341" s="41">
        <f t="shared" si="167"/>
        <v>-2.12</v>
      </c>
    </row>
    <row r="4342" spans="1:14" ht="12.75" hidden="1" customHeight="1" x14ac:dyDescent="0.2">
      <c r="A4342">
        <v>65020</v>
      </c>
      <c r="B4342" s="3" t="s">
        <v>1245</v>
      </c>
      <c r="C4342" s="7" t="s">
        <v>330</v>
      </c>
      <c r="D4342" s="7" t="s">
        <v>200</v>
      </c>
      <c r="F4342" s="7" t="s">
        <v>338</v>
      </c>
      <c r="G4342" s="7" t="s">
        <v>1561</v>
      </c>
      <c r="H4342" s="7" t="s">
        <v>1362</v>
      </c>
      <c r="I4342" s="7" t="s">
        <v>1245</v>
      </c>
      <c r="K4342" s="7" t="s">
        <v>631</v>
      </c>
      <c r="L4342" s="11">
        <v>67</v>
      </c>
      <c r="M4342" s="11">
        <v>719.4</v>
      </c>
      <c r="N4342" s="9">
        <f t="shared" ref="N4342:N4373" si="168">IF(A4342&lt;60000,-L4342,+L4342)</f>
        <v>67</v>
      </c>
    </row>
    <row r="4343" spans="1:14" ht="12.75" hidden="1" customHeight="1" x14ac:dyDescent="0.2">
      <c r="A4343">
        <v>65020</v>
      </c>
      <c r="B4343" s="3" t="s">
        <v>1245</v>
      </c>
      <c r="C4343" s="7" t="s">
        <v>266</v>
      </c>
      <c r="D4343" s="7" t="s">
        <v>200</v>
      </c>
      <c r="F4343" s="7" t="s">
        <v>300</v>
      </c>
      <c r="G4343" s="7" t="s">
        <v>1561</v>
      </c>
      <c r="H4343" s="7" t="s">
        <v>1362</v>
      </c>
      <c r="I4343" s="7" t="s">
        <v>1245</v>
      </c>
      <c r="K4343" s="7" t="s">
        <v>631</v>
      </c>
      <c r="L4343" s="11">
        <v>24.86</v>
      </c>
      <c r="M4343" s="11">
        <v>1100.0999999999999</v>
      </c>
      <c r="N4343" s="9">
        <f t="shared" si="168"/>
        <v>24.86</v>
      </c>
    </row>
    <row r="4344" spans="1:14" ht="12.75" hidden="1" customHeight="1" x14ac:dyDescent="0.2">
      <c r="A4344">
        <v>65020</v>
      </c>
      <c r="B4344" s="3" t="s">
        <v>1245</v>
      </c>
      <c r="C4344" s="7" t="s">
        <v>266</v>
      </c>
      <c r="D4344" s="7" t="s">
        <v>200</v>
      </c>
      <c r="F4344" s="7" t="s">
        <v>300</v>
      </c>
      <c r="G4344" s="7" t="s">
        <v>1561</v>
      </c>
      <c r="H4344" s="7" t="s">
        <v>1362</v>
      </c>
      <c r="I4344" s="7" t="s">
        <v>1245</v>
      </c>
      <c r="K4344" s="7" t="s">
        <v>631</v>
      </c>
      <c r="L4344" s="11">
        <v>3.95</v>
      </c>
      <c r="M4344" s="11">
        <v>1104.05</v>
      </c>
      <c r="N4344" s="9">
        <f t="shared" si="168"/>
        <v>3.95</v>
      </c>
    </row>
    <row r="4345" spans="1:14" ht="12.75" hidden="1" customHeight="1" x14ac:dyDescent="0.2">
      <c r="A4345">
        <v>65020</v>
      </c>
      <c r="B4345" s="3" t="s">
        <v>1245</v>
      </c>
      <c r="C4345" s="7" t="s">
        <v>214</v>
      </c>
      <c r="D4345" s="7" t="s">
        <v>221</v>
      </c>
      <c r="F4345" s="7" t="s">
        <v>338</v>
      </c>
      <c r="G4345" s="7" t="s">
        <v>1561</v>
      </c>
      <c r="H4345" s="7" t="s">
        <v>1362</v>
      </c>
      <c r="I4345" s="7" t="s">
        <v>1245</v>
      </c>
      <c r="K4345" s="7" t="s">
        <v>631</v>
      </c>
      <c r="L4345" s="11">
        <v>67</v>
      </c>
      <c r="M4345" s="11">
        <v>1700.06</v>
      </c>
      <c r="N4345" s="9">
        <f t="shared" si="168"/>
        <v>67</v>
      </c>
    </row>
    <row r="4346" spans="1:14" ht="12.75" hidden="1" customHeight="1" x14ac:dyDescent="0.2">
      <c r="A4346">
        <v>65025</v>
      </c>
      <c r="B4346" s="3" t="s">
        <v>1246</v>
      </c>
      <c r="C4346" s="7" t="s">
        <v>379</v>
      </c>
      <c r="D4346" s="7" t="s">
        <v>200</v>
      </c>
      <c r="F4346" s="7" t="s">
        <v>446</v>
      </c>
      <c r="G4346" s="7" t="s">
        <v>1561</v>
      </c>
      <c r="H4346" s="7" t="s">
        <v>1362</v>
      </c>
      <c r="I4346" s="7" t="s">
        <v>1246</v>
      </c>
      <c r="K4346" s="7" t="s">
        <v>631</v>
      </c>
      <c r="L4346" s="11">
        <v>15</v>
      </c>
      <c r="M4346" s="11">
        <v>293.2</v>
      </c>
      <c r="N4346" s="9">
        <f t="shared" si="168"/>
        <v>15</v>
      </c>
    </row>
    <row r="4347" spans="1:14" ht="12.75" hidden="1" customHeight="1" x14ac:dyDescent="0.2">
      <c r="A4347">
        <v>65025</v>
      </c>
      <c r="B4347" s="3" t="s">
        <v>1246</v>
      </c>
      <c r="C4347" s="7" t="s">
        <v>222</v>
      </c>
      <c r="D4347" s="7" t="s">
        <v>221</v>
      </c>
      <c r="F4347" s="7" t="s">
        <v>446</v>
      </c>
      <c r="G4347" s="7" t="s">
        <v>1561</v>
      </c>
      <c r="H4347" s="7" t="s">
        <v>1362</v>
      </c>
      <c r="I4347" s="7" t="s">
        <v>1246</v>
      </c>
      <c r="K4347" s="7" t="s">
        <v>631</v>
      </c>
      <c r="L4347" s="11">
        <v>15</v>
      </c>
      <c r="M4347" s="11">
        <v>1461.96</v>
      </c>
      <c r="N4347" s="9">
        <f t="shared" si="168"/>
        <v>15</v>
      </c>
    </row>
    <row r="4348" spans="1:14" ht="12.75" hidden="1" customHeight="1" x14ac:dyDescent="0.2">
      <c r="A4348">
        <v>65036</v>
      </c>
      <c r="B4348" s="3" t="s">
        <v>1249</v>
      </c>
      <c r="C4348" s="7" t="s">
        <v>353</v>
      </c>
      <c r="D4348" s="7" t="s">
        <v>200</v>
      </c>
      <c r="F4348" s="7" t="s">
        <v>1019</v>
      </c>
      <c r="G4348" s="7" t="s">
        <v>1561</v>
      </c>
      <c r="H4348" s="7" t="s">
        <v>1362</v>
      </c>
      <c r="I4348" s="7" t="s">
        <v>1249</v>
      </c>
      <c r="K4348" s="7" t="s">
        <v>631</v>
      </c>
      <c r="L4348" s="11">
        <v>32.33</v>
      </c>
      <c r="M4348" s="11">
        <v>950.87</v>
      </c>
      <c r="N4348" s="9">
        <f t="shared" si="168"/>
        <v>32.33</v>
      </c>
    </row>
    <row r="4349" spans="1:14" ht="12.75" hidden="1" customHeight="1" x14ac:dyDescent="0.2">
      <c r="A4349">
        <v>65036</v>
      </c>
      <c r="B4349" s="3" t="s">
        <v>1249</v>
      </c>
      <c r="C4349" s="7" t="s">
        <v>253</v>
      </c>
      <c r="D4349" s="7" t="s">
        <v>200</v>
      </c>
      <c r="E4349" s="7">
        <v>1022</v>
      </c>
      <c r="F4349" s="7" t="s">
        <v>1018</v>
      </c>
      <c r="G4349" s="7" t="s">
        <v>1561</v>
      </c>
      <c r="H4349" s="7" t="s">
        <v>1362</v>
      </c>
      <c r="I4349" s="7" t="s">
        <v>1249</v>
      </c>
      <c r="K4349" s="7" t="s">
        <v>631</v>
      </c>
      <c r="L4349" s="11">
        <v>368.75</v>
      </c>
      <c r="M4349" s="11">
        <v>4232.1899999999996</v>
      </c>
      <c r="N4349" s="9">
        <f t="shared" si="168"/>
        <v>368.75</v>
      </c>
    </row>
    <row r="4350" spans="1:14" ht="12.75" hidden="1" customHeight="1" x14ac:dyDescent="0.2">
      <c r="A4350">
        <v>65040</v>
      </c>
      <c r="B4350" s="3" t="s">
        <v>1250</v>
      </c>
      <c r="C4350" s="7" t="s">
        <v>849</v>
      </c>
      <c r="D4350" s="7" t="s">
        <v>200</v>
      </c>
      <c r="F4350" s="7" t="s">
        <v>234</v>
      </c>
      <c r="G4350" s="7" t="s">
        <v>1561</v>
      </c>
      <c r="H4350" s="7" t="s">
        <v>1362</v>
      </c>
      <c r="I4350" s="7" t="s">
        <v>1250</v>
      </c>
      <c r="K4350" s="7" t="s">
        <v>631</v>
      </c>
      <c r="L4350" s="11">
        <v>5.32</v>
      </c>
      <c r="M4350" s="11">
        <v>917.69</v>
      </c>
      <c r="N4350" s="9">
        <f t="shared" si="168"/>
        <v>5.32</v>
      </c>
    </row>
    <row r="4351" spans="1:14" ht="12.75" hidden="1" customHeight="1" x14ac:dyDescent="0.2">
      <c r="A4351">
        <v>65040</v>
      </c>
      <c r="B4351" s="3" t="s">
        <v>1250</v>
      </c>
      <c r="C4351" s="7" t="s">
        <v>812</v>
      </c>
      <c r="D4351" s="7" t="s">
        <v>200</v>
      </c>
      <c r="F4351" s="7" t="s">
        <v>234</v>
      </c>
      <c r="G4351" s="7" t="s">
        <v>1561</v>
      </c>
      <c r="H4351" s="7" t="s">
        <v>1362</v>
      </c>
      <c r="I4351" s="7" t="s">
        <v>1250</v>
      </c>
      <c r="K4351" s="7" t="s">
        <v>631</v>
      </c>
      <c r="L4351" s="11">
        <v>40.020000000000003</v>
      </c>
      <c r="M4351" s="11">
        <v>1150.6400000000001</v>
      </c>
      <c r="N4351" s="9">
        <f t="shared" si="168"/>
        <v>40.020000000000003</v>
      </c>
    </row>
    <row r="4352" spans="1:14" ht="12.75" hidden="1" customHeight="1" x14ac:dyDescent="0.2">
      <c r="A4352">
        <v>65061</v>
      </c>
      <c r="B4352" s="3" t="s">
        <v>1253</v>
      </c>
      <c r="C4352" s="7" t="s">
        <v>392</v>
      </c>
      <c r="D4352" s="7" t="s">
        <v>242</v>
      </c>
      <c r="F4352" s="7" t="s">
        <v>960</v>
      </c>
      <c r="G4352" s="7" t="s">
        <v>1561</v>
      </c>
      <c r="H4352" s="7" t="s">
        <v>1362</v>
      </c>
      <c r="I4352" s="7" t="s">
        <v>1253</v>
      </c>
      <c r="K4352" s="7" t="s">
        <v>631</v>
      </c>
      <c r="L4352" s="11">
        <v>-263.08</v>
      </c>
      <c r="M4352" s="11">
        <v>8566.33</v>
      </c>
      <c r="N4352" s="9">
        <f t="shared" si="168"/>
        <v>-263.08</v>
      </c>
    </row>
    <row r="4353" spans="1:14" ht="12.75" hidden="1" customHeight="1" x14ac:dyDescent="0.2">
      <c r="A4353">
        <v>65061</v>
      </c>
      <c r="B4353" s="3" t="s">
        <v>1253</v>
      </c>
      <c r="C4353" s="7" t="s">
        <v>942</v>
      </c>
      <c r="D4353" s="7" t="s">
        <v>200</v>
      </c>
      <c r="E4353" s="7">
        <v>1017</v>
      </c>
      <c r="F4353" s="7" t="s">
        <v>943</v>
      </c>
      <c r="G4353" s="7" t="s">
        <v>1561</v>
      </c>
      <c r="H4353" s="7" t="s">
        <v>1362</v>
      </c>
      <c r="I4353" s="7" t="s">
        <v>1253</v>
      </c>
      <c r="K4353" s="7" t="s">
        <v>631</v>
      </c>
      <c r="L4353" s="11">
        <v>154.44999999999999</v>
      </c>
      <c r="M4353" s="11">
        <v>20613.66</v>
      </c>
      <c r="N4353" s="9">
        <f t="shared" si="168"/>
        <v>154.44999999999999</v>
      </c>
    </row>
    <row r="4354" spans="1:14" ht="12.75" hidden="1" customHeight="1" x14ac:dyDescent="0.2">
      <c r="A4354">
        <v>65061</v>
      </c>
      <c r="B4354" s="3" t="s">
        <v>1253</v>
      </c>
      <c r="C4354" s="7" t="s">
        <v>372</v>
      </c>
      <c r="D4354" s="7" t="s">
        <v>242</v>
      </c>
      <c r="F4354" s="7" t="s">
        <v>665</v>
      </c>
      <c r="G4354" s="7" t="s">
        <v>1561</v>
      </c>
      <c r="H4354" s="7" t="s">
        <v>1362</v>
      </c>
      <c r="I4354" s="7" t="s">
        <v>1253</v>
      </c>
      <c r="K4354" s="7" t="s">
        <v>631</v>
      </c>
      <c r="L4354" s="11">
        <v>-59.04</v>
      </c>
      <c r="M4354" s="11">
        <v>38173.26</v>
      </c>
      <c r="N4354" s="9">
        <f t="shared" si="168"/>
        <v>-59.04</v>
      </c>
    </row>
    <row r="4355" spans="1:14" ht="12.75" hidden="1" customHeight="1" x14ac:dyDescent="0.2">
      <c r="A4355">
        <v>65061</v>
      </c>
      <c r="B4355" s="3" t="s">
        <v>1253</v>
      </c>
      <c r="C4355" s="7" t="s">
        <v>353</v>
      </c>
      <c r="D4355" s="7" t="s">
        <v>200</v>
      </c>
      <c r="F4355" s="7" t="s">
        <v>265</v>
      </c>
      <c r="G4355" s="7" t="s">
        <v>1561</v>
      </c>
      <c r="H4355" s="7" t="s">
        <v>1362</v>
      </c>
      <c r="I4355" s="7" t="s">
        <v>1253</v>
      </c>
      <c r="K4355" s="7" t="s">
        <v>631</v>
      </c>
      <c r="L4355" s="11">
        <v>23.38</v>
      </c>
      <c r="M4355" s="11">
        <v>50872.89</v>
      </c>
      <c r="N4355" s="9">
        <f t="shared" si="168"/>
        <v>23.38</v>
      </c>
    </row>
    <row r="4356" spans="1:14" ht="12.75" hidden="1" customHeight="1" x14ac:dyDescent="0.2">
      <c r="A4356">
        <v>65061</v>
      </c>
      <c r="B4356" s="3" t="s">
        <v>1253</v>
      </c>
      <c r="C4356" s="7" t="s">
        <v>353</v>
      </c>
      <c r="D4356" s="7" t="s">
        <v>200</v>
      </c>
      <c r="F4356" s="7" t="s">
        <v>591</v>
      </c>
      <c r="G4356" s="7" t="s">
        <v>1561</v>
      </c>
      <c r="H4356" s="7" t="s">
        <v>1362</v>
      </c>
      <c r="I4356" s="7" t="s">
        <v>1253</v>
      </c>
      <c r="K4356" s="7" t="s">
        <v>631</v>
      </c>
      <c r="L4356" s="11">
        <v>42.37</v>
      </c>
      <c r="M4356" s="11">
        <v>51339.199999999997</v>
      </c>
      <c r="N4356" s="9">
        <f t="shared" si="168"/>
        <v>42.37</v>
      </c>
    </row>
    <row r="4357" spans="1:14" ht="12.75" hidden="1" customHeight="1" x14ac:dyDescent="0.2">
      <c r="A4357">
        <v>65061</v>
      </c>
      <c r="B4357" s="3" t="s">
        <v>1253</v>
      </c>
      <c r="C4357" s="7" t="s">
        <v>353</v>
      </c>
      <c r="D4357" s="7" t="s">
        <v>200</v>
      </c>
      <c r="F4357" s="7" t="s">
        <v>870</v>
      </c>
      <c r="G4357" s="7" t="s">
        <v>1561</v>
      </c>
      <c r="H4357" s="7" t="s">
        <v>1362</v>
      </c>
      <c r="I4357" s="7" t="s">
        <v>1253</v>
      </c>
      <c r="K4357" s="7" t="s">
        <v>631</v>
      </c>
      <c r="L4357" s="11">
        <v>824.05</v>
      </c>
      <c r="M4357" s="11">
        <v>52271.5</v>
      </c>
      <c r="N4357" s="9">
        <f t="shared" si="168"/>
        <v>824.05</v>
      </c>
    </row>
    <row r="4358" spans="1:14" ht="12.75" hidden="1" customHeight="1" x14ac:dyDescent="0.2">
      <c r="A4358">
        <v>65061</v>
      </c>
      <c r="B4358" s="3" t="s">
        <v>1253</v>
      </c>
      <c r="C4358" s="7" t="s">
        <v>353</v>
      </c>
      <c r="D4358" s="7" t="s">
        <v>200</v>
      </c>
      <c r="F4358" s="7" t="s">
        <v>624</v>
      </c>
      <c r="G4358" s="7" t="s">
        <v>1561</v>
      </c>
      <c r="H4358" s="7" t="s">
        <v>1362</v>
      </c>
      <c r="I4358" s="7" t="s">
        <v>1253</v>
      </c>
      <c r="K4358" s="7" t="s">
        <v>631</v>
      </c>
      <c r="L4358" s="11">
        <v>55.51</v>
      </c>
      <c r="M4358" s="11">
        <v>52489.9</v>
      </c>
      <c r="N4358" s="9">
        <f t="shared" si="168"/>
        <v>55.51</v>
      </c>
    </row>
    <row r="4359" spans="1:14" ht="12.75" hidden="1" customHeight="1" x14ac:dyDescent="0.2">
      <c r="A4359">
        <v>65061</v>
      </c>
      <c r="B4359" s="3" t="s">
        <v>1253</v>
      </c>
      <c r="C4359" s="7" t="s">
        <v>353</v>
      </c>
      <c r="D4359" s="7" t="s">
        <v>200</v>
      </c>
      <c r="F4359" s="7" t="s">
        <v>887</v>
      </c>
      <c r="G4359" s="7" t="s">
        <v>1561</v>
      </c>
      <c r="H4359" s="7" t="s">
        <v>1362</v>
      </c>
      <c r="I4359" s="7" t="s">
        <v>1253</v>
      </c>
      <c r="K4359" s="7" t="s">
        <v>631</v>
      </c>
      <c r="L4359" s="11">
        <v>50.35</v>
      </c>
      <c r="M4359" s="11">
        <v>53055.73</v>
      </c>
      <c r="N4359" s="9">
        <f t="shared" si="168"/>
        <v>50.35</v>
      </c>
    </row>
    <row r="4360" spans="1:14" ht="12.75" hidden="1" customHeight="1" x14ac:dyDescent="0.2">
      <c r="A4360">
        <v>65061</v>
      </c>
      <c r="B4360" s="3" t="s">
        <v>1253</v>
      </c>
      <c r="C4360" s="7" t="s">
        <v>353</v>
      </c>
      <c r="D4360" s="7" t="s">
        <v>200</v>
      </c>
      <c r="F4360" s="7" t="s">
        <v>265</v>
      </c>
      <c r="G4360" s="7" t="s">
        <v>1561</v>
      </c>
      <c r="H4360" s="7" t="s">
        <v>1362</v>
      </c>
      <c r="I4360" s="7" t="s">
        <v>1253</v>
      </c>
      <c r="K4360" s="7" t="s">
        <v>631</v>
      </c>
      <c r="L4360" s="11">
        <v>32.99</v>
      </c>
      <c r="M4360" s="11">
        <v>53426.96</v>
      </c>
      <c r="N4360" s="9">
        <f t="shared" si="168"/>
        <v>32.99</v>
      </c>
    </row>
    <row r="4361" spans="1:14" ht="12.75" hidden="1" customHeight="1" x14ac:dyDescent="0.2">
      <c r="A4361">
        <v>65061</v>
      </c>
      <c r="B4361" s="3" t="s">
        <v>1253</v>
      </c>
      <c r="C4361" s="7" t="s">
        <v>353</v>
      </c>
      <c r="D4361" s="7" t="s">
        <v>200</v>
      </c>
      <c r="F4361" s="7" t="s">
        <v>569</v>
      </c>
      <c r="G4361" s="7" t="s">
        <v>1561</v>
      </c>
      <c r="H4361" s="7" t="s">
        <v>1362</v>
      </c>
      <c r="I4361" s="7" t="s">
        <v>1253</v>
      </c>
      <c r="K4361" s="7" t="s">
        <v>631</v>
      </c>
      <c r="L4361" s="11">
        <v>46.5</v>
      </c>
      <c r="M4361" s="11">
        <v>53598.46</v>
      </c>
      <c r="N4361" s="9">
        <f t="shared" si="168"/>
        <v>46.5</v>
      </c>
    </row>
    <row r="4362" spans="1:14" ht="12.75" hidden="1" customHeight="1" x14ac:dyDescent="0.2">
      <c r="A4362">
        <v>65061</v>
      </c>
      <c r="B4362" s="3" t="s">
        <v>1253</v>
      </c>
      <c r="C4362" s="7" t="s">
        <v>351</v>
      </c>
      <c r="D4362" s="7" t="s">
        <v>200</v>
      </c>
      <c r="F4362" s="7" t="s">
        <v>265</v>
      </c>
      <c r="G4362" s="7" t="s">
        <v>1561</v>
      </c>
      <c r="H4362" s="7" t="s">
        <v>1362</v>
      </c>
      <c r="I4362" s="7" t="s">
        <v>1253</v>
      </c>
      <c r="K4362" s="7" t="s">
        <v>631</v>
      </c>
      <c r="L4362" s="11">
        <v>37.64</v>
      </c>
      <c r="M4362" s="11">
        <v>54204.65</v>
      </c>
      <c r="N4362" s="9">
        <f t="shared" si="168"/>
        <v>37.64</v>
      </c>
    </row>
    <row r="4363" spans="1:14" ht="12.75" hidden="1" customHeight="1" x14ac:dyDescent="0.2">
      <c r="A4363">
        <v>65061</v>
      </c>
      <c r="B4363" s="3" t="s">
        <v>1253</v>
      </c>
      <c r="C4363" s="7" t="s">
        <v>348</v>
      </c>
      <c r="D4363" s="7" t="s">
        <v>200</v>
      </c>
      <c r="F4363" s="7" t="s">
        <v>265</v>
      </c>
      <c r="G4363" s="7" t="s">
        <v>1561</v>
      </c>
      <c r="H4363" s="7" t="s">
        <v>1362</v>
      </c>
      <c r="I4363" s="7" t="s">
        <v>1253</v>
      </c>
      <c r="K4363" s="7" t="s">
        <v>631</v>
      </c>
      <c r="L4363" s="11">
        <v>39.74</v>
      </c>
      <c r="M4363" s="11">
        <v>56334.57</v>
      </c>
      <c r="N4363" s="9">
        <f t="shared" si="168"/>
        <v>39.74</v>
      </c>
    </row>
    <row r="4364" spans="1:14" ht="12.75" hidden="1" customHeight="1" x14ac:dyDescent="0.2">
      <c r="A4364">
        <v>65061</v>
      </c>
      <c r="B4364" s="3" t="s">
        <v>1253</v>
      </c>
      <c r="C4364" s="7" t="s">
        <v>344</v>
      </c>
      <c r="D4364" s="7" t="s">
        <v>200</v>
      </c>
      <c r="E4364" s="7">
        <v>1018</v>
      </c>
      <c r="F4364" s="7" t="s">
        <v>841</v>
      </c>
      <c r="G4364" s="7" t="s">
        <v>1561</v>
      </c>
      <c r="H4364" s="7" t="s">
        <v>1362</v>
      </c>
      <c r="I4364" s="7" t="s">
        <v>1253</v>
      </c>
      <c r="K4364" s="7" t="s">
        <v>631</v>
      </c>
      <c r="L4364" s="11">
        <v>653.95000000000005</v>
      </c>
      <c r="M4364" s="11">
        <v>57174.59</v>
      </c>
      <c r="N4364" s="9">
        <f t="shared" si="168"/>
        <v>653.95000000000005</v>
      </c>
    </row>
    <row r="4365" spans="1:14" ht="12.75" hidden="1" customHeight="1" x14ac:dyDescent="0.2">
      <c r="A4365">
        <v>65061</v>
      </c>
      <c r="B4365" s="3" t="s">
        <v>1253</v>
      </c>
      <c r="C4365" s="7" t="s">
        <v>340</v>
      </c>
      <c r="D4365" s="7" t="s">
        <v>200</v>
      </c>
      <c r="F4365" s="7" t="s">
        <v>793</v>
      </c>
      <c r="G4365" s="7" t="s">
        <v>1561</v>
      </c>
      <c r="H4365" s="7" t="s">
        <v>1362</v>
      </c>
      <c r="I4365" s="7" t="s">
        <v>1253</v>
      </c>
      <c r="K4365" s="7" t="s">
        <v>631</v>
      </c>
      <c r="L4365" s="11">
        <v>250.96</v>
      </c>
      <c r="M4365" s="11">
        <v>57623.16</v>
      </c>
      <c r="N4365" s="9">
        <f t="shared" si="168"/>
        <v>250.96</v>
      </c>
    </row>
    <row r="4366" spans="1:14" ht="12.75" hidden="1" customHeight="1" x14ac:dyDescent="0.2">
      <c r="A4366">
        <v>65061</v>
      </c>
      <c r="B4366" s="3" t="s">
        <v>1253</v>
      </c>
      <c r="C4366" s="7" t="s">
        <v>334</v>
      </c>
      <c r="D4366" s="7" t="s">
        <v>200</v>
      </c>
      <c r="F4366" s="7" t="s">
        <v>265</v>
      </c>
      <c r="G4366" s="7" t="s">
        <v>1561</v>
      </c>
      <c r="H4366" s="7" t="s">
        <v>1362</v>
      </c>
      <c r="I4366" s="7" t="s">
        <v>1253</v>
      </c>
      <c r="K4366" s="7" t="s">
        <v>631</v>
      </c>
      <c r="L4366" s="11">
        <v>28.69</v>
      </c>
      <c r="M4366" s="11">
        <v>57809.79</v>
      </c>
      <c r="N4366" s="9">
        <f t="shared" si="168"/>
        <v>28.69</v>
      </c>
    </row>
    <row r="4367" spans="1:14" ht="12.75" hidden="1" customHeight="1" x14ac:dyDescent="0.2">
      <c r="A4367">
        <v>65061</v>
      </c>
      <c r="B4367" s="3" t="s">
        <v>1253</v>
      </c>
      <c r="C4367" s="7" t="s">
        <v>327</v>
      </c>
      <c r="D4367" s="7" t="s">
        <v>200</v>
      </c>
      <c r="F4367" s="7" t="s">
        <v>722</v>
      </c>
      <c r="G4367" s="7" t="s">
        <v>1561</v>
      </c>
      <c r="H4367" s="7" t="s">
        <v>1362</v>
      </c>
      <c r="I4367" s="7" t="s">
        <v>1253</v>
      </c>
      <c r="K4367" s="7" t="s">
        <v>631</v>
      </c>
      <c r="L4367" s="11">
        <v>354.45</v>
      </c>
      <c r="M4367" s="11">
        <v>62904.28</v>
      </c>
      <c r="N4367" s="9">
        <f t="shared" si="168"/>
        <v>354.45</v>
      </c>
    </row>
    <row r="4368" spans="1:14" ht="12.75" hidden="1" customHeight="1" x14ac:dyDescent="0.2">
      <c r="A4368">
        <v>65061</v>
      </c>
      <c r="B4368" s="3" t="s">
        <v>1253</v>
      </c>
      <c r="C4368" s="7" t="s">
        <v>327</v>
      </c>
      <c r="D4368" s="7" t="s">
        <v>200</v>
      </c>
      <c r="F4368" s="7" t="s">
        <v>546</v>
      </c>
      <c r="G4368" s="7" t="s">
        <v>1561</v>
      </c>
      <c r="H4368" s="7" t="s">
        <v>1362</v>
      </c>
      <c r="I4368" s="7" t="s">
        <v>1253</v>
      </c>
      <c r="K4368" s="7" t="s">
        <v>631</v>
      </c>
      <c r="L4368" s="11">
        <v>127.16</v>
      </c>
      <c r="M4368" s="11">
        <v>63515.99</v>
      </c>
      <c r="N4368" s="9">
        <f t="shared" si="168"/>
        <v>127.16</v>
      </c>
    </row>
    <row r="4369" spans="1:14" ht="12.75" hidden="1" customHeight="1" x14ac:dyDescent="0.2">
      <c r="A4369">
        <v>65061</v>
      </c>
      <c r="B4369" s="3" t="s">
        <v>1253</v>
      </c>
      <c r="C4369" s="7" t="s">
        <v>327</v>
      </c>
      <c r="D4369" s="7" t="s">
        <v>200</v>
      </c>
      <c r="F4369" s="7" t="s">
        <v>265</v>
      </c>
      <c r="G4369" s="7" t="s">
        <v>1561</v>
      </c>
      <c r="H4369" s="7" t="s">
        <v>1362</v>
      </c>
      <c r="I4369" s="7" t="s">
        <v>1253</v>
      </c>
      <c r="K4369" s="7" t="s">
        <v>631</v>
      </c>
      <c r="L4369" s="11">
        <v>43.85</v>
      </c>
      <c r="M4369" s="11">
        <v>64456.26</v>
      </c>
      <c r="N4369" s="9">
        <f t="shared" si="168"/>
        <v>43.85</v>
      </c>
    </row>
    <row r="4370" spans="1:14" ht="12.75" hidden="1" customHeight="1" x14ac:dyDescent="0.2">
      <c r="A4370">
        <v>65061</v>
      </c>
      <c r="B4370" s="3" t="s">
        <v>1253</v>
      </c>
      <c r="C4370" s="7" t="s">
        <v>868</v>
      </c>
      <c r="D4370" s="7" t="s">
        <v>200</v>
      </c>
      <c r="F4370" s="7" t="s">
        <v>223</v>
      </c>
      <c r="G4370" s="7" t="s">
        <v>1561</v>
      </c>
      <c r="H4370" s="7" t="s">
        <v>1362</v>
      </c>
      <c r="I4370" s="7" t="s">
        <v>1253</v>
      </c>
      <c r="K4370" s="7" t="s">
        <v>631</v>
      </c>
      <c r="L4370" s="11">
        <v>13.88</v>
      </c>
      <c r="M4370" s="11">
        <v>64818.14</v>
      </c>
      <c r="N4370" s="9">
        <f t="shared" si="168"/>
        <v>13.88</v>
      </c>
    </row>
    <row r="4371" spans="1:14" ht="12.75" hidden="1" customHeight="1" x14ac:dyDescent="0.2">
      <c r="A4371">
        <v>65061</v>
      </c>
      <c r="B4371" s="3" t="s">
        <v>1253</v>
      </c>
      <c r="C4371" s="7" t="s">
        <v>868</v>
      </c>
      <c r="D4371" s="7" t="s">
        <v>242</v>
      </c>
      <c r="F4371" s="7" t="s">
        <v>870</v>
      </c>
      <c r="G4371" s="7" t="s">
        <v>1561</v>
      </c>
      <c r="H4371" s="7" t="s">
        <v>1362</v>
      </c>
      <c r="I4371" s="7" t="s">
        <v>1253</v>
      </c>
      <c r="K4371" s="7" t="s">
        <v>631</v>
      </c>
      <c r="L4371" s="11">
        <v>-52.56</v>
      </c>
      <c r="M4371" s="11">
        <v>64775.57</v>
      </c>
      <c r="N4371" s="9">
        <f t="shared" si="168"/>
        <v>-52.56</v>
      </c>
    </row>
    <row r="4372" spans="1:14" ht="12.75" hidden="1" customHeight="1" x14ac:dyDescent="0.2">
      <c r="A4372">
        <v>65061</v>
      </c>
      <c r="B4372" s="3" t="s">
        <v>1253</v>
      </c>
      <c r="C4372" s="7" t="s">
        <v>868</v>
      </c>
      <c r="D4372" s="7" t="s">
        <v>200</v>
      </c>
      <c r="F4372" s="7" t="s">
        <v>869</v>
      </c>
      <c r="G4372" s="7" t="s">
        <v>1561</v>
      </c>
      <c r="H4372" s="7" t="s">
        <v>1362</v>
      </c>
      <c r="I4372" s="7" t="s">
        <v>1253</v>
      </c>
      <c r="K4372" s="7" t="s">
        <v>631</v>
      </c>
      <c r="L4372" s="11">
        <v>117.43</v>
      </c>
      <c r="M4372" s="11">
        <v>64893</v>
      </c>
      <c r="N4372" s="9">
        <f t="shared" si="168"/>
        <v>117.43</v>
      </c>
    </row>
    <row r="4373" spans="1:14" ht="12.75" hidden="1" customHeight="1" x14ac:dyDescent="0.2">
      <c r="A4373">
        <v>65061</v>
      </c>
      <c r="B4373" s="3" t="s">
        <v>1253</v>
      </c>
      <c r="C4373" s="7" t="s">
        <v>323</v>
      </c>
      <c r="D4373" s="7" t="s">
        <v>200</v>
      </c>
      <c r="F4373" s="7" t="s">
        <v>867</v>
      </c>
      <c r="G4373" s="7" t="s">
        <v>1561</v>
      </c>
      <c r="H4373" s="7" t="s">
        <v>1362</v>
      </c>
      <c r="I4373" s="7" t="s">
        <v>1253</v>
      </c>
      <c r="K4373" s="7" t="s">
        <v>631</v>
      </c>
      <c r="L4373" s="11">
        <v>53.38</v>
      </c>
      <c r="M4373" s="11">
        <v>65166.99</v>
      </c>
      <c r="N4373" s="9">
        <f t="shared" si="168"/>
        <v>53.38</v>
      </c>
    </row>
    <row r="4374" spans="1:14" ht="12.75" hidden="1" customHeight="1" x14ac:dyDescent="0.2">
      <c r="A4374">
        <v>65061</v>
      </c>
      <c r="B4374" s="3" t="s">
        <v>1253</v>
      </c>
      <c r="C4374" s="7" t="s">
        <v>323</v>
      </c>
      <c r="D4374" s="7" t="s">
        <v>200</v>
      </c>
      <c r="F4374" s="7" t="s">
        <v>866</v>
      </c>
      <c r="G4374" s="7" t="s">
        <v>1561</v>
      </c>
      <c r="H4374" s="7" t="s">
        <v>1362</v>
      </c>
      <c r="I4374" s="7" t="s">
        <v>1253</v>
      </c>
      <c r="K4374" s="7" t="s">
        <v>631</v>
      </c>
      <c r="L4374" s="11">
        <v>125</v>
      </c>
      <c r="M4374" s="11">
        <v>65924.41</v>
      </c>
      <c r="N4374" s="9">
        <f t="shared" ref="N4374:N4403" si="169">IF(A4374&lt;60000,-L4374,+L4374)</f>
        <v>125</v>
      </c>
    </row>
    <row r="4375" spans="1:14" ht="12.75" hidden="1" customHeight="1" x14ac:dyDescent="0.2">
      <c r="A4375">
        <v>65061</v>
      </c>
      <c r="B4375" s="3" t="s">
        <v>1253</v>
      </c>
      <c r="C4375" s="7" t="s">
        <v>319</v>
      </c>
      <c r="D4375" s="7" t="s">
        <v>242</v>
      </c>
      <c r="F4375" s="7" t="s">
        <v>793</v>
      </c>
      <c r="G4375" s="7" t="s">
        <v>1561</v>
      </c>
      <c r="H4375" s="7" t="s">
        <v>1362</v>
      </c>
      <c r="I4375" s="7" t="s">
        <v>1253</v>
      </c>
      <c r="K4375" s="7" t="s">
        <v>631</v>
      </c>
      <c r="L4375" s="11">
        <v>-250.96</v>
      </c>
      <c r="M4375" s="11">
        <v>66968.06</v>
      </c>
      <c r="N4375" s="9">
        <f t="shared" si="169"/>
        <v>-250.96</v>
      </c>
    </row>
    <row r="4376" spans="1:14" ht="12.75" hidden="1" customHeight="1" x14ac:dyDescent="0.2">
      <c r="A4376">
        <v>65061</v>
      </c>
      <c r="B4376" s="3" t="s">
        <v>1253</v>
      </c>
      <c r="C4376" s="7" t="s">
        <v>319</v>
      </c>
      <c r="D4376" s="7" t="s">
        <v>200</v>
      </c>
      <c r="F4376" s="7" t="s">
        <v>546</v>
      </c>
      <c r="G4376" s="7" t="s">
        <v>1561</v>
      </c>
      <c r="H4376" s="7" t="s">
        <v>1362</v>
      </c>
      <c r="I4376" s="7" t="s">
        <v>1253</v>
      </c>
      <c r="K4376" s="7" t="s">
        <v>631</v>
      </c>
      <c r="L4376" s="11">
        <v>148.47</v>
      </c>
      <c r="M4376" s="11">
        <v>67161.94</v>
      </c>
      <c r="N4376" s="9">
        <f t="shared" si="169"/>
        <v>148.47</v>
      </c>
    </row>
    <row r="4377" spans="1:14" ht="12.75" hidden="1" customHeight="1" x14ac:dyDescent="0.2">
      <c r="A4377">
        <v>65061</v>
      </c>
      <c r="B4377" s="3" t="s">
        <v>1253</v>
      </c>
      <c r="C4377" s="7" t="s">
        <v>511</v>
      </c>
      <c r="D4377" s="7" t="s">
        <v>200</v>
      </c>
      <c r="E4377" s="7">
        <v>1019</v>
      </c>
      <c r="F4377" s="7" t="s">
        <v>859</v>
      </c>
      <c r="G4377" s="7" t="s">
        <v>1561</v>
      </c>
      <c r="H4377" s="7" t="s">
        <v>1362</v>
      </c>
      <c r="I4377" s="7" t="s">
        <v>1253</v>
      </c>
      <c r="K4377" s="7" t="s">
        <v>631</v>
      </c>
      <c r="L4377" s="11">
        <v>349.93</v>
      </c>
      <c r="M4377" s="11">
        <v>68951.41</v>
      </c>
      <c r="N4377" s="9">
        <f t="shared" si="169"/>
        <v>349.93</v>
      </c>
    </row>
    <row r="4378" spans="1:14" ht="12.75" hidden="1" customHeight="1" x14ac:dyDescent="0.2">
      <c r="A4378">
        <v>65061</v>
      </c>
      <c r="B4378" s="3" t="s">
        <v>1253</v>
      </c>
      <c r="C4378" s="7" t="s">
        <v>855</v>
      </c>
      <c r="D4378" s="7" t="s">
        <v>200</v>
      </c>
      <c r="E4378" s="7">
        <v>1023</v>
      </c>
      <c r="F4378" s="7" t="s">
        <v>857</v>
      </c>
      <c r="G4378" s="7" t="s">
        <v>1561</v>
      </c>
      <c r="H4378" s="7" t="s">
        <v>1362</v>
      </c>
      <c r="I4378" s="7" t="s">
        <v>1253</v>
      </c>
      <c r="K4378" s="7" t="s">
        <v>631</v>
      </c>
      <c r="L4378" s="11">
        <v>125</v>
      </c>
      <c r="M4378" s="11">
        <v>69762.27</v>
      </c>
      <c r="N4378" s="9">
        <f t="shared" si="169"/>
        <v>125</v>
      </c>
    </row>
    <row r="4379" spans="1:14" ht="12.75" hidden="1" customHeight="1" x14ac:dyDescent="0.2">
      <c r="A4379">
        <v>65061</v>
      </c>
      <c r="B4379" s="3" t="s">
        <v>1253</v>
      </c>
      <c r="C4379" s="7" t="s">
        <v>850</v>
      </c>
      <c r="D4379" s="7" t="s">
        <v>200</v>
      </c>
      <c r="F4379" s="7" t="s">
        <v>597</v>
      </c>
      <c r="G4379" s="7" t="s">
        <v>1561</v>
      </c>
      <c r="H4379" s="7" t="s">
        <v>1362</v>
      </c>
      <c r="I4379" s="7" t="s">
        <v>1253</v>
      </c>
      <c r="K4379" s="7" t="s">
        <v>631</v>
      </c>
      <c r="L4379" s="11">
        <v>97.36</v>
      </c>
      <c r="M4379" s="11">
        <v>73094.600000000006</v>
      </c>
      <c r="N4379" s="9">
        <f t="shared" si="169"/>
        <v>97.36</v>
      </c>
    </row>
    <row r="4380" spans="1:14" ht="12.75" hidden="1" customHeight="1" x14ac:dyDescent="0.2">
      <c r="A4380">
        <v>65061</v>
      </c>
      <c r="B4380" s="3" t="s">
        <v>1253</v>
      </c>
      <c r="C4380" s="7" t="s">
        <v>308</v>
      </c>
      <c r="D4380" s="7" t="s">
        <v>200</v>
      </c>
      <c r="E4380" s="7">
        <v>1020</v>
      </c>
      <c r="F4380" s="7" t="s">
        <v>841</v>
      </c>
      <c r="G4380" s="7" t="s">
        <v>1561</v>
      </c>
      <c r="H4380" s="7" t="s">
        <v>1362</v>
      </c>
      <c r="I4380" s="7" t="s">
        <v>1253</v>
      </c>
      <c r="K4380" s="7" t="s">
        <v>631</v>
      </c>
      <c r="L4380" s="11">
        <v>230.28</v>
      </c>
      <c r="M4380" s="11">
        <v>75308.399999999994</v>
      </c>
      <c r="N4380" s="9">
        <f t="shared" si="169"/>
        <v>230.28</v>
      </c>
    </row>
    <row r="4381" spans="1:14" ht="12.75" hidden="1" customHeight="1" x14ac:dyDescent="0.2">
      <c r="A4381">
        <v>65061</v>
      </c>
      <c r="B4381" s="3" t="s">
        <v>1253</v>
      </c>
      <c r="C4381" s="7" t="s">
        <v>306</v>
      </c>
      <c r="D4381" s="7" t="s">
        <v>200</v>
      </c>
      <c r="E4381" s="7">
        <v>1021</v>
      </c>
      <c r="F4381" s="7" t="s">
        <v>837</v>
      </c>
      <c r="G4381" s="7" t="s">
        <v>1561</v>
      </c>
      <c r="H4381" s="7" t="s">
        <v>1362</v>
      </c>
      <c r="I4381" s="7" t="s">
        <v>1253</v>
      </c>
      <c r="K4381" s="7" t="s">
        <v>631</v>
      </c>
      <c r="L4381" s="11">
        <v>276.5</v>
      </c>
      <c r="M4381" s="11">
        <v>77207.149999999994</v>
      </c>
      <c r="N4381" s="9">
        <f t="shared" si="169"/>
        <v>276.5</v>
      </c>
    </row>
    <row r="4382" spans="1:14" ht="12.75" hidden="1" customHeight="1" x14ac:dyDescent="0.2">
      <c r="A4382">
        <v>65061</v>
      </c>
      <c r="B4382" s="3" t="s">
        <v>1253</v>
      </c>
      <c r="C4382" s="7" t="s">
        <v>814</v>
      </c>
      <c r="D4382" s="7" t="s">
        <v>200</v>
      </c>
      <c r="F4382" s="7" t="s">
        <v>265</v>
      </c>
      <c r="G4382" s="7" t="s">
        <v>1561</v>
      </c>
      <c r="H4382" s="7" t="s">
        <v>1362</v>
      </c>
      <c r="I4382" s="7" t="s">
        <v>1253</v>
      </c>
      <c r="K4382" s="7" t="s">
        <v>631</v>
      </c>
      <c r="L4382" s="11">
        <v>35.979999999999997</v>
      </c>
      <c r="M4382" s="11">
        <v>84131.64</v>
      </c>
      <c r="N4382" s="9">
        <f t="shared" si="169"/>
        <v>35.979999999999997</v>
      </c>
    </row>
    <row r="4383" spans="1:14" ht="12.75" hidden="1" customHeight="1" x14ac:dyDescent="0.2">
      <c r="A4383">
        <v>65061</v>
      </c>
      <c r="B4383" s="3" t="s">
        <v>1253</v>
      </c>
      <c r="C4383" s="7" t="s">
        <v>814</v>
      </c>
      <c r="D4383" s="7" t="s">
        <v>200</v>
      </c>
      <c r="F4383" s="7" t="s">
        <v>265</v>
      </c>
      <c r="G4383" s="7" t="s">
        <v>1561</v>
      </c>
      <c r="H4383" s="7" t="s">
        <v>1362</v>
      </c>
      <c r="I4383" s="7" t="s">
        <v>1253</v>
      </c>
      <c r="K4383" s="7" t="s">
        <v>631</v>
      </c>
      <c r="L4383" s="11">
        <v>58.05</v>
      </c>
      <c r="M4383" s="11">
        <v>84967.53</v>
      </c>
      <c r="N4383" s="9">
        <f t="shared" si="169"/>
        <v>58.05</v>
      </c>
    </row>
    <row r="4384" spans="1:14" ht="12.75" hidden="1" customHeight="1" x14ac:dyDescent="0.2">
      <c r="A4384">
        <v>65061</v>
      </c>
      <c r="B4384" s="3" t="s">
        <v>1253</v>
      </c>
      <c r="C4384" s="7" t="s">
        <v>290</v>
      </c>
      <c r="D4384" s="7" t="s">
        <v>200</v>
      </c>
      <c r="F4384" s="7" t="s">
        <v>597</v>
      </c>
      <c r="G4384" s="7" t="s">
        <v>1561</v>
      </c>
      <c r="H4384" s="7" t="s">
        <v>1362</v>
      </c>
      <c r="I4384" s="7" t="s">
        <v>1253</v>
      </c>
      <c r="K4384" s="7" t="s">
        <v>631</v>
      </c>
      <c r="L4384" s="11">
        <v>136.82</v>
      </c>
      <c r="M4384" s="11">
        <v>89378.76</v>
      </c>
      <c r="N4384" s="9">
        <f t="shared" si="169"/>
        <v>136.82</v>
      </c>
    </row>
    <row r="4385" spans="1:14" ht="12.75" hidden="1" customHeight="1" x14ac:dyDescent="0.2">
      <c r="A4385">
        <v>65061</v>
      </c>
      <c r="B4385" s="3" t="s">
        <v>1253</v>
      </c>
      <c r="C4385" s="7" t="s">
        <v>287</v>
      </c>
      <c r="D4385" s="7" t="s">
        <v>200</v>
      </c>
      <c r="F4385" s="7" t="s">
        <v>355</v>
      </c>
      <c r="G4385" s="7" t="s">
        <v>1561</v>
      </c>
      <c r="H4385" s="7" t="s">
        <v>1362</v>
      </c>
      <c r="I4385" s="7" t="s">
        <v>1253</v>
      </c>
      <c r="K4385" s="7" t="s">
        <v>631</v>
      </c>
      <c r="L4385" s="11">
        <v>23.46</v>
      </c>
      <c r="M4385" s="11">
        <v>90323.61</v>
      </c>
      <c r="N4385" s="9">
        <f t="shared" si="169"/>
        <v>23.46</v>
      </c>
    </row>
    <row r="4386" spans="1:14" ht="12.75" hidden="1" customHeight="1" x14ac:dyDescent="0.2">
      <c r="A4386">
        <v>65061</v>
      </c>
      <c r="B4386" s="3" t="s">
        <v>1253</v>
      </c>
      <c r="C4386" s="7" t="s">
        <v>287</v>
      </c>
      <c r="D4386" s="7" t="s">
        <v>200</v>
      </c>
      <c r="F4386" s="7" t="s">
        <v>355</v>
      </c>
      <c r="G4386" s="7" t="s">
        <v>1561</v>
      </c>
      <c r="H4386" s="7" t="s">
        <v>1362</v>
      </c>
      <c r="I4386" s="7" t="s">
        <v>1253</v>
      </c>
      <c r="K4386" s="7" t="s">
        <v>631</v>
      </c>
      <c r="L4386" s="11">
        <v>115.18</v>
      </c>
      <c r="M4386" s="11">
        <v>90438.79</v>
      </c>
      <c r="N4386" s="9">
        <f t="shared" si="169"/>
        <v>115.18</v>
      </c>
    </row>
    <row r="4387" spans="1:14" ht="12.75" hidden="1" customHeight="1" x14ac:dyDescent="0.2">
      <c r="A4387">
        <v>65061</v>
      </c>
      <c r="B4387" s="3" t="s">
        <v>1253</v>
      </c>
      <c r="C4387" s="7" t="s">
        <v>284</v>
      </c>
      <c r="D4387" s="7" t="s">
        <v>200</v>
      </c>
      <c r="F4387" s="7" t="s">
        <v>241</v>
      </c>
      <c r="G4387" s="7" t="s">
        <v>1561</v>
      </c>
      <c r="H4387" s="7" t="s">
        <v>1362</v>
      </c>
      <c r="I4387" s="7" t="s">
        <v>1253</v>
      </c>
      <c r="K4387" s="7" t="s">
        <v>631</v>
      </c>
      <c r="L4387" s="11">
        <v>16</v>
      </c>
      <c r="M4387" s="11">
        <v>90647.25</v>
      </c>
      <c r="N4387" s="9">
        <f t="shared" si="169"/>
        <v>16</v>
      </c>
    </row>
    <row r="4388" spans="1:14" ht="12.75" hidden="1" customHeight="1" x14ac:dyDescent="0.2">
      <c r="A4388">
        <v>65061</v>
      </c>
      <c r="B4388" s="3" t="s">
        <v>1253</v>
      </c>
      <c r="C4388" s="7" t="s">
        <v>802</v>
      </c>
      <c r="D4388" s="7" t="s">
        <v>200</v>
      </c>
      <c r="F4388" s="7" t="s">
        <v>265</v>
      </c>
      <c r="G4388" s="7" t="s">
        <v>1561</v>
      </c>
      <c r="H4388" s="7" t="s">
        <v>1362</v>
      </c>
      <c r="I4388" s="7" t="s">
        <v>1253</v>
      </c>
      <c r="K4388" s="7" t="s">
        <v>631</v>
      </c>
      <c r="L4388" s="11">
        <v>17.2</v>
      </c>
      <c r="M4388" s="11">
        <v>90790.74</v>
      </c>
      <c r="N4388" s="9">
        <f t="shared" si="169"/>
        <v>17.2</v>
      </c>
    </row>
    <row r="4389" spans="1:14" ht="12.75" hidden="1" customHeight="1" x14ac:dyDescent="0.2">
      <c r="A4389">
        <v>65061</v>
      </c>
      <c r="B4389" s="3" t="s">
        <v>1253</v>
      </c>
      <c r="C4389" s="7" t="s">
        <v>417</v>
      </c>
      <c r="D4389" s="7" t="s">
        <v>200</v>
      </c>
      <c r="E4389" s="7">
        <v>1037</v>
      </c>
      <c r="F4389" s="7" t="s">
        <v>772</v>
      </c>
      <c r="G4389" s="7" t="s">
        <v>1561</v>
      </c>
      <c r="H4389" s="7" t="s">
        <v>1362</v>
      </c>
      <c r="I4389" s="7" t="s">
        <v>1253</v>
      </c>
      <c r="K4389" s="7" t="s">
        <v>631</v>
      </c>
      <c r="L4389" s="11">
        <v>2600</v>
      </c>
      <c r="M4389" s="11">
        <v>113247.85</v>
      </c>
      <c r="N4389" s="9">
        <f t="shared" si="169"/>
        <v>2600</v>
      </c>
    </row>
    <row r="4390" spans="1:14" ht="12.75" hidden="1" customHeight="1" x14ac:dyDescent="0.2">
      <c r="A4390">
        <v>65061</v>
      </c>
      <c r="B4390" s="3" t="s">
        <v>1253</v>
      </c>
      <c r="C4390" s="7" t="s">
        <v>222</v>
      </c>
      <c r="D4390" s="7" t="s">
        <v>221</v>
      </c>
      <c r="F4390" s="7" t="s">
        <v>679</v>
      </c>
      <c r="G4390" s="7" t="s">
        <v>1561</v>
      </c>
      <c r="H4390" s="7" t="s">
        <v>1362</v>
      </c>
      <c r="I4390" s="7" t="s">
        <v>1253</v>
      </c>
      <c r="K4390" s="7" t="s">
        <v>631</v>
      </c>
      <c r="L4390" s="11">
        <v>21.34</v>
      </c>
      <c r="M4390" s="11">
        <v>150569.68</v>
      </c>
      <c r="N4390" s="9">
        <f t="shared" si="169"/>
        <v>21.34</v>
      </c>
    </row>
    <row r="4391" spans="1:14" ht="12.75" hidden="1" customHeight="1" x14ac:dyDescent="0.2">
      <c r="A4391">
        <v>65061</v>
      </c>
      <c r="B4391" s="3" t="s">
        <v>1253</v>
      </c>
      <c r="C4391" s="7" t="s">
        <v>214</v>
      </c>
      <c r="D4391" s="7" t="s">
        <v>221</v>
      </c>
      <c r="F4391" s="7" t="s">
        <v>563</v>
      </c>
      <c r="G4391" s="7" t="s">
        <v>1561</v>
      </c>
      <c r="H4391" s="7" t="s">
        <v>1362</v>
      </c>
      <c r="I4391" s="7" t="s">
        <v>1253</v>
      </c>
      <c r="K4391" s="7" t="s">
        <v>631</v>
      </c>
      <c r="L4391" s="11">
        <v>14.95</v>
      </c>
      <c r="M4391" s="11">
        <v>170627.25</v>
      </c>
      <c r="N4391" s="9">
        <f t="shared" si="169"/>
        <v>14.95</v>
      </c>
    </row>
    <row r="4392" spans="1:14" ht="12.75" customHeight="1" x14ac:dyDescent="0.2">
      <c r="A4392">
        <v>43430</v>
      </c>
      <c r="B4392" s="3" t="s">
        <v>1231</v>
      </c>
      <c r="C4392" s="7" t="s">
        <v>448</v>
      </c>
      <c r="D4392" s="7" t="s">
        <v>242</v>
      </c>
      <c r="F4392" s="7" t="s">
        <v>446</v>
      </c>
      <c r="G4392" s="7" t="s">
        <v>1592</v>
      </c>
      <c r="H4392" s="7" t="s">
        <v>1359</v>
      </c>
      <c r="I4392" s="7" t="s">
        <v>1231</v>
      </c>
      <c r="K4392" s="7" t="s">
        <v>1045</v>
      </c>
      <c r="L4392" s="11">
        <v>0.25</v>
      </c>
      <c r="M4392" s="11">
        <v>1.1599999999999999</v>
      </c>
      <c r="N4392" s="9">
        <f t="shared" si="169"/>
        <v>-0.25</v>
      </c>
    </row>
    <row r="4393" spans="1:14" ht="12.75" customHeight="1" x14ac:dyDescent="0.2">
      <c r="A4393">
        <v>43430</v>
      </c>
      <c r="B4393" s="3" t="s">
        <v>1231</v>
      </c>
      <c r="C4393" s="7" t="s">
        <v>340</v>
      </c>
      <c r="D4393" s="7" t="s">
        <v>242</v>
      </c>
      <c r="F4393" s="7" t="s">
        <v>446</v>
      </c>
      <c r="G4393" s="7" t="s">
        <v>1592</v>
      </c>
      <c r="H4393" s="7" t="s">
        <v>1359</v>
      </c>
      <c r="I4393" s="7" t="s">
        <v>1231</v>
      </c>
      <c r="K4393" s="7" t="s">
        <v>1045</v>
      </c>
      <c r="L4393" s="11">
        <v>0.21</v>
      </c>
      <c r="M4393" s="11">
        <v>8.44</v>
      </c>
      <c r="N4393" s="9">
        <f t="shared" si="169"/>
        <v>-0.21</v>
      </c>
    </row>
    <row r="4394" spans="1:14" ht="12.75" customHeight="1" x14ac:dyDescent="0.2">
      <c r="A4394">
        <v>43430</v>
      </c>
      <c r="B4394" s="3" t="s">
        <v>1231</v>
      </c>
      <c r="C4394" s="7" t="s">
        <v>298</v>
      </c>
      <c r="D4394" s="7" t="s">
        <v>242</v>
      </c>
      <c r="F4394" s="7" t="s">
        <v>446</v>
      </c>
      <c r="G4394" s="7" t="s">
        <v>1592</v>
      </c>
      <c r="H4394" s="7" t="s">
        <v>1359</v>
      </c>
      <c r="I4394" s="7" t="s">
        <v>1231</v>
      </c>
      <c r="K4394" s="7" t="s">
        <v>1045</v>
      </c>
      <c r="L4394" s="11">
        <v>0.24</v>
      </c>
      <c r="M4394" s="11">
        <v>27.72</v>
      </c>
      <c r="N4394" s="9">
        <f t="shared" si="169"/>
        <v>-0.24</v>
      </c>
    </row>
    <row r="4395" spans="1:14" ht="12.75" customHeight="1" x14ac:dyDescent="0.2">
      <c r="A4395">
        <v>43430</v>
      </c>
      <c r="B4395" s="3" t="s">
        <v>1231</v>
      </c>
      <c r="C4395" s="7" t="s">
        <v>417</v>
      </c>
      <c r="D4395" s="7" t="s">
        <v>242</v>
      </c>
      <c r="F4395" s="7" t="s">
        <v>446</v>
      </c>
      <c r="G4395" s="7" t="s">
        <v>1592</v>
      </c>
      <c r="H4395" s="7" t="s">
        <v>1359</v>
      </c>
      <c r="I4395" s="7" t="s">
        <v>1231</v>
      </c>
      <c r="K4395" s="7" t="s">
        <v>1045</v>
      </c>
      <c r="L4395" s="11">
        <v>0.18</v>
      </c>
      <c r="M4395" s="11">
        <v>38.17</v>
      </c>
      <c r="N4395" s="9">
        <f t="shared" si="169"/>
        <v>-0.18</v>
      </c>
    </row>
    <row r="4396" spans="1:14" ht="12.75" customHeight="1" x14ac:dyDescent="0.2">
      <c r="A4396">
        <v>43430</v>
      </c>
      <c r="B4396" s="3" t="s">
        <v>1231</v>
      </c>
      <c r="C4396" s="7" t="s">
        <v>191</v>
      </c>
      <c r="D4396" s="7" t="s">
        <v>242</v>
      </c>
      <c r="F4396" s="7" t="s">
        <v>446</v>
      </c>
      <c r="G4396" s="7" t="s">
        <v>1592</v>
      </c>
      <c r="H4396" s="7" t="s">
        <v>1359</v>
      </c>
      <c r="I4396" s="7" t="s">
        <v>1231</v>
      </c>
      <c r="K4396" s="7" t="s">
        <v>1045</v>
      </c>
      <c r="L4396" s="11">
        <v>0.24</v>
      </c>
      <c r="M4396" s="11">
        <v>49.47</v>
      </c>
      <c r="N4396" s="9">
        <f t="shared" si="169"/>
        <v>-0.24</v>
      </c>
    </row>
    <row r="4397" spans="1:14" ht="12.75" customHeight="1" x14ac:dyDescent="0.2">
      <c r="A4397">
        <v>43430</v>
      </c>
      <c r="B4397" s="3" t="s">
        <v>1231</v>
      </c>
      <c r="C4397" s="7" t="s">
        <v>204</v>
      </c>
      <c r="D4397" s="7" t="s">
        <v>242</v>
      </c>
      <c r="F4397" s="7" t="s">
        <v>446</v>
      </c>
      <c r="G4397" s="7" t="s">
        <v>1592</v>
      </c>
      <c r="H4397" s="7" t="s">
        <v>1359</v>
      </c>
      <c r="I4397" s="7" t="s">
        <v>1231</v>
      </c>
      <c r="K4397" s="7" t="s">
        <v>1045</v>
      </c>
      <c r="L4397" s="11">
        <v>0.31</v>
      </c>
      <c r="M4397" s="11">
        <v>53.48</v>
      </c>
      <c r="N4397" s="9">
        <f t="shared" si="169"/>
        <v>-0.31</v>
      </c>
    </row>
    <row r="4398" spans="1:14" ht="12.75" customHeight="1" x14ac:dyDescent="0.2">
      <c r="A4398">
        <v>43430</v>
      </c>
      <c r="B4398" s="3" t="s">
        <v>1231</v>
      </c>
      <c r="C4398" s="7" t="s">
        <v>448</v>
      </c>
      <c r="D4398" s="7" t="s">
        <v>183</v>
      </c>
      <c r="E4398" s="7">
        <v>409</v>
      </c>
      <c r="G4398" s="7" t="s">
        <v>1039</v>
      </c>
      <c r="H4398" s="7" t="s">
        <v>1359</v>
      </c>
      <c r="I4398" s="7" t="s">
        <v>1231</v>
      </c>
      <c r="K4398" s="7" t="s">
        <v>180</v>
      </c>
      <c r="L4398" s="11">
        <v>2.12</v>
      </c>
      <c r="M4398" s="11">
        <v>7.89</v>
      </c>
      <c r="N4398" s="9">
        <f t="shared" si="169"/>
        <v>-2.12</v>
      </c>
    </row>
    <row r="4399" spans="1:14" ht="12.75" customHeight="1" x14ac:dyDescent="0.2">
      <c r="A4399">
        <v>43430</v>
      </c>
      <c r="B4399" s="3" t="s">
        <v>1231</v>
      </c>
      <c r="C4399" s="7" t="s">
        <v>340</v>
      </c>
      <c r="D4399" s="7" t="s">
        <v>242</v>
      </c>
      <c r="F4399" s="7" t="s">
        <v>336</v>
      </c>
      <c r="G4399" s="7" t="s">
        <v>1039</v>
      </c>
      <c r="H4399" s="7" t="s">
        <v>1359</v>
      </c>
      <c r="I4399" s="7" t="s">
        <v>1231</v>
      </c>
      <c r="K4399" s="7" t="s">
        <v>1038</v>
      </c>
      <c r="L4399" s="11">
        <v>2.56</v>
      </c>
      <c r="M4399" s="11">
        <v>13.84</v>
      </c>
      <c r="N4399" s="9">
        <f t="shared" si="169"/>
        <v>-2.56</v>
      </c>
    </row>
    <row r="4400" spans="1:14" ht="12.75" customHeight="1" x14ac:dyDescent="0.2">
      <c r="A4400">
        <v>43430</v>
      </c>
      <c r="B4400" s="3" t="s">
        <v>1231</v>
      </c>
      <c r="C4400" s="7" t="s">
        <v>298</v>
      </c>
      <c r="D4400" s="7" t="s">
        <v>242</v>
      </c>
      <c r="F4400" s="7" t="s">
        <v>336</v>
      </c>
      <c r="G4400" s="7" t="s">
        <v>1039</v>
      </c>
      <c r="H4400" s="7" t="s">
        <v>1359</v>
      </c>
      <c r="I4400" s="7" t="s">
        <v>1231</v>
      </c>
      <c r="K4400" s="7" t="s">
        <v>1038</v>
      </c>
      <c r="L4400" s="11">
        <v>2.85</v>
      </c>
      <c r="M4400" s="11">
        <v>24.59</v>
      </c>
      <c r="N4400" s="9">
        <f t="shared" si="169"/>
        <v>-2.85</v>
      </c>
    </row>
    <row r="4401" spans="1:14" ht="12.75" customHeight="1" x14ac:dyDescent="0.2">
      <c r="A4401">
        <v>43430</v>
      </c>
      <c r="B4401" s="3" t="s">
        <v>1231</v>
      </c>
      <c r="C4401" s="7" t="s">
        <v>417</v>
      </c>
      <c r="D4401" s="7" t="s">
        <v>242</v>
      </c>
      <c r="F4401" s="7" t="s">
        <v>336</v>
      </c>
      <c r="G4401" s="7" t="s">
        <v>1039</v>
      </c>
      <c r="H4401" s="7" t="s">
        <v>1359</v>
      </c>
      <c r="I4401" s="7" t="s">
        <v>1231</v>
      </c>
      <c r="K4401" s="7" t="s">
        <v>1038</v>
      </c>
      <c r="L4401" s="11">
        <v>2.72</v>
      </c>
      <c r="M4401" s="11">
        <v>37.03</v>
      </c>
      <c r="N4401" s="9">
        <f t="shared" si="169"/>
        <v>-2.72</v>
      </c>
    </row>
    <row r="4402" spans="1:14" ht="12.75" customHeight="1" x14ac:dyDescent="0.2">
      <c r="A4402">
        <v>43430</v>
      </c>
      <c r="B4402" s="3" t="s">
        <v>1231</v>
      </c>
      <c r="C4402" s="7" t="s">
        <v>191</v>
      </c>
      <c r="D4402" s="7" t="s">
        <v>242</v>
      </c>
      <c r="F4402" s="7" t="s">
        <v>336</v>
      </c>
      <c r="G4402" s="7" t="s">
        <v>1039</v>
      </c>
      <c r="H4402" s="7" t="s">
        <v>1359</v>
      </c>
      <c r="I4402" s="7" t="s">
        <v>1231</v>
      </c>
      <c r="K4402" s="7" t="s">
        <v>1038</v>
      </c>
      <c r="L4402" s="11">
        <v>2.78</v>
      </c>
      <c r="M4402" s="11">
        <v>49.23</v>
      </c>
      <c r="N4402" s="9">
        <f t="shared" si="169"/>
        <v>-2.78</v>
      </c>
    </row>
    <row r="4403" spans="1:14" ht="12.75" customHeight="1" x14ac:dyDescent="0.2">
      <c r="A4403">
        <v>43430</v>
      </c>
      <c r="B4403" s="3" t="s">
        <v>1231</v>
      </c>
      <c r="C4403" s="7" t="s">
        <v>204</v>
      </c>
      <c r="D4403" s="7" t="s">
        <v>242</v>
      </c>
      <c r="F4403" s="7" t="s">
        <v>336</v>
      </c>
      <c r="G4403" s="7" t="s">
        <v>1039</v>
      </c>
      <c r="H4403" s="7" t="s">
        <v>1359</v>
      </c>
      <c r="I4403" s="7" t="s">
        <v>1231</v>
      </c>
      <c r="K4403" s="7" t="s">
        <v>1038</v>
      </c>
      <c r="L4403" s="11">
        <v>2.7</v>
      </c>
      <c r="M4403" s="11">
        <v>61.29</v>
      </c>
      <c r="N4403" s="9">
        <f t="shared" si="169"/>
        <v>-2.7</v>
      </c>
    </row>
    <row r="4404" spans="1:14" ht="12.75" customHeight="1" x14ac:dyDescent="0.2">
      <c r="A4404">
        <v>46430</v>
      </c>
      <c r="B4404" s="3" t="s">
        <v>1231</v>
      </c>
      <c r="C4404" s="7" t="s">
        <v>1578</v>
      </c>
      <c r="D4404" s="7" t="s">
        <v>242</v>
      </c>
      <c r="F4404" s="7" t="s">
        <v>336</v>
      </c>
      <c r="G4404" s="7" t="s">
        <v>1039</v>
      </c>
      <c r="H4404" s="7" t="s">
        <v>1359</v>
      </c>
      <c r="I4404" s="7" t="s">
        <v>1231</v>
      </c>
      <c r="K4404" s="39" t="s">
        <v>1038</v>
      </c>
      <c r="L4404" s="40">
        <v>2.67</v>
      </c>
      <c r="M4404" s="40">
        <v>66.069999999999993</v>
      </c>
      <c r="N4404" s="41">
        <f>-L4404</f>
        <v>-2.67</v>
      </c>
    </row>
    <row r="4405" spans="1:14" ht="12.75" customHeight="1" x14ac:dyDescent="0.2">
      <c r="A4405">
        <v>46430</v>
      </c>
      <c r="B4405" s="3" t="s">
        <v>1231</v>
      </c>
      <c r="C4405" s="7" t="s">
        <v>1596</v>
      </c>
      <c r="D4405" s="7" t="s">
        <v>242</v>
      </c>
      <c r="F4405" s="7" t="s">
        <v>336</v>
      </c>
      <c r="G4405" s="7" t="s">
        <v>1039</v>
      </c>
      <c r="H4405" s="7" t="s">
        <v>1359</v>
      </c>
      <c r="I4405" s="7" t="s">
        <v>1231</v>
      </c>
      <c r="K4405" s="39" t="s">
        <v>1038</v>
      </c>
      <c r="L4405" s="40">
        <v>3.86</v>
      </c>
      <c r="M4405" s="40">
        <v>77.61</v>
      </c>
      <c r="N4405" s="41">
        <f>-L4405</f>
        <v>-3.86</v>
      </c>
    </row>
    <row r="4406" spans="1:14" ht="12.75" hidden="1" customHeight="1" x14ac:dyDescent="0.2">
      <c r="A4406">
        <v>65025</v>
      </c>
      <c r="B4406" s="3" t="s">
        <v>1246</v>
      </c>
      <c r="C4406" s="7" t="s">
        <v>340</v>
      </c>
      <c r="D4406" s="7" t="s">
        <v>200</v>
      </c>
      <c r="E4406" s="7" t="s">
        <v>447</v>
      </c>
      <c r="F4406" s="7" t="s">
        <v>336</v>
      </c>
      <c r="G4406" s="7" t="s">
        <v>1039</v>
      </c>
      <c r="H4406" s="7" t="s">
        <v>1362</v>
      </c>
      <c r="I4406" s="7" t="s">
        <v>1246</v>
      </c>
      <c r="K4406" s="7" t="s">
        <v>1038</v>
      </c>
      <c r="L4406" s="11">
        <v>0.72</v>
      </c>
      <c r="M4406" s="11">
        <v>415.92</v>
      </c>
      <c r="N4406" s="9">
        <f>IF(A4406&lt;60000,-L4406,+L4406)</f>
        <v>0.72</v>
      </c>
    </row>
    <row r="4407" spans="1:14" ht="12.75" hidden="1" customHeight="1" x14ac:dyDescent="0.2">
      <c r="A4407">
        <v>65025</v>
      </c>
      <c r="B4407" s="3" t="s">
        <v>1246</v>
      </c>
      <c r="C4407" s="7" t="s">
        <v>340</v>
      </c>
      <c r="D4407" s="7" t="s">
        <v>200</v>
      </c>
      <c r="E4407" s="7" t="s">
        <v>447</v>
      </c>
      <c r="F4407" s="7" t="s">
        <v>1043</v>
      </c>
      <c r="G4407" s="7" t="s">
        <v>1039</v>
      </c>
      <c r="H4407" s="7" t="s">
        <v>1362</v>
      </c>
      <c r="I4407" s="7" t="s">
        <v>1246</v>
      </c>
      <c r="K4407" s="7" t="s">
        <v>1038</v>
      </c>
      <c r="L4407" s="11">
        <v>0.8</v>
      </c>
      <c r="M4407" s="11">
        <v>416.72</v>
      </c>
      <c r="N4407" s="9">
        <f>IF(A4407&lt;60000,-L4407,+L4407)</f>
        <v>0.8</v>
      </c>
    </row>
    <row r="4408" spans="1:14" ht="12.75" hidden="1" customHeight="1" x14ac:dyDescent="0.2">
      <c r="A4408">
        <v>65025</v>
      </c>
      <c r="B4408" s="3" t="s">
        <v>1246</v>
      </c>
      <c r="C4408" s="7" t="s">
        <v>417</v>
      </c>
      <c r="D4408" s="7" t="s">
        <v>200</v>
      </c>
      <c r="E4408" s="7">
        <v>1</v>
      </c>
      <c r="F4408" s="7" t="s">
        <v>1043</v>
      </c>
      <c r="G4408" s="7" t="s">
        <v>1039</v>
      </c>
      <c r="H4408" s="7" t="s">
        <v>1362</v>
      </c>
      <c r="I4408" s="7" t="s">
        <v>1246</v>
      </c>
      <c r="K4408" s="7" t="s">
        <v>1038</v>
      </c>
      <c r="L4408" s="11">
        <v>0.76</v>
      </c>
      <c r="M4408" s="11">
        <v>860.33</v>
      </c>
      <c r="N4408" s="9">
        <f>IF(A4408&lt;60000,-L4408,+L4408)</f>
        <v>0.76</v>
      </c>
    </row>
    <row r="4409" spans="1:14" ht="12.75" hidden="1" customHeight="1" x14ac:dyDescent="0.2">
      <c r="A4409">
        <v>65025</v>
      </c>
      <c r="B4409" s="3" t="s">
        <v>1246</v>
      </c>
      <c r="C4409" s="7" t="s">
        <v>191</v>
      </c>
      <c r="D4409" s="7" t="s">
        <v>200</v>
      </c>
      <c r="E4409" s="7">
        <v>2</v>
      </c>
      <c r="F4409" s="7" t="s">
        <v>336</v>
      </c>
      <c r="G4409" s="7" t="s">
        <v>1039</v>
      </c>
      <c r="H4409" s="7" t="s">
        <v>1362</v>
      </c>
      <c r="I4409" s="7" t="s">
        <v>1246</v>
      </c>
      <c r="K4409" s="7" t="s">
        <v>1038</v>
      </c>
      <c r="L4409" s="11">
        <v>0.78</v>
      </c>
      <c r="M4409" s="11">
        <v>1322.01</v>
      </c>
      <c r="N4409" s="9">
        <f>IF(A4409&lt;60000,-L4409,+L4409)</f>
        <v>0.78</v>
      </c>
    </row>
    <row r="4410" spans="1:14" ht="12.75" hidden="1" customHeight="1" x14ac:dyDescent="0.2">
      <c r="A4410">
        <v>65025</v>
      </c>
      <c r="B4410" s="3" t="s">
        <v>1246</v>
      </c>
      <c r="C4410" s="7" t="s">
        <v>204</v>
      </c>
      <c r="D4410" s="7" t="s">
        <v>200</v>
      </c>
      <c r="E4410" s="7">
        <v>3</v>
      </c>
      <c r="F4410" s="7" t="s">
        <v>336</v>
      </c>
      <c r="G4410" s="7" t="s">
        <v>1039</v>
      </c>
      <c r="H4410" s="7" t="s">
        <v>1362</v>
      </c>
      <c r="I4410" s="7" t="s">
        <v>1246</v>
      </c>
      <c r="K4410" s="7" t="s">
        <v>1038</v>
      </c>
      <c r="L4410" s="11">
        <v>0.76</v>
      </c>
      <c r="M4410" s="11">
        <v>1604.67</v>
      </c>
      <c r="N4410" s="9">
        <f>IF(A4410&lt;60000,-L4410,+L4410)</f>
        <v>0.76</v>
      </c>
    </row>
    <row r="4411" spans="1:14" ht="12.75" hidden="1" customHeight="1" x14ac:dyDescent="0.2">
      <c r="A4411">
        <v>65025</v>
      </c>
      <c r="B4411" s="3" t="s">
        <v>1246</v>
      </c>
      <c r="C4411" s="7" t="s">
        <v>1578</v>
      </c>
      <c r="D4411" s="7" t="s">
        <v>200</v>
      </c>
      <c r="E4411" s="7">
        <v>4</v>
      </c>
      <c r="F4411" s="7" t="s">
        <v>336</v>
      </c>
      <c r="G4411" s="7" t="s">
        <v>1039</v>
      </c>
      <c r="H4411" s="7" t="s">
        <v>1362</v>
      </c>
      <c r="I4411" s="7" t="s">
        <v>1246</v>
      </c>
      <c r="K4411" s="39" t="s">
        <v>1038</v>
      </c>
      <c r="L4411" s="40">
        <v>0.75</v>
      </c>
      <c r="M4411" s="40">
        <v>1859.22</v>
      </c>
      <c r="N4411" s="40">
        <f>+L4411</f>
        <v>0.75</v>
      </c>
    </row>
    <row r="4412" spans="1:14" ht="12.75" hidden="1" customHeight="1" x14ac:dyDescent="0.2">
      <c r="A4412">
        <v>65025</v>
      </c>
      <c r="B4412" s="3" t="s">
        <v>1246</v>
      </c>
      <c r="C4412" s="7" t="s">
        <v>1596</v>
      </c>
      <c r="D4412" s="7" t="s">
        <v>200</v>
      </c>
      <c r="E4412" s="7" t="s">
        <v>447</v>
      </c>
      <c r="F4412" s="7" t="s">
        <v>336</v>
      </c>
      <c r="G4412" s="7" t="s">
        <v>1039</v>
      </c>
      <c r="H4412" s="7" t="s">
        <v>1362</v>
      </c>
      <c r="I4412" s="7" t="s">
        <v>1246</v>
      </c>
      <c r="K4412" s="39" t="s">
        <v>1038</v>
      </c>
      <c r="L4412" s="40">
        <v>1.08</v>
      </c>
      <c r="M4412" s="40">
        <v>2136.1999999999998</v>
      </c>
      <c r="N4412" s="40">
        <f>+L4412</f>
        <v>1.08</v>
      </c>
    </row>
    <row r="4413" spans="1:14" ht="12.75" customHeight="1" x14ac:dyDescent="0.2">
      <c r="A4413">
        <v>46430</v>
      </c>
      <c r="B4413" s="3" t="s">
        <v>1231</v>
      </c>
      <c r="C4413" s="7" t="s">
        <v>1663</v>
      </c>
      <c r="D4413" s="7" t="s">
        <v>242</v>
      </c>
      <c r="F4413" s="7" t="s">
        <v>336</v>
      </c>
      <c r="G4413" s="7" t="s">
        <v>1039</v>
      </c>
      <c r="H4413" s="7" t="s">
        <v>1359</v>
      </c>
      <c r="I4413" s="7" t="s">
        <v>1231</v>
      </c>
      <c r="K4413" s="39" t="s">
        <v>1038</v>
      </c>
      <c r="L4413" s="40">
        <v>4.45</v>
      </c>
      <c r="M4413" s="40">
        <v>87.44</v>
      </c>
      <c r="N4413" s="41">
        <f>-L4413</f>
        <v>-4.45</v>
      </c>
    </row>
    <row r="4414" spans="1:14" ht="12.75" hidden="1" customHeight="1" x14ac:dyDescent="0.2">
      <c r="A4414">
        <v>65015</v>
      </c>
      <c r="B4414" s="3" t="s">
        <v>1244</v>
      </c>
      <c r="C4414" s="7" t="s">
        <v>1786</v>
      </c>
      <c r="D4414" s="7" t="s">
        <v>221</v>
      </c>
      <c r="F4414" s="7" t="s">
        <v>1787</v>
      </c>
      <c r="G4414" s="7" t="s">
        <v>1630</v>
      </c>
      <c r="H4414" s="43" t="s">
        <v>1362</v>
      </c>
      <c r="I4414" s="7" t="s">
        <v>1244</v>
      </c>
      <c r="K4414" s="39" t="s">
        <v>601</v>
      </c>
      <c r="L4414" s="40">
        <v>445.2</v>
      </c>
      <c r="M4414" s="40">
        <v>6839.16</v>
      </c>
      <c r="N4414" s="40">
        <f t="shared" ref="N4414:N4457" si="170">+L4414</f>
        <v>445.2</v>
      </c>
    </row>
    <row r="4415" spans="1:14" ht="12.75" hidden="1" customHeight="1" x14ac:dyDescent="0.2">
      <c r="A4415">
        <v>65015</v>
      </c>
      <c r="B4415" s="3" t="s">
        <v>1244</v>
      </c>
      <c r="C4415" s="7" t="s">
        <v>1786</v>
      </c>
      <c r="D4415" s="7" t="s">
        <v>221</v>
      </c>
      <c r="F4415" s="7" t="s">
        <v>1787</v>
      </c>
      <c r="G4415" s="7" t="s">
        <v>1630</v>
      </c>
      <c r="H4415" s="43" t="s">
        <v>1362</v>
      </c>
      <c r="I4415" s="7" t="s">
        <v>1244</v>
      </c>
      <c r="K4415" s="39" t="s">
        <v>601</v>
      </c>
      <c r="L4415" s="40">
        <v>49</v>
      </c>
      <c r="M4415" s="40">
        <v>6888.16</v>
      </c>
      <c r="N4415" s="40">
        <f t="shared" si="170"/>
        <v>49</v>
      </c>
    </row>
    <row r="4416" spans="1:14" ht="12.75" hidden="1" customHeight="1" x14ac:dyDescent="0.2">
      <c r="A4416">
        <v>65015</v>
      </c>
      <c r="B4416" s="3" t="s">
        <v>1244</v>
      </c>
      <c r="C4416" s="7" t="s">
        <v>1786</v>
      </c>
      <c r="D4416" s="7" t="s">
        <v>221</v>
      </c>
      <c r="F4416" s="7" t="s">
        <v>1787</v>
      </c>
      <c r="G4416" s="7" t="s">
        <v>1630</v>
      </c>
      <c r="H4416" s="43" t="s">
        <v>1362</v>
      </c>
      <c r="I4416" s="7" t="s">
        <v>1244</v>
      </c>
      <c r="K4416" s="39" t="s">
        <v>601</v>
      </c>
      <c r="L4416" s="40">
        <v>52</v>
      </c>
      <c r="M4416" s="40">
        <v>6940.16</v>
      </c>
      <c r="N4416" s="40">
        <f t="shared" si="170"/>
        <v>52</v>
      </c>
    </row>
    <row r="4417" spans="1:14" ht="12.75" hidden="1" customHeight="1" x14ac:dyDescent="0.2">
      <c r="A4417">
        <v>65036</v>
      </c>
      <c r="B4417" s="3" t="s">
        <v>1249</v>
      </c>
      <c r="C4417" s="7" t="s">
        <v>1760</v>
      </c>
      <c r="D4417" s="7" t="s">
        <v>221</v>
      </c>
      <c r="F4417" s="7" t="s">
        <v>1833</v>
      </c>
      <c r="G4417" s="7" t="s">
        <v>1630</v>
      </c>
      <c r="H4417" s="7" t="s">
        <v>1362</v>
      </c>
      <c r="I4417" s="7" t="s">
        <v>1249</v>
      </c>
      <c r="K4417" s="39" t="s">
        <v>601</v>
      </c>
      <c r="L4417" s="40">
        <v>47.32</v>
      </c>
      <c r="M4417" s="40">
        <v>6940.86</v>
      </c>
      <c r="N4417" s="40">
        <f t="shared" si="170"/>
        <v>47.32</v>
      </c>
    </row>
    <row r="4418" spans="1:14" ht="12.75" hidden="1" customHeight="1" x14ac:dyDescent="0.2">
      <c r="A4418">
        <v>65061</v>
      </c>
      <c r="B4418" s="3" t="s">
        <v>1844</v>
      </c>
      <c r="C4418" s="7" t="s">
        <v>1556</v>
      </c>
      <c r="D4418" s="7" t="s">
        <v>221</v>
      </c>
      <c r="F4418" s="7" t="s">
        <v>1846</v>
      </c>
      <c r="G4418" s="7" t="s">
        <v>1630</v>
      </c>
      <c r="H4418" s="7" t="s">
        <v>1362</v>
      </c>
      <c r="I4418" s="7" t="s">
        <v>1253</v>
      </c>
      <c r="K4418" s="39" t="s">
        <v>601</v>
      </c>
      <c r="L4418" s="40">
        <v>41.98</v>
      </c>
      <c r="M4418" s="40">
        <v>198807.58</v>
      </c>
      <c r="N4418" s="40">
        <f t="shared" si="170"/>
        <v>41.98</v>
      </c>
    </row>
    <row r="4419" spans="1:14" ht="12.75" hidden="1" customHeight="1" x14ac:dyDescent="0.2">
      <c r="A4419">
        <v>65061</v>
      </c>
      <c r="B4419" s="3" t="s">
        <v>1844</v>
      </c>
      <c r="C4419" s="7" t="s">
        <v>1585</v>
      </c>
      <c r="D4419" s="7" t="s">
        <v>221</v>
      </c>
      <c r="F4419" s="7" t="s">
        <v>1892</v>
      </c>
      <c r="G4419" s="7" t="s">
        <v>1630</v>
      </c>
      <c r="H4419" s="7" t="s">
        <v>1362</v>
      </c>
      <c r="I4419" s="7" t="s">
        <v>1253</v>
      </c>
      <c r="K4419" s="39" t="s">
        <v>601</v>
      </c>
      <c r="L4419" s="40">
        <v>29</v>
      </c>
      <c r="M4419" s="40">
        <v>236790.96</v>
      </c>
      <c r="N4419" s="40">
        <f t="shared" si="170"/>
        <v>29</v>
      </c>
    </row>
    <row r="4420" spans="1:14" ht="12.75" hidden="1" customHeight="1" x14ac:dyDescent="0.2">
      <c r="A4420">
        <v>65061</v>
      </c>
      <c r="B4420" s="3" t="s">
        <v>1844</v>
      </c>
      <c r="C4420" s="7" t="s">
        <v>1905</v>
      </c>
      <c r="D4420" s="7" t="s">
        <v>221</v>
      </c>
      <c r="F4420" s="7" t="s">
        <v>1906</v>
      </c>
      <c r="G4420" s="7" t="s">
        <v>1630</v>
      </c>
      <c r="H4420" s="7" t="s">
        <v>1362</v>
      </c>
      <c r="I4420" s="7" t="s">
        <v>1253</v>
      </c>
      <c r="K4420" s="39" t="s">
        <v>601</v>
      </c>
      <c r="L4420" s="40">
        <v>176.2</v>
      </c>
      <c r="M4420" s="40">
        <v>242213.96</v>
      </c>
      <c r="N4420" s="40">
        <f t="shared" si="170"/>
        <v>176.2</v>
      </c>
    </row>
    <row r="4421" spans="1:14" ht="12.75" hidden="1" customHeight="1" x14ac:dyDescent="0.2">
      <c r="A4421">
        <v>65061</v>
      </c>
      <c r="B4421" s="3" t="s">
        <v>1844</v>
      </c>
      <c r="C4421" s="7" t="s">
        <v>1804</v>
      </c>
      <c r="D4421" s="7" t="s">
        <v>200</v>
      </c>
      <c r="E4421" s="7">
        <v>513</v>
      </c>
      <c r="F4421" s="7" t="s">
        <v>663</v>
      </c>
      <c r="G4421" s="7" t="s">
        <v>1630</v>
      </c>
      <c r="H4421" s="7" t="s">
        <v>1362</v>
      </c>
      <c r="I4421" s="7" t="s">
        <v>1253</v>
      </c>
      <c r="K4421" s="39" t="s">
        <v>601</v>
      </c>
      <c r="L4421" s="40">
        <v>175</v>
      </c>
      <c r="M4421" s="40">
        <v>246068.84</v>
      </c>
      <c r="N4421" s="40">
        <f t="shared" si="170"/>
        <v>175</v>
      </c>
    </row>
    <row r="4422" spans="1:14" ht="12.75" hidden="1" customHeight="1" x14ac:dyDescent="0.2">
      <c r="A4422">
        <v>65061</v>
      </c>
      <c r="B4422" s="3" t="s">
        <v>1844</v>
      </c>
      <c r="C4422" s="7" t="s">
        <v>1804</v>
      </c>
      <c r="D4422" s="7" t="s">
        <v>200</v>
      </c>
      <c r="E4422" s="7">
        <v>514</v>
      </c>
      <c r="F4422" s="7" t="s">
        <v>663</v>
      </c>
      <c r="G4422" s="7" t="s">
        <v>1630</v>
      </c>
      <c r="H4422" s="7" t="s">
        <v>1362</v>
      </c>
      <c r="I4422" s="7" t="s">
        <v>1253</v>
      </c>
      <c r="K4422" s="39" t="s">
        <v>601</v>
      </c>
      <c r="L4422" s="40">
        <v>350</v>
      </c>
      <c r="M4422" s="40">
        <v>247215.2</v>
      </c>
      <c r="N4422" s="40">
        <f t="shared" si="170"/>
        <v>350</v>
      </c>
    </row>
    <row r="4423" spans="1:14" ht="12.75" hidden="1" customHeight="1" x14ac:dyDescent="0.2">
      <c r="A4423">
        <v>65061</v>
      </c>
      <c r="B4423" s="3" t="s">
        <v>1844</v>
      </c>
      <c r="C4423" s="7" t="s">
        <v>1804</v>
      </c>
      <c r="D4423" s="7" t="s">
        <v>221</v>
      </c>
      <c r="F4423" s="7" t="s">
        <v>1926</v>
      </c>
      <c r="G4423" s="7" t="s">
        <v>1630</v>
      </c>
      <c r="H4423" s="7" t="s">
        <v>1362</v>
      </c>
      <c r="I4423" s="7" t="s">
        <v>1253</v>
      </c>
      <c r="K4423" s="39" t="s">
        <v>601</v>
      </c>
      <c r="L4423" s="40">
        <v>59.9</v>
      </c>
      <c r="M4423" s="40">
        <v>248880.4</v>
      </c>
      <c r="N4423" s="40">
        <f t="shared" si="170"/>
        <v>59.9</v>
      </c>
    </row>
    <row r="4424" spans="1:14" ht="12.75" hidden="1" customHeight="1" x14ac:dyDescent="0.2">
      <c r="A4424">
        <v>65061</v>
      </c>
      <c r="B4424" s="3" t="s">
        <v>1844</v>
      </c>
      <c r="C4424" s="7" t="s">
        <v>1695</v>
      </c>
      <c r="D4424" s="7" t="s">
        <v>221</v>
      </c>
      <c r="F4424" s="7" t="s">
        <v>563</v>
      </c>
      <c r="G4424" s="7" t="s">
        <v>1630</v>
      </c>
      <c r="H4424" s="7" t="s">
        <v>1362</v>
      </c>
      <c r="I4424" s="7" t="s">
        <v>1253</v>
      </c>
      <c r="K4424" s="39" t="s">
        <v>601</v>
      </c>
      <c r="L4424" s="40">
        <v>334.98</v>
      </c>
      <c r="M4424" s="40">
        <v>250145.52</v>
      </c>
      <c r="N4424" s="40">
        <f t="shared" si="170"/>
        <v>334.98</v>
      </c>
    </row>
    <row r="4425" spans="1:14" ht="12.75" hidden="1" customHeight="1" x14ac:dyDescent="0.2">
      <c r="A4425">
        <v>65061</v>
      </c>
      <c r="B4425" s="3" t="s">
        <v>1844</v>
      </c>
      <c r="C4425" s="7" t="s">
        <v>1600</v>
      </c>
      <c r="D4425" s="7" t="s">
        <v>221</v>
      </c>
      <c r="F4425" s="7" t="s">
        <v>578</v>
      </c>
      <c r="G4425" s="7" t="s">
        <v>1630</v>
      </c>
      <c r="H4425" s="7" t="s">
        <v>1362</v>
      </c>
      <c r="I4425" s="7" t="s">
        <v>1253</v>
      </c>
      <c r="K4425" s="39" t="s">
        <v>601</v>
      </c>
      <c r="L4425" s="40">
        <v>163.44</v>
      </c>
      <c r="M4425" s="40">
        <v>251577.79</v>
      </c>
      <c r="N4425" s="40">
        <f t="shared" si="170"/>
        <v>163.44</v>
      </c>
    </row>
    <row r="4426" spans="1:14" ht="12.75" hidden="1" customHeight="1" x14ac:dyDescent="0.2">
      <c r="A4426">
        <v>65061</v>
      </c>
      <c r="B4426" s="3" t="s">
        <v>1844</v>
      </c>
      <c r="C4426" s="7" t="s">
        <v>1600</v>
      </c>
      <c r="D4426" s="7" t="s">
        <v>221</v>
      </c>
      <c r="F4426" s="7" t="s">
        <v>589</v>
      </c>
      <c r="G4426" s="7" t="s">
        <v>1630</v>
      </c>
      <c r="H4426" s="7" t="s">
        <v>1362</v>
      </c>
      <c r="I4426" s="7" t="s">
        <v>1253</v>
      </c>
      <c r="K4426" s="39" t="s">
        <v>601</v>
      </c>
      <c r="L4426" s="40">
        <v>124.98</v>
      </c>
      <c r="M4426" s="40">
        <v>251702.77</v>
      </c>
      <c r="N4426" s="40">
        <f t="shared" si="170"/>
        <v>124.98</v>
      </c>
    </row>
    <row r="4427" spans="1:14" ht="12.75" hidden="1" customHeight="1" x14ac:dyDescent="0.2">
      <c r="A4427">
        <v>65061</v>
      </c>
      <c r="B4427" s="3" t="s">
        <v>1844</v>
      </c>
      <c r="C4427" s="7" t="s">
        <v>1600</v>
      </c>
      <c r="D4427" s="7" t="s">
        <v>221</v>
      </c>
      <c r="F4427" s="7" t="s">
        <v>625</v>
      </c>
      <c r="G4427" s="7" t="s">
        <v>1630</v>
      </c>
      <c r="H4427" s="7" t="s">
        <v>1362</v>
      </c>
      <c r="I4427" s="7" t="s">
        <v>1253</v>
      </c>
      <c r="K4427" s="39" t="s">
        <v>601</v>
      </c>
      <c r="L4427" s="40">
        <v>13.19</v>
      </c>
      <c r="M4427" s="40">
        <v>251715.96</v>
      </c>
      <c r="N4427" s="40">
        <f t="shared" si="170"/>
        <v>13.19</v>
      </c>
    </row>
    <row r="4428" spans="1:14" ht="12.75" hidden="1" customHeight="1" x14ac:dyDescent="0.2">
      <c r="A4428">
        <v>65061</v>
      </c>
      <c r="B4428" s="3" t="s">
        <v>1844</v>
      </c>
      <c r="C4428" s="7" t="s">
        <v>1607</v>
      </c>
      <c r="D4428" s="7" t="s">
        <v>221</v>
      </c>
      <c r="F4428" s="7" t="s">
        <v>265</v>
      </c>
      <c r="G4428" s="7" t="s">
        <v>1630</v>
      </c>
      <c r="H4428" s="7" t="s">
        <v>1362</v>
      </c>
      <c r="I4428" s="7" t="s">
        <v>1253</v>
      </c>
      <c r="K4428" s="39" t="s">
        <v>601</v>
      </c>
      <c r="L4428" s="40">
        <v>325.99</v>
      </c>
      <c r="M4428" s="40">
        <v>253667.39</v>
      </c>
      <c r="N4428" s="40">
        <f t="shared" si="170"/>
        <v>325.99</v>
      </c>
    </row>
    <row r="4429" spans="1:14" ht="12.75" hidden="1" customHeight="1" x14ac:dyDescent="0.2">
      <c r="A4429">
        <v>65061</v>
      </c>
      <c r="B4429" s="3" t="s">
        <v>1844</v>
      </c>
      <c r="C4429" s="7" t="s">
        <v>1696</v>
      </c>
      <c r="D4429" s="7" t="s">
        <v>221</v>
      </c>
      <c r="F4429" s="7" t="s">
        <v>1936</v>
      </c>
      <c r="G4429" s="7" t="s">
        <v>1630</v>
      </c>
      <c r="H4429" s="7" t="s">
        <v>1362</v>
      </c>
      <c r="I4429" s="7" t="s">
        <v>1253</v>
      </c>
      <c r="K4429" s="39" t="s">
        <v>601</v>
      </c>
      <c r="L4429" s="40">
        <v>84.39</v>
      </c>
      <c r="M4429" s="40">
        <v>254530.61</v>
      </c>
      <c r="N4429" s="40">
        <f t="shared" si="170"/>
        <v>84.39</v>
      </c>
    </row>
    <row r="4430" spans="1:14" ht="12.75" hidden="1" customHeight="1" x14ac:dyDescent="0.2">
      <c r="A4430">
        <v>65061</v>
      </c>
      <c r="B4430" s="3" t="s">
        <v>1844</v>
      </c>
      <c r="C4430" s="7" t="s">
        <v>1696</v>
      </c>
      <c r="D4430" s="7" t="s">
        <v>221</v>
      </c>
      <c r="F4430" s="7" t="s">
        <v>265</v>
      </c>
      <c r="G4430" s="7" t="s">
        <v>1630</v>
      </c>
      <c r="H4430" s="7" t="s">
        <v>1362</v>
      </c>
      <c r="I4430" s="7" t="s">
        <v>1253</v>
      </c>
      <c r="K4430" s="39" t="s">
        <v>601</v>
      </c>
      <c r="L4430" s="40">
        <v>82.07</v>
      </c>
      <c r="M4430" s="40">
        <v>254612.68</v>
      </c>
      <c r="N4430" s="40">
        <f t="shared" si="170"/>
        <v>82.07</v>
      </c>
    </row>
    <row r="4431" spans="1:14" ht="12.75" hidden="1" customHeight="1" x14ac:dyDescent="0.2">
      <c r="A4431">
        <v>65061</v>
      </c>
      <c r="B4431" s="3" t="s">
        <v>1844</v>
      </c>
      <c r="C4431" s="7" t="s">
        <v>1608</v>
      </c>
      <c r="D4431" s="7" t="s">
        <v>221</v>
      </c>
      <c r="F4431" s="7" t="s">
        <v>589</v>
      </c>
      <c r="G4431" s="7" t="s">
        <v>1630</v>
      </c>
      <c r="H4431" s="7" t="s">
        <v>1362</v>
      </c>
      <c r="I4431" s="7" t="s">
        <v>1253</v>
      </c>
      <c r="K4431" s="39" t="s">
        <v>601</v>
      </c>
      <c r="L4431" s="40">
        <v>326.31</v>
      </c>
      <c r="M4431" s="40">
        <v>256100.59</v>
      </c>
      <c r="N4431" s="40">
        <f t="shared" si="170"/>
        <v>326.31</v>
      </c>
    </row>
    <row r="4432" spans="1:14" ht="12.75" hidden="1" customHeight="1" x14ac:dyDescent="0.2">
      <c r="A4432">
        <v>65061</v>
      </c>
      <c r="B4432" s="3" t="s">
        <v>1844</v>
      </c>
      <c r="C4432" s="7" t="s">
        <v>1608</v>
      </c>
      <c r="D4432" s="7" t="s">
        <v>221</v>
      </c>
      <c r="F4432" s="7" t="s">
        <v>1938</v>
      </c>
      <c r="G4432" s="7" t="s">
        <v>1630</v>
      </c>
      <c r="H4432" s="7" t="s">
        <v>1362</v>
      </c>
      <c r="I4432" s="7" t="s">
        <v>1253</v>
      </c>
      <c r="K4432" s="39" t="s">
        <v>601</v>
      </c>
      <c r="L4432" s="40">
        <v>47.48</v>
      </c>
      <c r="M4432" s="40">
        <v>256148.07</v>
      </c>
      <c r="N4432" s="40">
        <f t="shared" si="170"/>
        <v>47.48</v>
      </c>
    </row>
    <row r="4433" spans="1:14" ht="12.75" hidden="1" customHeight="1" x14ac:dyDescent="0.2">
      <c r="A4433">
        <v>65061</v>
      </c>
      <c r="B4433" s="3" t="s">
        <v>1844</v>
      </c>
      <c r="C4433" s="7" t="s">
        <v>1543</v>
      </c>
      <c r="D4433" s="7" t="s">
        <v>221</v>
      </c>
      <c r="F4433" s="7" t="s">
        <v>563</v>
      </c>
      <c r="G4433" s="7" t="s">
        <v>1630</v>
      </c>
      <c r="H4433" s="7" t="s">
        <v>1362</v>
      </c>
      <c r="I4433" s="7" t="s">
        <v>1253</v>
      </c>
      <c r="K4433" s="39" t="s">
        <v>601</v>
      </c>
      <c r="L4433" s="40">
        <v>156.68</v>
      </c>
      <c r="M4433" s="40">
        <v>256731.39</v>
      </c>
      <c r="N4433" s="40">
        <f t="shared" si="170"/>
        <v>156.68</v>
      </c>
    </row>
    <row r="4434" spans="1:14" ht="12.75" hidden="1" customHeight="1" x14ac:dyDescent="0.2">
      <c r="A4434">
        <v>65061</v>
      </c>
      <c r="B4434" s="3" t="s">
        <v>1844</v>
      </c>
      <c r="C4434" s="7" t="s">
        <v>1612</v>
      </c>
      <c r="D4434" s="7" t="s">
        <v>221</v>
      </c>
      <c r="F4434" s="7" t="s">
        <v>564</v>
      </c>
      <c r="G4434" s="7" t="s">
        <v>1630</v>
      </c>
      <c r="H4434" s="7" t="s">
        <v>1362</v>
      </c>
      <c r="I4434" s="7" t="s">
        <v>1253</v>
      </c>
      <c r="K4434" s="39" t="s">
        <v>601</v>
      </c>
      <c r="L4434" s="40">
        <v>204.65</v>
      </c>
      <c r="M4434" s="40">
        <v>257653.71</v>
      </c>
      <c r="N4434" s="40">
        <f t="shared" si="170"/>
        <v>204.65</v>
      </c>
    </row>
    <row r="4435" spans="1:14" ht="12.75" hidden="1" customHeight="1" x14ac:dyDescent="0.2">
      <c r="A4435">
        <v>65061</v>
      </c>
      <c r="B4435" s="3" t="s">
        <v>1844</v>
      </c>
      <c r="C4435" s="7" t="s">
        <v>1786</v>
      </c>
      <c r="D4435" s="7" t="s">
        <v>221</v>
      </c>
      <c r="F4435" s="7" t="s">
        <v>265</v>
      </c>
      <c r="G4435" s="7" t="s">
        <v>1630</v>
      </c>
      <c r="H4435" s="7" t="s">
        <v>1362</v>
      </c>
      <c r="I4435" s="7" t="s">
        <v>1253</v>
      </c>
      <c r="K4435" s="39" t="s">
        <v>601</v>
      </c>
      <c r="L4435" s="40">
        <v>127.97</v>
      </c>
      <c r="M4435" s="40">
        <v>258686.93</v>
      </c>
      <c r="N4435" s="40">
        <f t="shared" si="170"/>
        <v>127.97</v>
      </c>
    </row>
    <row r="4436" spans="1:14" ht="12.75" hidden="1" customHeight="1" x14ac:dyDescent="0.2">
      <c r="A4436">
        <v>65061</v>
      </c>
      <c r="B4436" s="3" t="s">
        <v>1844</v>
      </c>
      <c r="C4436" s="7" t="s">
        <v>1703</v>
      </c>
      <c r="D4436" s="7" t="s">
        <v>221</v>
      </c>
      <c r="F4436" s="7" t="s">
        <v>644</v>
      </c>
      <c r="G4436" s="7" t="s">
        <v>1630</v>
      </c>
      <c r="H4436" s="7" t="s">
        <v>1362</v>
      </c>
      <c r="I4436" s="7" t="s">
        <v>1253</v>
      </c>
      <c r="K4436" s="39" t="s">
        <v>601</v>
      </c>
      <c r="L4436" s="40">
        <v>191.95</v>
      </c>
      <c r="M4436" s="40">
        <v>262358.24</v>
      </c>
      <c r="N4436" s="40">
        <f t="shared" si="170"/>
        <v>191.95</v>
      </c>
    </row>
    <row r="4437" spans="1:14" ht="12.75" hidden="1" customHeight="1" x14ac:dyDescent="0.2">
      <c r="A4437">
        <v>65061</v>
      </c>
      <c r="B4437" s="3" t="s">
        <v>1844</v>
      </c>
      <c r="C4437" s="7" t="s">
        <v>1703</v>
      </c>
      <c r="D4437" s="7" t="s">
        <v>221</v>
      </c>
      <c r="F4437" s="7" t="s">
        <v>644</v>
      </c>
      <c r="G4437" s="7" t="s">
        <v>1630</v>
      </c>
      <c r="H4437" s="7" t="s">
        <v>1362</v>
      </c>
      <c r="I4437" s="7" t="s">
        <v>1253</v>
      </c>
      <c r="K4437" s="39" t="s">
        <v>601</v>
      </c>
      <c r="L4437" s="40">
        <v>23.92</v>
      </c>
      <c r="M4437" s="40">
        <v>262382.15999999997</v>
      </c>
      <c r="N4437" s="40">
        <f t="shared" si="170"/>
        <v>23.92</v>
      </c>
    </row>
    <row r="4438" spans="1:14" ht="12.75" hidden="1" customHeight="1" x14ac:dyDescent="0.2">
      <c r="A4438">
        <v>65061</v>
      </c>
      <c r="B4438" s="3" t="s">
        <v>1844</v>
      </c>
      <c r="C4438" s="7" t="s">
        <v>1703</v>
      </c>
      <c r="D4438" s="7" t="s">
        <v>221</v>
      </c>
      <c r="F4438" s="7" t="s">
        <v>241</v>
      </c>
      <c r="G4438" s="7" t="s">
        <v>1630</v>
      </c>
      <c r="H4438" s="7" t="s">
        <v>1362</v>
      </c>
      <c r="I4438" s="7" t="s">
        <v>1253</v>
      </c>
      <c r="K4438" s="39" t="s">
        <v>601</v>
      </c>
      <c r="L4438" s="40">
        <v>94.9</v>
      </c>
      <c r="M4438" s="40">
        <v>262477.06</v>
      </c>
      <c r="N4438" s="40">
        <f t="shared" si="170"/>
        <v>94.9</v>
      </c>
    </row>
    <row r="4439" spans="1:14" ht="12.75" hidden="1" customHeight="1" x14ac:dyDescent="0.2">
      <c r="A4439">
        <v>65061</v>
      </c>
      <c r="B4439" s="3" t="s">
        <v>1844</v>
      </c>
      <c r="C4439" s="7" t="s">
        <v>1703</v>
      </c>
      <c r="D4439" s="7" t="s">
        <v>221</v>
      </c>
      <c r="F4439" s="7" t="s">
        <v>616</v>
      </c>
      <c r="G4439" s="7" t="s">
        <v>1630</v>
      </c>
      <c r="H4439" s="7" t="s">
        <v>1362</v>
      </c>
      <c r="I4439" s="7" t="s">
        <v>1253</v>
      </c>
      <c r="K4439" s="39" t="s">
        <v>601</v>
      </c>
      <c r="L4439" s="40">
        <v>52.41</v>
      </c>
      <c r="M4439" s="40">
        <v>262529.46999999997</v>
      </c>
      <c r="N4439" s="40">
        <f t="shared" si="170"/>
        <v>52.41</v>
      </c>
    </row>
    <row r="4440" spans="1:14" ht="12.75" hidden="1" customHeight="1" x14ac:dyDescent="0.2">
      <c r="A4440">
        <v>65061</v>
      </c>
      <c r="B4440" s="3" t="s">
        <v>1844</v>
      </c>
      <c r="C4440" s="7" t="s">
        <v>1704</v>
      </c>
      <c r="D4440" s="7" t="s">
        <v>221</v>
      </c>
      <c r="F4440" s="7" t="s">
        <v>658</v>
      </c>
      <c r="G4440" s="7" t="s">
        <v>1630</v>
      </c>
      <c r="H4440" s="7" t="s">
        <v>1362</v>
      </c>
      <c r="I4440" s="7" t="s">
        <v>1253</v>
      </c>
      <c r="K4440" s="39" t="s">
        <v>601</v>
      </c>
      <c r="L4440" s="40">
        <v>69.55</v>
      </c>
      <c r="M4440" s="40">
        <v>265396.78000000003</v>
      </c>
      <c r="N4440" s="40">
        <f t="shared" si="170"/>
        <v>69.55</v>
      </c>
    </row>
    <row r="4441" spans="1:14" ht="12.75" hidden="1" customHeight="1" x14ac:dyDescent="0.2">
      <c r="A4441">
        <v>65061</v>
      </c>
      <c r="B4441" s="3" t="s">
        <v>1844</v>
      </c>
      <c r="C4441" s="7" t="s">
        <v>1619</v>
      </c>
      <c r="D4441" s="7" t="s">
        <v>221</v>
      </c>
      <c r="F4441" s="7" t="s">
        <v>589</v>
      </c>
      <c r="G4441" s="7" t="s">
        <v>1630</v>
      </c>
      <c r="H4441" s="7" t="s">
        <v>1362</v>
      </c>
      <c r="I4441" s="7" t="s">
        <v>1253</v>
      </c>
      <c r="K4441" s="39" t="s">
        <v>601</v>
      </c>
      <c r="L4441" s="40">
        <v>144.78</v>
      </c>
      <c r="M4441" s="40">
        <v>275193.28000000003</v>
      </c>
      <c r="N4441" s="40">
        <f t="shared" si="170"/>
        <v>144.78</v>
      </c>
    </row>
    <row r="4442" spans="1:14" ht="12.75" hidden="1" customHeight="1" x14ac:dyDescent="0.2">
      <c r="A4442">
        <v>65061</v>
      </c>
      <c r="B4442" s="3" t="s">
        <v>1844</v>
      </c>
      <c r="C4442" s="7" t="s">
        <v>1622</v>
      </c>
      <c r="D4442" s="7" t="s">
        <v>221</v>
      </c>
      <c r="F4442" s="7" t="s">
        <v>644</v>
      </c>
      <c r="G4442" s="7" t="s">
        <v>1630</v>
      </c>
      <c r="H4442" s="7" t="s">
        <v>1362</v>
      </c>
      <c r="I4442" s="7" t="s">
        <v>1253</v>
      </c>
      <c r="K4442" s="39" t="s">
        <v>601</v>
      </c>
      <c r="L4442" s="40">
        <v>59.77</v>
      </c>
      <c r="M4442" s="40">
        <v>276931.28999999998</v>
      </c>
      <c r="N4442" s="40">
        <f t="shared" si="170"/>
        <v>59.77</v>
      </c>
    </row>
    <row r="4443" spans="1:14" ht="12.75" hidden="1" customHeight="1" x14ac:dyDescent="0.2">
      <c r="A4443">
        <v>65061</v>
      </c>
      <c r="B4443" s="3" t="s">
        <v>1844</v>
      </c>
      <c r="C4443" s="7" t="s">
        <v>1760</v>
      </c>
      <c r="D4443" s="7" t="s">
        <v>221</v>
      </c>
      <c r="F4443" s="7" t="s">
        <v>564</v>
      </c>
      <c r="G4443" s="7" t="s">
        <v>1630</v>
      </c>
      <c r="H4443" s="7" t="s">
        <v>1362</v>
      </c>
      <c r="I4443" s="7" t="s">
        <v>1253</v>
      </c>
      <c r="K4443" s="39" t="s">
        <v>601</v>
      </c>
      <c r="L4443" s="40">
        <v>118.61</v>
      </c>
      <c r="M4443" s="40">
        <v>277440.96999999997</v>
      </c>
      <c r="N4443" s="40">
        <f t="shared" si="170"/>
        <v>118.61</v>
      </c>
    </row>
    <row r="4444" spans="1:14" ht="12.75" hidden="1" customHeight="1" x14ac:dyDescent="0.2">
      <c r="A4444">
        <v>65061</v>
      </c>
      <c r="B4444" s="3" t="s">
        <v>1844</v>
      </c>
      <c r="C4444" s="7" t="s">
        <v>1760</v>
      </c>
      <c r="D4444" s="7" t="s">
        <v>221</v>
      </c>
      <c r="F4444" s="7" t="s">
        <v>564</v>
      </c>
      <c r="G4444" s="7" t="s">
        <v>1630</v>
      </c>
      <c r="H4444" s="7" t="s">
        <v>1362</v>
      </c>
      <c r="I4444" s="7" t="s">
        <v>1253</v>
      </c>
      <c r="K4444" s="39" t="s">
        <v>601</v>
      </c>
      <c r="L4444" s="40">
        <v>12.2</v>
      </c>
      <c r="M4444" s="40">
        <v>277695.87</v>
      </c>
      <c r="N4444" s="40">
        <f t="shared" si="170"/>
        <v>12.2</v>
      </c>
    </row>
    <row r="4445" spans="1:14" ht="12.75" hidden="1" customHeight="1" x14ac:dyDescent="0.2">
      <c r="A4445">
        <v>65061</v>
      </c>
      <c r="B4445" s="3" t="s">
        <v>1844</v>
      </c>
      <c r="C4445" s="7" t="s">
        <v>1760</v>
      </c>
      <c r="D4445" s="7" t="s">
        <v>221</v>
      </c>
      <c r="F4445" s="7" t="s">
        <v>1957</v>
      </c>
      <c r="G4445" s="7" t="s">
        <v>1630</v>
      </c>
      <c r="H4445" s="7" t="s">
        <v>1362</v>
      </c>
      <c r="I4445" s="7" t="s">
        <v>1253</v>
      </c>
      <c r="K4445" s="39" t="s">
        <v>601</v>
      </c>
      <c r="L4445" s="40">
        <v>1.49</v>
      </c>
      <c r="M4445" s="40">
        <v>277697.36</v>
      </c>
      <c r="N4445" s="40">
        <f t="shared" si="170"/>
        <v>1.49</v>
      </c>
    </row>
    <row r="4446" spans="1:14" ht="12.75" hidden="1" customHeight="1" x14ac:dyDescent="0.2">
      <c r="A4446">
        <v>65061</v>
      </c>
      <c r="B4446" s="3" t="s">
        <v>1844</v>
      </c>
      <c r="C4446" s="7" t="s">
        <v>1760</v>
      </c>
      <c r="D4446" s="7" t="s">
        <v>221</v>
      </c>
      <c r="F4446" s="7" t="s">
        <v>644</v>
      </c>
      <c r="G4446" s="7" t="s">
        <v>1630</v>
      </c>
      <c r="H4446" s="7" t="s">
        <v>1362</v>
      </c>
      <c r="I4446" s="7" t="s">
        <v>1253</v>
      </c>
      <c r="K4446" s="39" t="s">
        <v>601</v>
      </c>
      <c r="L4446" s="40">
        <v>129.38999999999999</v>
      </c>
      <c r="M4446" s="40">
        <v>277826.75</v>
      </c>
      <c r="N4446" s="40">
        <f t="shared" si="170"/>
        <v>129.38999999999999</v>
      </c>
    </row>
    <row r="4447" spans="1:14" ht="12.75" hidden="1" customHeight="1" x14ac:dyDescent="0.2">
      <c r="A4447">
        <v>65061</v>
      </c>
      <c r="B4447" s="3" t="s">
        <v>1844</v>
      </c>
      <c r="C4447" s="7" t="s">
        <v>1760</v>
      </c>
      <c r="D4447" s="7" t="s">
        <v>221</v>
      </c>
      <c r="F4447" s="7" t="s">
        <v>1958</v>
      </c>
      <c r="G4447" s="7" t="s">
        <v>1630</v>
      </c>
      <c r="H4447" s="7" t="s">
        <v>1362</v>
      </c>
      <c r="I4447" s="7" t="s">
        <v>1253</v>
      </c>
      <c r="K4447" s="39" t="s">
        <v>601</v>
      </c>
      <c r="L4447" s="40">
        <v>4.99</v>
      </c>
      <c r="M4447" s="40">
        <v>277831.74</v>
      </c>
      <c r="N4447" s="40">
        <f t="shared" si="170"/>
        <v>4.99</v>
      </c>
    </row>
    <row r="4448" spans="1:14" ht="12.75" hidden="1" customHeight="1" x14ac:dyDescent="0.2">
      <c r="A4448">
        <v>65061</v>
      </c>
      <c r="B4448" s="3" t="s">
        <v>1844</v>
      </c>
      <c r="C4448" s="7" t="s">
        <v>1760</v>
      </c>
      <c r="D4448" s="7" t="s">
        <v>221</v>
      </c>
      <c r="F4448" s="7" t="s">
        <v>597</v>
      </c>
      <c r="G4448" s="7" t="s">
        <v>1630</v>
      </c>
      <c r="H4448" s="7" t="s">
        <v>1362</v>
      </c>
      <c r="I4448" s="7" t="s">
        <v>1253</v>
      </c>
      <c r="K4448" s="39" t="s">
        <v>601</v>
      </c>
      <c r="L4448" s="40">
        <v>3.14</v>
      </c>
      <c r="M4448" s="40">
        <v>277834.88</v>
      </c>
      <c r="N4448" s="40">
        <f t="shared" si="170"/>
        <v>3.14</v>
      </c>
    </row>
    <row r="4449" spans="1:14" ht="12.75" hidden="1" customHeight="1" x14ac:dyDescent="0.2">
      <c r="A4449">
        <v>65061</v>
      </c>
      <c r="B4449" s="3" t="s">
        <v>1844</v>
      </c>
      <c r="C4449" s="7" t="s">
        <v>1760</v>
      </c>
      <c r="D4449" s="7" t="s">
        <v>221</v>
      </c>
      <c r="F4449" s="7" t="s">
        <v>1961</v>
      </c>
      <c r="G4449" s="7" t="s">
        <v>1630</v>
      </c>
      <c r="H4449" s="7" t="s">
        <v>1362</v>
      </c>
      <c r="I4449" s="7" t="s">
        <v>1253</v>
      </c>
      <c r="K4449" s="39" t="s">
        <v>601</v>
      </c>
      <c r="L4449" s="40">
        <v>61.05</v>
      </c>
      <c r="M4449" s="40">
        <v>279836.23</v>
      </c>
      <c r="N4449" s="40">
        <f t="shared" si="170"/>
        <v>61.05</v>
      </c>
    </row>
    <row r="4450" spans="1:14" ht="12.75" hidden="1" customHeight="1" x14ac:dyDescent="0.2">
      <c r="A4450">
        <v>65061</v>
      </c>
      <c r="B4450" s="3" t="s">
        <v>1844</v>
      </c>
      <c r="C4450" s="7" t="s">
        <v>1760</v>
      </c>
      <c r="D4450" s="7" t="s">
        <v>221</v>
      </c>
      <c r="F4450" s="7" t="s">
        <v>589</v>
      </c>
      <c r="G4450" s="7" t="s">
        <v>1630</v>
      </c>
      <c r="H4450" s="7" t="s">
        <v>1362</v>
      </c>
      <c r="I4450" s="7" t="s">
        <v>1253</v>
      </c>
      <c r="K4450" s="39" t="s">
        <v>601</v>
      </c>
      <c r="L4450" s="40">
        <v>105.48</v>
      </c>
      <c r="M4450" s="40">
        <v>279941.71000000002</v>
      </c>
      <c r="N4450" s="40">
        <f t="shared" si="170"/>
        <v>105.48</v>
      </c>
    </row>
    <row r="4451" spans="1:14" ht="12.75" hidden="1" customHeight="1" x14ac:dyDescent="0.2">
      <c r="A4451">
        <v>65061</v>
      </c>
      <c r="B4451" s="3" t="s">
        <v>1844</v>
      </c>
      <c r="C4451" s="7" t="s">
        <v>1760</v>
      </c>
      <c r="D4451" s="7" t="s">
        <v>221</v>
      </c>
      <c r="F4451" s="7" t="s">
        <v>589</v>
      </c>
      <c r="G4451" s="7" t="s">
        <v>1630</v>
      </c>
      <c r="H4451" s="7" t="s">
        <v>1362</v>
      </c>
      <c r="I4451" s="7" t="s">
        <v>1253</v>
      </c>
      <c r="K4451" s="39" t="s">
        <v>601</v>
      </c>
      <c r="L4451" s="40">
        <v>14.76</v>
      </c>
      <c r="M4451" s="40">
        <v>279956.46999999997</v>
      </c>
      <c r="N4451" s="40">
        <f t="shared" si="170"/>
        <v>14.76</v>
      </c>
    </row>
    <row r="4452" spans="1:14" ht="12.75" hidden="1" customHeight="1" x14ac:dyDescent="0.2">
      <c r="A4452">
        <v>65061</v>
      </c>
      <c r="B4452" s="3" t="s">
        <v>1844</v>
      </c>
      <c r="C4452" s="7" t="s">
        <v>1760</v>
      </c>
      <c r="D4452" s="7" t="s">
        <v>221</v>
      </c>
      <c r="F4452" s="7" t="s">
        <v>564</v>
      </c>
      <c r="G4452" s="7" t="s">
        <v>1630</v>
      </c>
      <c r="H4452" s="7" t="s">
        <v>1362</v>
      </c>
      <c r="I4452" s="7" t="s">
        <v>1253</v>
      </c>
      <c r="K4452" s="39" t="s">
        <v>601</v>
      </c>
      <c r="L4452" s="40">
        <v>210.08</v>
      </c>
      <c r="M4452" s="40">
        <v>280166.55</v>
      </c>
      <c r="N4452" s="40">
        <f t="shared" si="170"/>
        <v>210.08</v>
      </c>
    </row>
    <row r="4453" spans="1:14" ht="12.75" hidden="1" customHeight="1" x14ac:dyDescent="0.2">
      <c r="A4453">
        <v>65061</v>
      </c>
      <c r="B4453" s="3" t="s">
        <v>1844</v>
      </c>
      <c r="C4453" s="7" t="s">
        <v>1789</v>
      </c>
      <c r="D4453" s="7" t="s">
        <v>242</v>
      </c>
      <c r="F4453" s="7" t="s">
        <v>589</v>
      </c>
      <c r="G4453" s="7" t="s">
        <v>1630</v>
      </c>
      <c r="H4453" s="7" t="s">
        <v>1362</v>
      </c>
      <c r="I4453" s="7" t="s">
        <v>1253</v>
      </c>
      <c r="K4453" s="39" t="s">
        <v>601</v>
      </c>
      <c r="L4453" s="40">
        <v>-7.34</v>
      </c>
      <c r="M4453" s="40">
        <v>295213.57</v>
      </c>
      <c r="N4453" s="40">
        <f t="shared" si="170"/>
        <v>-7.34</v>
      </c>
    </row>
    <row r="4454" spans="1:14" ht="12.75" hidden="1" customHeight="1" x14ac:dyDescent="0.2">
      <c r="A4454">
        <v>65061</v>
      </c>
      <c r="B4454" s="3" t="s">
        <v>1844</v>
      </c>
      <c r="C4454" s="7" t="s">
        <v>1789</v>
      </c>
      <c r="D4454" s="7" t="s">
        <v>242</v>
      </c>
      <c r="F4454" s="7" t="s">
        <v>589</v>
      </c>
      <c r="G4454" s="7" t="s">
        <v>1630</v>
      </c>
      <c r="H4454" s="7" t="s">
        <v>1362</v>
      </c>
      <c r="I4454" s="7" t="s">
        <v>1253</v>
      </c>
      <c r="K4454" s="39" t="s">
        <v>601</v>
      </c>
      <c r="L4454" s="40">
        <v>-13.18</v>
      </c>
      <c r="M4454" s="40">
        <v>295303.36</v>
      </c>
      <c r="N4454" s="40">
        <f t="shared" si="170"/>
        <v>-13.18</v>
      </c>
    </row>
    <row r="4455" spans="1:14" ht="12.75" hidden="1" customHeight="1" x14ac:dyDescent="0.2">
      <c r="A4455">
        <v>65061</v>
      </c>
      <c r="B4455" s="3" t="s">
        <v>1844</v>
      </c>
      <c r="C4455" s="7" t="s">
        <v>1638</v>
      </c>
      <c r="D4455" s="7" t="s">
        <v>242</v>
      </c>
      <c r="F4455" s="7" t="s">
        <v>589</v>
      </c>
      <c r="G4455" s="7" t="s">
        <v>1630</v>
      </c>
      <c r="H4455" s="7" t="s">
        <v>1362</v>
      </c>
      <c r="I4455" s="7" t="s">
        <v>1253</v>
      </c>
      <c r="K4455" s="39" t="s">
        <v>601</v>
      </c>
      <c r="L4455" s="40">
        <v>-5.26</v>
      </c>
      <c r="M4455" s="40">
        <v>295666.56</v>
      </c>
      <c r="N4455" s="40">
        <f t="shared" si="170"/>
        <v>-5.26</v>
      </c>
    </row>
    <row r="4456" spans="1:14" ht="12.75" hidden="1" customHeight="1" x14ac:dyDescent="0.2">
      <c r="A4456">
        <v>65061</v>
      </c>
      <c r="B4456" s="3" t="s">
        <v>1844</v>
      </c>
      <c r="C4456" s="7" t="s">
        <v>1640</v>
      </c>
      <c r="D4456" s="7" t="s">
        <v>242</v>
      </c>
      <c r="F4456" s="7" t="s">
        <v>713</v>
      </c>
      <c r="G4456" s="7" t="s">
        <v>1630</v>
      </c>
      <c r="H4456" s="7" t="s">
        <v>1362</v>
      </c>
      <c r="I4456" s="7" t="s">
        <v>1253</v>
      </c>
      <c r="K4456" s="39" t="s">
        <v>601</v>
      </c>
      <c r="L4456" s="40">
        <v>-9.9700000000000006</v>
      </c>
      <c r="M4456" s="40">
        <v>296619.36</v>
      </c>
      <c r="N4456" s="40">
        <f t="shared" si="170"/>
        <v>-9.9700000000000006</v>
      </c>
    </row>
    <row r="4457" spans="1:14" ht="12.75" hidden="1" customHeight="1" x14ac:dyDescent="0.2">
      <c r="A4457">
        <v>65095</v>
      </c>
      <c r="B4457" s="3" t="s">
        <v>1259</v>
      </c>
      <c r="C4457" s="7" t="s">
        <v>1629</v>
      </c>
      <c r="D4457" s="7" t="s">
        <v>183</v>
      </c>
      <c r="E4457" s="7">
        <v>716</v>
      </c>
      <c r="G4457" s="7" t="s">
        <v>1630</v>
      </c>
      <c r="H4457" s="43" t="s">
        <v>1361</v>
      </c>
      <c r="I4457" s="7" t="s">
        <v>1259</v>
      </c>
      <c r="K4457" s="39" t="s">
        <v>180</v>
      </c>
      <c r="L4457" s="40">
        <v>0.41</v>
      </c>
      <c r="M4457" s="40">
        <v>1017.42</v>
      </c>
      <c r="N4457" s="40">
        <f t="shared" si="170"/>
        <v>0.41</v>
      </c>
    </row>
    <row r="4458" spans="1:14" ht="12.75" customHeight="1" x14ac:dyDescent="0.2">
      <c r="A4458">
        <v>46430</v>
      </c>
      <c r="B4458" s="3" t="s">
        <v>1231</v>
      </c>
      <c r="C4458" s="7" t="s">
        <v>1648</v>
      </c>
      <c r="D4458" s="7" t="s">
        <v>242</v>
      </c>
      <c r="F4458" s="7" t="s">
        <v>336</v>
      </c>
      <c r="G4458" s="7" t="s">
        <v>1039</v>
      </c>
      <c r="H4458" s="7" t="s">
        <v>1359</v>
      </c>
      <c r="I4458" s="7" t="s">
        <v>1231</v>
      </c>
      <c r="K4458" s="39" t="s">
        <v>1038</v>
      </c>
      <c r="L4458" s="40">
        <v>5.48</v>
      </c>
      <c r="M4458" s="40">
        <v>99.43</v>
      </c>
      <c r="N4458" s="41">
        <f>-L4458</f>
        <v>-5.48</v>
      </c>
    </row>
    <row r="4459" spans="1:14" ht="12.75" customHeight="1" x14ac:dyDescent="0.2">
      <c r="A4459">
        <v>46430</v>
      </c>
      <c r="B4459" s="3" t="s">
        <v>1231</v>
      </c>
      <c r="C4459" s="7" t="s">
        <v>1578</v>
      </c>
      <c r="D4459" s="7" t="s">
        <v>242</v>
      </c>
      <c r="F4459" s="7" t="s">
        <v>336</v>
      </c>
      <c r="G4459" s="7" t="s">
        <v>1610</v>
      </c>
      <c r="H4459" s="7" t="s">
        <v>1359</v>
      </c>
      <c r="I4459" s="7" t="s">
        <v>1231</v>
      </c>
      <c r="K4459" s="39" t="s">
        <v>245</v>
      </c>
      <c r="L4459" s="40">
        <v>4.8</v>
      </c>
      <c r="M4459" s="40">
        <v>71.06</v>
      </c>
      <c r="N4459" s="41">
        <f>-L4459</f>
        <v>-4.8</v>
      </c>
    </row>
    <row r="4460" spans="1:14" ht="12.75" customHeight="1" x14ac:dyDescent="0.2">
      <c r="A4460">
        <v>46430</v>
      </c>
      <c r="B4460" s="3" t="s">
        <v>1231</v>
      </c>
      <c r="C4460" s="7" t="s">
        <v>1658</v>
      </c>
      <c r="D4460" s="7" t="s">
        <v>242</v>
      </c>
      <c r="F4460" s="7" t="s">
        <v>336</v>
      </c>
      <c r="G4460" s="7" t="s">
        <v>1610</v>
      </c>
      <c r="H4460" s="7" t="s">
        <v>1359</v>
      </c>
      <c r="I4460" s="7" t="s">
        <v>1231</v>
      </c>
      <c r="K4460" s="39" t="s">
        <v>245</v>
      </c>
      <c r="L4460" s="40">
        <v>2.68</v>
      </c>
      <c r="M4460" s="40">
        <v>82.73</v>
      </c>
      <c r="N4460" s="41">
        <f>-L4460</f>
        <v>-2.68</v>
      </c>
    </row>
    <row r="4461" spans="1:14" ht="12.75" customHeight="1" x14ac:dyDescent="0.2">
      <c r="A4461">
        <v>46430</v>
      </c>
      <c r="B4461" s="3" t="s">
        <v>1231</v>
      </c>
      <c r="C4461" s="7" t="s">
        <v>1663</v>
      </c>
      <c r="D4461" s="7" t="s">
        <v>242</v>
      </c>
      <c r="F4461" s="7" t="s">
        <v>336</v>
      </c>
      <c r="G4461" s="7" t="s">
        <v>1610</v>
      </c>
      <c r="H4461" s="7" t="s">
        <v>1359</v>
      </c>
      <c r="I4461" s="7" t="s">
        <v>1231</v>
      </c>
      <c r="K4461" s="39" t="s">
        <v>245</v>
      </c>
      <c r="L4461" s="40">
        <v>1.67</v>
      </c>
      <c r="M4461" s="40">
        <v>91.68</v>
      </c>
      <c r="N4461" s="41">
        <f>-L4461</f>
        <v>-1.67</v>
      </c>
    </row>
    <row r="4462" spans="1:14" ht="12.75" customHeight="1" x14ac:dyDescent="0.2">
      <c r="A4462">
        <v>46430</v>
      </c>
      <c r="B4462" s="3" t="s">
        <v>1231</v>
      </c>
      <c r="C4462" s="7" t="s">
        <v>1664</v>
      </c>
      <c r="D4462" s="7" t="s">
        <v>242</v>
      </c>
      <c r="F4462" s="7" t="s">
        <v>336</v>
      </c>
      <c r="G4462" s="7" t="s">
        <v>1610</v>
      </c>
      <c r="H4462" s="7" t="s">
        <v>1359</v>
      </c>
      <c r="I4462" s="7" t="s">
        <v>1231</v>
      </c>
      <c r="K4462" s="39" t="s">
        <v>245</v>
      </c>
      <c r="L4462" s="40">
        <v>0.31</v>
      </c>
      <c r="M4462" s="40">
        <v>99.74</v>
      </c>
      <c r="N4462" s="41">
        <f>-L4462</f>
        <v>-0.31</v>
      </c>
    </row>
    <row r="4463" spans="1:14" ht="12.75" hidden="1" customHeight="1" x14ac:dyDescent="0.2">
      <c r="A4463">
        <v>62145</v>
      </c>
      <c r="B4463" s="3" t="s">
        <v>1237</v>
      </c>
      <c r="C4463" s="7" t="s">
        <v>1600</v>
      </c>
      <c r="D4463" s="7" t="s">
        <v>200</v>
      </c>
      <c r="F4463" s="7" t="s">
        <v>248</v>
      </c>
      <c r="G4463" s="7" t="s">
        <v>1610</v>
      </c>
      <c r="H4463" s="7" t="s">
        <v>1362</v>
      </c>
      <c r="I4463" s="7" t="s">
        <v>1237</v>
      </c>
      <c r="K4463" s="39" t="s">
        <v>245</v>
      </c>
      <c r="L4463" s="40">
        <v>1275</v>
      </c>
      <c r="M4463" s="40">
        <v>2614.06</v>
      </c>
      <c r="N4463" s="40">
        <f t="shared" ref="N4463:N4494" si="171">+L4463</f>
        <v>1275</v>
      </c>
    </row>
    <row r="4464" spans="1:14" ht="12.75" hidden="1" customHeight="1" x14ac:dyDescent="0.2">
      <c r="A4464">
        <v>65015</v>
      </c>
      <c r="B4464" s="3" t="s">
        <v>1244</v>
      </c>
      <c r="C4464" s="7" t="s">
        <v>1596</v>
      </c>
      <c r="D4464" s="7" t="s">
        <v>200</v>
      </c>
      <c r="E4464" s="7">
        <v>522</v>
      </c>
      <c r="F4464" s="7" t="s">
        <v>1762</v>
      </c>
      <c r="G4464" s="7" t="s">
        <v>1610</v>
      </c>
      <c r="H4464" s="43" t="s">
        <v>1362</v>
      </c>
      <c r="I4464" s="7" t="s">
        <v>1244</v>
      </c>
      <c r="J4464" s="39" t="s">
        <v>1783</v>
      </c>
      <c r="K4464" s="39" t="s">
        <v>198</v>
      </c>
      <c r="L4464" s="40">
        <v>719.2</v>
      </c>
      <c r="M4464" s="40">
        <v>5758.18</v>
      </c>
      <c r="N4464" s="40">
        <f t="shared" si="171"/>
        <v>719.2</v>
      </c>
    </row>
    <row r="4465" spans="1:14" ht="12.75" hidden="1" customHeight="1" x14ac:dyDescent="0.2">
      <c r="A4465">
        <v>65015</v>
      </c>
      <c r="B4465" s="3" t="s">
        <v>1244</v>
      </c>
      <c r="C4465" s="7" t="s">
        <v>1709</v>
      </c>
      <c r="D4465" s="7" t="s">
        <v>221</v>
      </c>
      <c r="F4465" s="7" t="s">
        <v>1788</v>
      </c>
      <c r="G4465" s="7" t="s">
        <v>1610</v>
      </c>
      <c r="H4465" s="43" t="s">
        <v>1362</v>
      </c>
      <c r="I4465" s="7" t="s">
        <v>1244</v>
      </c>
      <c r="K4465" s="39" t="s">
        <v>245</v>
      </c>
      <c r="L4465" s="40">
        <v>458</v>
      </c>
      <c r="M4465" s="40">
        <v>7518.66</v>
      </c>
      <c r="N4465" s="40">
        <f t="shared" si="171"/>
        <v>458</v>
      </c>
    </row>
    <row r="4466" spans="1:14" ht="12.75" hidden="1" customHeight="1" x14ac:dyDescent="0.2">
      <c r="A4466">
        <v>65015</v>
      </c>
      <c r="B4466" s="3" t="s">
        <v>1244</v>
      </c>
      <c r="C4466" s="7" t="s">
        <v>1709</v>
      </c>
      <c r="D4466" s="7" t="s">
        <v>221</v>
      </c>
      <c r="F4466" s="7" t="s">
        <v>1788</v>
      </c>
      <c r="G4466" s="7" t="s">
        <v>1610</v>
      </c>
      <c r="H4466" s="43" t="s">
        <v>1362</v>
      </c>
      <c r="I4466" s="7" t="s">
        <v>1244</v>
      </c>
      <c r="K4466" s="39" t="s">
        <v>245</v>
      </c>
      <c r="L4466" s="40">
        <v>549.19000000000005</v>
      </c>
      <c r="M4466" s="40">
        <v>8067.85</v>
      </c>
      <c r="N4466" s="40">
        <f t="shared" si="171"/>
        <v>549.19000000000005</v>
      </c>
    </row>
    <row r="4467" spans="1:14" ht="12.75" hidden="1" customHeight="1" x14ac:dyDescent="0.2">
      <c r="A4467">
        <v>65015</v>
      </c>
      <c r="B4467" s="3" t="s">
        <v>1244</v>
      </c>
      <c r="C4467" s="7" t="s">
        <v>1709</v>
      </c>
      <c r="D4467" s="7" t="s">
        <v>221</v>
      </c>
      <c r="F4467" s="7" t="s">
        <v>1788</v>
      </c>
      <c r="G4467" s="7" t="s">
        <v>1610</v>
      </c>
      <c r="H4467" s="43" t="s">
        <v>1362</v>
      </c>
      <c r="I4467" s="7" t="s">
        <v>1244</v>
      </c>
      <c r="K4467" s="39" t="s">
        <v>245</v>
      </c>
      <c r="L4467" s="40">
        <v>458</v>
      </c>
      <c r="M4467" s="40">
        <v>8525.85</v>
      </c>
      <c r="N4467" s="40">
        <f t="shared" si="171"/>
        <v>458</v>
      </c>
    </row>
    <row r="4468" spans="1:14" ht="12.75" hidden="1" customHeight="1" x14ac:dyDescent="0.2">
      <c r="A4468">
        <v>65015</v>
      </c>
      <c r="B4468" s="3" t="s">
        <v>1244</v>
      </c>
      <c r="C4468" s="7" t="s">
        <v>1680</v>
      </c>
      <c r="D4468" s="7" t="s">
        <v>221</v>
      </c>
      <c r="F4468" s="7" t="s">
        <v>1056</v>
      </c>
      <c r="G4468" s="7" t="s">
        <v>1610</v>
      </c>
      <c r="H4468" s="43" t="s">
        <v>1362</v>
      </c>
      <c r="I4468" s="7" t="s">
        <v>1244</v>
      </c>
      <c r="K4468" s="39" t="s">
        <v>245</v>
      </c>
      <c r="L4468" s="40">
        <v>447.2</v>
      </c>
      <c r="M4468" s="40">
        <v>9376.73</v>
      </c>
      <c r="N4468" s="40">
        <f t="shared" si="171"/>
        <v>447.2</v>
      </c>
    </row>
    <row r="4469" spans="1:14" ht="12.75" hidden="1" customHeight="1" x14ac:dyDescent="0.2">
      <c r="A4469">
        <v>65015</v>
      </c>
      <c r="B4469" s="3" t="s">
        <v>1244</v>
      </c>
      <c r="C4469" s="7" t="s">
        <v>1680</v>
      </c>
      <c r="D4469" s="7" t="s">
        <v>221</v>
      </c>
      <c r="F4469" s="7" t="s">
        <v>1056</v>
      </c>
      <c r="G4469" s="7" t="s">
        <v>1610</v>
      </c>
      <c r="H4469" s="43" t="s">
        <v>1362</v>
      </c>
      <c r="I4469" s="7" t="s">
        <v>1244</v>
      </c>
      <c r="K4469" s="39" t="s">
        <v>245</v>
      </c>
      <c r="L4469" s="40">
        <v>447.2</v>
      </c>
      <c r="M4469" s="40">
        <v>9823.93</v>
      </c>
      <c r="N4469" s="40">
        <f t="shared" si="171"/>
        <v>447.2</v>
      </c>
    </row>
    <row r="4470" spans="1:14" ht="12.75" hidden="1" customHeight="1" x14ac:dyDescent="0.2">
      <c r="A4470">
        <v>65015</v>
      </c>
      <c r="B4470" s="3" t="s">
        <v>1244</v>
      </c>
      <c r="C4470" s="7" t="s">
        <v>1550</v>
      </c>
      <c r="D4470" s="7" t="s">
        <v>221</v>
      </c>
      <c r="F4470" s="7" t="s">
        <v>1056</v>
      </c>
      <c r="G4470" s="7" t="s">
        <v>1610</v>
      </c>
      <c r="H4470" s="43" t="s">
        <v>1362</v>
      </c>
      <c r="I4470" s="7" t="s">
        <v>1244</v>
      </c>
      <c r="K4470" s="39" t="s">
        <v>245</v>
      </c>
      <c r="L4470" s="40">
        <v>508.2</v>
      </c>
      <c r="M4470" s="40">
        <v>12044.73</v>
      </c>
      <c r="N4470" s="40">
        <f t="shared" si="171"/>
        <v>508.2</v>
      </c>
    </row>
    <row r="4471" spans="1:14" ht="12.75" hidden="1" customHeight="1" x14ac:dyDescent="0.2">
      <c r="A4471">
        <v>65020</v>
      </c>
      <c r="B4471" s="3" t="s">
        <v>1245</v>
      </c>
      <c r="C4471" s="7" t="s">
        <v>1686</v>
      </c>
      <c r="D4471" s="7" t="s">
        <v>221</v>
      </c>
      <c r="F4471" s="7" t="s">
        <v>297</v>
      </c>
      <c r="G4471" s="7" t="s">
        <v>1610</v>
      </c>
      <c r="H4471" s="7" t="s">
        <v>1362</v>
      </c>
      <c r="I4471" s="7" t="s">
        <v>1245</v>
      </c>
      <c r="K4471" s="39" t="s">
        <v>245</v>
      </c>
      <c r="L4471" s="40">
        <v>19.5</v>
      </c>
      <c r="M4471" s="40">
        <v>1717.24</v>
      </c>
      <c r="N4471" s="40">
        <f t="shared" si="171"/>
        <v>19.5</v>
      </c>
    </row>
    <row r="4472" spans="1:14" ht="12.75" hidden="1" customHeight="1" x14ac:dyDescent="0.2">
      <c r="A4472">
        <v>65020</v>
      </c>
      <c r="B4472" s="3" t="s">
        <v>1245</v>
      </c>
      <c r="C4472" s="7" t="s">
        <v>1583</v>
      </c>
      <c r="D4472" s="7" t="s">
        <v>221</v>
      </c>
      <c r="F4472" s="7" t="s">
        <v>297</v>
      </c>
      <c r="G4472" s="7" t="s">
        <v>1610</v>
      </c>
      <c r="H4472" s="7" t="s">
        <v>1362</v>
      </c>
      <c r="I4472" s="7" t="s">
        <v>1245</v>
      </c>
      <c r="K4472" s="39" t="s">
        <v>245</v>
      </c>
      <c r="L4472" s="40">
        <v>11.25</v>
      </c>
      <c r="M4472" s="40">
        <v>2058.85</v>
      </c>
      <c r="N4472" s="40">
        <f t="shared" si="171"/>
        <v>11.25</v>
      </c>
    </row>
    <row r="4473" spans="1:14" ht="12.75" hidden="1" customHeight="1" x14ac:dyDescent="0.2">
      <c r="A4473">
        <v>65020</v>
      </c>
      <c r="B4473" s="3" t="s">
        <v>1245</v>
      </c>
      <c r="C4473" s="7" t="s">
        <v>1555</v>
      </c>
      <c r="D4473" s="7" t="s">
        <v>221</v>
      </c>
      <c r="F4473" s="7" t="s">
        <v>297</v>
      </c>
      <c r="G4473" s="7" t="s">
        <v>1610</v>
      </c>
      <c r="H4473" s="7" t="s">
        <v>1362</v>
      </c>
      <c r="I4473" s="7" t="s">
        <v>1245</v>
      </c>
      <c r="K4473" s="39" t="s">
        <v>245</v>
      </c>
      <c r="L4473" s="40">
        <v>165</v>
      </c>
      <c r="M4473" s="40">
        <v>2252.1799999999998</v>
      </c>
      <c r="N4473" s="40">
        <f t="shared" si="171"/>
        <v>165</v>
      </c>
    </row>
    <row r="4474" spans="1:14" ht="12.75" hidden="1" customHeight="1" x14ac:dyDescent="0.2">
      <c r="A4474">
        <v>65025</v>
      </c>
      <c r="B4474" s="3" t="s">
        <v>1246</v>
      </c>
      <c r="C4474" s="7" t="s">
        <v>1680</v>
      </c>
      <c r="D4474" s="7" t="s">
        <v>221</v>
      </c>
      <c r="F4474" s="7" t="s">
        <v>336</v>
      </c>
      <c r="G4474" s="7" t="s">
        <v>1610</v>
      </c>
      <c r="H4474" s="7" t="s">
        <v>1362</v>
      </c>
      <c r="I4474" s="7" t="s">
        <v>1246</v>
      </c>
      <c r="K4474" s="39" t="s">
        <v>245</v>
      </c>
      <c r="L4474" s="40">
        <v>2</v>
      </c>
      <c r="M4474" s="40">
        <v>2737.05</v>
      </c>
      <c r="N4474" s="40">
        <f t="shared" si="171"/>
        <v>2</v>
      </c>
    </row>
    <row r="4475" spans="1:14" ht="12.75" hidden="1" customHeight="1" x14ac:dyDescent="0.2">
      <c r="A4475">
        <v>65030</v>
      </c>
      <c r="B4475" s="3" t="s">
        <v>1247</v>
      </c>
      <c r="C4475" s="7" t="s">
        <v>1686</v>
      </c>
      <c r="D4475" s="7" t="s">
        <v>221</v>
      </c>
      <c r="F4475" s="7" t="s">
        <v>973</v>
      </c>
      <c r="G4475" s="7" t="s">
        <v>1610</v>
      </c>
      <c r="H4475" s="7" t="s">
        <v>1362</v>
      </c>
      <c r="I4475" s="7" t="s">
        <v>1247</v>
      </c>
      <c r="K4475" s="39" t="s">
        <v>245</v>
      </c>
      <c r="L4475" s="40">
        <v>4.6399999999999997</v>
      </c>
      <c r="M4475" s="40">
        <v>2361.41</v>
      </c>
      <c r="N4475" s="40">
        <f t="shared" si="171"/>
        <v>4.6399999999999997</v>
      </c>
    </row>
    <row r="4476" spans="1:14" ht="12.75" hidden="1" customHeight="1" x14ac:dyDescent="0.2">
      <c r="A4476">
        <v>65030</v>
      </c>
      <c r="B4476" s="3" t="s">
        <v>1247</v>
      </c>
      <c r="C4476" s="7" t="s">
        <v>1686</v>
      </c>
      <c r="D4476" s="7" t="s">
        <v>221</v>
      </c>
      <c r="F4476" s="7" t="s">
        <v>973</v>
      </c>
      <c r="G4476" s="7" t="s">
        <v>1610</v>
      </c>
      <c r="H4476" s="7" t="s">
        <v>1362</v>
      </c>
      <c r="I4476" s="7" t="s">
        <v>1247</v>
      </c>
      <c r="K4476" s="39" t="s">
        <v>245</v>
      </c>
      <c r="L4476" s="40">
        <v>9.49</v>
      </c>
      <c r="M4476" s="40">
        <v>2370.9</v>
      </c>
      <c r="N4476" s="40">
        <f t="shared" si="171"/>
        <v>9.49</v>
      </c>
    </row>
    <row r="4477" spans="1:14" ht="12.75" hidden="1" customHeight="1" x14ac:dyDescent="0.2">
      <c r="A4477">
        <v>65030</v>
      </c>
      <c r="B4477" s="3" t="s">
        <v>1247</v>
      </c>
      <c r="C4477" s="7" t="s">
        <v>1562</v>
      </c>
      <c r="D4477" s="7" t="s">
        <v>221</v>
      </c>
      <c r="F4477" s="7" t="s">
        <v>286</v>
      </c>
      <c r="G4477" s="7" t="s">
        <v>1610</v>
      </c>
      <c r="H4477" s="7" t="s">
        <v>1362</v>
      </c>
      <c r="I4477" s="7" t="s">
        <v>1247</v>
      </c>
      <c r="K4477" s="39" t="s">
        <v>245</v>
      </c>
      <c r="L4477" s="40">
        <v>50</v>
      </c>
      <c r="M4477" s="40">
        <v>2420.9</v>
      </c>
      <c r="N4477" s="40">
        <f t="shared" si="171"/>
        <v>50</v>
      </c>
    </row>
    <row r="4478" spans="1:14" ht="12.75" hidden="1" customHeight="1" x14ac:dyDescent="0.2">
      <c r="A4478">
        <v>65030</v>
      </c>
      <c r="B4478" s="3" t="s">
        <v>1247</v>
      </c>
      <c r="C4478" s="7" t="s">
        <v>1583</v>
      </c>
      <c r="D4478" s="7" t="s">
        <v>221</v>
      </c>
      <c r="F4478" s="7" t="s">
        <v>973</v>
      </c>
      <c r="G4478" s="7" t="s">
        <v>1610</v>
      </c>
      <c r="H4478" s="7" t="s">
        <v>1362</v>
      </c>
      <c r="I4478" s="7" t="s">
        <v>1247</v>
      </c>
      <c r="K4478" s="39" t="s">
        <v>245</v>
      </c>
      <c r="L4478" s="40">
        <v>15.42</v>
      </c>
      <c r="M4478" s="40">
        <v>2785.33</v>
      </c>
      <c r="N4478" s="40">
        <f t="shared" si="171"/>
        <v>15.42</v>
      </c>
    </row>
    <row r="4479" spans="1:14" ht="12.75" hidden="1" customHeight="1" x14ac:dyDescent="0.2">
      <c r="A4479">
        <v>65030</v>
      </c>
      <c r="B4479" s="3" t="s">
        <v>1247</v>
      </c>
      <c r="C4479" s="7" t="s">
        <v>1553</v>
      </c>
      <c r="D4479" s="7" t="s">
        <v>221</v>
      </c>
      <c r="F4479" s="7" t="s">
        <v>336</v>
      </c>
      <c r="G4479" s="7" t="s">
        <v>1610</v>
      </c>
      <c r="H4479" s="7" t="s">
        <v>1362</v>
      </c>
      <c r="I4479" s="7" t="s">
        <v>1247</v>
      </c>
      <c r="K4479" s="39" t="s">
        <v>245</v>
      </c>
      <c r="L4479" s="40">
        <v>146.30000000000001</v>
      </c>
      <c r="M4479" s="40">
        <v>2993.23</v>
      </c>
      <c r="N4479" s="40">
        <f t="shared" si="171"/>
        <v>146.30000000000001</v>
      </c>
    </row>
    <row r="4480" spans="1:14" ht="12.75" hidden="1" customHeight="1" x14ac:dyDescent="0.2">
      <c r="A4480">
        <v>65030</v>
      </c>
      <c r="B4480" s="3" t="s">
        <v>1247</v>
      </c>
      <c r="C4480" s="7" t="s">
        <v>1585</v>
      </c>
      <c r="D4480" s="7" t="s">
        <v>221</v>
      </c>
      <c r="F4480" s="7" t="s">
        <v>336</v>
      </c>
      <c r="G4480" s="7" t="s">
        <v>1610</v>
      </c>
      <c r="H4480" s="7" t="s">
        <v>1362</v>
      </c>
      <c r="I4480" s="7" t="s">
        <v>1247</v>
      </c>
      <c r="K4480" s="39" t="s">
        <v>245</v>
      </c>
      <c r="L4480" s="40">
        <v>136.71</v>
      </c>
      <c r="M4480" s="40">
        <v>3129.94</v>
      </c>
      <c r="N4480" s="40">
        <f t="shared" si="171"/>
        <v>136.71</v>
      </c>
    </row>
    <row r="4481" spans="1:14" ht="12.75" hidden="1" customHeight="1" x14ac:dyDescent="0.2">
      <c r="A4481">
        <v>65030</v>
      </c>
      <c r="B4481" s="3" t="s">
        <v>1247</v>
      </c>
      <c r="C4481" s="7" t="s">
        <v>1555</v>
      </c>
      <c r="D4481" s="7" t="s">
        <v>221</v>
      </c>
      <c r="F4481" s="7" t="s">
        <v>973</v>
      </c>
      <c r="G4481" s="7" t="s">
        <v>1610</v>
      </c>
      <c r="H4481" s="7" t="s">
        <v>1362</v>
      </c>
      <c r="I4481" s="7" t="s">
        <v>1247</v>
      </c>
      <c r="K4481" s="39" t="s">
        <v>245</v>
      </c>
      <c r="L4481" s="40">
        <v>71.599999999999994</v>
      </c>
      <c r="M4481" s="40">
        <v>5142.3900000000003</v>
      </c>
      <c r="N4481" s="40">
        <f t="shared" si="171"/>
        <v>71.599999999999994</v>
      </c>
    </row>
    <row r="4482" spans="1:14" ht="12.75" hidden="1" customHeight="1" x14ac:dyDescent="0.2">
      <c r="A4482">
        <v>65030</v>
      </c>
      <c r="B4482" s="3" t="s">
        <v>1247</v>
      </c>
      <c r="C4482" s="7" t="s">
        <v>1703</v>
      </c>
      <c r="D4482" s="7" t="s">
        <v>221</v>
      </c>
      <c r="F4482" s="7" t="s">
        <v>1812</v>
      </c>
      <c r="G4482" s="7" t="s">
        <v>1610</v>
      </c>
      <c r="H4482" s="7" t="s">
        <v>1362</v>
      </c>
      <c r="I4482" s="7" t="s">
        <v>1247</v>
      </c>
      <c r="K4482" s="39" t="s">
        <v>245</v>
      </c>
      <c r="L4482" s="40">
        <v>2700</v>
      </c>
      <c r="M4482" s="40">
        <v>10998.43</v>
      </c>
      <c r="N4482" s="40">
        <f t="shared" si="171"/>
        <v>2700</v>
      </c>
    </row>
    <row r="4483" spans="1:14" ht="12.75" hidden="1" customHeight="1" x14ac:dyDescent="0.2">
      <c r="A4483">
        <v>65030</v>
      </c>
      <c r="B4483" s="3" t="s">
        <v>1247</v>
      </c>
      <c r="C4483" s="7" t="s">
        <v>1709</v>
      </c>
      <c r="D4483" s="7" t="s">
        <v>221</v>
      </c>
      <c r="F4483" s="7" t="s">
        <v>310</v>
      </c>
      <c r="G4483" s="7" t="s">
        <v>1610</v>
      </c>
      <c r="H4483" s="7" t="s">
        <v>1362</v>
      </c>
      <c r="I4483" s="7" t="s">
        <v>1247</v>
      </c>
      <c r="K4483" s="39" t="s">
        <v>245</v>
      </c>
      <c r="L4483" s="40">
        <v>973.56</v>
      </c>
      <c r="M4483" s="40">
        <v>11971.99</v>
      </c>
      <c r="N4483" s="40">
        <f t="shared" si="171"/>
        <v>973.56</v>
      </c>
    </row>
    <row r="4484" spans="1:14" ht="12.75" hidden="1" customHeight="1" x14ac:dyDescent="0.2">
      <c r="A4484">
        <v>65030</v>
      </c>
      <c r="B4484" s="3" t="s">
        <v>1247</v>
      </c>
      <c r="C4484" s="7" t="s">
        <v>1709</v>
      </c>
      <c r="D4484" s="7" t="s">
        <v>221</v>
      </c>
      <c r="F4484" s="7" t="s">
        <v>310</v>
      </c>
      <c r="G4484" s="7" t="s">
        <v>1610</v>
      </c>
      <c r="H4484" s="7" t="s">
        <v>1362</v>
      </c>
      <c r="I4484" s="7" t="s">
        <v>1247</v>
      </c>
      <c r="K4484" s="39" t="s">
        <v>245</v>
      </c>
      <c r="L4484" s="40">
        <v>102.66</v>
      </c>
      <c r="M4484" s="40">
        <v>12074.65</v>
      </c>
      <c r="N4484" s="40">
        <f t="shared" si="171"/>
        <v>102.66</v>
      </c>
    </row>
    <row r="4485" spans="1:14" ht="12.75" hidden="1" customHeight="1" x14ac:dyDescent="0.2">
      <c r="A4485">
        <v>65030</v>
      </c>
      <c r="B4485" s="3" t="s">
        <v>1247</v>
      </c>
      <c r="C4485" s="7" t="s">
        <v>1709</v>
      </c>
      <c r="D4485" s="7" t="s">
        <v>221</v>
      </c>
      <c r="F4485" s="7" t="s">
        <v>310</v>
      </c>
      <c r="G4485" s="7" t="s">
        <v>1610</v>
      </c>
      <c r="H4485" s="7" t="s">
        <v>1362</v>
      </c>
      <c r="I4485" s="7" t="s">
        <v>1247</v>
      </c>
      <c r="K4485" s="39" t="s">
        <v>245</v>
      </c>
      <c r="L4485" s="40">
        <v>69.040000000000006</v>
      </c>
      <c r="M4485" s="40">
        <v>12143.69</v>
      </c>
      <c r="N4485" s="40">
        <f t="shared" si="171"/>
        <v>69.040000000000006</v>
      </c>
    </row>
    <row r="4486" spans="1:14" ht="12.75" hidden="1" customHeight="1" x14ac:dyDescent="0.2">
      <c r="A4486">
        <v>65036</v>
      </c>
      <c r="B4486" s="3" t="s">
        <v>1249</v>
      </c>
      <c r="C4486" s="7" t="s">
        <v>1631</v>
      </c>
      <c r="D4486" s="7" t="s">
        <v>221</v>
      </c>
      <c r="F4486" s="7" t="s">
        <v>1015</v>
      </c>
      <c r="G4486" s="7" t="s">
        <v>1610</v>
      </c>
      <c r="H4486" s="7" t="s">
        <v>1362</v>
      </c>
      <c r="I4486" s="7" t="s">
        <v>1249</v>
      </c>
      <c r="K4486" s="39" t="s">
        <v>245</v>
      </c>
      <c r="L4486" s="40">
        <v>22.22</v>
      </c>
      <c r="M4486" s="40">
        <v>7009.41</v>
      </c>
      <c r="N4486" s="40">
        <f t="shared" si="171"/>
        <v>22.22</v>
      </c>
    </row>
    <row r="4487" spans="1:14" ht="12.75" hidden="1" customHeight="1" x14ac:dyDescent="0.2">
      <c r="A4487">
        <v>65061</v>
      </c>
      <c r="B4487" s="3" t="s">
        <v>1844</v>
      </c>
      <c r="C4487" s="7" t="s">
        <v>1569</v>
      </c>
      <c r="D4487" s="7" t="s">
        <v>221</v>
      </c>
      <c r="F4487" s="7" t="s">
        <v>578</v>
      </c>
      <c r="G4487" s="7" t="s">
        <v>1610</v>
      </c>
      <c r="H4487" s="7" t="s">
        <v>1362</v>
      </c>
      <c r="I4487" s="7" t="s">
        <v>1253</v>
      </c>
      <c r="K4487" s="39" t="s">
        <v>245</v>
      </c>
      <c r="L4487" s="40">
        <v>36.950000000000003</v>
      </c>
      <c r="M4487" s="40">
        <v>219314.58</v>
      </c>
      <c r="N4487" s="40">
        <f t="shared" si="171"/>
        <v>36.950000000000003</v>
      </c>
    </row>
    <row r="4488" spans="1:14" ht="12.75" hidden="1" customHeight="1" x14ac:dyDescent="0.2">
      <c r="A4488">
        <v>65061</v>
      </c>
      <c r="B4488" s="3" t="s">
        <v>1844</v>
      </c>
      <c r="C4488" s="7" t="s">
        <v>1571</v>
      </c>
      <c r="D4488" s="7" t="s">
        <v>221</v>
      </c>
      <c r="F4488" s="7" t="s">
        <v>595</v>
      </c>
      <c r="G4488" s="7" t="s">
        <v>1610</v>
      </c>
      <c r="H4488" s="7" t="s">
        <v>1362</v>
      </c>
      <c r="I4488" s="7" t="s">
        <v>1253</v>
      </c>
      <c r="K4488" s="39" t="s">
        <v>245</v>
      </c>
      <c r="L4488" s="40">
        <v>43.69</v>
      </c>
      <c r="M4488" s="40">
        <v>222281.93</v>
      </c>
      <c r="N4488" s="40">
        <f t="shared" si="171"/>
        <v>43.69</v>
      </c>
    </row>
    <row r="4489" spans="1:14" ht="12.75" hidden="1" customHeight="1" x14ac:dyDescent="0.2">
      <c r="A4489">
        <v>65061</v>
      </c>
      <c r="B4489" s="3" t="s">
        <v>1844</v>
      </c>
      <c r="C4489" s="7" t="s">
        <v>1574</v>
      </c>
      <c r="D4489" s="7" t="s">
        <v>221</v>
      </c>
      <c r="F4489" s="7" t="s">
        <v>644</v>
      </c>
      <c r="G4489" s="7" t="s">
        <v>1610</v>
      </c>
      <c r="H4489" s="7" t="s">
        <v>1362</v>
      </c>
      <c r="I4489" s="7" t="s">
        <v>1253</v>
      </c>
      <c r="K4489" s="39" t="s">
        <v>245</v>
      </c>
      <c r="L4489" s="40">
        <v>45.94</v>
      </c>
      <c r="M4489" s="40">
        <v>222698.64</v>
      </c>
      <c r="N4489" s="40">
        <f t="shared" si="171"/>
        <v>45.94</v>
      </c>
    </row>
    <row r="4490" spans="1:14" ht="12.75" hidden="1" customHeight="1" x14ac:dyDescent="0.2">
      <c r="A4490">
        <v>65061</v>
      </c>
      <c r="B4490" s="3" t="s">
        <v>1844</v>
      </c>
      <c r="C4490" s="7" t="s">
        <v>1576</v>
      </c>
      <c r="D4490" s="7" t="s">
        <v>221</v>
      </c>
      <c r="F4490" s="7" t="s">
        <v>970</v>
      </c>
      <c r="G4490" s="7" t="s">
        <v>1610</v>
      </c>
      <c r="H4490" s="7" t="s">
        <v>1362</v>
      </c>
      <c r="I4490" s="7" t="s">
        <v>1253</v>
      </c>
      <c r="K4490" s="39" t="s">
        <v>245</v>
      </c>
      <c r="L4490" s="40">
        <v>3409.93</v>
      </c>
      <c r="M4490" s="40">
        <v>231864.71</v>
      </c>
      <c r="N4490" s="40">
        <f t="shared" si="171"/>
        <v>3409.93</v>
      </c>
    </row>
    <row r="4491" spans="1:14" ht="12.75" hidden="1" customHeight="1" x14ac:dyDescent="0.2">
      <c r="A4491">
        <v>65061</v>
      </c>
      <c r="B4491" s="3" t="s">
        <v>1844</v>
      </c>
      <c r="C4491" s="7" t="s">
        <v>1576</v>
      </c>
      <c r="D4491" s="7" t="s">
        <v>221</v>
      </c>
      <c r="F4491" s="7" t="s">
        <v>906</v>
      </c>
      <c r="G4491" s="7" t="s">
        <v>1610</v>
      </c>
      <c r="H4491" s="7" t="s">
        <v>1362</v>
      </c>
      <c r="I4491" s="7" t="s">
        <v>1253</v>
      </c>
      <c r="K4491" s="39" t="s">
        <v>245</v>
      </c>
      <c r="L4491" s="40">
        <v>100.27</v>
      </c>
      <c r="M4491" s="40">
        <v>231964.98</v>
      </c>
      <c r="N4491" s="40">
        <f t="shared" si="171"/>
        <v>100.27</v>
      </c>
    </row>
    <row r="4492" spans="1:14" ht="12.75" hidden="1" customHeight="1" x14ac:dyDescent="0.2">
      <c r="A4492">
        <v>65061</v>
      </c>
      <c r="B4492" s="3" t="s">
        <v>1844</v>
      </c>
      <c r="C4492" s="7" t="s">
        <v>1553</v>
      </c>
      <c r="D4492" s="7" t="s">
        <v>221</v>
      </c>
      <c r="F4492" s="7" t="s">
        <v>644</v>
      </c>
      <c r="G4492" s="7" t="s">
        <v>1610</v>
      </c>
      <c r="H4492" s="7" t="s">
        <v>1362</v>
      </c>
      <c r="I4492" s="7" t="s">
        <v>1253</v>
      </c>
      <c r="K4492" s="39" t="s">
        <v>245</v>
      </c>
      <c r="L4492" s="40">
        <v>135.16999999999999</v>
      </c>
      <c r="M4492" s="40">
        <v>236385.01</v>
      </c>
      <c r="N4492" s="40">
        <f t="shared" si="171"/>
        <v>135.16999999999999</v>
      </c>
    </row>
    <row r="4493" spans="1:14" ht="12.75" hidden="1" customHeight="1" x14ac:dyDescent="0.2">
      <c r="A4493">
        <v>65061</v>
      </c>
      <c r="B4493" s="3" t="s">
        <v>1844</v>
      </c>
      <c r="C4493" s="7" t="s">
        <v>1585</v>
      </c>
      <c r="D4493" s="7" t="s">
        <v>221</v>
      </c>
      <c r="F4493" s="7" t="s">
        <v>644</v>
      </c>
      <c r="G4493" s="7" t="s">
        <v>1610</v>
      </c>
      <c r="H4493" s="7" t="s">
        <v>1362</v>
      </c>
      <c r="I4493" s="7" t="s">
        <v>1253</v>
      </c>
      <c r="K4493" s="39" t="s">
        <v>245</v>
      </c>
      <c r="L4493" s="40">
        <v>93.96</v>
      </c>
      <c r="M4493" s="40">
        <v>236866.97</v>
      </c>
      <c r="N4493" s="40">
        <f t="shared" si="171"/>
        <v>93.96</v>
      </c>
    </row>
    <row r="4494" spans="1:14" ht="12.75" hidden="1" customHeight="1" x14ac:dyDescent="0.2">
      <c r="A4494">
        <v>65061</v>
      </c>
      <c r="B4494" s="3" t="s">
        <v>1844</v>
      </c>
      <c r="C4494" s="7" t="s">
        <v>1587</v>
      </c>
      <c r="D4494" s="7" t="s">
        <v>221</v>
      </c>
      <c r="F4494" s="7" t="s">
        <v>578</v>
      </c>
      <c r="G4494" s="7" t="s">
        <v>1610</v>
      </c>
      <c r="H4494" s="7" t="s">
        <v>1362</v>
      </c>
      <c r="I4494" s="7" t="s">
        <v>1253</v>
      </c>
      <c r="K4494" s="39" t="s">
        <v>245</v>
      </c>
      <c r="L4494" s="40">
        <v>35.869999999999997</v>
      </c>
      <c r="M4494" s="40">
        <v>237190.14</v>
      </c>
      <c r="N4494" s="40">
        <f t="shared" si="171"/>
        <v>35.869999999999997</v>
      </c>
    </row>
    <row r="4495" spans="1:14" ht="12.75" hidden="1" customHeight="1" x14ac:dyDescent="0.2">
      <c r="A4495">
        <v>65061</v>
      </c>
      <c r="B4495" s="3" t="s">
        <v>1844</v>
      </c>
      <c r="C4495" s="7" t="s">
        <v>1821</v>
      </c>
      <c r="D4495" s="7" t="s">
        <v>221</v>
      </c>
      <c r="F4495" s="7" t="s">
        <v>1895</v>
      </c>
      <c r="G4495" s="7" t="s">
        <v>1610</v>
      </c>
      <c r="H4495" s="7" t="s">
        <v>1362</v>
      </c>
      <c r="I4495" s="7" t="s">
        <v>1253</v>
      </c>
      <c r="K4495" s="39" t="s">
        <v>245</v>
      </c>
      <c r="L4495" s="40">
        <v>158.4</v>
      </c>
      <c r="M4495" s="40">
        <v>237704.97</v>
      </c>
      <c r="N4495" s="40">
        <f t="shared" ref="N4495:N4526" si="172">+L4495</f>
        <v>158.4</v>
      </c>
    </row>
    <row r="4496" spans="1:14" ht="12.75" hidden="1" customHeight="1" x14ac:dyDescent="0.2">
      <c r="A4496">
        <v>65061</v>
      </c>
      <c r="B4496" s="3" t="s">
        <v>1844</v>
      </c>
      <c r="C4496" s="7" t="s">
        <v>1555</v>
      </c>
      <c r="D4496" s="7" t="s">
        <v>221</v>
      </c>
      <c r="F4496" s="7" t="s">
        <v>1895</v>
      </c>
      <c r="G4496" s="7" t="s">
        <v>1610</v>
      </c>
      <c r="H4496" s="7" t="s">
        <v>1362</v>
      </c>
      <c r="I4496" s="7" t="s">
        <v>1253</v>
      </c>
      <c r="K4496" s="39" t="s">
        <v>245</v>
      </c>
      <c r="L4496" s="40">
        <v>150</v>
      </c>
      <c r="M4496" s="40">
        <v>239352.68</v>
      </c>
      <c r="N4496" s="40">
        <f t="shared" si="172"/>
        <v>150</v>
      </c>
    </row>
    <row r="4497" spans="1:14" ht="12.75" hidden="1" customHeight="1" x14ac:dyDescent="0.2">
      <c r="A4497">
        <v>65061</v>
      </c>
      <c r="B4497" s="3" t="s">
        <v>1844</v>
      </c>
      <c r="C4497" s="7" t="s">
        <v>1555</v>
      </c>
      <c r="D4497" s="7" t="s">
        <v>242</v>
      </c>
      <c r="F4497" s="7" t="s">
        <v>1895</v>
      </c>
      <c r="G4497" s="7" t="s">
        <v>1610</v>
      </c>
      <c r="H4497" s="7" t="s">
        <v>1362</v>
      </c>
      <c r="I4497" s="7" t="s">
        <v>1253</v>
      </c>
      <c r="K4497" s="39" t="s">
        <v>245</v>
      </c>
      <c r="L4497" s="40">
        <v>-158.4</v>
      </c>
      <c r="M4497" s="40">
        <v>239194.28</v>
      </c>
      <c r="N4497" s="40">
        <f t="shared" si="172"/>
        <v>-158.4</v>
      </c>
    </row>
    <row r="4498" spans="1:14" ht="12.75" hidden="1" customHeight="1" x14ac:dyDescent="0.2">
      <c r="A4498">
        <v>65061</v>
      </c>
      <c r="B4498" s="3" t="s">
        <v>1844</v>
      </c>
      <c r="C4498" s="7" t="s">
        <v>1795</v>
      </c>
      <c r="D4498" s="7" t="s">
        <v>221</v>
      </c>
      <c r="F4498" s="7" t="s">
        <v>644</v>
      </c>
      <c r="G4498" s="7" t="s">
        <v>1610</v>
      </c>
      <c r="H4498" s="7" t="s">
        <v>1362</v>
      </c>
      <c r="I4498" s="7" t="s">
        <v>1253</v>
      </c>
      <c r="K4498" s="39" t="s">
        <v>245</v>
      </c>
      <c r="L4498" s="40">
        <v>85.12</v>
      </c>
      <c r="M4498" s="40">
        <v>239776.48</v>
      </c>
      <c r="N4498" s="40">
        <f t="shared" si="172"/>
        <v>85.12</v>
      </c>
    </row>
    <row r="4499" spans="1:14" ht="12.75" hidden="1" customHeight="1" x14ac:dyDescent="0.2">
      <c r="A4499">
        <v>65061</v>
      </c>
      <c r="B4499" s="3" t="s">
        <v>1844</v>
      </c>
      <c r="C4499" s="7" t="s">
        <v>1742</v>
      </c>
      <c r="D4499" s="7" t="s">
        <v>242</v>
      </c>
      <c r="F4499" s="7" t="s">
        <v>713</v>
      </c>
      <c r="G4499" s="7" t="s">
        <v>1610</v>
      </c>
      <c r="H4499" s="7" t="s">
        <v>1362</v>
      </c>
      <c r="I4499" s="7" t="s">
        <v>1253</v>
      </c>
      <c r="K4499" s="39" t="s">
        <v>245</v>
      </c>
      <c r="L4499" s="40">
        <v>-28.1</v>
      </c>
      <c r="M4499" s="40">
        <v>242252.72</v>
      </c>
      <c r="N4499" s="40">
        <f t="shared" si="172"/>
        <v>-28.1</v>
      </c>
    </row>
    <row r="4500" spans="1:14" ht="12.75" hidden="1" customHeight="1" x14ac:dyDescent="0.2">
      <c r="A4500">
        <v>65061</v>
      </c>
      <c r="B4500" s="3" t="s">
        <v>1844</v>
      </c>
      <c r="C4500" s="7" t="s">
        <v>1742</v>
      </c>
      <c r="D4500" s="7" t="s">
        <v>221</v>
      </c>
      <c r="F4500" s="7" t="s">
        <v>616</v>
      </c>
      <c r="G4500" s="7" t="s">
        <v>1610</v>
      </c>
      <c r="H4500" s="7" t="s">
        <v>1362</v>
      </c>
      <c r="I4500" s="7" t="s">
        <v>1253</v>
      </c>
      <c r="K4500" s="39" t="s">
        <v>245</v>
      </c>
      <c r="L4500" s="40">
        <v>71.88</v>
      </c>
      <c r="M4500" s="40">
        <v>242324.6</v>
      </c>
      <c r="N4500" s="40">
        <f t="shared" si="172"/>
        <v>71.88</v>
      </c>
    </row>
    <row r="4501" spans="1:14" ht="12.75" hidden="1" customHeight="1" x14ac:dyDescent="0.2">
      <c r="A4501">
        <v>65061</v>
      </c>
      <c r="B4501" s="3" t="s">
        <v>1844</v>
      </c>
      <c r="C4501" s="7" t="s">
        <v>1742</v>
      </c>
      <c r="D4501" s="7" t="s">
        <v>221</v>
      </c>
      <c r="F4501" s="7" t="s">
        <v>644</v>
      </c>
      <c r="G4501" s="7" t="s">
        <v>1610</v>
      </c>
      <c r="H4501" s="7" t="s">
        <v>1362</v>
      </c>
      <c r="I4501" s="7" t="s">
        <v>1253</v>
      </c>
      <c r="K4501" s="39" t="s">
        <v>245</v>
      </c>
      <c r="L4501" s="40">
        <v>83.99</v>
      </c>
      <c r="M4501" s="40">
        <v>242408.59</v>
      </c>
      <c r="N4501" s="40">
        <f t="shared" si="172"/>
        <v>83.99</v>
      </c>
    </row>
    <row r="4502" spans="1:14" ht="12.75" hidden="1" customHeight="1" x14ac:dyDescent="0.2">
      <c r="A4502">
        <v>65061</v>
      </c>
      <c r="B4502" s="3" t="s">
        <v>1844</v>
      </c>
      <c r="C4502" s="7" t="s">
        <v>1742</v>
      </c>
      <c r="D4502" s="7" t="s">
        <v>221</v>
      </c>
      <c r="F4502" s="7" t="s">
        <v>1907</v>
      </c>
      <c r="G4502" s="7" t="s">
        <v>1610</v>
      </c>
      <c r="H4502" s="7" t="s">
        <v>1362</v>
      </c>
      <c r="I4502" s="7" t="s">
        <v>1253</v>
      </c>
      <c r="K4502" s="39" t="s">
        <v>245</v>
      </c>
      <c r="L4502" s="40">
        <v>200</v>
      </c>
      <c r="M4502" s="40">
        <v>242608.59</v>
      </c>
      <c r="N4502" s="40">
        <f t="shared" si="172"/>
        <v>200</v>
      </c>
    </row>
    <row r="4503" spans="1:14" ht="12.75" hidden="1" customHeight="1" x14ac:dyDescent="0.2">
      <c r="A4503">
        <v>65061</v>
      </c>
      <c r="B4503" s="3" t="s">
        <v>1844</v>
      </c>
      <c r="C4503" s="7" t="s">
        <v>1797</v>
      </c>
      <c r="D4503" s="7" t="s">
        <v>242</v>
      </c>
      <c r="F4503" s="7" t="s">
        <v>906</v>
      </c>
      <c r="G4503" s="7" t="s">
        <v>1610</v>
      </c>
      <c r="H4503" s="7" t="s">
        <v>1362</v>
      </c>
      <c r="I4503" s="7" t="s">
        <v>1253</v>
      </c>
      <c r="K4503" s="39" t="s">
        <v>245</v>
      </c>
      <c r="L4503" s="40">
        <v>-26.39</v>
      </c>
      <c r="M4503" s="40">
        <v>242633.23</v>
      </c>
      <c r="N4503" s="40">
        <f t="shared" si="172"/>
        <v>-26.39</v>
      </c>
    </row>
    <row r="4504" spans="1:14" ht="12.75" hidden="1" customHeight="1" x14ac:dyDescent="0.2">
      <c r="A4504">
        <v>65061</v>
      </c>
      <c r="B4504" s="3" t="s">
        <v>1844</v>
      </c>
      <c r="C4504" s="7" t="s">
        <v>1744</v>
      </c>
      <c r="D4504" s="7" t="s">
        <v>221</v>
      </c>
      <c r="F4504" s="7" t="s">
        <v>322</v>
      </c>
      <c r="G4504" s="7" t="s">
        <v>1610</v>
      </c>
      <c r="H4504" s="7" t="s">
        <v>1362</v>
      </c>
      <c r="I4504" s="7" t="s">
        <v>1253</v>
      </c>
      <c r="K4504" s="39" t="s">
        <v>245</v>
      </c>
      <c r="L4504" s="40">
        <v>105.95</v>
      </c>
      <c r="M4504" s="40">
        <v>242862.35</v>
      </c>
      <c r="N4504" s="40">
        <f t="shared" si="172"/>
        <v>105.95</v>
      </c>
    </row>
    <row r="4505" spans="1:14" ht="12.75" hidden="1" customHeight="1" x14ac:dyDescent="0.2">
      <c r="A4505">
        <v>65061</v>
      </c>
      <c r="B4505" s="3" t="s">
        <v>1844</v>
      </c>
      <c r="C4505" s="7" t="s">
        <v>1593</v>
      </c>
      <c r="D4505" s="7" t="s">
        <v>221</v>
      </c>
      <c r="F4505" s="7" t="s">
        <v>1909</v>
      </c>
      <c r="G4505" s="7" t="s">
        <v>1610</v>
      </c>
      <c r="H4505" s="7" t="s">
        <v>1362</v>
      </c>
      <c r="I4505" s="7" t="s">
        <v>1253</v>
      </c>
      <c r="K4505" s="39" t="s">
        <v>245</v>
      </c>
      <c r="L4505" s="40">
        <v>39.54</v>
      </c>
      <c r="M4505" s="40">
        <v>243475.71</v>
      </c>
      <c r="N4505" s="40">
        <f t="shared" si="172"/>
        <v>39.54</v>
      </c>
    </row>
    <row r="4506" spans="1:14" ht="12.75" hidden="1" customHeight="1" x14ac:dyDescent="0.2">
      <c r="A4506">
        <v>65061</v>
      </c>
      <c r="B4506" s="3" t="s">
        <v>1844</v>
      </c>
      <c r="C4506" s="7" t="s">
        <v>1593</v>
      </c>
      <c r="D4506" s="7" t="s">
        <v>221</v>
      </c>
      <c r="F4506" s="7" t="s">
        <v>644</v>
      </c>
      <c r="G4506" s="7" t="s">
        <v>1610</v>
      </c>
      <c r="H4506" s="7" t="s">
        <v>1362</v>
      </c>
      <c r="I4506" s="7" t="s">
        <v>1253</v>
      </c>
      <c r="K4506" s="39" t="s">
        <v>245</v>
      </c>
      <c r="L4506" s="40">
        <v>64.45</v>
      </c>
      <c r="M4506" s="40">
        <v>243822.41</v>
      </c>
      <c r="N4506" s="40">
        <f t="shared" si="172"/>
        <v>64.45</v>
      </c>
    </row>
    <row r="4507" spans="1:14" ht="12.75" hidden="1" customHeight="1" x14ac:dyDescent="0.2">
      <c r="A4507">
        <v>65061</v>
      </c>
      <c r="B4507" s="3" t="s">
        <v>1844</v>
      </c>
      <c r="C4507" s="7" t="s">
        <v>1593</v>
      </c>
      <c r="D4507" s="7" t="s">
        <v>242</v>
      </c>
      <c r="F4507" s="7" t="s">
        <v>713</v>
      </c>
      <c r="G4507" s="7" t="s">
        <v>1610</v>
      </c>
      <c r="H4507" s="7" t="s">
        <v>1362</v>
      </c>
      <c r="I4507" s="7" t="s">
        <v>1253</v>
      </c>
      <c r="K4507" s="39" t="s">
        <v>245</v>
      </c>
      <c r="L4507" s="40">
        <v>-39.99</v>
      </c>
      <c r="M4507" s="40">
        <v>243782.42</v>
      </c>
      <c r="N4507" s="40">
        <f t="shared" si="172"/>
        <v>-39.99</v>
      </c>
    </row>
    <row r="4508" spans="1:14" ht="12.75" hidden="1" customHeight="1" x14ac:dyDescent="0.2">
      <c r="A4508">
        <v>65061</v>
      </c>
      <c r="B4508" s="3" t="s">
        <v>1844</v>
      </c>
      <c r="C4508" s="7" t="s">
        <v>1593</v>
      </c>
      <c r="D4508" s="7" t="s">
        <v>221</v>
      </c>
      <c r="F4508" s="7" t="s">
        <v>644</v>
      </c>
      <c r="G4508" s="7" t="s">
        <v>1610</v>
      </c>
      <c r="H4508" s="7" t="s">
        <v>1362</v>
      </c>
      <c r="I4508" s="7" t="s">
        <v>1253</v>
      </c>
      <c r="K4508" s="39" t="s">
        <v>245</v>
      </c>
      <c r="L4508" s="40">
        <v>16.98</v>
      </c>
      <c r="M4508" s="40">
        <v>243799.4</v>
      </c>
      <c r="N4508" s="40">
        <f t="shared" si="172"/>
        <v>16.98</v>
      </c>
    </row>
    <row r="4509" spans="1:14" ht="12.75" hidden="1" customHeight="1" x14ac:dyDescent="0.2">
      <c r="A4509">
        <v>65061</v>
      </c>
      <c r="B4509" s="3" t="s">
        <v>1844</v>
      </c>
      <c r="C4509" s="7" t="s">
        <v>1593</v>
      </c>
      <c r="D4509" s="7" t="s">
        <v>221</v>
      </c>
      <c r="F4509" s="7" t="s">
        <v>1907</v>
      </c>
      <c r="G4509" s="7" t="s">
        <v>1610</v>
      </c>
      <c r="H4509" s="7" t="s">
        <v>1362</v>
      </c>
      <c r="I4509" s="7" t="s">
        <v>1253</v>
      </c>
      <c r="K4509" s="39" t="s">
        <v>245</v>
      </c>
      <c r="L4509" s="40">
        <v>28.6</v>
      </c>
      <c r="M4509" s="40">
        <v>243828</v>
      </c>
      <c r="N4509" s="40">
        <f t="shared" si="172"/>
        <v>28.6</v>
      </c>
    </row>
    <row r="4510" spans="1:14" ht="12.75" hidden="1" customHeight="1" x14ac:dyDescent="0.2">
      <c r="A4510">
        <v>65061</v>
      </c>
      <c r="B4510" s="3" t="s">
        <v>1844</v>
      </c>
      <c r="C4510" s="7" t="s">
        <v>1593</v>
      </c>
      <c r="D4510" s="7" t="s">
        <v>221</v>
      </c>
      <c r="F4510" s="7" t="s">
        <v>644</v>
      </c>
      <c r="G4510" s="7" t="s">
        <v>1610</v>
      </c>
      <c r="H4510" s="7" t="s">
        <v>1362</v>
      </c>
      <c r="I4510" s="7" t="s">
        <v>1253</v>
      </c>
      <c r="K4510" s="39" t="s">
        <v>245</v>
      </c>
      <c r="L4510" s="40">
        <v>39.99</v>
      </c>
      <c r="M4510" s="40">
        <v>243925.99</v>
      </c>
      <c r="N4510" s="40">
        <f t="shared" si="172"/>
        <v>39.99</v>
      </c>
    </row>
    <row r="4511" spans="1:14" ht="12.75" hidden="1" customHeight="1" x14ac:dyDescent="0.2">
      <c r="A4511">
        <v>65061</v>
      </c>
      <c r="B4511" s="3" t="s">
        <v>1844</v>
      </c>
      <c r="C4511" s="7" t="s">
        <v>1658</v>
      </c>
      <c r="D4511" s="7" t="s">
        <v>242</v>
      </c>
      <c r="F4511" s="7" t="s">
        <v>906</v>
      </c>
      <c r="G4511" s="7" t="s">
        <v>1610</v>
      </c>
      <c r="H4511" s="7" t="s">
        <v>1362</v>
      </c>
      <c r="I4511" s="7" t="s">
        <v>1253</v>
      </c>
      <c r="K4511" s="39" t="s">
        <v>245</v>
      </c>
      <c r="L4511" s="40">
        <v>-45.39</v>
      </c>
      <c r="M4511" s="40">
        <v>245562.27</v>
      </c>
      <c r="N4511" s="40">
        <f t="shared" si="172"/>
        <v>-45.39</v>
      </c>
    </row>
    <row r="4512" spans="1:14" ht="12.75" hidden="1" customHeight="1" x14ac:dyDescent="0.2">
      <c r="A4512">
        <v>65061</v>
      </c>
      <c r="B4512" s="3" t="s">
        <v>1844</v>
      </c>
      <c r="C4512" s="7" t="s">
        <v>1759</v>
      </c>
      <c r="D4512" s="7" t="s">
        <v>242</v>
      </c>
      <c r="F4512" s="7" t="s">
        <v>563</v>
      </c>
      <c r="G4512" s="7" t="s">
        <v>1610</v>
      </c>
      <c r="H4512" s="7" t="s">
        <v>1362</v>
      </c>
      <c r="I4512" s="7" t="s">
        <v>1253</v>
      </c>
      <c r="K4512" s="39" t="s">
        <v>245</v>
      </c>
      <c r="L4512" s="40">
        <v>-42.99</v>
      </c>
      <c r="M4512" s="40">
        <v>250667.7</v>
      </c>
      <c r="N4512" s="40">
        <f t="shared" si="172"/>
        <v>-42.99</v>
      </c>
    </row>
    <row r="4513" spans="1:14" ht="12.75" hidden="1" customHeight="1" x14ac:dyDescent="0.2">
      <c r="A4513">
        <v>65061</v>
      </c>
      <c r="B4513" s="3" t="s">
        <v>1844</v>
      </c>
      <c r="C4513" s="7" t="s">
        <v>1746</v>
      </c>
      <c r="D4513" s="7" t="s">
        <v>221</v>
      </c>
      <c r="F4513" s="7" t="s">
        <v>1940</v>
      </c>
      <c r="G4513" s="7" t="s">
        <v>1610</v>
      </c>
      <c r="H4513" s="7" t="s">
        <v>1362</v>
      </c>
      <c r="I4513" s="7" t="s">
        <v>1253</v>
      </c>
      <c r="K4513" s="39" t="s">
        <v>245</v>
      </c>
      <c r="L4513" s="40">
        <v>59.98</v>
      </c>
      <c r="M4513" s="40">
        <v>257770.26</v>
      </c>
      <c r="N4513" s="40">
        <f t="shared" si="172"/>
        <v>59.98</v>
      </c>
    </row>
    <row r="4514" spans="1:14" ht="12.75" hidden="1" customHeight="1" x14ac:dyDescent="0.2">
      <c r="A4514">
        <v>65061</v>
      </c>
      <c r="B4514" s="3" t="s">
        <v>1844</v>
      </c>
      <c r="C4514" s="7" t="s">
        <v>1786</v>
      </c>
      <c r="D4514" s="7" t="s">
        <v>221</v>
      </c>
      <c r="F4514" s="7" t="s">
        <v>624</v>
      </c>
      <c r="G4514" s="7" t="s">
        <v>1610</v>
      </c>
      <c r="H4514" s="7" t="s">
        <v>1362</v>
      </c>
      <c r="I4514" s="7" t="s">
        <v>1253</v>
      </c>
      <c r="K4514" s="39" t="s">
        <v>245</v>
      </c>
      <c r="L4514" s="40">
        <v>31.41</v>
      </c>
      <c r="M4514" s="40">
        <v>257945.01</v>
      </c>
      <c r="N4514" s="40">
        <f t="shared" si="172"/>
        <v>31.41</v>
      </c>
    </row>
    <row r="4515" spans="1:14" ht="12.75" hidden="1" customHeight="1" x14ac:dyDescent="0.2">
      <c r="A4515">
        <v>65061</v>
      </c>
      <c r="B4515" s="3" t="s">
        <v>1844</v>
      </c>
      <c r="C4515" s="7" t="s">
        <v>1786</v>
      </c>
      <c r="D4515" s="7" t="s">
        <v>221</v>
      </c>
      <c r="F4515" s="7" t="s">
        <v>1940</v>
      </c>
      <c r="G4515" s="7" t="s">
        <v>1610</v>
      </c>
      <c r="H4515" s="7" t="s">
        <v>1362</v>
      </c>
      <c r="I4515" s="7" t="s">
        <v>1253</v>
      </c>
      <c r="K4515" s="39" t="s">
        <v>245</v>
      </c>
      <c r="L4515" s="40">
        <v>74.22</v>
      </c>
      <c r="M4515" s="40">
        <v>258019.23</v>
      </c>
      <c r="N4515" s="40">
        <f t="shared" si="172"/>
        <v>74.22</v>
      </c>
    </row>
    <row r="4516" spans="1:14" ht="12.75" hidden="1" customHeight="1" x14ac:dyDescent="0.2">
      <c r="A4516">
        <v>65061</v>
      </c>
      <c r="B4516" s="3" t="s">
        <v>1844</v>
      </c>
      <c r="C4516" s="7" t="s">
        <v>1613</v>
      </c>
      <c r="D4516" s="7" t="s">
        <v>221</v>
      </c>
      <c r="F4516" s="7" t="s">
        <v>970</v>
      </c>
      <c r="G4516" s="7" t="s">
        <v>1610</v>
      </c>
      <c r="H4516" s="7" t="s">
        <v>1362</v>
      </c>
      <c r="I4516" s="7" t="s">
        <v>1253</v>
      </c>
      <c r="K4516" s="39" t="s">
        <v>245</v>
      </c>
      <c r="L4516" s="40">
        <v>1128.6400000000001</v>
      </c>
      <c r="M4516" s="40">
        <v>266993.74</v>
      </c>
      <c r="N4516" s="40">
        <f t="shared" si="172"/>
        <v>1128.6400000000001</v>
      </c>
    </row>
    <row r="4517" spans="1:14" ht="12.75" hidden="1" customHeight="1" x14ac:dyDescent="0.2">
      <c r="A4517">
        <v>65061</v>
      </c>
      <c r="B4517" s="3" t="s">
        <v>1844</v>
      </c>
      <c r="C4517" s="7" t="s">
        <v>1616</v>
      </c>
      <c r="D4517" s="7" t="s">
        <v>221</v>
      </c>
      <c r="F4517" s="7" t="s">
        <v>589</v>
      </c>
      <c r="G4517" s="7" t="s">
        <v>1610</v>
      </c>
      <c r="H4517" s="7" t="s">
        <v>1362</v>
      </c>
      <c r="I4517" s="7" t="s">
        <v>1253</v>
      </c>
      <c r="K4517" s="39" t="s">
        <v>245</v>
      </c>
      <c r="L4517" s="40">
        <v>8.86</v>
      </c>
      <c r="M4517" s="40">
        <v>267622.08</v>
      </c>
      <c r="N4517" s="40">
        <f t="shared" si="172"/>
        <v>8.86</v>
      </c>
    </row>
    <row r="4518" spans="1:14" ht="12.75" hidden="1" customHeight="1" x14ac:dyDescent="0.2">
      <c r="A4518">
        <v>65061</v>
      </c>
      <c r="B4518" s="3" t="s">
        <v>1844</v>
      </c>
      <c r="C4518" s="7" t="s">
        <v>1616</v>
      </c>
      <c r="D4518" s="7" t="s">
        <v>221</v>
      </c>
      <c r="F4518" s="7" t="s">
        <v>589</v>
      </c>
      <c r="G4518" s="7" t="s">
        <v>1610</v>
      </c>
      <c r="H4518" s="7" t="s">
        <v>1362</v>
      </c>
      <c r="I4518" s="7" t="s">
        <v>1253</v>
      </c>
      <c r="K4518" s="39" t="s">
        <v>245</v>
      </c>
      <c r="L4518" s="40">
        <v>92.76</v>
      </c>
      <c r="M4518" s="40">
        <v>267714.84000000003</v>
      </c>
      <c r="N4518" s="40">
        <f t="shared" si="172"/>
        <v>92.76</v>
      </c>
    </row>
    <row r="4519" spans="1:14" ht="12.75" hidden="1" customHeight="1" x14ac:dyDescent="0.2">
      <c r="A4519">
        <v>65061</v>
      </c>
      <c r="B4519" s="3" t="s">
        <v>1844</v>
      </c>
      <c r="C4519" s="7" t="s">
        <v>1616</v>
      </c>
      <c r="D4519" s="7" t="s">
        <v>221</v>
      </c>
      <c r="F4519" s="7" t="s">
        <v>648</v>
      </c>
      <c r="G4519" s="7" t="s">
        <v>1610</v>
      </c>
      <c r="H4519" s="7" t="s">
        <v>1362</v>
      </c>
      <c r="I4519" s="7" t="s">
        <v>1253</v>
      </c>
      <c r="K4519" s="39" t="s">
        <v>245</v>
      </c>
      <c r="L4519" s="40">
        <v>15.82</v>
      </c>
      <c r="M4519" s="40">
        <v>267730.65999999997</v>
      </c>
      <c r="N4519" s="40">
        <f t="shared" si="172"/>
        <v>15.82</v>
      </c>
    </row>
    <row r="4520" spans="1:14" ht="12.75" hidden="1" customHeight="1" x14ac:dyDescent="0.2">
      <c r="A4520">
        <v>65061</v>
      </c>
      <c r="B4520" s="3" t="s">
        <v>1844</v>
      </c>
      <c r="C4520" s="7" t="s">
        <v>1616</v>
      </c>
      <c r="D4520" s="7" t="s">
        <v>221</v>
      </c>
      <c r="F4520" s="7" t="s">
        <v>648</v>
      </c>
      <c r="G4520" s="7" t="s">
        <v>1610</v>
      </c>
      <c r="H4520" s="7" t="s">
        <v>1362</v>
      </c>
      <c r="I4520" s="7" t="s">
        <v>1253</v>
      </c>
      <c r="K4520" s="39" t="s">
        <v>245</v>
      </c>
      <c r="L4520" s="40">
        <v>8.44</v>
      </c>
      <c r="M4520" s="40">
        <v>268384.90999999997</v>
      </c>
      <c r="N4520" s="40">
        <f t="shared" si="172"/>
        <v>8.44</v>
      </c>
    </row>
    <row r="4521" spans="1:14" ht="12.75" hidden="1" customHeight="1" x14ac:dyDescent="0.2">
      <c r="A4521">
        <v>65061</v>
      </c>
      <c r="B4521" s="3" t="s">
        <v>1844</v>
      </c>
      <c r="C4521" s="7" t="s">
        <v>1617</v>
      </c>
      <c r="D4521" s="7" t="s">
        <v>221</v>
      </c>
      <c r="F4521" s="7" t="s">
        <v>1950</v>
      </c>
      <c r="G4521" s="7" t="s">
        <v>1610</v>
      </c>
      <c r="H4521" s="7" t="s">
        <v>1362</v>
      </c>
      <c r="I4521" s="7" t="s">
        <v>1253</v>
      </c>
      <c r="K4521" s="39" t="s">
        <v>245</v>
      </c>
      <c r="L4521" s="40">
        <v>10.7</v>
      </c>
      <c r="M4521" s="40">
        <v>271319.26</v>
      </c>
      <c r="N4521" s="40">
        <f t="shared" si="172"/>
        <v>10.7</v>
      </c>
    </row>
    <row r="4522" spans="1:14" ht="12.75" hidden="1" customHeight="1" x14ac:dyDescent="0.2">
      <c r="A4522">
        <v>65061</v>
      </c>
      <c r="B4522" s="3" t="s">
        <v>1844</v>
      </c>
      <c r="C4522" s="7" t="s">
        <v>1617</v>
      </c>
      <c r="D4522" s="7" t="s">
        <v>221</v>
      </c>
      <c r="F4522" s="7" t="s">
        <v>568</v>
      </c>
      <c r="G4522" s="7" t="s">
        <v>1610</v>
      </c>
      <c r="H4522" s="7" t="s">
        <v>1362</v>
      </c>
      <c r="I4522" s="7" t="s">
        <v>1253</v>
      </c>
      <c r="K4522" s="39" t="s">
        <v>245</v>
      </c>
      <c r="L4522" s="40">
        <v>110.85</v>
      </c>
      <c r="M4522" s="40">
        <v>271430.11</v>
      </c>
      <c r="N4522" s="40">
        <f t="shared" si="172"/>
        <v>110.85</v>
      </c>
    </row>
    <row r="4523" spans="1:14" ht="12.75" hidden="1" customHeight="1" x14ac:dyDescent="0.2">
      <c r="A4523">
        <v>65061</v>
      </c>
      <c r="B4523" s="3" t="s">
        <v>1844</v>
      </c>
      <c r="C4523" s="7" t="s">
        <v>1663</v>
      </c>
      <c r="D4523" s="7" t="s">
        <v>221</v>
      </c>
      <c r="F4523" s="7" t="s">
        <v>352</v>
      </c>
      <c r="G4523" s="7" t="s">
        <v>1610</v>
      </c>
      <c r="H4523" s="7" t="s">
        <v>1362</v>
      </c>
      <c r="I4523" s="7" t="s">
        <v>1253</v>
      </c>
      <c r="K4523" s="39" t="s">
        <v>245</v>
      </c>
      <c r="L4523" s="40">
        <v>22.65</v>
      </c>
      <c r="M4523" s="40">
        <v>274515.68</v>
      </c>
      <c r="N4523" s="40">
        <f t="shared" si="172"/>
        <v>22.65</v>
      </c>
    </row>
    <row r="4524" spans="1:14" ht="12.75" hidden="1" customHeight="1" x14ac:dyDescent="0.2">
      <c r="A4524">
        <v>65061</v>
      </c>
      <c r="B4524" s="3" t="s">
        <v>1844</v>
      </c>
      <c r="C4524" s="7" t="s">
        <v>1709</v>
      </c>
      <c r="D4524" s="7" t="s">
        <v>221</v>
      </c>
      <c r="F4524" s="7" t="s">
        <v>241</v>
      </c>
      <c r="G4524" s="7" t="s">
        <v>1610</v>
      </c>
      <c r="H4524" s="7" t="s">
        <v>1362</v>
      </c>
      <c r="I4524" s="7" t="s">
        <v>1253</v>
      </c>
      <c r="K4524" s="39" t="s">
        <v>245</v>
      </c>
      <c r="L4524" s="40">
        <v>163.94</v>
      </c>
      <c r="M4524" s="40">
        <v>276856.52</v>
      </c>
      <c r="N4524" s="40">
        <f t="shared" si="172"/>
        <v>163.94</v>
      </c>
    </row>
    <row r="4525" spans="1:14" ht="12.75" hidden="1" customHeight="1" x14ac:dyDescent="0.2">
      <c r="A4525">
        <v>65061</v>
      </c>
      <c r="B4525" s="3" t="s">
        <v>1844</v>
      </c>
      <c r="C4525" s="7" t="s">
        <v>1622</v>
      </c>
      <c r="D4525" s="7" t="s">
        <v>221</v>
      </c>
      <c r="F4525" s="7" t="s">
        <v>241</v>
      </c>
      <c r="G4525" s="7" t="s">
        <v>1610</v>
      </c>
      <c r="H4525" s="7" t="s">
        <v>1362</v>
      </c>
      <c r="I4525" s="7" t="s">
        <v>1253</v>
      </c>
      <c r="K4525" s="39" t="s">
        <v>245</v>
      </c>
      <c r="L4525" s="40">
        <v>63.53</v>
      </c>
      <c r="M4525" s="40">
        <v>277322.36</v>
      </c>
      <c r="N4525" s="40">
        <f t="shared" si="172"/>
        <v>63.53</v>
      </c>
    </row>
    <row r="4526" spans="1:14" ht="12.75" hidden="1" customHeight="1" x14ac:dyDescent="0.2">
      <c r="A4526">
        <v>65061</v>
      </c>
      <c r="B4526" s="3" t="s">
        <v>1844</v>
      </c>
      <c r="C4526" s="7" t="s">
        <v>1760</v>
      </c>
      <c r="D4526" s="7" t="s">
        <v>221</v>
      </c>
      <c r="F4526" s="7" t="s">
        <v>1960</v>
      </c>
      <c r="G4526" s="7" t="s">
        <v>1610</v>
      </c>
      <c r="H4526" s="7" t="s">
        <v>1362</v>
      </c>
      <c r="I4526" s="7" t="s">
        <v>1253</v>
      </c>
      <c r="K4526" s="39" t="s">
        <v>245</v>
      </c>
      <c r="L4526" s="40">
        <v>47.52</v>
      </c>
      <c r="M4526" s="40">
        <v>278985.71999999997</v>
      </c>
      <c r="N4526" s="40">
        <f t="shared" si="172"/>
        <v>47.52</v>
      </c>
    </row>
    <row r="4527" spans="1:14" ht="12.75" hidden="1" customHeight="1" x14ac:dyDescent="0.2">
      <c r="A4527">
        <v>65061</v>
      </c>
      <c r="B4527" s="3" t="s">
        <v>1844</v>
      </c>
      <c r="C4527" s="7" t="s">
        <v>1760</v>
      </c>
      <c r="D4527" s="7" t="s">
        <v>221</v>
      </c>
      <c r="F4527" s="7" t="s">
        <v>589</v>
      </c>
      <c r="G4527" s="7" t="s">
        <v>1610</v>
      </c>
      <c r="H4527" s="7" t="s">
        <v>1362</v>
      </c>
      <c r="I4527" s="7" t="s">
        <v>1253</v>
      </c>
      <c r="K4527" s="39" t="s">
        <v>245</v>
      </c>
      <c r="L4527" s="40">
        <v>73.34</v>
      </c>
      <c r="M4527" s="40">
        <v>279059.06</v>
      </c>
      <c r="N4527" s="40">
        <f t="shared" ref="N4527:N4550" si="173">+L4527</f>
        <v>73.34</v>
      </c>
    </row>
    <row r="4528" spans="1:14" ht="12.75" hidden="1" customHeight="1" x14ac:dyDescent="0.2">
      <c r="A4528">
        <v>65061</v>
      </c>
      <c r="B4528" s="3" t="s">
        <v>1844</v>
      </c>
      <c r="C4528" s="7" t="s">
        <v>1760</v>
      </c>
      <c r="D4528" s="7" t="s">
        <v>221</v>
      </c>
      <c r="F4528" s="7" t="s">
        <v>624</v>
      </c>
      <c r="G4528" s="7" t="s">
        <v>1610</v>
      </c>
      <c r="H4528" s="7" t="s">
        <v>1362</v>
      </c>
      <c r="I4528" s="7" t="s">
        <v>1253</v>
      </c>
      <c r="K4528" s="39" t="s">
        <v>245</v>
      </c>
      <c r="L4528" s="40">
        <v>16.149999999999999</v>
      </c>
      <c r="M4528" s="40">
        <v>279075.21000000002</v>
      </c>
      <c r="N4528" s="40">
        <f t="shared" si="173"/>
        <v>16.149999999999999</v>
      </c>
    </row>
    <row r="4529" spans="1:14" ht="12.75" hidden="1" customHeight="1" x14ac:dyDescent="0.2">
      <c r="A4529">
        <v>65061</v>
      </c>
      <c r="B4529" s="3" t="s">
        <v>1844</v>
      </c>
      <c r="C4529" s="7" t="s">
        <v>1760</v>
      </c>
      <c r="D4529" s="7" t="s">
        <v>221</v>
      </c>
      <c r="F4529" s="7" t="s">
        <v>970</v>
      </c>
      <c r="G4529" s="7" t="s">
        <v>1610</v>
      </c>
      <c r="H4529" s="7" t="s">
        <v>1362</v>
      </c>
      <c r="I4529" s="7" t="s">
        <v>1253</v>
      </c>
      <c r="K4529" s="39" t="s">
        <v>245</v>
      </c>
      <c r="L4529" s="40">
        <v>47.5</v>
      </c>
      <c r="M4529" s="40">
        <v>279122.71000000002</v>
      </c>
      <c r="N4529" s="40">
        <f t="shared" si="173"/>
        <v>47.5</v>
      </c>
    </row>
    <row r="4530" spans="1:14" ht="12.75" hidden="1" customHeight="1" x14ac:dyDescent="0.2">
      <c r="A4530">
        <v>65061</v>
      </c>
      <c r="B4530" s="3" t="s">
        <v>1844</v>
      </c>
      <c r="C4530" s="7" t="s">
        <v>1760</v>
      </c>
      <c r="D4530" s="7" t="s">
        <v>221</v>
      </c>
      <c r="F4530" s="7" t="s">
        <v>241</v>
      </c>
      <c r="G4530" s="7" t="s">
        <v>1610</v>
      </c>
      <c r="H4530" s="7" t="s">
        <v>1362</v>
      </c>
      <c r="I4530" s="7" t="s">
        <v>1253</v>
      </c>
      <c r="K4530" s="39" t="s">
        <v>245</v>
      </c>
      <c r="L4530" s="40">
        <v>45.97</v>
      </c>
      <c r="M4530" s="40">
        <v>279168.68</v>
      </c>
      <c r="N4530" s="40">
        <f t="shared" si="173"/>
        <v>45.97</v>
      </c>
    </row>
    <row r="4531" spans="1:14" ht="12.75" hidden="1" customHeight="1" x14ac:dyDescent="0.2">
      <c r="A4531">
        <v>65061</v>
      </c>
      <c r="B4531" s="3" t="s">
        <v>1844</v>
      </c>
      <c r="C4531" s="7" t="s">
        <v>1760</v>
      </c>
      <c r="D4531" s="7" t="s">
        <v>221</v>
      </c>
      <c r="F4531" s="7" t="s">
        <v>371</v>
      </c>
      <c r="G4531" s="7" t="s">
        <v>1610</v>
      </c>
      <c r="H4531" s="7" t="s">
        <v>1362</v>
      </c>
      <c r="I4531" s="7" t="s">
        <v>1253</v>
      </c>
      <c r="K4531" s="39" t="s">
        <v>245</v>
      </c>
      <c r="L4531" s="40">
        <v>606.5</v>
      </c>
      <c r="M4531" s="40">
        <v>279775.18</v>
      </c>
      <c r="N4531" s="40">
        <f t="shared" si="173"/>
        <v>606.5</v>
      </c>
    </row>
    <row r="4532" spans="1:14" ht="12.75" hidden="1" customHeight="1" x14ac:dyDescent="0.2">
      <c r="A4532">
        <v>65061</v>
      </c>
      <c r="B4532" s="3" t="s">
        <v>1844</v>
      </c>
      <c r="C4532" s="7" t="s">
        <v>1761</v>
      </c>
      <c r="D4532" s="7" t="s">
        <v>221</v>
      </c>
      <c r="F4532" s="7" t="s">
        <v>241</v>
      </c>
      <c r="G4532" s="7" t="s">
        <v>1610</v>
      </c>
      <c r="H4532" s="7" t="s">
        <v>1362</v>
      </c>
      <c r="I4532" s="7" t="s">
        <v>1253</v>
      </c>
      <c r="K4532" s="39" t="s">
        <v>245</v>
      </c>
      <c r="L4532" s="40">
        <v>104.08</v>
      </c>
      <c r="M4532" s="40">
        <v>280819.84000000003</v>
      </c>
      <c r="N4532" s="40">
        <f t="shared" si="173"/>
        <v>104.08</v>
      </c>
    </row>
    <row r="4533" spans="1:14" ht="12.75" hidden="1" customHeight="1" x14ac:dyDescent="0.2">
      <c r="A4533">
        <v>65061</v>
      </c>
      <c r="B4533" s="3" t="s">
        <v>1844</v>
      </c>
      <c r="C4533" s="7" t="s">
        <v>1624</v>
      </c>
      <c r="D4533" s="7" t="s">
        <v>221</v>
      </c>
      <c r="F4533" s="7" t="s">
        <v>589</v>
      </c>
      <c r="G4533" s="7" t="s">
        <v>1610</v>
      </c>
      <c r="H4533" s="7" t="s">
        <v>1362</v>
      </c>
      <c r="I4533" s="7" t="s">
        <v>1253</v>
      </c>
      <c r="K4533" s="39" t="s">
        <v>245</v>
      </c>
      <c r="L4533" s="40">
        <v>67.459999999999994</v>
      </c>
      <c r="M4533" s="40">
        <v>285650.19</v>
      </c>
      <c r="N4533" s="40">
        <f t="shared" si="173"/>
        <v>67.459999999999994</v>
      </c>
    </row>
    <row r="4534" spans="1:14" ht="12.75" hidden="1" customHeight="1" x14ac:dyDescent="0.2">
      <c r="A4534">
        <v>65061</v>
      </c>
      <c r="B4534" s="3" t="s">
        <v>1844</v>
      </c>
      <c r="C4534" s="7" t="s">
        <v>1624</v>
      </c>
      <c r="D4534" s="7" t="s">
        <v>221</v>
      </c>
      <c r="F4534" s="7" t="s">
        <v>573</v>
      </c>
      <c r="G4534" s="7" t="s">
        <v>1610</v>
      </c>
      <c r="H4534" s="7" t="s">
        <v>1362</v>
      </c>
      <c r="I4534" s="7" t="s">
        <v>1253</v>
      </c>
      <c r="K4534" s="39" t="s">
        <v>245</v>
      </c>
      <c r="L4534" s="40">
        <v>49</v>
      </c>
      <c r="M4534" s="40">
        <v>285699.19</v>
      </c>
      <c r="N4534" s="40">
        <f t="shared" si="173"/>
        <v>49</v>
      </c>
    </row>
    <row r="4535" spans="1:14" ht="12.75" hidden="1" customHeight="1" x14ac:dyDescent="0.2">
      <c r="A4535">
        <v>65061</v>
      </c>
      <c r="B4535" s="3" t="s">
        <v>1844</v>
      </c>
      <c r="C4535" s="7" t="s">
        <v>1624</v>
      </c>
      <c r="D4535" s="7" t="s">
        <v>221</v>
      </c>
      <c r="F4535" s="7" t="s">
        <v>644</v>
      </c>
      <c r="G4535" s="7" t="s">
        <v>1610</v>
      </c>
      <c r="H4535" s="7" t="s">
        <v>1362</v>
      </c>
      <c r="I4535" s="7" t="s">
        <v>1253</v>
      </c>
      <c r="K4535" s="39" t="s">
        <v>245</v>
      </c>
      <c r="L4535" s="40">
        <v>163.97</v>
      </c>
      <c r="M4535" s="40">
        <v>285863.15999999997</v>
      </c>
      <c r="N4535" s="40">
        <f t="shared" si="173"/>
        <v>163.97</v>
      </c>
    </row>
    <row r="4536" spans="1:14" ht="12.75" hidden="1" customHeight="1" x14ac:dyDescent="0.2">
      <c r="A4536">
        <v>65061</v>
      </c>
      <c r="B4536" s="3" t="s">
        <v>1844</v>
      </c>
      <c r="C4536" s="7" t="s">
        <v>1626</v>
      </c>
      <c r="D4536" s="7" t="s">
        <v>200</v>
      </c>
      <c r="E4536" s="7">
        <v>1072</v>
      </c>
      <c r="F4536" s="7" t="s">
        <v>1965</v>
      </c>
      <c r="G4536" s="7" t="s">
        <v>1610</v>
      </c>
      <c r="H4536" s="7" t="s">
        <v>1362</v>
      </c>
      <c r="I4536" s="7" t="s">
        <v>1253</v>
      </c>
      <c r="K4536" s="39" t="s">
        <v>245</v>
      </c>
      <c r="L4536" s="40">
        <v>171.85</v>
      </c>
      <c r="M4536" s="40">
        <v>287912.53000000003</v>
      </c>
      <c r="N4536" s="40">
        <f t="shared" si="173"/>
        <v>171.85</v>
      </c>
    </row>
    <row r="4537" spans="1:14" ht="12.75" hidden="1" customHeight="1" x14ac:dyDescent="0.2">
      <c r="A4537">
        <v>65061</v>
      </c>
      <c r="B4537" s="3" t="s">
        <v>1844</v>
      </c>
      <c r="C4537" s="7" t="s">
        <v>1626</v>
      </c>
      <c r="D4537" s="7" t="s">
        <v>221</v>
      </c>
      <c r="F4537" s="7" t="s">
        <v>644</v>
      </c>
      <c r="G4537" s="7" t="s">
        <v>1610</v>
      </c>
      <c r="H4537" s="7" t="s">
        <v>1362</v>
      </c>
      <c r="I4537" s="7" t="s">
        <v>1253</v>
      </c>
      <c r="K4537" s="39" t="s">
        <v>245</v>
      </c>
      <c r="L4537" s="40">
        <v>99.97</v>
      </c>
      <c r="M4537" s="40">
        <v>288146.46999999997</v>
      </c>
      <c r="N4537" s="40">
        <f t="shared" si="173"/>
        <v>99.97</v>
      </c>
    </row>
    <row r="4538" spans="1:14" ht="12.75" hidden="1" customHeight="1" x14ac:dyDescent="0.2">
      <c r="A4538">
        <v>65061</v>
      </c>
      <c r="B4538" s="3" t="s">
        <v>1844</v>
      </c>
      <c r="C4538" s="7" t="s">
        <v>1546</v>
      </c>
      <c r="D4538" s="7" t="s">
        <v>221</v>
      </c>
      <c r="F4538" s="7" t="s">
        <v>658</v>
      </c>
      <c r="G4538" s="7" t="s">
        <v>1610</v>
      </c>
      <c r="H4538" s="7" t="s">
        <v>1362</v>
      </c>
      <c r="I4538" s="7" t="s">
        <v>1253</v>
      </c>
      <c r="K4538" s="39" t="s">
        <v>245</v>
      </c>
      <c r="L4538" s="40">
        <v>106.66</v>
      </c>
      <c r="M4538" s="40">
        <v>288781.82</v>
      </c>
      <c r="N4538" s="40">
        <f t="shared" si="173"/>
        <v>106.66</v>
      </c>
    </row>
    <row r="4539" spans="1:14" ht="12.75" hidden="1" customHeight="1" x14ac:dyDescent="0.2">
      <c r="A4539">
        <v>65061</v>
      </c>
      <c r="B4539" s="3" t="s">
        <v>1844</v>
      </c>
      <c r="C4539" s="7" t="s">
        <v>1546</v>
      </c>
      <c r="D4539" s="7" t="s">
        <v>221</v>
      </c>
      <c r="F4539" s="7" t="s">
        <v>658</v>
      </c>
      <c r="G4539" s="7" t="s">
        <v>1610</v>
      </c>
      <c r="H4539" s="7" t="s">
        <v>1362</v>
      </c>
      <c r="I4539" s="7" t="s">
        <v>1253</v>
      </c>
      <c r="K4539" s="39" t="s">
        <v>245</v>
      </c>
      <c r="L4539" s="40">
        <v>20.69</v>
      </c>
      <c r="M4539" s="40">
        <v>288802.51</v>
      </c>
      <c r="N4539" s="40">
        <f t="shared" si="173"/>
        <v>20.69</v>
      </c>
    </row>
    <row r="4540" spans="1:14" ht="12.75" hidden="1" customHeight="1" x14ac:dyDescent="0.2">
      <c r="A4540">
        <v>65061</v>
      </c>
      <c r="B4540" s="3" t="s">
        <v>1844</v>
      </c>
      <c r="C4540" s="7" t="s">
        <v>1546</v>
      </c>
      <c r="D4540" s="7" t="s">
        <v>221</v>
      </c>
      <c r="F4540" s="7" t="s">
        <v>658</v>
      </c>
      <c r="G4540" s="7" t="s">
        <v>1610</v>
      </c>
      <c r="H4540" s="7" t="s">
        <v>1362</v>
      </c>
      <c r="I4540" s="7" t="s">
        <v>1253</v>
      </c>
      <c r="K4540" s="39" t="s">
        <v>245</v>
      </c>
      <c r="L4540" s="40">
        <v>5.44</v>
      </c>
      <c r="M4540" s="40">
        <v>288807.95</v>
      </c>
      <c r="N4540" s="40">
        <f t="shared" si="173"/>
        <v>5.44</v>
      </c>
    </row>
    <row r="4541" spans="1:14" ht="12.75" hidden="1" customHeight="1" x14ac:dyDescent="0.2">
      <c r="A4541">
        <v>65061</v>
      </c>
      <c r="B4541" s="3" t="s">
        <v>1844</v>
      </c>
      <c r="C4541" s="7" t="s">
        <v>1680</v>
      </c>
      <c r="D4541" s="7" t="s">
        <v>242</v>
      </c>
      <c r="F4541" s="7" t="s">
        <v>241</v>
      </c>
      <c r="G4541" s="7" t="s">
        <v>1610</v>
      </c>
      <c r="H4541" s="7" t="s">
        <v>1362</v>
      </c>
      <c r="I4541" s="7" t="s">
        <v>1253</v>
      </c>
      <c r="K4541" s="39" t="s">
        <v>245</v>
      </c>
      <c r="L4541" s="40">
        <v>-53.77</v>
      </c>
      <c r="M4541" s="40">
        <v>291402.90000000002</v>
      </c>
      <c r="N4541" s="40">
        <f t="shared" si="173"/>
        <v>-53.77</v>
      </c>
    </row>
    <row r="4542" spans="1:14" ht="12.75" hidden="1" customHeight="1" x14ac:dyDescent="0.2">
      <c r="A4542">
        <v>65061</v>
      </c>
      <c r="B4542" s="3" t="s">
        <v>1844</v>
      </c>
      <c r="C4542" s="7" t="s">
        <v>1638</v>
      </c>
      <c r="D4542" s="7" t="s">
        <v>242</v>
      </c>
      <c r="F4542" s="7" t="s">
        <v>713</v>
      </c>
      <c r="G4542" s="7" t="s">
        <v>1610</v>
      </c>
      <c r="H4542" s="7" t="s">
        <v>1362</v>
      </c>
      <c r="I4542" s="7" t="s">
        <v>1253</v>
      </c>
      <c r="K4542" s="39" t="s">
        <v>245</v>
      </c>
      <c r="L4542" s="40">
        <v>-163.97</v>
      </c>
      <c r="M4542" s="40">
        <v>296714.03999999998</v>
      </c>
      <c r="N4542" s="40">
        <f t="shared" si="173"/>
        <v>-163.97</v>
      </c>
    </row>
    <row r="4543" spans="1:14" ht="12.75" hidden="1" customHeight="1" x14ac:dyDescent="0.2">
      <c r="A4543">
        <v>65061</v>
      </c>
      <c r="B4543" s="3" t="s">
        <v>1844</v>
      </c>
      <c r="C4543" s="7" t="s">
        <v>1638</v>
      </c>
      <c r="D4543" s="7" t="s">
        <v>242</v>
      </c>
      <c r="F4543" s="7" t="s">
        <v>970</v>
      </c>
      <c r="G4543" s="7" t="s">
        <v>1610</v>
      </c>
      <c r="H4543" s="7" t="s">
        <v>1362</v>
      </c>
      <c r="I4543" s="7" t="s">
        <v>1253</v>
      </c>
      <c r="K4543" s="39" t="s">
        <v>245</v>
      </c>
      <c r="L4543" s="40">
        <v>-332.7</v>
      </c>
      <c r="M4543" s="40">
        <v>296381.34000000003</v>
      </c>
      <c r="N4543" s="40">
        <f t="shared" si="173"/>
        <v>-332.7</v>
      </c>
    </row>
    <row r="4544" spans="1:14" ht="12.75" hidden="1" customHeight="1" x14ac:dyDescent="0.2">
      <c r="A4544">
        <v>65090</v>
      </c>
      <c r="B4544" s="3" t="s">
        <v>1993</v>
      </c>
      <c r="C4544" s="7" t="s">
        <v>1640</v>
      </c>
      <c r="D4544" s="7" t="s">
        <v>200</v>
      </c>
      <c r="E4544" s="7">
        <v>1073</v>
      </c>
      <c r="F4544" s="7" t="s">
        <v>1997</v>
      </c>
      <c r="G4544" s="7" t="s">
        <v>1610</v>
      </c>
      <c r="H4544" s="7" t="s">
        <v>1362</v>
      </c>
      <c r="I4544" s="7" t="s">
        <v>1258</v>
      </c>
      <c r="K4544" s="39" t="s">
        <v>245</v>
      </c>
      <c r="L4544" s="40">
        <v>200</v>
      </c>
      <c r="M4544" s="40">
        <v>1889.62</v>
      </c>
      <c r="N4544" s="40">
        <f t="shared" si="173"/>
        <v>200</v>
      </c>
    </row>
    <row r="4545" spans="1:14" ht="12.75" hidden="1" customHeight="1" x14ac:dyDescent="0.2">
      <c r="A4545">
        <v>65095</v>
      </c>
      <c r="B4545" s="3" t="s">
        <v>1259</v>
      </c>
      <c r="C4545" s="7" t="s">
        <v>1543</v>
      </c>
      <c r="D4545" s="7" t="s">
        <v>183</v>
      </c>
      <c r="E4545" s="7">
        <v>672</v>
      </c>
      <c r="G4545" s="7" t="s">
        <v>1610</v>
      </c>
      <c r="H4545" s="43" t="s">
        <v>1361</v>
      </c>
      <c r="I4545" s="7" t="s">
        <v>1259</v>
      </c>
      <c r="J4545" s="39" t="s">
        <v>425</v>
      </c>
      <c r="K4545" s="39" t="s">
        <v>180</v>
      </c>
      <c r="L4545" s="40">
        <v>2.5</v>
      </c>
      <c r="M4545" s="40">
        <v>989.01</v>
      </c>
      <c r="N4545" s="40">
        <f t="shared" si="173"/>
        <v>2.5</v>
      </c>
    </row>
    <row r="4546" spans="1:14" ht="12.75" hidden="1" customHeight="1" x14ac:dyDescent="0.2">
      <c r="A4546">
        <v>65110</v>
      </c>
      <c r="B4546" s="3" t="s">
        <v>1261</v>
      </c>
      <c r="C4546" s="7" t="s">
        <v>1728</v>
      </c>
      <c r="D4546" s="7" t="s">
        <v>221</v>
      </c>
      <c r="F4546" s="7" t="s">
        <v>2011</v>
      </c>
      <c r="G4546" s="7" t="s">
        <v>1610</v>
      </c>
      <c r="H4546" s="7" t="s">
        <v>1362</v>
      </c>
      <c r="I4546" s="7" t="s">
        <v>1258</v>
      </c>
      <c r="K4546" s="39" t="s">
        <v>245</v>
      </c>
      <c r="L4546" s="40">
        <v>45</v>
      </c>
      <c r="M4546" s="40">
        <v>556.92999999999995</v>
      </c>
      <c r="N4546" s="40">
        <f t="shared" si="173"/>
        <v>45</v>
      </c>
    </row>
    <row r="4547" spans="1:14" ht="12.75" hidden="1" customHeight="1" x14ac:dyDescent="0.2">
      <c r="A4547">
        <v>66800</v>
      </c>
      <c r="B4547" s="3" t="s">
        <v>2021</v>
      </c>
      <c r="C4547" s="7" t="s">
        <v>1635</v>
      </c>
      <c r="D4547" s="7" t="s">
        <v>190</v>
      </c>
      <c r="E4547" s="7" t="s">
        <v>189</v>
      </c>
      <c r="F4547" s="7" t="s">
        <v>2023</v>
      </c>
      <c r="G4547" s="7" t="s">
        <v>2132</v>
      </c>
      <c r="H4547" s="7" t="s">
        <v>1362</v>
      </c>
      <c r="I4547" s="7" t="s">
        <v>1538</v>
      </c>
      <c r="J4547" s="39" t="s">
        <v>411</v>
      </c>
      <c r="K4547" s="39" t="s">
        <v>186</v>
      </c>
      <c r="L4547" s="40">
        <v>140.63</v>
      </c>
      <c r="M4547" s="40">
        <v>6727.48</v>
      </c>
      <c r="N4547" s="40">
        <f t="shared" si="173"/>
        <v>140.63</v>
      </c>
    </row>
    <row r="4548" spans="1:14" ht="12.75" hidden="1" customHeight="1" x14ac:dyDescent="0.2">
      <c r="A4548">
        <v>66800</v>
      </c>
      <c r="B4548" s="3" t="s">
        <v>2021</v>
      </c>
      <c r="C4548" s="7" t="s">
        <v>1664</v>
      </c>
      <c r="D4548" s="7" t="s">
        <v>190</v>
      </c>
      <c r="E4548" s="7" t="s">
        <v>189</v>
      </c>
      <c r="F4548" s="7" t="s">
        <v>2023</v>
      </c>
      <c r="G4548" s="7" t="s">
        <v>2132</v>
      </c>
      <c r="H4548" s="7" t="s">
        <v>1369</v>
      </c>
      <c r="I4548" s="7" t="s">
        <v>1538</v>
      </c>
      <c r="J4548" s="39" t="s">
        <v>411</v>
      </c>
      <c r="K4548" s="39" t="s">
        <v>186</v>
      </c>
      <c r="L4548" s="40">
        <v>140.62</v>
      </c>
      <c r="M4548" s="40">
        <v>7180.47</v>
      </c>
      <c r="N4548" s="40">
        <f t="shared" si="173"/>
        <v>140.62</v>
      </c>
    </row>
    <row r="4549" spans="1:14" ht="12.75" hidden="1" customHeight="1" x14ac:dyDescent="0.2">
      <c r="A4549">
        <v>66855</v>
      </c>
      <c r="B4549" s="3" t="s">
        <v>1265</v>
      </c>
      <c r="C4549" s="7" t="s">
        <v>1635</v>
      </c>
      <c r="D4549" s="7" t="s">
        <v>190</v>
      </c>
      <c r="E4549" s="7" t="s">
        <v>189</v>
      </c>
      <c r="F4549" s="7" t="s">
        <v>2023</v>
      </c>
      <c r="G4549" s="7" t="s">
        <v>2132</v>
      </c>
      <c r="H4549" s="7" t="s">
        <v>1362</v>
      </c>
      <c r="I4549" s="7" t="s">
        <v>1538</v>
      </c>
      <c r="J4549" s="39" t="s">
        <v>187</v>
      </c>
      <c r="K4549" s="39" t="s">
        <v>186</v>
      </c>
      <c r="L4549" s="40">
        <v>1250</v>
      </c>
      <c r="M4549" s="40">
        <v>23749.99</v>
      </c>
      <c r="N4549" s="40">
        <f t="shared" si="173"/>
        <v>1250</v>
      </c>
    </row>
    <row r="4550" spans="1:14" ht="12.75" hidden="1" customHeight="1" x14ac:dyDescent="0.2">
      <c r="A4550">
        <v>66855</v>
      </c>
      <c r="B4550" s="3" t="s">
        <v>1265</v>
      </c>
      <c r="C4550" s="7" t="s">
        <v>1664</v>
      </c>
      <c r="D4550" s="7" t="s">
        <v>190</v>
      </c>
      <c r="E4550" s="7" t="s">
        <v>189</v>
      </c>
      <c r="F4550" s="7" t="s">
        <v>2023</v>
      </c>
      <c r="G4550" s="7" t="s">
        <v>2132</v>
      </c>
      <c r="H4550" s="7" t="s">
        <v>1369</v>
      </c>
      <c r="I4550" s="7" t="s">
        <v>1538</v>
      </c>
      <c r="J4550" s="39" t="s">
        <v>187</v>
      </c>
      <c r="K4550" s="39" t="s">
        <v>186</v>
      </c>
      <c r="L4550" s="40">
        <v>1250</v>
      </c>
      <c r="M4550" s="40">
        <v>26576.87</v>
      </c>
      <c r="N4550" s="40">
        <f t="shared" si="173"/>
        <v>1250</v>
      </c>
    </row>
    <row r="4551" spans="1:14" ht="12.75" customHeight="1" x14ac:dyDescent="0.2">
      <c r="A4551">
        <v>46430</v>
      </c>
      <c r="B4551" s="3" t="s">
        <v>1231</v>
      </c>
      <c r="C4551" s="7" t="s">
        <v>1578</v>
      </c>
      <c r="D4551" s="7" t="s">
        <v>242</v>
      </c>
      <c r="F4551" s="7" t="s">
        <v>336</v>
      </c>
      <c r="G4551" s="7" t="s">
        <v>1734</v>
      </c>
      <c r="H4551" s="7" t="s">
        <v>1359</v>
      </c>
      <c r="I4551" s="7" t="s">
        <v>1231</v>
      </c>
      <c r="K4551" s="39" t="s">
        <v>750</v>
      </c>
      <c r="L4551" s="40">
        <v>0.19</v>
      </c>
      <c r="M4551" s="40">
        <v>66.260000000000005</v>
      </c>
      <c r="N4551" s="41">
        <f>-L4551</f>
        <v>-0.19</v>
      </c>
    </row>
    <row r="4552" spans="1:14" ht="12.75" customHeight="1" x14ac:dyDescent="0.2">
      <c r="A4552">
        <v>46430</v>
      </c>
      <c r="B4552" s="3" t="s">
        <v>1231</v>
      </c>
      <c r="C4552" s="7" t="s">
        <v>1658</v>
      </c>
      <c r="D4552" s="7" t="s">
        <v>242</v>
      </c>
      <c r="F4552" s="7" t="s">
        <v>336</v>
      </c>
      <c r="G4552" s="7" t="s">
        <v>1734</v>
      </c>
      <c r="H4552" s="7" t="s">
        <v>1359</v>
      </c>
      <c r="I4552" s="7" t="s">
        <v>1231</v>
      </c>
      <c r="K4552" s="39" t="s">
        <v>750</v>
      </c>
      <c r="L4552" s="40">
        <v>0.26</v>
      </c>
      <c r="M4552" s="40">
        <v>82.99</v>
      </c>
      <c r="N4552" s="41">
        <f>-L4552</f>
        <v>-0.26</v>
      </c>
    </row>
    <row r="4553" spans="1:14" ht="12.75" customHeight="1" x14ac:dyDescent="0.2">
      <c r="A4553">
        <v>46430</v>
      </c>
      <c r="B4553" s="3" t="s">
        <v>1231</v>
      </c>
      <c r="C4553" s="7" t="s">
        <v>1663</v>
      </c>
      <c r="D4553" s="7" t="s">
        <v>242</v>
      </c>
      <c r="F4553" s="7" t="s">
        <v>336</v>
      </c>
      <c r="G4553" s="7" t="s">
        <v>1734</v>
      </c>
      <c r="H4553" s="7" t="s">
        <v>1359</v>
      </c>
      <c r="I4553" s="7" t="s">
        <v>1231</v>
      </c>
      <c r="K4553" s="39" t="s">
        <v>750</v>
      </c>
      <c r="L4553" s="40">
        <v>0.24</v>
      </c>
      <c r="M4553" s="40">
        <v>89.8</v>
      </c>
      <c r="N4553" s="41">
        <f>-L4553</f>
        <v>-0.24</v>
      </c>
    </row>
    <row r="4554" spans="1:14" ht="12.75" customHeight="1" x14ac:dyDescent="0.2">
      <c r="A4554">
        <v>46430</v>
      </c>
      <c r="B4554" s="3" t="s">
        <v>1231</v>
      </c>
      <c r="C4554" s="7" t="s">
        <v>1664</v>
      </c>
      <c r="D4554" s="7" t="s">
        <v>242</v>
      </c>
      <c r="F4554" s="7" t="s">
        <v>336</v>
      </c>
      <c r="G4554" s="7" t="s">
        <v>1734</v>
      </c>
      <c r="H4554" s="7" t="s">
        <v>1359</v>
      </c>
      <c r="I4554" s="7" t="s">
        <v>1231</v>
      </c>
      <c r="K4554" s="39" t="s">
        <v>750</v>
      </c>
      <c r="L4554" s="40">
        <v>0.34</v>
      </c>
      <c r="M4554" s="40">
        <v>100.08</v>
      </c>
      <c r="N4554" s="41">
        <f>-L4554</f>
        <v>-0.34</v>
      </c>
    </row>
    <row r="4555" spans="1:14" ht="12.75" hidden="1" customHeight="1" x14ac:dyDescent="0.2">
      <c r="A4555">
        <v>65061</v>
      </c>
      <c r="B4555" s="3" t="s">
        <v>1844</v>
      </c>
      <c r="C4555" s="7" t="s">
        <v>1607</v>
      </c>
      <c r="D4555" s="7" t="s">
        <v>221</v>
      </c>
      <c r="F4555" s="7" t="s">
        <v>655</v>
      </c>
      <c r="G4555" s="7" t="s">
        <v>1734</v>
      </c>
      <c r="H4555" s="7" t="s">
        <v>1362</v>
      </c>
      <c r="I4555" s="7" t="s">
        <v>1253</v>
      </c>
      <c r="K4555" s="39" t="s">
        <v>750</v>
      </c>
      <c r="L4555" s="40">
        <v>142.05000000000001</v>
      </c>
      <c r="M4555" s="40">
        <v>253260.3</v>
      </c>
      <c r="N4555" s="40">
        <f t="shared" ref="N4555:N4579" si="174">+L4555</f>
        <v>142.05000000000001</v>
      </c>
    </row>
    <row r="4556" spans="1:14" ht="12.75" hidden="1" customHeight="1" x14ac:dyDescent="0.2">
      <c r="A4556">
        <v>65061</v>
      </c>
      <c r="B4556" s="3" t="s">
        <v>1844</v>
      </c>
      <c r="C4556" s="7" t="s">
        <v>1607</v>
      </c>
      <c r="D4556" s="7" t="s">
        <v>221</v>
      </c>
      <c r="F4556" s="7" t="s">
        <v>655</v>
      </c>
      <c r="G4556" s="7" t="s">
        <v>1734</v>
      </c>
      <c r="H4556" s="7" t="s">
        <v>1362</v>
      </c>
      <c r="I4556" s="7" t="s">
        <v>1253</v>
      </c>
      <c r="K4556" s="39" t="s">
        <v>750</v>
      </c>
      <c r="L4556" s="40">
        <v>37.979999999999997</v>
      </c>
      <c r="M4556" s="40">
        <v>253887.22</v>
      </c>
      <c r="N4556" s="40">
        <f t="shared" si="174"/>
        <v>37.979999999999997</v>
      </c>
    </row>
    <row r="4557" spans="1:14" ht="12.75" hidden="1" customHeight="1" x14ac:dyDescent="0.2">
      <c r="A4557">
        <v>65061</v>
      </c>
      <c r="B4557" s="3" t="s">
        <v>1844</v>
      </c>
      <c r="C4557" s="7" t="s">
        <v>1696</v>
      </c>
      <c r="D4557" s="7" t="s">
        <v>221</v>
      </c>
      <c r="F4557" s="7" t="s">
        <v>589</v>
      </c>
      <c r="G4557" s="7" t="s">
        <v>1734</v>
      </c>
      <c r="H4557" s="7" t="s">
        <v>1362</v>
      </c>
      <c r="I4557" s="7" t="s">
        <v>1253</v>
      </c>
      <c r="K4557" s="39" t="s">
        <v>750</v>
      </c>
      <c r="L4557" s="40">
        <v>90.21</v>
      </c>
      <c r="M4557" s="40">
        <v>254446.22</v>
      </c>
      <c r="N4557" s="40">
        <f t="shared" si="174"/>
        <v>90.21</v>
      </c>
    </row>
    <row r="4558" spans="1:14" ht="12.75" hidden="1" customHeight="1" x14ac:dyDescent="0.2">
      <c r="A4558">
        <v>65061</v>
      </c>
      <c r="B4558" s="3" t="s">
        <v>1844</v>
      </c>
      <c r="C4558" s="7" t="s">
        <v>1608</v>
      </c>
      <c r="D4558" s="7" t="s">
        <v>221</v>
      </c>
      <c r="F4558" s="7" t="s">
        <v>644</v>
      </c>
      <c r="G4558" s="7" t="s">
        <v>1734</v>
      </c>
      <c r="H4558" s="7" t="s">
        <v>1362</v>
      </c>
      <c r="I4558" s="7" t="s">
        <v>1253</v>
      </c>
      <c r="K4558" s="39" t="s">
        <v>750</v>
      </c>
      <c r="L4558" s="40">
        <v>39.36</v>
      </c>
      <c r="M4558" s="40">
        <v>255614.85</v>
      </c>
      <c r="N4558" s="40">
        <f t="shared" si="174"/>
        <v>39.36</v>
      </c>
    </row>
    <row r="4559" spans="1:14" ht="12.75" hidden="1" customHeight="1" x14ac:dyDescent="0.2">
      <c r="A4559">
        <v>65061</v>
      </c>
      <c r="B4559" s="3" t="s">
        <v>1844</v>
      </c>
      <c r="C4559" s="7" t="s">
        <v>1608</v>
      </c>
      <c r="D4559" s="7" t="s">
        <v>221</v>
      </c>
      <c r="F4559" s="7" t="s">
        <v>548</v>
      </c>
      <c r="G4559" s="7" t="s">
        <v>1734</v>
      </c>
      <c r="H4559" s="7" t="s">
        <v>1362</v>
      </c>
      <c r="I4559" s="7" t="s">
        <v>1253</v>
      </c>
      <c r="K4559" s="39" t="s">
        <v>750</v>
      </c>
      <c r="L4559" s="40">
        <v>159.43</v>
      </c>
      <c r="M4559" s="40">
        <v>255774.28</v>
      </c>
      <c r="N4559" s="40">
        <f t="shared" si="174"/>
        <v>159.43</v>
      </c>
    </row>
    <row r="4560" spans="1:14" ht="12.75" hidden="1" customHeight="1" x14ac:dyDescent="0.2">
      <c r="A4560">
        <v>65061</v>
      </c>
      <c r="B4560" s="3" t="s">
        <v>1844</v>
      </c>
      <c r="C4560" s="7" t="s">
        <v>1543</v>
      </c>
      <c r="D4560" s="7" t="s">
        <v>221</v>
      </c>
      <c r="F4560" s="7" t="s">
        <v>355</v>
      </c>
      <c r="G4560" s="7" t="s">
        <v>1734</v>
      </c>
      <c r="H4560" s="7" t="s">
        <v>1362</v>
      </c>
      <c r="I4560" s="7" t="s">
        <v>1253</v>
      </c>
      <c r="K4560" s="39" t="s">
        <v>750</v>
      </c>
      <c r="L4560" s="40">
        <v>16</v>
      </c>
      <c r="M4560" s="40">
        <v>256642.5</v>
      </c>
      <c r="N4560" s="40">
        <f t="shared" si="174"/>
        <v>16</v>
      </c>
    </row>
    <row r="4561" spans="1:14" ht="12.75" hidden="1" customHeight="1" x14ac:dyDescent="0.2">
      <c r="A4561">
        <v>65061</v>
      </c>
      <c r="B4561" s="3" t="s">
        <v>1844</v>
      </c>
      <c r="C4561" s="7" t="s">
        <v>1612</v>
      </c>
      <c r="D4561" s="7" t="s">
        <v>221</v>
      </c>
      <c r="F4561" s="7" t="s">
        <v>564</v>
      </c>
      <c r="G4561" s="7" t="s">
        <v>1734</v>
      </c>
      <c r="H4561" s="7" t="s">
        <v>1362</v>
      </c>
      <c r="I4561" s="7" t="s">
        <v>1253</v>
      </c>
      <c r="K4561" s="39" t="s">
        <v>750</v>
      </c>
      <c r="L4561" s="40">
        <v>36.94</v>
      </c>
      <c r="M4561" s="40">
        <v>256887.18</v>
      </c>
      <c r="N4561" s="40">
        <f t="shared" si="174"/>
        <v>36.94</v>
      </c>
    </row>
    <row r="4562" spans="1:14" ht="12.75" hidden="1" customHeight="1" x14ac:dyDescent="0.2">
      <c r="A4562">
        <v>65061</v>
      </c>
      <c r="B4562" s="3" t="s">
        <v>1844</v>
      </c>
      <c r="C4562" s="7" t="s">
        <v>1612</v>
      </c>
      <c r="D4562" s="7" t="s">
        <v>221</v>
      </c>
      <c r="F4562" s="7" t="s">
        <v>548</v>
      </c>
      <c r="G4562" s="7" t="s">
        <v>1734</v>
      </c>
      <c r="H4562" s="7" t="s">
        <v>1362</v>
      </c>
      <c r="I4562" s="7" t="s">
        <v>1253</v>
      </c>
      <c r="K4562" s="39" t="s">
        <v>750</v>
      </c>
      <c r="L4562" s="40">
        <v>84.29</v>
      </c>
      <c r="M4562" s="40">
        <v>256971.47</v>
      </c>
      <c r="N4562" s="40">
        <f t="shared" si="174"/>
        <v>84.29</v>
      </c>
    </row>
    <row r="4563" spans="1:14" ht="12.75" hidden="1" customHeight="1" x14ac:dyDescent="0.2">
      <c r="A4563">
        <v>65061</v>
      </c>
      <c r="B4563" s="3" t="s">
        <v>1844</v>
      </c>
      <c r="C4563" s="7" t="s">
        <v>1746</v>
      </c>
      <c r="D4563" s="7" t="s">
        <v>221</v>
      </c>
      <c r="F4563" s="7" t="s">
        <v>241</v>
      </c>
      <c r="G4563" s="7" t="s">
        <v>1734</v>
      </c>
      <c r="H4563" s="7" t="s">
        <v>1362</v>
      </c>
      <c r="I4563" s="7" t="s">
        <v>1253</v>
      </c>
      <c r="K4563" s="39" t="s">
        <v>750</v>
      </c>
      <c r="L4563" s="40">
        <v>63.35</v>
      </c>
      <c r="M4563" s="40">
        <v>257846.02</v>
      </c>
      <c r="N4563" s="40">
        <f t="shared" si="174"/>
        <v>63.35</v>
      </c>
    </row>
    <row r="4564" spans="1:14" ht="12.75" hidden="1" customHeight="1" x14ac:dyDescent="0.2">
      <c r="A4564">
        <v>65061</v>
      </c>
      <c r="B4564" s="3" t="s">
        <v>1844</v>
      </c>
      <c r="C4564" s="7" t="s">
        <v>1786</v>
      </c>
      <c r="D4564" s="7" t="s">
        <v>221</v>
      </c>
      <c r="F4564" s="7" t="s">
        <v>564</v>
      </c>
      <c r="G4564" s="7" t="s">
        <v>1734</v>
      </c>
      <c r="H4564" s="7" t="s">
        <v>1362</v>
      </c>
      <c r="I4564" s="7" t="s">
        <v>1253</v>
      </c>
      <c r="K4564" s="39" t="s">
        <v>750</v>
      </c>
      <c r="L4564" s="40">
        <v>45.99</v>
      </c>
      <c r="M4564" s="40">
        <v>257913.60000000001</v>
      </c>
      <c r="N4564" s="40">
        <f t="shared" si="174"/>
        <v>45.99</v>
      </c>
    </row>
    <row r="4565" spans="1:14" ht="12.75" hidden="1" customHeight="1" x14ac:dyDescent="0.2">
      <c r="A4565">
        <v>65061</v>
      </c>
      <c r="B4565" s="3" t="s">
        <v>1844</v>
      </c>
      <c r="C4565" s="7" t="s">
        <v>1703</v>
      </c>
      <c r="D4565" s="7" t="s">
        <v>221</v>
      </c>
      <c r="F4565" s="7" t="s">
        <v>1943</v>
      </c>
      <c r="G4565" s="7" t="s">
        <v>1734</v>
      </c>
      <c r="H4565" s="7" t="s">
        <v>1362</v>
      </c>
      <c r="I4565" s="7" t="s">
        <v>1253</v>
      </c>
      <c r="K4565" s="39" t="s">
        <v>750</v>
      </c>
      <c r="L4565" s="40">
        <v>30.27</v>
      </c>
      <c r="M4565" s="40">
        <v>262669.39</v>
      </c>
      <c r="N4565" s="40">
        <f t="shared" si="174"/>
        <v>30.27</v>
      </c>
    </row>
    <row r="4566" spans="1:14" ht="12.75" hidden="1" customHeight="1" x14ac:dyDescent="0.2">
      <c r="A4566">
        <v>65061</v>
      </c>
      <c r="B4566" s="3" t="s">
        <v>1844</v>
      </c>
      <c r="C4566" s="7" t="s">
        <v>1616</v>
      </c>
      <c r="D4566" s="7" t="s">
        <v>242</v>
      </c>
      <c r="F4566" s="7" t="s">
        <v>713</v>
      </c>
      <c r="G4566" s="7" t="s">
        <v>1734</v>
      </c>
      <c r="H4566" s="7" t="s">
        <v>1362</v>
      </c>
      <c r="I4566" s="7" t="s">
        <v>1253</v>
      </c>
      <c r="K4566" s="39" t="s">
        <v>750</v>
      </c>
      <c r="L4566" s="40">
        <v>-17.940000000000001</v>
      </c>
      <c r="M4566" s="40">
        <v>267689.2</v>
      </c>
      <c r="N4566" s="40">
        <f t="shared" si="174"/>
        <v>-17.940000000000001</v>
      </c>
    </row>
    <row r="4567" spans="1:14" ht="12.75" hidden="1" customHeight="1" x14ac:dyDescent="0.2">
      <c r="A4567">
        <v>65061</v>
      </c>
      <c r="B4567" s="3" t="s">
        <v>1844</v>
      </c>
      <c r="C4567" s="7" t="s">
        <v>1616</v>
      </c>
      <c r="D4567" s="7" t="s">
        <v>242</v>
      </c>
      <c r="F4567" s="7" t="s">
        <v>655</v>
      </c>
      <c r="G4567" s="7" t="s">
        <v>1734</v>
      </c>
      <c r="H4567" s="7" t="s">
        <v>1362</v>
      </c>
      <c r="I4567" s="7" t="s">
        <v>1253</v>
      </c>
      <c r="K4567" s="39" t="s">
        <v>750</v>
      </c>
      <c r="L4567" s="40">
        <v>-75.98</v>
      </c>
      <c r="M4567" s="40">
        <v>267613.21999999997</v>
      </c>
      <c r="N4567" s="40">
        <f t="shared" si="174"/>
        <v>-75.98</v>
      </c>
    </row>
    <row r="4568" spans="1:14" ht="12.75" hidden="1" customHeight="1" x14ac:dyDescent="0.2">
      <c r="A4568">
        <v>65061</v>
      </c>
      <c r="B4568" s="3" t="s">
        <v>1844</v>
      </c>
      <c r="C4568" s="7" t="s">
        <v>1805</v>
      </c>
      <c r="D4568" s="7" t="s">
        <v>242</v>
      </c>
      <c r="F4568" s="7" t="s">
        <v>616</v>
      </c>
      <c r="G4568" s="7" t="s">
        <v>1734</v>
      </c>
      <c r="H4568" s="7" t="s">
        <v>1362</v>
      </c>
      <c r="I4568" s="7" t="s">
        <v>1253</v>
      </c>
      <c r="K4568" s="39" t="s">
        <v>750</v>
      </c>
      <c r="L4568" s="40">
        <v>-8.42</v>
      </c>
      <c r="M4568" s="40">
        <v>269966.94</v>
      </c>
      <c r="N4568" s="40">
        <f t="shared" si="174"/>
        <v>-8.42</v>
      </c>
    </row>
    <row r="4569" spans="1:14" ht="12.75" hidden="1" customHeight="1" x14ac:dyDescent="0.2">
      <c r="A4569">
        <v>65061</v>
      </c>
      <c r="B4569" s="3" t="s">
        <v>1844</v>
      </c>
      <c r="C4569" s="7" t="s">
        <v>1631</v>
      </c>
      <c r="D4569" s="7" t="s">
        <v>221</v>
      </c>
      <c r="F4569" s="7" t="s">
        <v>658</v>
      </c>
      <c r="G4569" s="7" t="s">
        <v>1734</v>
      </c>
      <c r="H4569" s="7" t="s">
        <v>1362</v>
      </c>
      <c r="I4569" s="7" t="s">
        <v>1253</v>
      </c>
      <c r="K4569" s="39" t="s">
        <v>750</v>
      </c>
      <c r="L4569" s="40">
        <v>133.26</v>
      </c>
      <c r="M4569" s="40">
        <v>290260.63</v>
      </c>
      <c r="N4569" s="40">
        <f t="shared" si="174"/>
        <v>133.26</v>
      </c>
    </row>
    <row r="4570" spans="1:14" ht="12.75" hidden="1" customHeight="1" x14ac:dyDescent="0.2">
      <c r="A4570">
        <v>65061</v>
      </c>
      <c r="B4570" s="3" t="s">
        <v>1844</v>
      </c>
      <c r="C4570" s="7" t="s">
        <v>1789</v>
      </c>
      <c r="D4570" s="7" t="s">
        <v>200</v>
      </c>
      <c r="E4570" s="7">
        <v>1023</v>
      </c>
      <c r="F4570" s="7" t="s">
        <v>1975</v>
      </c>
      <c r="G4570" s="7" t="s">
        <v>1734</v>
      </c>
      <c r="H4570" s="7" t="s">
        <v>1362</v>
      </c>
      <c r="I4570" s="7" t="s">
        <v>1253</v>
      </c>
      <c r="K4570" s="39" t="s">
        <v>750</v>
      </c>
      <c r="L4570" s="40">
        <v>51.7</v>
      </c>
      <c r="M4570" s="40">
        <v>292396.13</v>
      </c>
      <c r="N4570" s="40">
        <f t="shared" si="174"/>
        <v>51.7</v>
      </c>
    </row>
    <row r="4571" spans="1:14" ht="12.75" hidden="1" customHeight="1" x14ac:dyDescent="0.2">
      <c r="A4571">
        <v>65061</v>
      </c>
      <c r="B4571" s="3" t="s">
        <v>1844</v>
      </c>
      <c r="C4571" s="7" t="s">
        <v>1789</v>
      </c>
      <c r="D4571" s="7" t="s">
        <v>200</v>
      </c>
      <c r="E4571" s="7">
        <v>1024</v>
      </c>
      <c r="F4571" s="7" t="s">
        <v>1976</v>
      </c>
      <c r="G4571" s="7" t="s">
        <v>1734</v>
      </c>
      <c r="H4571" s="7" t="s">
        <v>1362</v>
      </c>
      <c r="I4571" s="7" t="s">
        <v>1253</v>
      </c>
      <c r="K4571" s="39" t="s">
        <v>750</v>
      </c>
      <c r="L4571" s="40">
        <v>2091</v>
      </c>
      <c r="M4571" s="40">
        <v>294487.13</v>
      </c>
      <c r="N4571" s="40">
        <f t="shared" si="174"/>
        <v>2091</v>
      </c>
    </row>
    <row r="4572" spans="1:14" ht="12.75" hidden="1" customHeight="1" x14ac:dyDescent="0.2">
      <c r="A4572">
        <v>65061</v>
      </c>
      <c r="B4572" s="3" t="s">
        <v>1844</v>
      </c>
      <c r="C4572" s="7" t="s">
        <v>1789</v>
      </c>
      <c r="D4572" s="7" t="s">
        <v>200</v>
      </c>
      <c r="E4572" s="7">
        <v>1021</v>
      </c>
      <c r="F4572" s="7" t="s">
        <v>1977</v>
      </c>
      <c r="G4572" s="7" t="s">
        <v>1734</v>
      </c>
      <c r="H4572" s="7" t="s">
        <v>1362</v>
      </c>
      <c r="I4572" s="7" t="s">
        <v>1253</v>
      </c>
      <c r="K4572" s="39" t="s">
        <v>750</v>
      </c>
      <c r="L4572" s="40">
        <v>750</v>
      </c>
      <c r="M4572" s="40">
        <v>295237.13</v>
      </c>
      <c r="N4572" s="40">
        <f t="shared" si="174"/>
        <v>750</v>
      </c>
    </row>
    <row r="4573" spans="1:14" ht="12.75" hidden="1" customHeight="1" x14ac:dyDescent="0.2">
      <c r="A4573">
        <v>65061</v>
      </c>
      <c r="B4573" s="3" t="s">
        <v>1844</v>
      </c>
      <c r="C4573" s="7" t="s">
        <v>1638</v>
      </c>
      <c r="D4573" s="7" t="s">
        <v>200</v>
      </c>
      <c r="E4573" s="7">
        <v>1025</v>
      </c>
      <c r="F4573" s="7" t="s">
        <v>1979</v>
      </c>
      <c r="G4573" s="7" t="s">
        <v>1734</v>
      </c>
      <c r="H4573" s="7" t="s">
        <v>1362</v>
      </c>
      <c r="I4573" s="7" t="s">
        <v>1253</v>
      </c>
      <c r="K4573" s="39" t="s">
        <v>750</v>
      </c>
      <c r="L4573" s="40">
        <v>15.81</v>
      </c>
      <c r="M4573" s="40">
        <v>296478.01</v>
      </c>
      <c r="N4573" s="40">
        <f t="shared" si="174"/>
        <v>15.81</v>
      </c>
    </row>
    <row r="4574" spans="1:14" ht="12.75" hidden="1" customHeight="1" x14ac:dyDescent="0.2">
      <c r="A4574">
        <v>65061</v>
      </c>
      <c r="B4574" s="3" t="s">
        <v>1844</v>
      </c>
      <c r="C4574" s="7" t="s">
        <v>1638</v>
      </c>
      <c r="D4574" s="7" t="s">
        <v>200</v>
      </c>
      <c r="E4574" s="7">
        <v>1029</v>
      </c>
      <c r="F4574" s="7" t="s">
        <v>1980</v>
      </c>
      <c r="G4574" s="7" t="s">
        <v>1734</v>
      </c>
      <c r="H4574" s="7" t="s">
        <v>1362</v>
      </c>
      <c r="I4574" s="7" t="s">
        <v>1253</v>
      </c>
      <c r="K4574" s="39" t="s">
        <v>750</v>
      </c>
      <c r="L4574" s="40">
        <v>400</v>
      </c>
      <c r="M4574" s="40">
        <v>296878.01</v>
      </c>
      <c r="N4574" s="40">
        <f t="shared" si="174"/>
        <v>400</v>
      </c>
    </row>
    <row r="4575" spans="1:14" ht="12.75" hidden="1" customHeight="1" x14ac:dyDescent="0.2">
      <c r="A4575">
        <v>65061</v>
      </c>
      <c r="B4575" s="3" t="s">
        <v>1844</v>
      </c>
      <c r="C4575" s="7" t="s">
        <v>1722</v>
      </c>
      <c r="D4575" s="7" t="s">
        <v>221</v>
      </c>
      <c r="F4575" s="7" t="s">
        <v>570</v>
      </c>
      <c r="G4575" s="7" t="s">
        <v>1734</v>
      </c>
      <c r="H4575" s="7" t="s">
        <v>1362</v>
      </c>
      <c r="I4575" s="7" t="s">
        <v>1253</v>
      </c>
      <c r="K4575" s="39" t="s">
        <v>750</v>
      </c>
      <c r="L4575" s="40">
        <v>731.58</v>
      </c>
      <c r="M4575" s="40">
        <v>298716.27</v>
      </c>
      <c r="N4575" s="40">
        <f t="shared" si="174"/>
        <v>731.58</v>
      </c>
    </row>
    <row r="4576" spans="1:14" ht="12.75" hidden="1" customHeight="1" x14ac:dyDescent="0.2">
      <c r="A4576">
        <v>65061</v>
      </c>
      <c r="B4576" s="3" t="s">
        <v>1844</v>
      </c>
      <c r="C4576" s="7" t="s">
        <v>1646</v>
      </c>
      <c r="D4576" s="7" t="s">
        <v>221</v>
      </c>
      <c r="F4576" s="7" t="s">
        <v>970</v>
      </c>
      <c r="G4576" s="7" t="s">
        <v>1734</v>
      </c>
      <c r="H4576" s="7" t="s">
        <v>1362</v>
      </c>
      <c r="I4576" s="7" t="s">
        <v>1253</v>
      </c>
      <c r="K4576" s="39" t="s">
        <v>750</v>
      </c>
      <c r="L4576" s="40">
        <v>1654.82</v>
      </c>
      <c r="M4576" s="40">
        <v>301564.87</v>
      </c>
      <c r="N4576" s="40">
        <f t="shared" si="174"/>
        <v>1654.82</v>
      </c>
    </row>
    <row r="4577" spans="1:14" ht="12.75" hidden="1" customHeight="1" x14ac:dyDescent="0.2">
      <c r="A4577">
        <v>65061</v>
      </c>
      <c r="B4577" s="3" t="s">
        <v>1844</v>
      </c>
      <c r="C4577" s="7" t="s">
        <v>1647</v>
      </c>
      <c r="D4577" s="7" t="s">
        <v>221</v>
      </c>
      <c r="F4577" s="7" t="s">
        <v>241</v>
      </c>
      <c r="G4577" s="7" t="s">
        <v>1734</v>
      </c>
      <c r="H4577" s="7" t="s">
        <v>1362</v>
      </c>
      <c r="I4577" s="7" t="s">
        <v>1253</v>
      </c>
      <c r="K4577" s="39" t="s">
        <v>750</v>
      </c>
      <c r="L4577" s="40">
        <v>24.28</v>
      </c>
      <c r="M4577" s="40">
        <v>302791.63</v>
      </c>
      <c r="N4577" s="40">
        <f t="shared" si="174"/>
        <v>24.28</v>
      </c>
    </row>
    <row r="4578" spans="1:14" ht="12.75" hidden="1" customHeight="1" x14ac:dyDescent="0.2">
      <c r="A4578">
        <v>65061</v>
      </c>
      <c r="B4578" s="3" t="s">
        <v>1844</v>
      </c>
      <c r="C4578" s="7" t="s">
        <v>1648</v>
      </c>
      <c r="D4578" s="7" t="s">
        <v>200</v>
      </c>
      <c r="E4578" s="7">
        <v>1019</v>
      </c>
      <c r="F4578" s="7" t="s">
        <v>751</v>
      </c>
      <c r="G4578" s="7" t="s">
        <v>1734</v>
      </c>
      <c r="H4578" s="7" t="s">
        <v>1362</v>
      </c>
      <c r="I4578" s="7" t="s">
        <v>1253</v>
      </c>
      <c r="K4578" s="39" t="s">
        <v>750</v>
      </c>
      <c r="L4578" s="40">
        <v>39.71</v>
      </c>
      <c r="M4578" s="40">
        <v>304131.99</v>
      </c>
      <c r="N4578" s="40">
        <f t="shared" si="174"/>
        <v>39.71</v>
      </c>
    </row>
    <row r="4579" spans="1:14" ht="12.75" hidden="1" customHeight="1" x14ac:dyDescent="0.2">
      <c r="A4579">
        <v>65061</v>
      </c>
      <c r="B4579" s="3" t="s">
        <v>1844</v>
      </c>
      <c r="C4579" s="7" t="s">
        <v>1664</v>
      </c>
      <c r="D4579" s="7" t="s">
        <v>221</v>
      </c>
      <c r="F4579" s="7" t="s">
        <v>548</v>
      </c>
      <c r="G4579" s="7" t="s">
        <v>1734</v>
      </c>
      <c r="H4579" s="7" t="s">
        <v>1362</v>
      </c>
      <c r="I4579" s="7" t="s">
        <v>1253</v>
      </c>
      <c r="K4579" s="39" t="s">
        <v>750</v>
      </c>
      <c r="L4579" s="40">
        <v>50.18</v>
      </c>
      <c r="M4579" s="40">
        <v>306254.90000000002</v>
      </c>
      <c r="N4579" s="40">
        <f t="shared" si="174"/>
        <v>50.18</v>
      </c>
    </row>
    <row r="4580" spans="1:14" ht="12.75" hidden="1" customHeight="1" x14ac:dyDescent="0.2">
      <c r="A4580">
        <v>65025</v>
      </c>
      <c r="B4580" s="3" t="s">
        <v>1246</v>
      </c>
      <c r="C4580" s="7" t="s">
        <v>449</v>
      </c>
      <c r="D4580" s="7" t="s">
        <v>200</v>
      </c>
      <c r="F4580" s="7" t="s">
        <v>446</v>
      </c>
      <c r="G4580" s="7" t="s">
        <v>2131</v>
      </c>
      <c r="H4580" s="7" t="s">
        <v>1362</v>
      </c>
      <c r="I4580" s="7" t="s">
        <v>1246</v>
      </c>
      <c r="K4580" s="7" t="s">
        <v>596</v>
      </c>
      <c r="L4580" s="11">
        <v>16</v>
      </c>
      <c r="M4580" s="11">
        <v>109</v>
      </c>
      <c r="N4580" s="9">
        <f>IF(A4580&lt;60000,-L4580,+L4580)</f>
        <v>16</v>
      </c>
    </row>
    <row r="4581" spans="1:14" ht="12.75" hidden="1" customHeight="1" x14ac:dyDescent="0.2">
      <c r="A4581">
        <v>65025</v>
      </c>
      <c r="B4581" s="3" t="s">
        <v>1246</v>
      </c>
      <c r="C4581" s="7" t="s">
        <v>379</v>
      </c>
      <c r="D4581" s="7" t="s">
        <v>200</v>
      </c>
      <c r="F4581" s="7" t="s">
        <v>446</v>
      </c>
      <c r="G4581" s="7" t="s">
        <v>2131</v>
      </c>
      <c r="H4581" s="7" t="s">
        <v>1362</v>
      </c>
      <c r="I4581" s="7" t="s">
        <v>1246</v>
      </c>
      <c r="K4581" s="7" t="s">
        <v>596</v>
      </c>
      <c r="L4581" s="11">
        <v>16</v>
      </c>
      <c r="M4581" s="11">
        <v>390.2</v>
      </c>
      <c r="N4581" s="9">
        <f>IF(A4581&lt;60000,-L4581,+L4581)</f>
        <v>16</v>
      </c>
    </row>
    <row r="4582" spans="1:14" ht="12.75" hidden="1" customHeight="1" x14ac:dyDescent="0.2">
      <c r="A4582">
        <v>65025</v>
      </c>
      <c r="B4582" s="3" t="s">
        <v>1246</v>
      </c>
      <c r="C4582" s="7" t="s">
        <v>334</v>
      </c>
      <c r="D4582" s="7" t="s">
        <v>200</v>
      </c>
      <c r="F4582" s="7" t="s">
        <v>446</v>
      </c>
      <c r="G4582" s="7" t="s">
        <v>2131</v>
      </c>
      <c r="H4582" s="7" t="s">
        <v>1362</v>
      </c>
      <c r="I4582" s="7" t="s">
        <v>1246</v>
      </c>
      <c r="K4582" s="7" t="s">
        <v>596</v>
      </c>
      <c r="L4582" s="11">
        <v>16</v>
      </c>
      <c r="M4582" s="11">
        <v>505.72</v>
      </c>
      <c r="N4582" s="9">
        <f>IF(A4582&lt;60000,-L4582,+L4582)</f>
        <v>16</v>
      </c>
    </row>
    <row r="4583" spans="1:14" ht="12.75" customHeight="1" x14ac:dyDescent="0.2">
      <c r="B4583" s="76"/>
      <c r="C4583" s="39"/>
      <c r="D4583" s="39"/>
      <c r="E4583" s="39"/>
      <c r="F4583" s="39"/>
      <c r="G4583" s="39"/>
      <c r="H4583" s="39"/>
      <c r="I4583" s="39"/>
      <c r="J4583" s="39"/>
      <c r="K4583" s="39"/>
      <c r="L4583" s="77">
        <f>SUBTOTAL(109,Table1[Amount])</f>
        <v>586670.91</v>
      </c>
      <c r="M4583" s="77"/>
      <c r="N4583" s="78">
        <f>SUBTOTAL(109,Table1[DrCr])</f>
        <v>-586670.91</v>
      </c>
    </row>
    <row r="4584" spans="1:14" ht="12.75" customHeight="1" x14ac:dyDescent="0.2">
      <c r="I4584" s="7"/>
    </row>
    <row r="4585" spans="1:14" ht="12.75" customHeight="1" x14ac:dyDescent="0.2"/>
    <row r="4586" spans="1:14" ht="12.75" customHeight="1" x14ac:dyDescent="0.2"/>
    <row r="4587" spans="1:14" ht="12.75" customHeight="1" x14ac:dyDescent="0.2"/>
    <row r="4588" spans="1:14" ht="12.75" customHeight="1" x14ac:dyDescent="0.2"/>
    <row r="4589" spans="1:14" ht="12.75" customHeight="1" x14ac:dyDescent="0.2"/>
    <row r="4590" spans="1:14" ht="12.75" customHeight="1" x14ac:dyDescent="0.2"/>
    <row r="4591" spans="1:14" ht="12.75" customHeight="1" x14ac:dyDescent="0.2"/>
    <row r="4592" spans="1:14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"/>
  <sheetViews>
    <sheetView workbookViewId="0">
      <selection activeCell="C9" sqref="C9"/>
    </sheetView>
  </sheetViews>
  <sheetFormatPr defaultRowHeight="12.75" x14ac:dyDescent="0.2"/>
  <cols>
    <col min="1" max="1" width="21.85546875" customWidth="1"/>
    <col min="2" max="2" width="17" bestFit="1" customWidth="1"/>
    <col min="3" max="3" width="22.42578125" bestFit="1" customWidth="1"/>
    <col min="4" max="4" width="11.28515625" bestFit="1" customWidth="1"/>
    <col min="5" max="5" width="11.7109375" bestFit="1" customWidth="1"/>
  </cols>
  <sheetData>
    <row r="1" spans="1:5" x14ac:dyDescent="0.2">
      <c r="A1" s="13" t="s">
        <v>1274</v>
      </c>
      <c r="B1" s="13" t="s">
        <v>1368</v>
      </c>
    </row>
    <row r="2" spans="1:5" x14ac:dyDescent="0.2">
      <c r="A2" s="13" t="s">
        <v>1367</v>
      </c>
      <c r="B2" t="s">
        <v>1361</v>
      </c>
      <c r="C2" t="s">
        <v>1369</v>
      </c>
      <c r="D2" t="s">
        <v>1362</v>
      </c>
      <c r="E2" t="s">
        <v>1272</v>
      </c>
    </row>
    <row r="3" spans="1:5" x14ac:dyDescent="0.2">
      <c r="A3" s="14" t="s">
        <v>1366</v>
      </c>
      <c r="B3" s="12">
        <v>40433.660000000003</v>
      </c>
      <c r="C3" s="12">
        <v>25783.83</v>
      </c>
      <c r="D3" s="12">
        <v>25462.97</v>
      </c>
      <c r="E3" s="12">
        <v>91680.46</v>
      </c>
    </row>
    <row r="4" spans="1:5" x14ac:dyDescent="0.2">
      <c r="A4" s="69" t="s">
        <v>2023</v>
      </c>
      <c r="B4" s="12"/>
      <c r="C4" s="12">
        <v>1390.62</v>
      </c>
      <c r="D4" s="12">
        <v>1390.63</v>
      </c>
      <c r="E4" s="12">
        <v>2781.25</v>
      </c>
    </row>
    <row r="5" spans="1:5" x14ac:dyDescent="0.2">
      <c r="A5" s="69" t="s">
        <v>2024</v>
      </c>
      <c r="B5" s="12"/>
      <c r="C5" s="12">
        <v>621.01</v>
      </c>
      <c r="D5" s="12"/>
      <c r="E5" s="12">
        <v>621.01</v>
      </c>
    </row>
    <row r="6" spans="1:5" x14ac:dyDescent="0.2">
      <c r="A6" s="69" t="s">
        <v>192</v>
      </c>
      <c r="B6" s="12">
        <v>15333.34</v>
      </c>
      <c r="C6" s="12">
        <v>14937.07</v>
      </c>
      <c r="D6" s="12">
        <v>15169.34</v>
      </c>
      <c r="E6" s="12">
        <v>45439.75</v>
      </c>
    </row>
    <row r="7" spans="1:5" x14ac:dyDescent="0.2">
      <c r="A7" s="69" t="s">
        <v>2022</v>
      </c>
      <c r="B7" s="12"/>
      <c r="C7" s="12">
        <v>3229.5</v>
      </c>
      <c r="D7" s="12">
        <v>2153</v>
      </c>
      <c r="E7" s="12">
        <v>5382.5</v>
      </c>
    </row>
    <row r="8" spans="1:5" x14ac:dyDescent="0.2">
      <c r="A8" s="69" t="s">
        <v>188</v>
      </c>
      <c r="B8" s="12"/>
      <c r="C8" s="12">
        <v>5605.63</v>
      </c>
      <c r="D8" s="12">
        <v>6750</v>
      </c>
      <c r="E8" s="12">
        <v>12355.630000000001</v>
      </c>
    </row>
    <row r="9" spans="1:5" x14ac:dyDescent="0.2">
      <c r="A9" s="69" t="s">
        <v>397</v>
      </c>
      <c r="B9" s="12">
        <v>25100.320000000003</v>
      </c>
      <c r="C9" s="12"/>
      <c r="D9" s="12"/>
      <c r="E9" s="12">
        <v>25100.320000000003</v>
      </c>
    </row>
    <row r="10" spans="1:5" x14ac:dyDescent="0.2">
      <c r="A10" s="14" t="s">
        <v>1272</v>
      </c>
      <c r="B10" s="12">
        <v>40433.660000000003</v>
      </c>
      <c r="C10" s="12">
        <v>25783.83</v>
      </c>
      <c r="D10" s="12">
        <v>25462.97</v>
      </c>
      <c r="E10" s="12">
        <v>91680.46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33"/>
  <sheetViews>
    <sheetView topLeftCell="A106" workbookViewId="0">
      <selection activeCell="A25" sqref="A25"/>
    </sheetView>
  </sheetViews>
  <sheetFormatPr defaultColWidth="9.140625" defaultRowHeight="12.75" x14ac:dyDescent="0.2"/>
  <cols>
    <col min="1" max="1" width="51" style="60" customWidth="1"/>
    <col min="2" max="2" width="9.5703125" style="60" bestFit="1" customWidth="1"/>
    <col min="3" max="16384" width="9.140625" style="60"/>
  </cols>
  <sheetData>
    <row r="1" spans="1:2" ht="12.75" customHeight="1" x14ac:dyDescent="0.25">
      <c r="A1" s="636" t="s">
        <v>177</v>
      </c>
      <c r="B1" s="635"/>
    </row>
    <row r="2" spans="1:2" ht="12.75" customHeight="1" x14ac:dyDescent="0.25">
      <c r="A2" s="636" t="s">
        <v>178</v>
      </c>
      <c r="B2" s="635"/>
    </row>
    <row r="3" spans="1:2" ht="12.75" customHeight="1" x14ac:dyDescent="0.2">
      <c r="A3" s="637" t="s">
        <v>2109</v>
      </c>
      <c r="B3" s="635"/>
    </row>
    <row r="4" spans="1:2" ht="12.75" customHeight="1" x14ac:dyDescent="0.2"/>
    <row r="5" spans="1:2" ht="12.75" customHeight="1" x14ac:dyDescent="0.2">
      <c r="A5" s="66"/>
      <c r="B5" s="65" t="s">
        <v>0</v>
      </c>
    </row>
    <row r="6" spans="1:2" ht="12.75" customHeight="1" x14ac:dyDescent="0.2">
      <c r="A6" s="62" t="s">
        <v>1</v>
      </c>
      <c r="B6" s="61"/>
    </row>
    <row r="7" spans="1:2" ht="12.75" customHeight="1" x14ac:dyDescent="0.2">
      <c r="A7" s="62" t="s">
        <v>2</v>
      </c>
      <c r="B7" s="61"/>
    </row>
    <row r="8" spans="1:2" ht="12.75" customHeight="1" x14ac:dyDescent="0.2">
      <c r="A8" s="62" t="s">
        <v>3</v>
      </c>
      <c r="B8" s="61"/>
    </row>
    <row r="9" spans="1:2" ht="12.75" customHeight="1" x14ac:dyDescent="0.2">
      <c r="A9" s="62" t="s">
        <v>6</v>
      </c>
      <c r="B9" s="64">
        <f>0</f>
        <v>0</v>
      </c>
    </row>
    <row r="10" spans="1:2" ht="12.75" customHeight="1" x14ac:dyDescent="0.2">
      <c r="A10" s="62" t="s">
        <v>7</v>
      </c>
      <c r="B10" s="64">
        <f>5200</f>
        <v>5200</v>
      </c>
    </row>
    <row r="11" spans="1:2" ht="12.75" customHeight="1" x14ac:dyDescent="0.2">
      <c r="A11" s="62" t="s">
        <v>8</v>
      </c>
      <c r="B11" s="64">
        <f>353.8</f>
        <v>353.8</v>
      </c>
    </row>
    <row r="12" spans="1:2" ht="12.75" customHeight="1" x14ac:dyDescent="0.2">
      <c r="A12" s="62" t="s">
        <v>9</v>
      </c>
      <c r="B12" s="64">
        <f>125.88</f>
        <v>125.88</v>
      </c>
    </row>
    <row r="13" spans="1:2" ht="12.75" customHeight="1" x14ac:dyDescent="0.2">
      <c r="A13" s="62" t="s">
        <v>10</v>
      </c>
      <c r="B13" s="64">
        <f>572.86</f>
        <v>572.86</v>
      </c>
    </row>
    <row r="14" spans="1:2" ht="12.75" customHeight="1" x14ac:dyDescent="0.2">
      <c r="A14" s="62" t="s">
        <v>2108</v>
      </c>
      <c r="B14" s="64">
        <f>166</f>
        <v>166</v>
      </c>
    </row>
    <row r="15" spans="1:2" ht="12.75" customHeight="1" x14ac:dyDescent="0.2">
      <c r="A15" s="62" t="s">
        <v>11</v>
      </c>
      <c r="B15" s="64">
        <f>23757.86</f>
        <v>23757.86</v>
      </c>
    </row>
    <row r="16" spans="1:2" ht="12.75" customHeight="1" x14ac:dyDescent="0.2">
      <c r="A16" s="62" t="s">
        <v>12</v>
      </c>
      <c r="B16" s="64">
        <f>3919.97</f>
        <v>3919.97</v>
      </c>
    </row>
    <row r="17" spans="1:2" ht="12.75" customHeight="1" x14ac:dyDescent="0.2">
      <c r="A17" s="62" t="s">
        <v>13</v>
      </c>
      <c r="B17" s="64">
        <f>838.38</f>
        <v>838.38</v>
      </c>
    </row>
    <row r="18" spans="1:2" ht="12.75" customHeight="1" x14ac:dyDescent="0.2">
      <c r="A18" s="62" t="s">
        <v>14</v>
      </c>
      <c r="B18" s="64">
        <f>11901.09</f>
        <v>11901.09</v>
      </c>
    </row>
    <row r="19" spans="1:2" ht="12.75" customHeight="1" x14ac:dyDescent="0.2">
      <c r="A19" s="62" t="s">
        <v>17</v>
      </c>
      <c r="B19" s="64">
        <f>350.05</f>
        <v>350.05</v>
      </c>
    </row>
    <row r="20" spans="1:2" ht="12.75" customHeight="1" x14ac:dyDescent="0.2">
      <c r="A20" s="62" t="s">
        <v>18</v>
      </c>
      <c r="B20" s="64">
        <f>21638.01</f>
        <v>21638.01</v>
      </c>
    </row>
    <row r="21" spans="1:2" ht="12.75" customHeight="1" x14ac:dyDescent="0.2">
      <c r="A21" s="62" t="s">
        <v>19</v>
      </c>
      <c r="B21" s="64">
        <f>1171.92</f>
        <v>1171.92</v>
      </c>
    </row>
    <row r="22" spans="1:2" ht="12.75" customHeight="1" x14ac:dyDescent="0.2">
      <c r="A22" s="62" t="s">
        <v>20</v>
      </c>
      <c r="B22" s="64">
        <f>3129.6</f>
        <v>3129.6</v>
      </c>
    </row>
    <row r="23" spans="1:2" ht="12.75" customHeight="1" x14ac:dyDescent="0.2">
      <c r="A23" s="62" t="s">
        <v>21</v>
      </c>
      <c r="B23" s="64">
        <f>7535.64</f>
        <v>7535.64</v>
      </c>
    </row>
    <row r="24" spans="1:2" ht="12.75" customHeight="1" x14ac:dyDescent="0.2">
      <c r="A24" s="62" t="s">
        <v>22</v>
      </c>
      <c r="B24" s="64">
        <f>297.99</f>
        <v>297.99</v>
      </c>
    </row>
    <row r="25" spans="1:2" ht="12.75" customHeight="1" x14ac:dyDescent="0.2">
      <c r="A25" s="62" t="s">
        <v>23</v>
      </c>
      <c r="B25" s="64">
        <f>195.35</f>
        <v>195.35</v>
      </c>
    </row>
    <row r="26" spans="1:2" ht="12.75" customHeight="1" x14ac:dyDescent="0.2">
      <c r="A26" s="62" t="s">
        <v>24</v>
      </c>
      <c r="B26" s="64">
        <f>2218.31</f>
        <v>2218.31</v>
      </c>
    </row>
    <row r="27" spans="1:2" ht="12.75" customHeight="1" x14ac:dyDescent="0.2">
      <c r="A27" s="62" t="s">
        <v>26</v>
      </c>
      <c r="B27" s="64">
        <f>4443.26</f>
        <v>4443.26</v>
      </c>
    </row>
    <row r="28" spans="1:2" ht="12.75" customHeight="1" x14ac:dyDescent="0.2">
      <c r="A28" s="62" t="s">
        <v>27</v>
      </c>
      <c r="B28" s="64">
        <f>86.78</f>
        <v>86.78</v>
      </c>
    </row>
    <row r="29" spans="1:2" ht="12.75" customHeight="1" x14ac:dyDescent="0.2">
      <c r="A29" s="62" t="s">
        <v>29</v>
      </c>
      <c r="B29" s="64">
        <f>5119</f>
        <v>5119</v>
      </c>
    </row>
    <row r="30" spans="1:2" ht="12.75" customHeight="1" x14ac:dyDescent="0.2">
      <c r="A30" s="62" t="s">
        <v>30</v>
      </c>
      <c r="B30" s="64">
        <f>1435.8</f>
        <v>1435.8</v>
      </c>
    </row>
    <row r="31" spans="1:2" ht="12.75" customHeight="1" x14ac:dyDescent="0.2">
      <c r="A31" s="62" t="s">
        <v>2107</v>
      </c>
      <c r="B31" s="64">
        <f>473.56</f>
        <v>473.56</v>
      </c>
    </row>
    <row r="32" spans="1:2" ht="12.75" customHeight="1" x14ac:dyDescent="0.2">
      <c r="A32" s="62" t="s">
        <v>33</v>
      </c>
      <c r="B32" s="64">
        <f>934.93</f>
        <v>934.93</v>
      </c>
    </row>
    <row r="33" spans="1:2" ht="12.75" customHeight="1" x14ac:dyDescent="0.2">
      <c r="A33" s="62" t="s">
        <v>34</v>
      </c>
      <c r="B33" s="64">
        <f>329.8</f>
        <v>329.8</v>
      </c>
    </row>
    <row r="34" spans="1:2" ht="12.75" customHeight="1" x14ac:dyDescent="0.2">
      <c r="A34" s="62" t="s">
        <v>35</v>
      </c>
      <c r="B34" s="64">
        <f>98.66</f>
        <v>98.66</v>
      </c>
    </row>
    <row r="35" spans="1:2" ht="12.75" customHeight="1" x14ac:dyDescent="0.2">
      <c r="A35" s="62" t="s">
        <v>36</v>
      </c>
      <c r="B35" s="64">
        <f>2293.19</f>
        <v>2293.19</v>
      </c>
    </row>
    <row r="36" spans="1:2" ht="12.75" customHeight="1" x14ac:dyDescent="0.2">
      <c r="A36" s="62" t="s">
        <v>37</v>
      </c>
      <c r="B36" s="64">
        <f>2429.24</f>
        <v>2429.2399999999998</v>
      </c>
    </row>
    <row r="37" spans="1:2" ht="12.75" customHeight="1" x14ac:dyDescent="0.2">
      <c r="A37" s="62" t="s">
        <v>38</v>
      </c>
      <c r="B37" s="64">
        <f>964.22</f>
        <v>964.22</v>
      </c>
    </row>
    <row r="38" spans="1:2" ht="12.75" customHeight="1" x14ac:dyDescent="0.2">
      <c r="A38" s="62" t="s">
        <v>39</v>
      </c>
      <c r="B38" s="64">
        <f>343.2</f>
        <v>343.2</v>
      </c>
    </row>
    <row r="39" spans="1:2" ht="12.75" customHeight="1" x14ac:dyDescent="0.2">
      <c r="A39" s="62" t="s">
        <v>40</v>
      </c>
      <c r="B39" s="64">
        <f>2457.57</f>
        <v>2457.5700000000002</v>
      </c>
    </row>
    <row r="40" spans="1:2" ht="12.75" customHeight="1" x14ac:dyDescent="0.2">
      <c r="A40" s="62" t="s">
        <v>41</v>
      </c>
      <c r="B40" s="64">
        <f>7603.91</f>
        <v>7603.91</v>
      </c>
    </row>
    <row r="41" spans="1:2" ht="12.75" customHeight="1" x14ac:dyDescent="0.2">
      <c r="A41" s="62" t="s">
        <v>43</v>
      </c>
      <c r="B41" s="64">
        <f>2037.03</f>
        <v>2037.03</v>
      </c>
    </row>
    <row r="42" spans="1:2" ht="12.75" customHeight="1" x14ac:dyDescent="0.2">
      <c r="A42" s="62" t="s">
        <v>44</v>
      </c>
      <c r="B42" s="64">
        <f>5001.13</f>
        <v>5001.13</v>
      </c>
    </row>
    <row r="43" spans="1:2" ht="12.75" customHeight="1" x14ac:dyDescent="0.2">
      <c r="A43" s="62" t="s">
        <v>45</v>
      </c>
      <c r="B43" s="64">
        <f>1249.5</f>
        <v>1249.5</v>
      </c>
    </row>
    <row r="44" spans="1:2" ht="12.75" customHeight="1" x14ac:dyDescent="0.2">
      <c r="A44" s="62" t="s">
        <v>2106</v>
      </c>
      <c r="B44" s="64">
        <f>720.47</f>
        <v>720.47</v>
      </c>
    </row>
    <row r="45" spans="1:2" ht="12.75" customHeight="1" x14ac:dyDescent="0.2">
      <c r="A45" s="62" t="s">
        <v>48</v>
      </c>
      <c r="B45" s="63">
        <f>(((((((((((((((((((((((((((((((((((B9)+(B10))+(B11))+(B12))+(B13))+(B14))+(B15))+(B16))+(B17))+(B18))+(B19))+(B20))+(B21))+(B22))+(B23))+(B24))+(B25))+(B26))+(B27))+(B28))+(B29))+(B30))+(B31))+(B32))+(B33))+(B34))+(B35))+(B36))+(B37))+(B38))+(B39))+(B40))+(B41))+(B42))+(B43))+(B44)</f>
        <v>121393.96000000002</v>
      </c>
    </row>
    <row r="46" spans="1:2" ht="12.75" customHeight="1" x14ac:dyDescent="0.2">
      <c r="A46" s="62" t="s">
        <v>2105</v>
      </c>
      <c r="B46" s="64">
        <f>0</f>
        <v>0</v>
      </c>
    </row>
    <row r="47" spans="1:2" ht="12.75" customHeight="1" x14ac:dyDescent="0.2">
      <c r="A47" s="62" t="s">
        <v>50</v>
      </c>
      <c r="B47" s="64">
        <f>2161.75</f>
        <v>2161.75</v>
      </c>
    </row>
    <row r="48" spans="1:2" ht="12.75" customHeight="1" x14ac:dyDescent="0.2">
      <c r="A48" s="62" t="s">
        <v>51</v>
      </c>
      <c r="B48" s="64">
        <f>277.12</f>
        <v>277.12</v>
      </c>
    </row>
    <row r="49" spans="1:2" ht="12.75" customHeight="1" x14ac:dyDescent="0.2">
      <c r="A49" s="62" t="s">
        <v>2104</v>
      </c>
      <c r="B49" s="63">
        <f>((B46)+(B47))+(B48)</f>
        <v>2438.87</v>
      </c>
    </row>
    <row r="50" spans="1:2" ht="12.75" customHeight="1" x14ac:dyDescent="0.2">
      <c r="A50" s="62" t="s">
        <v>53</v>
      </c>
      <c r="B50" s="64">
        <f>0</f>
        <v>0</v>
      </c>
    </row>
    <row r="51" spans="1:2" ht="12.75" customHeight="1" x14ac:dyDescent="0.2">
      <c r="A51" s="62" t="s">
        <v>54</v>
      </c>
      <c r="B51" s="64">
        <f>93488.02</f>
        <v>93488.02</v>
      </c>
    </row>
    <row r="52" spans="1:2" ht="12.75" customHeight="1" x14ac:dyDescent="0.2">
      <c r="A52" s="62" t="s">
        <v>55</v>
      </c>
      <c r="B52" s="64">
        <f>8282.29</f>
        <v>8282.2900000000009</v>
      </c>
    </row>
    <row r="53" spans="1:2" ht="12.75" customHeight="1" x14ac:dyDescent="0.2">
      <c r="A53" s="62" t="s">
        <v>56</v>
      </c>
      <c r="B53" s="64">
        <f>13909.66</f>
        <v>13909.66</v>
      </c>
    </row>
    <row r="54" spans="1:2" ht="12.75" customHeight="1" x14ac:dyDescent="0.2">
      <c r="A54" s="62" t="s">
        <v>2103</v>
      </c>
      <c r="B54" s="64">
        <f>4120.58</f>
        <v>4120.58</v>
      </c>
    </row>
    <row r="55" spans="1:2" ht="12.75" customHeight="1" x14ac:dyDescent="0.2">
      <c r="A55" s="62" t="s">
        <v>57</v>
      </c>
      <c r="B55" s="63">
        <f>((((B50)+(B51))+(B52))+(B53))+(B54)</f>
        <v>119800.55</v>
      </c>
    </row>
    <row r="56" spans="1:2" ht="12.75" customHeight="1" x14ac:dyDescent="0.2">
      <c r="A56" s="62" t="s">
        <v>58</v>
      </c>
      <c r="B56" s="64">
        <f>1556.92</f>
        <v>1556.92</v>
      </c>
    </row>
    <row r="57" spans="1:2" ht="12.75" customHeight="1" x14ac:dyDescent="0.2">
      <c r="A57" s="62" t="s">
        <v>59</v>
      </c>
      <c r="B57" s="64">
        <f>4997.63</f>
        <v>4997.63</v>
      </c>
    </row>
    <row r="58" spans="1:2" ht="12.75" customHeight="1" x14ac:dyDescent="0.2">
      <c r="A58" s="62" t="s">
        <v>2102</v>
      </c>
      <c r="B58" s="64">
        <f>100</f>
        <v>100</v>
      </c>
    </row>
    <row r="59" spans="1:2" ht="12.75" customHeight="1" x14ac:dyDescent="0.2">
      <c r="A59" s="62" t="s">
        <v>64</v>
      </c>
      <c r="B59" s="64">
        <f>1021.08</f>
        <v>1021.08</v>
      </c>
    </row>
    <row r="60" spans="1:2" ht="12.75" customHeight="1" x14ac:dyDescent="0.2">
      <c r="A60" s="62" t="s">
        <v>65</v>
      </c>
      <c r="B60" s="64">
        <f>2350.98</f>
        <v>2350.98</v>
      </c>
    </row>
    <row r="61" spans="1:2" ht="12.75" customHeight="1" x14ac:dyDescent="0.2">
      <c r="A61" s="62" t="s">
        <v>67</v>
      </c>
      <c r="B61" s="64">
        <f>1286.56</f>
        <v>1286.56</v>
      </c>
    </row>
    <row r="62" spans="1:2" ht="12.75" customHeight="1" x14ac:dyDescent="0.2">
      <c r="A62" s="62" t="s">
        <v>68</v>
      </c>
      <c r="B62" s="64">
        <f>753.94</f>
        <v>753.94</v>
      </c>
    </row>
    <row r="63" spans="1:2" ht="12.75" customHeight="1" x14ac:dyDescent="0.2">
      <c r="A63" s="62" t="s">
        <v>70</v>
      </c>
      <c r="B63" s="64">
        <f>275.32</f>
        <v>275.32</v>
      </c>
    </row>
    <row r="64" spans="1:2" ht="12.75" customHeight="1" x14ac:dyDescent="0.2">
      <c r="A64" s="62" t="s">
        <v>73</v>
      </c>
      <c r="B64" s="64">
        <f>2120.72</f>
        <v>2120.7199999999998</v>
      </c>
    </row>
    <row r="65" spans="1:2" ht="12.75" customHeight="1" x14ac:dyDescent="0.2">
      <c r="A65" s="62" t="s">
        <v>74</v>
      </c>
      <c r="B65" s="64">
        <f>4543.84</f>
        <v>4543.84</v>
      </c>
    </row>
    <row r="66" spans="1:2" ht="12.75" customHeight="1" x14ac:dyDescent="0.2">
      <c r="A66" s="62" t="s">
        <v>77</v>
      </c>
      <c r="B66" s="64">
        <f>138.29</f>
        <v>138.29</v>
      </c>
    </row>
    <row r="67" spans="1:2" ht="12.75" customHeight="1" x14ac:dyDescent="0.2">
      <c r="A67" s="62" t="s">
        <v>78</v>
      </c>
      <c r="B67" s="64">
        <f>332.33</f>
        <v>332.33</v>
      </c>
    </row>
    <row r="68" spans="1:2" ht="12.75" customHeight="1" x14ac:dyDescent="0.2">
      <c r="A68" s="62" t="s">
        <v>81</v>
      </c>
      <c r="B68" s="64">
        <f>186.22</f>
        <v>186.22</v>
      </c>
    </row>
    <row r="69" spans="1:2" ht="12.75" customHeight="1" x14ac:dyDescent="0.2">
      <c r="A69" s="62" t="s">
        <v>87</v>
      </c>
      <c r="B69" s="64">
        <f>42.25</f>
        <v>42.25</v>
      </c>
    </row>
    <row r="70" spans="1:2" ht="12.75" customHeight="1" x14ac:dyDescent="0.2">
      <c r="A70" s="62" t="s">
        <v>91</v>
      </c>
      <c r="B70" s="64">
        <f>3462.14</f>
        <v>3462.14</v>
      </c>
    </row>
    <row r="71" spans="1:2" ht="12.75" customHeight="1" x14ac:dyDescent="0.2">
      <c r="A71" s="62" t="s">
        <v>92</v>
      </c>
      <c r="B71" s="64">
        <f>2256.33</f>
        <v>2256.33</v>
      </c>
    </row>
    <row r="72" spans="1:2" ht="12.75" customHeight="1" x14ac:dyDescent="0.2">
      <c r="A72" s="62" t="s">
        <v>94</v>
      </c>
      <c r="B72" s="64">
        <f>320.31</f>
        <v>320.31</v>
      </c>
    </row>
    <row r="73" spans="1:2" ht="12.75" customHeight="1" x14ac:dyDescent="0.2">
      <c r="A73" s="62" t="s">
        <v>98</v>
      </c>
      <c r="B73" s="64">
        <f>1126</f>
        <v>1126</v>
      </c>
    </row>
    <row r="74" spans="1:2" ht="12.75" customHeight="1" x14ac:dyDescent="0.2">
      <c r="A74" s="62" t="s">
        <v>104</v>
      </c>
      <c r="B74" s="64">
        <f>428.75</f>
        <v>428.75</v>
      </c>
    </row>
    <row r="75" spans="1:2" ht="12.75" customHeight="1" x14ac:dyDescent="0.2">
      <c r="A75" s="62" t="s">
        <v>105</v>
      </c>
      <c r="B75" s="64">
        <f>8500.29</f>
        <v>8500.2900000000009</v>
      </c>
    </row>
    <row r="76" spans="1:2" ht="12.75" customHeight="1" x14ac:dyDescent="0.2">
      <c r="A76" s="62" t="s">
        <v>106</v>
      </c>
      <c r="B76" s="64">
        <f>124.05</f>
        <v>124.05</v>
      </c>
    </row>
    <row r="77" spans="1:2" ht="12.75" customHeight="1" x14ac:dyDescent="0.2">
      <c r="A77" s="62" t="s">
        <v>108</v>
      </c>
      <c r="B77" s="64">
        <f>3374.81</f>
        <v>3374.81</v>
      </c>
    </row>
    <row r="78" spans="1:2" ht="12.75" customHeight="1" x14ac:dyDescent="0.2">
      <c r="A78" s="62" t="s">
        <v>2101</v>
      </c>
      <c r="B78" s="64">
        <f>0</f>
        <v>0</v>
      </c>
    </row>
    <row r="79" spans="1:2" ht="12.75" customHeight="1" x14ac:dyDescent="0.2">
      <c r="A79" s="62" t="s">
        <v>2100</v>
      </c>
      <c r="B79" s="64">
        <f>79559.37</f>
        <v>79559.37</v>
      </c>
    </row>
    <row r="80" spans="1:2" ht="12.75" customHeight="1" x14ac:dyDescent="0.2">
      <c r="A80" s="62" t="s">
        <v>2099</v>
      </c>
      <c r="B80" s="64">
        <f>5561.63</f>
        <v>5561.63</v>
      </c>
    </row>
    <row r="81" spans="1:2" ht="12.75" customHeight="1" x14ac:dyDescent="0.2">
      <c r="A81" s="62" t="s">
        <v>2098</v>
      </c>
      <c r="B81" s="63">
        <f>((B78)+(B79))+(B80)</f>
        <v>85121</v>
      </c>
    </row>
    <row r="82" spans="1:2" ht="12.75" customHeight="1" x14ac:dyDescent="0.2">
      <c r="A82" s="62" t="s">
        <v>2097</v>
      </c>
      <c r="B82" s="64">
        <f>2604.58</f>
        <v>2604.58</v>
      </c>
    </row>
    <row r="83" spans="1:2" ht="12.75" customHeight="1" x14ac:dyDescent="0.2">
      <c r="A83" s="62" t="s">
        <v>2096</v>
      </c>
      <c r="B83" s="64">
        <f>2606.48</f>
        <v>2606.48</v>
      </c>
    </row>
    <row r="84" spans="1:2" ht="12.75" customHeight="1" x14ac:dyDescent="0.2">
      <c r="A84" s="62" t="s">
        <v>114</v>
      </c>
      <c r="B84" s="64">
        <f>10125.29</f>
        <v>10125.290000000001</v>
      </c>
    </row>
    <row r="85" spans="1:2" ht="12.75" customHeight="1" x14ac:dyDescent="0.2">
      <c r="A85" s="62" t="s">
        <v>116</v>
      </c>
      <c r="B85" s="64">
        <f>69.28</f>
        <v>69.28</v>
      </c>
    </row>
    <row r="86" spans="1:2" ht="12.75" customHeight="1" x14ac:dyDescent="0.2">
      <c r="A86" s="62" t="s">
        <v>118</v>
      </c>
      <c r="B86" s="64">
        <f>178.27</f>
        <v>178.27</v>
      </c>
    </row>
    <row r="87" spans="1:2" ht="12.75" customHeight="1" x14ac:dyDescent="0.2">
      <c r="A87" s="62" t="s">
        <v>119</v>
      </c>
      <c r="B87" s="64">
        <f>-15</f>
        <v>-15</v>
      </c>
    </row>
    <row r="88" spans="1:2" ht="12.75" customHeight="1" x14ac:dyDescent="0.2">
      <c r="A88" s="62" t="s">
        <v>120</v>
      </c>
      <c r="B88" s="64">
        <f>2899.18</f>
        <v>2899.18</v>
      </c>
    </row>
    <row r="89" spans="1:2" ht="12.75" customHeight="1" x14ac:dyDescent="0.2">
      <c r="A89" s="62" t="s">
        <v>123</v>
      </c>
      <c r="B89" s="64">
        <f>4921.77</f>
        <v>4921.7700000000004</v>
      </c>
    </row>
    <row r="90" spans="1:2" ht="12.75" customHeight="1" x14ac:dyDescent="0.2">
      <c r="A90" s="62" t="s">
        <v>124</v>
      </c>
      <c r="B90" s="64">
        <f>295.96</f>
        <v>295.95999999999998</v>
      </c>
    </row>
    <row r="91" spans="1:2" ht="12.75" customHeight="1" x14ac:dyDescent="0.2">
      <c r="A91" s="62" t="s">
        <v>126</v>
      </c>
      <c r="B91" s="64">
        <f>15.86</f>
        <v>15.86</v>
      </c>
    </row>
    <row r="92" spans="1:2" ht="12.75" customHeight="1" x14ac:dyDescent="0.2">
      <c r="A92" s="62" t="s">
        <v>127</v>
      </c>
      <c r="B92" s="64">
        <f>3257.74</f>
        <v>3257.74</v>
      </c>
    </row>
    <row r="93" spans="1:2" ht="12.75" customHeight="1" x14ac:dyDescent="0.2">
      <c r="A93" s="62" t="s">
        <v>128</v>
      </c>
      <c r="B93" s="64">
        <f>820.52</f>
        <v>820.52</v>
      </c>
    </row>
    <row r="94" spans="1:2" ht="12.75" customHeight="1" x14ac:dyDescent="0.2">
      <c r="A94" s="62" t="s">
        <v>130</v>
      </c>
      <c r="B94" s="64">
        <f>102.64</f>
        <v>102.64</v>
      </c>
    </row>
    <row r="95" spans="1:2" ht="12.75" customHeight="1" x14ac:dyDescent="0.2">
      <c r="A95" s="62" t="s">
        <v>133</v>
      </c>
      <c r="B95" s="64">
        <f>2425.47</f>
        <v>2425.4699999999998</v>
      </c>
    </row>
    <row r="96" spans="1:2" ht="12.75" customHeight="1" x14ac:dyDescent="0.2">
      <c r="A96" s="62" t="s">
        <v>134</v>
      </c>
      <c r="B96" s="64">
        <f>8357.25</f>
        <v>8357.25</v>
      </c>
    </row>
    <row r="97" spans="1:2" ht="12.75" customHeight="1" x14ac:dyDescent="0.2">
      <c r="A97" s="62" t="s">
        <v>135</v>
      </c>
      <c r="B97" s="64">
        <f>1074.63</f>
        <v>1074.6300000000001</v>
      </c>
    </row>
    <row r="98" spans="1:2" ht="12.75" customHeight="1" x14ac:dyDescent="0.2">
      <c r="A98" s="62" t="s">
        <v>136</v>
      </c>
      <c r="B98" s="63">
        <f>(((((((((((((((((((((((((((((((((((((((((B45)+(B49))+(B55))+(B56))+(B57))+(B58))+(B59))+(B60))+(B61))+(B62))+(B63))+(B64))+(B65))+(B66))+(B67))+(B68))+(B69))+(B70))+(B71))+(B72))+(B73))+(B74))+(B75))+(B76))+(B77))+(B81))+(B82))+(B83))+(B84))+(B85))+(B86))+(B87))+(B88))+(B89))+(B90))+(B91))+(B92))+(B93))+(B94))+(B95))+(B96))+(B97)</f>
        <v>407793.06000000006</v>
      </c>
    </row>
    <row r="99" spans="1:2" ht="12.75" customHeight="1" x14ac:dyDescent="0.2">
      <c r="A99" s="62" t="s">
        <v>137</v>
      </c>
      <c r="B99" s="61"/>
    </row>
    <row r="100" spans="1:2" ht="12.75" customHeight="1" x14ac:dyDescent="0.2">
      <c r="A100" s="62" t="s">
        <v>138</v>
      </c>
      <c r="B100" s="64">
        <f>16000</f>
        <v>16000</v>
      </c>
    </row>
    <row r="101" spans="1:2" ht="12.75" customHeight="1" x14ac:dyDescent="0.2">
      <c r="A101" s="62" t="s">
        <v>139</v>
      </c>
      <c r="B101" s="63">
        <f>B100</f>
        <v>16000</v>
      </c>
    </row>
    <row r="102" spans="1:2" ht="12.75" customHeight="1" x14ac:dyDescent="0.2">
      <c r="A102" s="62" t="s">
        <v>143</v>
      </c>
      <c r="B102" s="63">
        <f>(B98)+(B101)</f>
        <v>423793.06000000006</v>
      </c>
    </row>
    <row r="103" spans="1:2" ht="12.75" customHeight="1" x14ac:dyDescent="0.2">
      <c r="A103" s="62" t="s">
        <v>144</v>
      </c>
      <c r="B103" s="61"/>
    </row>
    <row r="104" spans="1:2" ht="12.75" customHeight="1" x14ac:dyDescent="0.2">
      <c r="A104" s="62" t="s">
        <v>145</v>
      </c>
      <c r="B104" s="64">
        <f>7650</f>
        <v>7650</v>
      </c>
    </row>
    <row r="105" spans="1:2" ht="12.75" customHeight="1" x14ac:dyDescent="0.2">
      <c r="A105" s="62" t="s">
        <v>146</v>
      </c>
      <c r="B105" s="64">
        <f>2800</f>
        <v>2800</v>
      </c>
    </row>
    <row r="106" spans="1:2" ht="12.75" customHeight="1" x14ac:dyDescent="0.2">
      <c r="A106" s="62" t="s">
        <v>147</v>
      </c>
      <c r="B106" s="64">
        <f>-2055.83</f>
        <v>-2055.83</v>
      </c>
    </row>
    <row r="107" spans="1:2" ht="12.75" customHeight="1" x14ac:dyDescent="0.2">
      <c r="A107" s="62" t="s">
        <v>148</v>
      </c>
      <c r="B107" s="64">
        <f>-1351.67</f>
        <v>-1351.67</v>
      </c>
    </row>
    <row r="108" spans="1:2" ht="12.75" customHeight="1" x14ac:dyDescent="0.2">
      <c r="A108" s="62" t="s">
        <v>149</v>
      </c>
      <c r="B108" s="63">
        <f>(((B104)+(B105))+(B106))+(B107)</f>
        <v>7042.5</v>
      </c>
    </row>
    <row r="109" spans="1:2" ht="12.75" customHeight="1" x14ac:dyDescent="0.2">
      <c r="A109" s="62" t="s">
        <v>150</v>
      </c>
      <c r="B109" s="63">
        <f>(B102)+(B108)</f>
        <v>430835.56000000006</v>
      </c>
    </row>
    <row r="110" spans="1:2" ht="12.75" customHeight="1" x14ac:dyDescent="0.2">
      <c r="A110" s="62" t="s">
        <v>151</v>
      </c>
      <c r="B110" s="61"/>
    </row>
    <row r="111" spans="1:2" ht="12.75" customHeight="1" x14ac:dyDescent="0.2">
      <c r="A111" s="62" t="s">
        <v>152</v>
      </c>
      <c r="B111" s="61"/>
    </row>
    <row r="112" spans="1:2" ht="12.75" customHeight="1" x14ac:dyDescent="0.2">
      <c r="A112" s="62" t="s">
        <v>153</v>
      </c>
      <c r="B112" s="61"/>
    </row>
    <row r="113" spans="1:2" ht="12.75" customHeight="1" x14ac:dyDescent="0.2">
      <c r="A113" s="62" t="s">
        <v>154</v>
      </c>
      <c r="B113" s="61"/>
    </row>
    <row r="114" spans="1:2" ht="12.75" customHeight="1" x14ac:dyDescent="0.2">
      <c r="A114" s="62" t="s">
        <v>155</v>
      </c>
      <c r="B114" s="64">
        <f>2000</f>
        <v>2000</v>
      </c>
    </row>
    <row r="115" spans="1:2" ht="12.75" customHeight="1" x14ac:dyDescent="0.2">
      <c r="A115" s="62" t="s">
        <v>156</v>
      </c>
      <c r="B115" s="63">
        <f>B114</f>
        <v>2000</v>
      </c>
    </row>
    <row r="116" spans="1:2" ht="12.75" customHeight="1" x14ac:dyDescent="0.2">
      <c r="A116" s="62" t="s">
        <v>157</v>
      </c>
      <c r="B116" s="61"/>
    </row>
    <row r="117" spans="1:2" ht="12.75" customHeight="1" x14ac:dyDescent="0.2">
      <c r="A117" s="62" t="s">
        <v>158</v>
      </c>
      <c r="B117" s="61"/>
    </row>
    <row r="118" spans="1:2" ht="12.75" customHeight="1" x14ac:dyDescent="0.2">
      <c r="A118" s="62" t="s">
        <v>161</v>
      </c>
      <c r="B118" s="64">
        <f>3248.12</f>
        <v>3248.12</v>
      </c>
    </row>
    <row r="119" spans="1:2" ht="12.75" customHeight="1" x14ac:dyDescent="0.2">
      <c r="A119" s="62" t="s">
        <v>2095</v>
      </c>
      <c r="B119" s="64">
        <f>111.54</f>
        <v>111.54</v>
      </c>
    </row>
    <row r="120" spans="1:2" ht="12.75" customHeight="1" x14ac:dyDescent="0.2">
      <c r="A120" s="62" t="s">
        <v>2094</v>
      </c>
      <c r="B120" s="64">
        <f>90</f>
        <v>90</v>
      </c>
    </row>
    <row r="121" spans="1:2" ht="12.75" customHeight="1" x14ac:dyDescent="0.2">
      <c r="A121" s="62" t="s">
        <v>164</v>
      </c>
      <c r="B121" s="63">
        <f>(((B117)+(B118))+(B119))+(B120)</f>
        <v>3449.66</v>
      </c>
    </row>
    <row r="122" spans="1:2" ht="12.75" customHeight="1" x14ac:dyDescent="0.2">
      <c r="A122" s="62" t="s">
        <v>167</v>
      </c>
      <c r="B122" s="63">
        <f>B121</f>
        <v>3449.66</v>
      </c>
    </row>
    <row r="123" spans="1:2" ht="12.75" customHeight="1" x14ac:dyDescent="0.2">
      <c r="A123" s="62" t="s">
        <v>168</v>
      </c>
      <c r="B123" s="63">
        <f>(B115)+(B122)</f>
        <v>5449.66</v>
      </c>
    </row>
    <row r="124" spans="1:2" ht="12.75" customHeight="1" x14ac:dyDescent="0.2">
      <c r="A124" s="62" t="s">
        <v>169</v>
      </c>
      <c r="B124" s="63">
        <f>B123</f>
        <v>5449.66</v>
      </c>
    </row>
    <row r="125" spans="1:2" ht="12.75" customHeight="1" x14ac:dyDescent="0.2">
      <c r="A125" s="62" t="s">
        <v>170</v>
      </c>
      <c r="B125" s="61"/>
    </row>
    <row r="126" spans="1:2" ht="12.75" customHeight="1" x14ac:dyDescent="0.2">
      <c r="A126" s="62" t="s">
        <v>172</v>
      </c>
      <c r="B126" s="64">
        <f>411193.38</f>
        <v>411193.38</v>
      </c>
    </row>
    <row r="127" spans="1:2" ht="12.75" customHeight="1" x14ac:dyDescent="0.2">
      <c r="A127" s="62" t="s">
        <v>173</v>
      </c>
      <c r="B127" s="64">
        <f>14192.52</f>
        <v>14192.52</v>
      </c>
    </row>
    <row r="128" spans="1:2" ht="12.75" customHeight="1" x14ac:dyDescent="0.2">
      <c r="A128" s="62" t="s">
        <v>174</v>
      </c>
      <c r="B128" s="63">
        <f>(B126)+(B127)</f>
        <v>425385.9</v>
      </c>
    </row>
    <row r="129" spans="1:2" ht="12.75" customHeight="1" x14ac:dyDescent="0.2">
      <c r="A129" s="62" t="s">
        <v>175</v>
      </c>
      <c r="B129" s="63">
        <f>(B124)+(B128)</f>
        <v>430835.56</v>
      </c>
    </row>
    <row r="130" spans="1:2" ht="12.75" customHeight="1" x14ac:dyDescent="0.2">
      <c r="A130" s="62"/>
      <c r="B130" s="61"/>
    </row>
    <row r="131" spans="1:2" ht="12.75" customHeight="1" x14ac:dyDescent="0.2"/>
    <row r="132" spans="1:2" ht="12.75" customHeight="1" x14ac:dyDescent="0.2"/>
    <row r="133" spans="1:2" ht="12.75" customHeight="1" x14ac:dyDescent="0.2">
      <c r="A133" s="634" t="s">
        <v>2093</v>
      </c>
      <c r="B133" s="635"/>
    </row>
  </sheetData>
  <mergeCells count="4">
    <mergeCell ref="A133:B133"/>
    <mergeCell ref="A1:B1"/>
    <mergeCell ref="A2:B2"/>
    <mergeCell ref="A3:B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3"/>
  <sheetViews>
    <sheetView topLeftCell="A49" workbookViewId="0">
      <selection activeCell="B75" sqref="B75"/>
    </sheetView>
  </sheetViews>
  <sheetFormatPr defaultColWidth="9.140625" defaultRowHeight="12.75" x14ac:dyDescent="0.2"/>
  <cols>
    <col min="1" max="1" width="45" style="60" customWidth="1"/>
    <col min="2" max="2" width="9.5703125" style="60" bestFit="1" customWidth="1"/>
    <col min="3" max="16384" width="9.140625" style="60"/>
  </cols>
  <sheetData>
    <row r="1" spans="1:2" ht="12.75" customHeight="1" x14ac:dyDescent="0.25">
      <c r="A1" s="636" t="s">
        <v>177</v>
      </c>
      <c r="B1" s="635"/>
    </row>
    <row r="2" spans="1:2" ht="12.75" customHeight="1" x14ac:dyDescent="0.25">
      <c r="A2" s="636" t="s">
        <v>1357</v>
      </c>
      <c r="B2" s="635"/>
    </row>
    <row r="3" spans="1:2" ht="12.75" customHeight="1" x14ac:dyDescent="0.2">
      <c r="A3" s="637" t="s">
        <v>2092</v>
      </c>
      <c r="B3" s="635"/>
    </row>
    <row r="4" spans="1:2" ht="12.75" customHeight="1" x14ac:dyDescent="0.2"/>
    <row r="5" spans="1:2" ht="12.75" customHeight="1" x14ac:dyDescent="0.2">
      <c r="A5" s="66"/>
      <c r="B5" s="65" t="s">
        <v>0</v>
      </c>
    </row>
    <row r="6" spans="1:2" ht="12.75" customHeight="1" x14ac:dyDescent="0.2">
      <c r="A6" s="62" t="s">
        <v>1356</v>
      </c>
      <c r="B6" s="61"/>
    </row>
    <row r="7" spans="1:2" ht="12.75" customHeight="1" x14ac:dyDescent="0.2">
      <c r="A7" s="62" t="s">
        <v>1355</v>
      </c>
      <c r="B7" s="61"/>
    </row>
    <row r="8" spans="1:2" ht="12.75" customHeight="1" x14ac:dyDescent="0.2">
      <c r="A8" s="62" t="s">
        <v>2091</v>
      </c>
      <c r="B8" s="64">
        <f>6550</f>
        <v>6550</v>
      </c>
    </row>
    <row r="9" spans="1:2" ht="12.75" customHeight="1" x14ac:dyDescent="0.2">
      <c r="A9" s="62" t="s">
        <v>1354</v>
      </c>
      <c r="B9" s="64">
        <f>13000</f>
        <v>13000</v>
      </c>
    </row>
    <row r="10" spans="1:2" ht="12.75" customHeight="1" x14ac:dyDescent="0.2">
      <c r="A10" s="62" t="s">
        <v>1353</v>
      </c>
      <c r="B10" s="63">
        <f>((B7)+(B8))+(B9)</f>
        <v>19550</v>
      </c>
    </row>
    <row r="11" spans="1:2" ht="12.75" customHeight="1" x14ac:dyDescent="0.2">
      <c r="A11" s="62" t="s">
        <v>1352</v>
      </c>
      <c r="B11" s="64">
        <f>313543.61</f>
        <v>313543.61</v>
      </c>
    </row>
    <row r="12" spans="1:2" ht="12.75" customHeight="1" x14ac:dyDescent="0.2">
      <c r="A12" s="62" t="s">
        <v>1351</v>
      </c>
      <c r="B12" s="64">
        <f>38887.5</f>
        <v>38887.5</v>
      </c>
    </row>
    <row r="13" spans="1:2" ht="12.75" customHeight="1" x14ac:dyDescent="0.2">
      <c r="A13" s="62" t="s">
        <v>1350</v>
      </c>
      <c r="B13" s="64">
        <f>10000</f>
        <v>10000</v>
      </c>
    </row>
    <row r="14" spans="1:2" ht="12.75" customHeight="1" x14ac:dyDescent="0.2">
      <c r="A14" s="62" t="s">
        <v>1349</v>
      </c>
      <c r="B14" s="64">
        <f>49936.95</f>
        <v>49936.95</v>
      </c>
    </row>
    <row r="15" spans="1:2" ht="12.75" customHeight="1" x14ac:dyDescent="0.2">
      <c r="A15" s="62" t="s">
        <v>1348</v>
      </c>
      <c r="B15" s="63">
        <f>(((B11)+(B12))+(B13))+(B14)</f>
        <v>412368.06</v>
      </c>
    </row>
    <row r="16" spans="1:2" ht="12.75" customHeight="1" x14ac:dyDescent="0.2">
      <c r="A16" s="62" t="s">
        <v>1347</v>
      </c>
      <c r="B16" s="64">
        <f>249226.98</f>
        <v>249226.98</v>
      </c>
    </row>
    <row r="17" spans="1:2" ht="12.75" customHeight="1" x14ac:dyDescent="0.2">
      <c r="A17" s="62" t="s">
        <v>1343</v>
      </c>
      <c r="B17" s="61"/>
    </row>
    <row r="18" spans="1:2" ht="12.75" customHeight="1" x14ac:dyDescent="0.2">
      <c r="A18" s="62" t="s">
        <v>1342</v>
      </c>
      <c r="B18" s="64">
        <f>4250</f>
        <v>4250</v>
      </c>
    </row>
    <row r="19" spans="1:2" ht="12.75" customHeight="1" x14ac:dyDescent="0.2">
      <c r="A19" s="62" t="s">
        <v>1341</v>
      </c>
      <c r="B19" s="63">
        <f>(B17)+(B18)</f>
        <v>4250</v>
      </c>
    </row>
    <row r="20" spans="1:2" ht="12.75" customHeight="1" x14ac:dyDescent="0.2">
      <c r="A20" s="62" t="s">
        <v>1340</v>
      </c>
      <c r="B20" s="61"/>
    </row>
    <row r="21" spans="1:2" ht="12.75" customHeight="1" x14ac:dyDescent="0.2">
      <c r="A21" s="62" t="s">
        <v>1339</v>
      </c>
      <c r="B21" s="64">
        <f>100.32</f>
        <v>100.32</v>
      </c>
    </row>
    <row r="22" spans="1:2" ht="12.75" customHeight="1" x14ac:dyDescent="0.2">
      <c r="A22" s="62" t="s">
        <v>1338</v>
      </c>
      <c r="B22" s="63">
        <f>(B20)+(B21)</f>
        <v>100.32</v>
      </c>
    </row>
    <row r="23" spans="1:2" ht="12.75" customHeight="1" x14ac:dyDescent="0.2">
      <c r="A23" s="62" t="s">
        <v>1337</v>
      </c>
      <c r="B23" s="63">
        <f>((((B10)+(B15))+(B16))+(B19))+(B22)</f>
        <v>685495.36</v>
      </c>
    </row>
    <row r="24" spans="1:2" ht="12.75" customHeight="1" x14ac:dyDescent="0.2">
      <c r="A24" s="62" t="s">
        <v>1336</v>
      </c>
      <c r="B24" s="63">
        <f>(B23)-(0)</f>
        <v>685495.36</v>
      </c>
    </row>
    <row r="25" spans="1:2" ht="12.75" customHeight="1" x14ac:dyDescent="0.2">
      <c r="A25" s="62" t="s">
        <v>1335</v>
      </c>
      <c r="B25" s="61"/>
    </row>
    <row r="26" spans="1:2" ht="12.75" customHeight="1" x14ac:dyDescent="0.2">
      <c r="A26" s="62" t="s">
        <v>1334</v>
      </c>
      <c r="B26" s="61"/>
    </row>
    <row r="27" spans="1:2" ht="12.75" customHeight="1" x14ac:dyDescent="0.2">
      <c r="A27" s="62" t="s">
        <v>1333</v>
      </c>
      <c r="B27" s="64">
        <f>3245.49</f>
        <v>3245.49</v>
      </c>
    </row>
    <row r="28" spans="1:2" ht="12.75" customHeight="1" x14ac:dyDescent="0.2">
      <c r="A28" s="62" t="s">
        <v>1332</v>
      </c>
      <c r="B28" s="63">
        <f>(B26)+(B27)</f>
        <v>3245.49</v>
      </c>
    </row>
    <row r="29" spans="1:2" ht="12.75" customHeight="1" x14ac:dyDescent="0.2">
      <c r="A29" s="62" t="s">
        <v>1331</v>
      </c>
      <c r="B29" s="61"/>
    </row>
    <row r="30" spans="1:2" ht="12.75" customHeight="1" x14ac:dyDescent="0.2">
      <c r="A30" s="62" t="s">
        <v>1330</v>
      </c>
      <c r="B30" s="64">
        <f>9023.22</f>
        <v>9023.2199999999993</v>
      </c>
    </row>
    <row r="31" spans="1:2" ht="12.75" customHeight="1" x14ac:dyDescent="0.2">
      <c r="A31" s="62" t="s">
        <v>1329</v>
      </c>
      <c r="B31" s="64">
        <f>405</f>
        <v>405</v>
      </c>
    </row>
    <row r="32" spans="1:2" ht="12.75" customHeight="1" x14ac:dyDescent="0.2">
      <c r="A32" s="62" t="s">
        <v>1328</v>
      </c>
      <c r="B32" s="64">
        <f>2259.75</f>
        <v>2259.75</v>
      </c>
    </row>
    <row r="33" spans="1:2" ht="12.75" customHeight="1" x14ac:dyDescent="0.2">
      <c r="A33" s="62" t="s">
        <v>2090</v>
      </c>
      <c r="B33" s="64">
        <f>1559.55</f>
        <v>1559.55</v>
      </c>
    </row>
    <row r="34" spans="1:2" ht="12.75" customHeight="1" x14ac:dyDescent="0.2">
      <c r="A34" s="62" t="s">
        <v>1327</v>
      </c>
      <c r="B34" s="64">
        <f>2614.06</f>
        <v>2614.06</v>
      </c>
    </row>
    <row r="35" spans="1:2" ht="12.75" customHeight="1" x14ac:dyDescent="0.2">
      <c r="A35" s="62" t="s">
        <v>1325</v>
      </c>
      <c r="B35" s="63">
        <f>(((((B29)+(B30))+(B31))+(B32))+(B33))+(B34)</f>
        <v>15861.579999999998</v>
      </c>
    </row>
    <row r="36" spans="1:2" ht="12.75" customHeight="1" x14ac:dyDescent="0.2">
      <c r="A36" s="62" t="s">
        <v>1324</v>
      </c>
      <c r="B36" s="61"/>
    </row>
    <row r="37" spans="1:2" ht="12.75" customHeight="1" x14ac:dyDescent="0.2">
      <c r="A37" s="62" t="s">
        <v>1323</v>
      </c>
      <c r="B37" s="64">
        <f>10000</f>
        <v>10000</v>
      </c>
    </row>
    <row r="38" spans="1:2" ht="12.75" customHeight="1" x14ac:dyDescent="0.2">
      <c r="A38" s="62" t="s">
        <v>1322</v>
      </c>
      <c r="B38" s="64">
        <f>754.49</f>
        <v>754.49</v>
      </c>
    </row>
    <row r="39" spans="1:2" ht="12.75" customHeight="1" x14ac:dyDescent="0.2">
      <c r="A39" s="62" t="s">
        <v>1321</v>
      </c>
      <c r="B39" s="64">
        <f>4312.89</f>
        <v>4312.8900000000003</v>
      </c>
    </row>
    <row r="40" spans="1:2" ht="12.75" customHeight="1" x14ac:dyDescent="0.2">
      <c r="A40" s="62" t="s">
        <v>1320</v>
      </c>
      <c r="B40" s="63">
        <f>(((B36)+(B37))+(B38))+(B39)</f>
        <v>15067.380000000001</v>
      </c>
    </row>
    <row r="41" spans="1:2" ht="12.75" customHeight="1" x14ac:dyDescent="0.2">
      <c r="A41" s="62" t="s">
        <v>1319</v>
      </c>
      <c r="B41" s="61"/>
    </row>
    <row r="42" spans="1:2" ht="12.75" customHeight="1" x14ac:dyDescent="0.2">
      <c r="A42" s="62" t="s">
        <v>1317</v>
      </c>
      <c r="B42" s="64">
        <f>12985.82</f>
        <v>12985.82</v>
      </c>
    </row>
    <row r="43" spans="1:2" ht="12.75" customHeight="1" x14ac:dyDescent="0.2">
      <c r="A43" s="62" t="s">
        <v>1316</v>
      </c>
      <c r="B43" s="64">
        <f>3513.11</f>
        <v>3513.11</v>
      </c>
    </row>
    <row r="44" spans="1:2" ht="12.75" customHeight="1" x14ac:dyDescent="0.2">
      <c r="A44" s="62" t="s">
        <v>1315</v>
      </c>
      <c r="B44" s="64">
        <f>2842.05</f>
        <v>2842.05</v>
      </c>
    </row>
    <row r="45" spans="1:2" ht="12.75" customHeight="1" x14ac:dyDescent="0.2">
      <c r="A45" s="62" t="s">
        <v>1314</v>
      </c>
      <c r="B45" s="64">
        <f>12260.82</f>
        <v>12260.82</v>
      </c>
    </row>
    <row r="46" spans="1:2" ht="12.75" customHeight="1" x14ac:dyDescent="0.2">
      <c r="A46" s="62" t="s">
        <v>1312</v>
      </c>
      <c r="B46" s="64">
        <f>7072.85</f>
        <v>7072.85</v>
      </c>
    </row>
    <row r="47" spans="1:2" ht="12.75" customHeight="1" x14ac:dyDescent="0.2">
      <c r="A47" s="62" t="s">
        <v>2089</v>
      </c>
      <c r="B47" s="64">
        <f>3189.22</f>
        <v>3189.22</v>
      </c>
    </row>
    <row r="48" spans="1:2" ht="12.75" customHeight="1" x14ac:dyDescent="0.2">
      <c r="A48" s="62" t="s">
        <v>2088</v>
      </c>
      <c r="B48" s="64">
        <f>6779.35</f>
        <v>6779.35</v>
      </c>
    </row>
    <row r="49" spans="1:2" ht="12.75" customHeight="1" x14ac:dyDescent="0.2">
      <c r="A49" s="62" t="s">
        <v>1309</v>
      </c>
      <c r="B49" s="64">
        <f>790.09</f>
        <v>790.09</v>
      </c>
    </row>
    <row r="50" spans="1:2" ht="12.75" customHeight="1" x14ac:dyDescent="0.2">
      <c r="A50" s="62" t="s">
        <v>1308</v>
      </c>
      <c r="B50" s="61"/>
    </row>
    <row r="51" spans="1:2" ht="12.75" customHeight="1" x14ac:dyDescent="0.2">
      <c r="A51" s="62" t="s">
        <v>1307</v>
      </c>
      <c r="B51" s="64">
        <f>306254.9</f>
        <v>306254.90000000002</v>
      </c>
    </row>
    <row r="52" spans="1:2" ht="12.75" customHeight="1" x14ac:dyDescent="0.2">
      <c r="A52" s="62" t="s">
        <v>1306</v>
      </c>
      <c r="B52" s="64">
        <f>49936.95</f>
        <v>49936.95</v>
      </c>
    </row>
    <row r="53" spans="1:2" ht="12.75" customHeight="1" x14ac:dyDescent="0.2">
      <c r="A53" s="62" t="s">
        <v>1305</v>
      </c>
      <c r="B53" s="64">
        <f>38887.5</f>
        <v>38887.5</v>
      </c>
    </row>
    <row r="54" spans="1:2" ht="12.75" customHeight="1" x14ac:dyDescent="0.2">
      <c r="A54" s="62" t="s">
        <v>1304</v>
      </c>
      <c r="B54" s="63">
        <f>(((B50)+(B51))+(B52))+(B53)</f>
        <v>395079.35000000003</v>
      </c>
    </row>
    <row r="55" spans="1:2" ht="12.75" customHeight="1" x14ac:dyDescent="0.2">
      <c r="A55" s="62" t="s">
        <v>1302</v>
      </c>
      <c r="B55" s="64">
        <f>1143.22</f>
        <v>1143.22</v>
      </c>
    </row>
    <row r="56" spans="1:2" ht="12.75" customHeight="1" x14ac:dyDescent="0.2">
      <c r="A56" s="62" t="s">
        <v>1301</v>
      </c>
      <c r="B56" s="64">
        <f>103.5</f>
        <v>103.5</v>
      </c>
    </row>
    <row r="57" spans="1:2" ht="12.75" customHeight="1" x14ac:dyDescent="0.2">
      <c r="A57" s="62" t="s">
        <v>2087</v>
      </c>
      <c r="B57" s="64">
        <f>2012.38</f>
        <v>2012.38</v>
      </c>
    </row>
    <row r="58" spans="1:2" ht="12.75" customHeight="1" x14ac:dyDescent="0.2">
      <c r="A58" s="62" t="s">
        <v>1299</v>
      </c>
      <c r="B58" s="64">
        <f>1158.64</f>
        <v>1158.6400000000001</v>
      </c>
    </row>
    <row r="59" spans="1:2" ht="12.75" customHeight="1" x14ac:dyDescent="0.2">
      <c r="A59" s="62" t="s">
        <v>1298</v>
      </c>
      <c r="B59" s="64">
        <f>7679.75</f>
        <v>7679.75</v>
      </c>
    </row>
    <row r="60" spans="1:2" ht="12.75" customHeight="1" x14ac:dyDescent="0.2">
      <c r="A60" s="62" t="s">
        <v>1297</v>
      </c>
      <c r="B60" s="63">
        <f>((((((((((((((B41)+(B42))+(B43))+(B44))+(B45))+(B46))+(B47))+(B48))+(B49))+(B54))+(B55))+(B56))+(B57))+(B58))+(B59)</f>
        <v>456610.15</v>
      </c>
    </row>
    <row r="61" spans="1:2" ht="12.75" customHeight="1" x14ac:dyDescent="0.2">
      <c r="A61" s="62" t="s">
        <v>1296</v>
      </c>
      <c r="B61" s="61"/>
    </row>
    <row r="62" spans="1:2" ht="12.75" customHeight="1" x14ac:dyDescent="0.2">
      <c r="A62" s="62" t="s">
        <v>1295</v>
      </c>
      <c r="B62" s="64">
        <f>556.93</f>
        <v>556.92999999999995</v>
      </c>
    </row>
    <row r="63" spans="1:2" ht="12.75" customHeight="1" x14ac:dyDescent="0.2">
      <c r="A63" s="62" t="s">
        <v>1294</v>
      </c>
      <c r="B63" s="63">
        <f>(B61)+(B62)</f>
        <v>556.92999999999995</v>
      </c>
    </row>
    <row r="64" spans="1:2" ht="12.75" customHeight="1" x14ac:dyDescent="0.2">
      <c r="A64" s="62" t="s">
        <v>1293</v>
      </c>
      <c r="B64" s="61"/>
    </row>
    <row r="65" spans="1:2" ht="12.75" customHeight="1" x14ac:dyDescent="0.2">
      <c r="A65" s="62" t="s">
        <v>1292</v>
      </c>
      <c r="B65" s="64">
        <f>4422.95</f>
        <v>4422.95</v>
      </c>
    </row>
    <row r="66" spans="1:2" ht="12.75" customHeight="1" x14ac:dyDescent="0.2">
      <c r="A66" s="62" t="s">
        <v>1291</v>
      </c>
      <c r="B66" s="64">
        <f>1750.92</f>
        <v>1750.92</v>
      </c>
    </row>
    <row r="67" spans="1:2" ht="12.75" customHeight="1" x14ac:dyDescent="0.2">
      <c r="A67" s="62" t="s">
        <v>1290</v>
      </c>
      <c r="B67" s="64">
        <f>7536.98</f>
        <v>7536.98</v>
      </c>
    </row>
    <row r="68" spans="1:2" ht="12.75" customHeight="1" x14ac:dyDescent="0.2">
      <c r="A68" s="62" t="s">
        <v>1289</v>
      </c>
      <c r="B68" s="64">
        <f>27316.59</f>
        <v>27316.59</v>
      </c>
    </row>
    <row r="69" spans="1:2" ht="12.75" customHeight="1" x14ac:dyDescent="0.2">
      <c r="A69" s="62" t="s">
        <v>1288</v>
      </c>
      <c r="B69" s="64">
        <f>27576.87</f>
        <v>27576.87</v>
      </c>
    </row>
    <row r="70" spans="1:2" ht="12.75" customHeight="1" x14ac:dyDescent="0.2">
      <c r="A70" s="62" t="s">
        <v>1287</v>
      </c>
      <c r="B70" s="64">
        <f>24250.02</f>
        <v>24250.02</v>
      </c>
    </row>
    <row r="71" spans="1:2" ht="12.75" customHeight="1" x14ac:dyDescent="0.2">
      <c r="A71" s="62" t="s">
        <v>1285</v>
      </c>
      <c r="B71" s="63">
        <f>((((((B64)+(B65))+(B66))+(B67))+(B68))+(B69))+(B70)</f>
        <v>92854.33</v>
      </c>
    </row>
    <row r="72" spans="1:2" ht="12.75" customHeight="1" x14ac:dyDescent="0.2">
      <c r="A72" s="62" t="s">
        <v>1284</v>
      </c>
      <c r="B72" s="64">
        <f>5000</f>
        <v>5000</v>
      </c>
    </row>
    <row r="73" spans="1:2" ht="12.75" customHeight="1" x14ac:dyDescent="0.2">
      <c r="A73" s="62" t="s">
        <v>1283</v>
      </c>
      <c r="B73" s="64">
        <f>82031.28</f>
        <v>82031.28</v>
      </c>
    </row>
    <row r="74" spans="1:2" ht="12.75" customHeight="1" x14ac:dyDescent="0.2">
      <c r="A74" s="62" t="s">
        <v>1282</v>
      </c>
      <c r="B74" s="61"/>
    </row>
    <row r="75" spans="1:2" ht="12.75" customHeight="1" x14ac:dyDescent="0.2">
      <c r="A75" s="62" t="s">
        <v>2086</v>
      </c>
      <c r="B75" s="64">
        <f>75.7</f>
        <v>75.7</v>
      </c>
    </row>
    <row r="76" spans="1:2" ht="12.75" customHeight="1" x14ac:dyDescent="0.2">
      <c r="A76" s="62" t="s">
        <v>1280</v>
      </c>
      <c r="B76" s="63">
        <f>(B74)+(B75)</f>
        <v>75.7</v>
      </c>
    </row>
    <row r="77" spans="1:2" ht="12.75" customHeight="1" x14ac:dyDescent="0.2">
      <c r="A77" s="62" t="s">
        <v>1278</v>
      </c>
      <c r="B77" s="63">
        <f>((((((((B28)+(B35))+(B40))+(B60))+(B63))+(B71))+(B72))+(B73))+(B76)</f>
        <v>671302.84</v>
      </c>
    </row>
    <row r="78" spans="1:2" ht="12.75" customHeight="1" x14ac:dyDescent="0.2">
      <c r="A78" s="62" t="s">
        <v>1277</v>
      </c>
      <c r="B78" s="63">
        <f>(B24)-(B77)</f>
        <v>14192.520000000019</v>
      </c>
    </row>
    <row r="79" spans="1:2" ht="12.75" customHeight="1" x14ac:dyDescent="0.2">
      <c r="A79" s="62" t="s">
        <v>1276</v>
      </c>
      <c r="B79" s="63">
        <f>(B78)+(0)</f>
        <v>14192.520000000019</v>
      </c>
    </row>
    <row r="80" spans="1:2" ht="12.75" customHeight="1" x14ac:dyDescent="0.2">
      <c r="A80" s="62"/>
      <c r="B80" s="61"/>
    </row>
    <row r="81" spans="1:2" ht="12.75" customHeight="1" x14ac:dyDescent="0.2"/>
    <row r="82" spans="1:2" ht="12.75" customHeight="1" x14ac:dyDescent="0.2"/>
    <row r="83" spans="1:2" ht="12.75" customHeight="1" x14ac:dyDescent="0.2">
      <c r="A83" s="634" t="s">
        <v>2085</v>
      </c>
      <c r="B83" s="635"/>
    </row>
  </sheetData>
  <mergeCells count="4">
    <mergeCell ref="A83:B83"/>
    <mergeCell ref="A1:B1"/>
    <mergeCell ref="A2:B2"/>
    <mergeCell ref="A3:B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S78"/>
  <sheetViews>
    <sheetView workbookViewId="0">
      <pane xSplit="1" ySplit="4" topLeftCell="D56" activePane="bottomRight" state="frozen"/>
      <selection pane="topRight" activeCell="B1" sqref="B1"/>
      <selection pane="bottomLeft" activeCell="A5" sqref="A5"/>
      <selection pane="bottomRight" activeCell="M67" sqref="M67"/>
    </sheetView>
  </sheetViews>
  <sheetFormatPr defaultColWidth="8.85546875" defaultRowHeight="12.75" x14ac:dyDescent="0.2"/>
  <cols>
    <col min="1" max="1" width="35.140625" style="26" customWidth="1"/>
    <col min="2" max="2" width="10.5703125" style="26" customWidth="1"/>
    <col min="3" max="3" width="9.28515625" style="26" bestFit="1" customWidth="1"/>
    <col min="4" max="10" width="9.28515625" style="26" customWidth="1"/>
    <col min="11" max="11" width="10.28515625" style="27" bestFit="1" customWidth="1"/>
    <col min="12" max="12" width="10.28515625" style="26" bestFit="1" customWidth="1"/>
    <col min="13" max="13" width="8.7109375" style="26" bestFit="1" customWidth="1"/>
    <col min="14" max="14" width="10.28515625" style="80" bestFit="1" customWidth="1"/>
    <col min="15" max="15" width="5.28515625" style="26" customWidth="1"/>
    <col min="16" max="16" width="10.28515625" style="26" bestFit="1" customWidth="1"/>
    <col min="17" max="17" width="9.28515625" style="26" bestFit="1" customWidth="1"/>
    <col min="18" max="18" width="11.28515625" style="26" bestFit="1" customWidth="1"/>
    <col min="19" max="16384" width="8.85546875" style="26"/>
  </cols>
  <sheetData>
    <row r="1" spans="1:19" ht="21.75" customHeight="1" x14ac:dyDescent="0.25">
      <c r="A1" s="638" t="s">
        <v>177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9" ht="18.75" customHeight="1" thickBot="1" x14ac:dyDescent="0.3">
      <c r="A2" s="638" t="s">
        <v>2223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9" ht="12.75" customHeight="1" thickBot="1" x14ac:dyDescent="0.25">
      <c r="A3" s="87"/>
      <c r="B3" s="97"/>
      <c r="C3" s="639"/>
      <c r="D3" s="639"/>
      <c r="E3" s="639"/>
      <c r="F3" s="639"/>
      <c r="G3" s="639"/>
      <c r="H3" s="639"/>
      <c r="I3" s="639"/>
      <c r="J3" s="639"/>
      <c r="K3" s="98"/>
      <c r="L3" s="640" t="s">
        <v>2224</v>
      </c>
      <c r="M3" s="641"/>
      <c r="N3" s="642"/>
      <c r="P3" s="643" t="s">
        <v>2225</v>
      </c>
      <c r="Q3" s="639"/>
      <c r="R3" s="644"/>
    </row>
    <row r="4" spans="1:19" s="27" customFormat="1" ht="25.5" customHeight="1" thickBot="1" x14ac:dyDescent="0.25">
      <c r="A4" s="133" t="s">
        <v>2180</v>
      </c>
      <c r="B4" s="129" t="s">
        <v>2197</v>
      </c>
      <c r="C4" s="130" t="s">
        <v>1107</v>
      </c>
      <c r="D4" s="130" t="s">
        <v>1495</v>
      </c>
      <c r="E4" s="130" t="s">
        <v>278</v>
      </c>
      <c r="F4" s="130" t="s">
        <v>2198</v>
      </c>
      <c r="G4" s="130" t="s">
        <v>2199</v>
      </c>
      <c r="H4" s="130" t="s">
        <v>2187</v>
      </c>
      <c r="I4" s="130" t="s">
        <v>2206</v>
      </c>
      <c r="J4" s="130" t="s">
        <v>2200</v>
      </c>
      <c r="K4" s="131" t="s">
        <v>2201</v>
      </c>
      <c r="L4" s="132" t="s">
        <v>2160</v>
      </c>
      <c r="M4" s="134" t="s">
        <v>2150</v>
      </c>
      <c r="N4" s="135" t="s">
        <v>0</v>
      </c>
      <c r="P4" s="601" t="s">
        <v>2160</v>
      </c>
      <c r="Q4" s="602" t="s">
        <v>2150</v>
      </c>
      <c r="R4" s="603" t="s">
        <v>0</v>
      </c>
    </row>
    <row r="5" spans="1:19" s="27" customFormat="1" ht="12.95" customHeight="1" x14ac:dyDescent="0.2">
      <c r="A5" s="85" t="s">
        <v>2151</v>
      </c>
      <c r="B5" s="126">
        <f>SUM(B6:B8)</f>
        <v>15000</v>
      </c>
      <c r="C5" s="127">
        <f>SUM(C6:C8)</f>
        <v>85000</v>
      </c>
      <c r="D5" s="127">
        <f>SUM(D6:D8)</f>
        <v>25000</v>
      </c>
      <c r="E5" s="127">
        <f t="shared" ref="E5:J5" si="0">SUM(E6:E8)</f>
        <v>35000</v>
      </c>
      <c r="F5" s="127">
        <f t="shared" si="0"/>
        <v>29500</v>
      </c>
      <c r="G5" s="127">
        <f t="shared" si="0"/>
        <v>20000</v>
      </c>
      <c r="H5" s="127">
        <f t="shared" si="0"/>
        <v>5000</v>
      </c>
      <c r="I5" s="127">
        <f t="shared" si="0"/>
        <v>20000</v>
      </c>
      <c r="J5" s="127">
        <f t="shared" si="0"/>
        <v>6620</v>
      </c>
      <c r="K5" s="128">
        <f t="shared" ref="K5:K57" si="1">SUM(B5:J5)</f>
        <v>241120</v>
      </c>
      <c r="L5" s="158">
        <f t="shared" ref="L5:L37" si="2">SUM(K5:K5)</f>
        <v>241120</v>
      </c>
      <c r="M5" s="86">
        <f>SUM(M6:M8)</f>
        <v>13500</v>
      </c>
      <c r="N5" s="94">
        <f>L5+M5</f>
        <v>254620</v>
      </c>
      <c r="P5" s="607">
        <f t="shared" ref="P5:R5" si="3">SUM(P6:P8)</f>
        <v>264983.05000000005</v>
      </c>
      <c r="Q5" s="608">
        <f t="shared" si="3"/>
        <v>47545.549999999996</v>
      </c>
      <c r="R5" s="609">
        <f t="shared" si="3"/>
        <v>312528.59999999998</v>
      </c>
      <c r="S5" s="424"/>
    </row>
    <row r="6" spans="1:19" ht="12.95" customHeight="1" x14ac:dyDescent="0.2">
      <c r="A6" s="81" t="s">
        <v>2162</v>
      </c>
      <c r="B6" s="88">
        <f>Wisconsin!L6</f>
        <v>10000</v>
      </c>
      <c r="C6" s="143">
        <f>Illinois!E6</f>
        <v>60000</v>
      </c>
      <c r="D6" s="143">
        <f>Ohio!L6</f>
        <v>10000</v>
      </c>
      <c r="E6" s="143">
        <f>Buffalo!C6</f>
        <v>0</v>
      </c>
      <c r="F6" s="143">
        <f>Tennessee!L6</f>
        <v>0</v>
      </c>
      <c r="G6" s="143">
        <f>Florida!I6</f>
        <v>20000</v>
      </c>
      <c r="H6" s="143">
        <f>Missouri!C6</f>
        <v>0</v>
      </c>
      <c r="I6" s="143">
        <f>IND!C6</f>
        <v>15000</v>
      </c>
      <c r="J6" s="143">
        <f>'THE REST'!R6</f>
        <v>0</v>
      </c>
      <c r="K6" s="91">
        <f t="shared" si="1"/>
        <v>115000</v>
      </c>
      <c r="L6" s="143">
        <f t="shared" si="2"/>
        <v>115000</v>
      </c>
      <c r="M6" s="84">
        <f>National!C6</f>
        <v>12000</v>
      </c>
      <c r="N6" s="93">
        <f t="shared" ref="N6:N59" si="4">L6+M6</f>
        <v>127000</v>
      </c>
      <c r="P6" s="444">
        <f>Wisconsin!K6+Illinois!B6+IND!B6+Ohio!K6+Buffalo!B6+Missouri!B6+Tennessee!K6+Florida!H6+'THE REST'!Q6</f>
        <v>92364.72</v>
      </c>
      <c r="Q6" s="259">
        <f>National!B6</f>
        <v>0</v>
      </c>
      <c r="R6" s="445">
        <f>P6+Q6</f>
        <v>92364.72</v>
      </c>
      <c r="S6" s="425"/>
    </row>
    <row r="7" spans="1:19" ht="12.95" customHeight="1" x14ac:dyDescent="0.2">
      <c r="A7" s="81" t="s">
        <v>2163</v>
      </c>
      <c r="B7" s="88">
        <f>Wisconsin!L7</f>
        <v>0</v>
      </c>
      <c r="C7" s="143">
        <f>Illinois!E7</f>
        <v>0</v>
      </c>
      <c r="D7" s="143">
        <f>Ohio!L7</f>
        <v>0</v>
      </c>
      <c r="E7" s="143">
        <f>Buffalo!C7</f>
        <v>0</v>
      </c>
      <c r="F7" s="143">
        <f>Tennessee!L7</f>
        <v>2500</v>
      </c>
      <c r="G7" s="143">
        <f>Florida!I7</f>
        <v>0</v>
      </c>
      <c r="H7" s="143">
        <f>Missouri!C7</f>
        <v>0</v>
      </c>
      <c r="I7" s="143">
        <f>IND!C7</f>
        <v>0</v>
      </c>
      <c r="J7" s="143">
        <f>'THE REST'!R7</f>
        <v>0</v>
      </c>
      <c r="K7" s="91">
        <f t="shared" si="1"/>
        <v>2500</v>
      </c>
      <c r="L7" s="143">
        <f t="shared" si="2"/>
        <v>2500</v>
      </c>
      <c r="M7" s="84">
        <f>National!C7</f>
        <v>0</v>
      </c>
      <c r="N7" s="93">
        <f t="shared" si="4"/>
        <v>2500</v>
      </c>
      <c r="P7" s="444">
        <f>Wisconsin!K7+Illinois!B7+IND!B7+Ohio!K7+Buffalo!B7+Missouri!B7+Tennessee!K7+Florida!H7+'THE REST'!Q7</f>
        <v>5000</v>
      </c>
      <c r="Q7" s="259">
        <f>National!B7</f>
        <v>0</v>
      </c>
      <c r="R7" s="445">
        <f t="shared" ref="R7:R14" si="5">P7+Q7</f>
        <v>5000</v>
      </c>
      <c r="S7" s="425"/>
    </row>
    <row r="8" spans="1:19" ht="12.95" customHeight="1" x14ac:dyDescent="0.2">
      <c r="A8" s="81" t="s">
        <v>2164</v>
      </c>
      <c r="B8" s="88">
        <f>Wisconsin!L8</f>
        <v>5000</v>
      </c>
      <c r="C8" s="143">
        <f>Illinois!E8</f>
        <v>25000</v>
      </c>
      <c r="D8" s="143">
        <f>Ohio!L8</f>
        <v>15000</v>
      </c>
      <c r="E8" s="143">
        <f>Buffalo!C8</f>
        <v>35000</v>
      </c>
      <c r="F8" s="143">
        <f>Tennessee!L8</f>
        <v>27000</v>
      </c>
      <c r="G8" s="143">
        <f>Florida!I8</f>
        <v>0</v>
      </c>
      <c r="H8" s="143">
        <f>Missouri!C8</f>
        <v>5000</v>
      </c>
      <c r="I8" s="143">
        <f>IND!C8</f>
        <v>5000</v>
      </c>
      <c r="J8" s="143">
        <f>'THE REST'!R8</f>
        <v>6620</v>
      </c>
      <c r="K8" s="91">
        <f t="shared" si="1"/>
        <v>123620</v>
      </c>
      <c r="L8" s="143">
        <f t="shared" si="2"/>
        <v>123620</v>
      </c>
      <c r="M8" s="84">
        <f>National!C8</f>
        <v>1500</v>
      </c>
      <c r="N8" s="93">
        <f t="shared" si="4"/>
        <v>125120</v>
      </c>
      <c r="P8" s="444">
        <f>Wisconsin!K8+Illinois!B8+IND!B8+Ohio!K8+Buffalo!B8+Missouri!B8+Tennessee!K8+Florida!H8+'THE REST'!Q8</f>
        <v>167618.33000000002</v>
      </c>
      <c r="Q8" s="259">
        <f>National!B8</f>
        <v>47545.549999999996</v>
      </c>
      <c r="R8" s="445">
        <f t="shared" si="5"/>
        <v>215163.88</v>
      </c>
      <c r="S8" s="425"/>
    </row>
    <row r="9" spans="1:19" s="27" customFormat="1" ht="12.95" customHeight="1" x14ac:dyDescent="0.2">
      <c r="A9" s="85" t="s">
        <v>1359</v>
      </c>
      <c r="B9" s="90">
        <f>Wisconsin!L9</f>
        <v>261700</v>
      </c>
      <c r="C9" s="158">
        <f>Illinois!E9</f>
        <v>235000</v>
      </c>
      <c r="D9" s="158">
        <f>Ohio!L9</f>
        <v>50000</v>
      </c>
      <c r="E9" s="158">
        <f>Buffalo!C9</f>
        <v>10000</v>
      </c>
      <c r="F9" s="158">
        <f>Tennessee!L9</f>
        <v>30000</v>
      </c>
      <c r="G9" s="158">
        <f>Florida!I9</f>
        <v>10000</v>
      </c>
      <c r="H9" s="158">
        <f>Missouri!C9</f>
        <v>15000</v>
      </c>
      <c r="I9" s="158">
        <f>IND!C9</f>
        <v>20000</v>
      </c>
      <c r="J9" s="158">
        <f>'THE REST'!R9</f>
        <v>7000</v>
      </c>
      <c r="K9" s="91">
        <f t="shared" si="1"/>
        <v>638700</v>
      </c>
      <c r="L9" s="158">
        <f t="shared" si="2"/>
        <v>638700</v>
      </c>
      <c r="M9" s="86">
        <f>National!C9</f>
        <v>0</v>
      </c>
      <c r="N9" s="94">
        <f t="shared" si="4"/>
        <v>638700</v>
      </c>
      <c r="P9" s="442">
        <f>Wisconsin!K9+Illinois!B9+IND!B9+Ohio!K9+Buffalo!B9+Missouri!B9+Tennessee!K9+Florida!H9+'THE REST'!Q9</f>
        <v>729619.79</v>
      </c>
      <c r="Q9" s="262">
        <f>National!B9</f>
        <v>0</v>
      </c>
      <c r="R9" s="443">
        <f t="shared" si="5"/>
        <v>729619.79</v>
      </c>
      <c r="S9" s="424"/>
    </row>
    <row r="10" spans="1:19" s="27" customFormat="1" ht="12.95" customHeight="1" x14ac:dyDescent="0.2">
      <c r="A10" s="85" t="s">
        <v>2149</v>
      </c>
      <c r="B10" s="90">
        <f>SUM(B11:B12)</f>
        <v>10000</v>
      </c>
      <c r="C10" s="158">
        <f t="shared" ref="C10:J10" si="6">SUM(C11:C12)</f>
        <v>18000</v>
      </c>
      <c r="D10" s="158">
        <f t="shared" si="6"/>
        <v>15500</v>
      </c>
      <c r="E10" s="158">
        <f t="shared" si="6"/>
        <v>8000</v>
      </c>
      <c r="F10" s="158">
        <f t="shared" si="6"/>
        <v>5000</v>
      </c>
      <c r="G10" s="158">
        <f t="shared" si="6"/>
        <v>10000</v>
      </c>
      <c r="H10" s="158">
        <f t="shared" si="6"/>
        <v>0</v>
      </c>
      <c r="I10" s="158">
        <f t="shared" si="6"/>
        <v>20000</v>
      </c>
      <c r="J10" s="158">
        <f t="shared" si="6"/>
        <v>13500</v>
      </c>
      <c r="K10" s="91">
        <f t="shared" si="1"/>
        <v>100000</v>
      </c>
      <c r="L10" s="158">
        <f t="shared" si="2"/>
        <v>100000</v>
      </c>
      <c r="M10" s="86">
        <f>SUM(M11:M12)</f>
        <v>75000</v>
      </c>
      <c r="N10" s="94">
        <f t="shared" si="4"/>
        <v>175000</v>
      </c>
      <c r="P10" s="442">
        <f t="shared" ref="P10:Q10" si="7">SUM(P11:P12)</f>
        <v>74650</v>
      </c>
      <c r="Q10" s="262">
        <f t="shared" si="7"/>
        <v>75000</v>
      </c>
      <c r="R10" s="445">
        <f t="shared" si="5"/>
        <v>149650</v>
      </c>
      <c r="S10" s="424"/>
    </row>
    <row r="11" spans="1:19" ht="12.95" customHeight="1" x14ac:dyDescent="0.2">
      <c r="A11" s="81" t="s">
        <v>2162</v>
      </c>
      <c r="B11" s="88">
        <f>Wisconsin!L11</f>
        <v>0</v>
      </c>
      <c r="C11" s="143">
        <f>Illinois!E11</f>
        <v>18000</v>
      </c>
      <c r="D11" s="143">
        <f>Ohio!L11</f>
        <v>15000</v>
      </c>
      <c r="E11" s="143">
        <f>Buffalo!C11</f>
        <v>0</v>
      </c>
      <c r="F11" s="143">
        <f>Tennessee!L11</f>
        <v>5000</v>
      </c>
      <c r="G11" s="143">
        <f>Florida!I11</f>
        <v>10000</v>
      </c>
      <c r="H11" s="143">
        <f>Missouri!C11</f>
        <v>0</v>
      </c>
      <c r="I11" s="143">
        <f>IND!C11</f>
        <v>20000</v>
      </c>
      <c r="J11" s="143">
        <f>'THE REST'!R11</f>
        <v>8500</v>
      </c>
      <c r="K11" s="91">
        <f t="shared" si="1"/>
        <v>76500</v>
      </c>
      <c r="L11" s="143">
        <f t="shared" si="2"/>
        <v>76500</v>
      </c>
      <c r="M11" s="84">
        <f>National!C11</f>
        <v>0</v>
      </c>
      <c r="N11" s="93">
        <f t="shared" si="4"/>
        <v>76500</v>
      </c>
      <c r="P11" s="444">
        <f>Wisconsin!K11+Illinois!B11+IND!B11+Ohio!K11+Buffalo!B11+Missouri!B11+Tennessee!K11+Florida!H11+'THE REST'!Q11</f>
        <v>63650</v>
      </c>
      <c r="Q11" s="259">
        <f>National!B11</f>
        <v>0</v>
      </c>
      <c r="R11" s="445">
        <f t="shared" si="5"/>
        <v>63650</v>
      </c>
      <c r="S11" s="425"/>
    </row>
    <row r="12" spans="1:19" ht="12.95" customHeight="1" x14ac:dyDescent="0.2">
      <c r="A12" s="81" t="s">
        <v>2170</v>
      </c>
      <c r="B12" s="88">
        <f>Wisconsin!L12</f>
        <v>10000</v>
      </c>
      <c r="C12" s="143">
        <f>Illinois!E12</f>
        <v>0</v>
      </c>
      <c r="D12" s="143">
        <f>Ohio!L12</f>
        <v>500</v>
      </c>
      <c r="E12" s="143">
        <f>Buffalo!C12</f>
        <v>8000</v>
      </c>
      <c r="F12" s="143">
        <f>Tennessee!L12</f>
        <v>0</v>
      </c>
      <c r="G12" s="143">
        <f>Florida!I12</f>
        <v>0</v>
      </c>
      <c r="H12" s="143">
        <f>Missouri!C12</f>
        <v>0</v>
      </c>
      <c r="I12" s="143">
        <f>IND!C12</f>
        <v>0</v>
      </c>
      <c r="J12" s="143">
        <f>'THE REST'!R12</f>
        <v>5000</v>
      </c>
      <c r="K12" s="91">
        <f t="shared" si="1"/>
        <v>23500</v>
      </c>
      <c r="L12" s="143">
        <f t="shared" si="2"/>
        <v>23500</v>
      </c>
      <c r="M12" s="84">
        <f>National!C12</f>
        <v>75000</v>
      </c>
      <c r="N12" s="93">
        <f t="shared" si="4"/>
        <v>98500</v>
      </c>
      <c r="P12" s="444">
        <f>Wisconsin!K12+Illinois!B12+IND!B12+Ohio!K12+Buffalo!B12+Missouri!B12+Tennessee!K12+Florida!H12+'THE REST'!Q12</f>
        <v>11000</v>
      </c>
      <c r="Q12" s="259">
        <f>National!B12</f>
        <v>75000</v>
      </c>
      <c r="R12" s="445">
        <f t="shared" si="5"/>
        <v>86000</v>
      </c>
      <c r="S12" s="425"/>
    </row>
    <row r="13" spans="1:19" s="27" customFormat="1" ht="12.95" customHeight="1" x14ac:dyDescent="0.2">
      <c r="A13" s="85" t="s">
        <v>2168</v>
      </c>
      <c r="B13" s="90">
        <f>Wisconsin!L13</f>
        <v>27500</v>
      </c>
      <c r="C13" s="158">
        <f>Illinois!E13</f>
        <v>13750</v>
      </c>
      <c r="D13" s="158">
        <f>Ohio!L13</f>
        <v>21890</v>
      </c>
      <c r="E13" s="158">
        <f>Buffalo!C13</f>
        <v>8004</v>
      </c>
      <c r="F13" s="158">
        <f>Tennessee!L13</f>
        <v>21375</v>
      </c>
      <c r="G13" s="158">
        <f>Florida!I13</f>
        <v>0</v>
      </c>
      <c r="H13" s="158">
        <f>Missouri!C13</f>
        <v>13000</v>
      </c>
      <c r="I13" s="158">
        <f>IND!C13</f>
        <v>3000</v>
      </c>
      <c r="J13" s="158">
        <f>'THE REST'!R13</f>
        <v>4800</v>
      </c>
      <c r="K13" s="91">
        <f t="shared" si="1"/>
        <v>113319</v>
      </c>
      <c r="L13" s="158">
        <f t="shared" si="2"/>
        <v>113319</v>
      </c>
      <c r="M13" s="86">
        <f>National!C13</f>
        <v>0</v>
      </c>
      <c r="N13" s="94">
        <f t="shared" si="4"/>
        <v>113319</v>
      </c>
      <c r="P13" s="442">
        <f>Wisconsin!K13+Illinois!B13+IND!B13+Ohio!K13+Buffalo!B13+Missouri!B13+Tennessee!K13+Florida!H13+'THE REST'!Q13</f>
        <v>105709.35</v>
      </c>
      <c r="Q13" s="262">
        <f>National!B13</f>
        <v>12000</v>
      </c>
      <c r="R13" s="443">
        <f t="shared" si="5"/>
        <v>117709.35</v>
      </c>
      <c r="S13" s="424"/>
    </row>
    <row r="14" spans="1:19" s="389" customFormat="1" ht="12.95" customHeight="1" x14ac:dyDescent="0.2">
      <c r="A14" s="418" t="s">
        <v>2152</v>
      </c>
      <c r="B14" s="156">
        <f>Wisconsin!L14</f>
        <v>-82850</v>
      </c>
      <c r="C14" s="166">
        <f>Illinois!E14</f>
        <v>-92300</v>
      </c>
      <c r="D14" s="166">
        <f>Ohio!L14</f>
        <v>-8000</v>
      </c>
      <c r="E14" s="166">
        <f>Buffalo!C14</f>
        <v>-2000</v>
      </c>
      <c r="F14" s="166">
        <f>Tennessee!L14</f>
        <v>-5000</v>
      </c>
      <c r="G14" s="166">
        <f>Florida!I14</f>
        <v>-2000</v>
      </c>
      <c r="H14" s="166">
        <f>Missouri!C14</f>
        <v>-3000</v>
      </c>
      <c r="I14" s="166">
        <f>IND!C14</f>
        <v>0</v>
      </c>
      <c r="J14" s="166">
        <f>'THE REST'!R14</f>
        <v>-1000</v>
      </c>
      <c r="K14" s="155">
        <f t="shared" si="1"/>
        <v>-196150</v>
      </c>
      <c r="L14" s="166">
        <f t="shared" si="2"/>
        <v>-196150</v>
      </c>
      <c r="M14" s="157">
        <f>National!C14</f>
        <v>0</v>
      </c>
      <c r="N14" s="159">
        <f t="shared" si="4"/>
        <v>-196150</v>
      </c>
      <c r="P14" s="446">
        <f>Wisconsin!K14+Illinois!B14+IND!B14+Ohio!K14+Buffalo!B14+Missouri!B14+Tennessee!K14+Florida!H14+'THE REST'!Q14</f>
        <v>-219600.56</v>
      </c>
      <c r="Q14" s="393">
        <f>National!B14</f>
        <v>-5538.88</v>
      </c>
      <c r="R14" s="447">
        <f t="shared" si="5"/>
        <v>-225139.44</v>
      </c>
      <c r="S14" s="438"/>
    </row>
    <row r="15" spans="1:19" s="169" customFormat="1" ht="12.95" customHeight="1" x14ac:dyDescent="0.2">
      <c r="A15" s="431" t="s">
        <v>2153</v>
      </c>
      <c r="B15" s="432">
        <f>B5+B9+B10+B13+B14</f>
        <v>231350</v>
      </c>
      <c r="C15" s="324">
        <f t="shared" ref="C15:J15" si="8">C5+C9+C10+C13+C14</f>
        <v>259450</v>
      </c>
      <c r="D15" s="324">
        <f t="shared" si="8"/>
        <v>104390</v>
      </c>
      <c r="E15" s="324">
        <f t="shared" si="8"/>
        <v>59004</v>
      </c>
      <c r="F15" s="324">
        <f t="shared" si="8"/>
        <v>80875</v>
      </c>
      <c r="G15" s="324">
        <f t="shared" si="8"/>
        <v>38000</v>
      </c>
      <c r="H15" s="324">
        <f t="shared" si="8"/>
        <v>30000</v>
      </c>
      <c r="I15" s="324">
        <f t="shared" si="8"/>
        <v>63000</v>
      </c>
      <c r="J15" s="324">
        <f t="shared" si="8"/>
        <v>30920</v>
      </c>
      <c r="K15" s="122">
        <f>K5+K9+K10+K13+K14</f>
        <v>896989</v>
      </c>
      <c r="L15" s="324">
        <f t="shared" si="2"/>
        <v>896989</v>
      </c>
      <c r="M15" s="433">
        <f>M5+M9+M10+M13+M14</f>
        <v>88500</v>
      </c>
      <c r="N15" s="434">
        <f t="shared" si="4"/>
        <v>985489</v>
      </c>
      <c r="P15" s="448">
        <f>P5+P9+P10+P13+P14</f>
        <v>955361.63000000012</v>
      </c>
      <c r="Q15" s="449">
        <f>Q5+Q9+Q10+Q13+Q14</f>
        <v>129006.66999999998</v>
      </c>
      <c r="R15" s="450">
        <f>P15+Q15</f>
        <v>1084368.3</v>
      </c>
      <c r="S15" s="430"/>
    </row>
    <row r="16" spans="1:19" s="169" customFormat="1" ht="12.95" customHeight="1" x14ac:dyDescent="0.2">
      <c r="A16" s="431" t="s">
        <v>2171</v>
      </c>
      <c r="B16" s="435">
        <f t="shared" ref="B16:K16" si="9">(B15-B13)*-0.15</f>
        <v>-30577.5</v>
      </c>
      <c r="C16" s="436">
        <f t="shared" si="9"/>
        <v>-36855</v>
      </c>
      <c r="D16" s="436">
        <f t="shared" si="9"/>
        <v>-12375</v>
      </c>
      <c r="E16" s="436">
        <f t="shared" si="9"/>
        <v>-7650</v>
      </c>
      <c r="F16" s="436">
        <f t="shared" si="9"/>
        <v>-8925</v>
      </c>
      <c r="G16" s="436">
        <f t="shared" si="9"/>
        <v>-5700</v>
      </c>
      <c r="H16" s="436">
        <f t="shared" si="9"/>
        <v>-2550</v>
      </c>
      <c r="I16" s="436">
        <f t="shared" si="9"/>
        <v>-9000</v>
      </c>
      <c r="J16" s="436">
        <f t="shared" si="9"/>
        <v>-3918</v>
      </c>
      <c r="K16" s="437">
        <f t="shared" si="9"/>
        <v>-117550.5</v>
      </c>
      <c r="L16" s="436">
        <f t="shared" si="2"/>
        <v>-117550.5</v>
      </c>
      <c r="M16" s="433">
        <f>-L16</f>
        <v>117550.5</v>
      </c>
      <c r="N16" s="434">
        <f t="shared" si="4"/>
        <v>0</v>
      </c>
      <c r="P16" s="599">
        <v>-134994.32</v>
      </c>
      <c r="Q16" s="449">
        <f>National!B16</f>
        <v>134994</v>
      </c>
      <c r="R16" s="450">
        <f t="shared" ref="R16:R17" si="10">P16+Q16</f>
        <v>-0.32000000000698492</v>
      </c>
      <c r="S16" s="430"/>
    </row>
    <row r="17" spans="1:19" s="169" customFormat="1" ht="12.95" customHeight="1" x14ac:dyDescent="0.2">
      <c r="A17" s="431" t="s">
        <v>2154</v>
      </c>
      <c r="B17" s="432">
        <f t="shared" ref="B17:J17" si="11">B15+B16</f>
        <v>200772.5</v>
      </c>
      <c r="C17" s="324">
        <f t="shared" si="11"/>
        <v>222595</v>
      </c>
      <c r="D17" s="324">
        <f t="shared" si="11"/>
        <v>92015</v>
      </c>
      <c r="E17" s="324">
        <f t="shared" si="11"/>
        <v>51354</v>
      </c>
      <c r="F17" s="324">
        <f t="shared" si="11"/>
        <v>71950</v>
      </c>
      <c r="G17" s="324">
        <f t="shared" si="11"/>
        <v>32300</v>
      </c>
      <c r="H17" s="324">
        <f t="shared" si="11"/>
        <v>27450</v>
      </c>
      <c r="I17" s="324">
        <f t="shared" si="11"/>
        <v>54000</v>
      </c>
      <c r="J17" s="324">
        <f t="shared" si="11"/>
        <v>27002</v>
      </c>
      <c r="K17" s="122">
        <f t="shared" si="1"/>
        <v>779438.5</v>
      </c>
      <c r="L17" s="324">
        <f t="shared" si="2"/>
        <v>779438.5</v>
      </c>
      <c r="M17" s="433">
        <f>SUM(M15:M16)</f>
        <v>206050.5</v>
      </c>
      <c r="N17" s="434">
        <f t="shared" si="4"/>
        <v>985489</v>
      </c>
      <c r="P17" s="448">
        <f>SUM(P15:P16)</f>
        <v>820367.31</v>
      </c>
      <c r="Q17" s="449">
        <f>SUM(Q15:Q16)</f>
        <v>264000.67</v>
      </c>
      <c r="R17" s="450">
        <f t="shared" si="10"/>
        <v>1084367.98</v>
      </c>
      <c r="S17" s="430"/>
    </row>
    <row r="18" spans="1:19" ht="12.95" customHeight="1" x14ac:dyDescent="0.2">
      <c r="A18" s="597" t="s">
        <v>2247</v>
      </c>
      <c r="B18" s="470"/>
      <c r="C18" s="471"/>
      <c r="D18" s="471"/>
      <c r="E18" s="471"/>
      <c r="F18" s="471"/>
      <c r="G18" s="471"/>
      <c r="H18" s="471"/>
      <c r="I18" s="471"/>
      <c r="J18" s="471"/>
      <c r="K18" s="472"/>
      <c r="L18" s="471"/>
      <c r="M18" s="595"/>
      <c r="N18" s="596"/>
      <c r="P18" s="475"/>
      <c r="Q18" s="476"/>
      <c r="R18" s="477"/>
      <c r="S18" s="425"/>
    </row>
    <row r="19" spans="1:19" ht="12.95" customHeight="1" x14ac:dyDescent="0.2">
      <c r="A19" s="81" t="s">
        <v>1536</v>
      </c>
      <c r="B19" s="88">
        <f>Wisconsin!L19</f>
        <v>0</v>
      </c>
      <c r="C19" s="143">
        <f>Illinois!E19</f>
        <v>0</v>
      </c>
      <c r="D19" s="143">
        <f>Ohio!L19</f>
        <v>0</v>
      </c>
      <c r="E19" s="143">
        <f>Buffalo!C19</f>
        <v>0</v>
      </c>
      <c r="F19" s="143">
        <f>Tennessee!L19</f>
        <v>0</v>
      </c>
      <c r="G19" s="143">
        <f>Florida!I19</f>
        <v>460</v>
      </c>
      <c r="H19" s="143">
        <f>Missouri!C19</f>
        <v>0</v>
      </c>
      <c r="I19" s="143">
        <f>IND!C19</f>
        <v>0</v>
      </c>
      <c r="J19" s="143">
        <f>'THE REST'!R19</f>
        <v>0</v>
      </c>
      <c r="K19" s="91">
        <f t="shared" si="1"/>
        <v>460</v>
      </c>
      <c r="L19" s="143">
        <f t="shared" si="2"/>
        <v>460</v>
      </c>
      <c r="M19" s="84">
        <f>National!C19</f>
        <v>3900</v>
      </c>
      <c r="N19" s="94">
        <f t="shared" si="4"/>
        <v>4360</v>
      </c>
      <c r="P19" s="444">
        <f>Wisconsin!K19+Illinois!B19+IND!B19+Ohio!K19+Buffalo!B19+Missouri!B19+Tennessee!K19+Florida!H19+'THE REST'!Q19</f>
        <v>460</v>
      </c>
      <c r="Q19" s="259">
        <f>National!B19</f>
        <v>3819</v>
      </c>
      <c r="R19" s="445">
        <f t="shared" ref="R19:R57" si="12">P19+Q19</f>
        <v>4279</v>
      </c>
      <c r="S19" s="425"/>
    </row>
    <row r="20" spans="1:19" ht="12.95" customHeight="1" x14ac:dyDescent="0.2">
      <c r="A20" s="81" t="s">
        <v>2157</v>
      </c>
      <c r="B20" s="88">
        <f>Wisconsin!L20</f>
        <v>0</v>
      </c>
      <c r="C20" s="143">
        <f>Illinois!E20</f>
        <v>0</v>
      </c>
      <c r="D20" s="143">
        <f>Ohio!L20</f>
        <v>0</v>
      </c>
      <c r="E20" s="143">
        <f>Buffalo!C20</f>
        <v>0</v>
      </c>
      <c r="F20" s="143">
        <f>Tennessee!L20</f>
        <v>0</v>
      </c>
      <c r="G20" s="143">
        <f>Florida!I20</f>
        <v>0</v>
      </c>
      <c r="H20" s="143">
        <f>Missouri!C20</f>
        <v>0</v>
      </c>
      <c r="I20" s="143">
        <f>IND!C20</f>
        <v>0</v>
      </c>
      <c r="J20" s="143">
        <f>'THE REST'!R20</f>
        <v>0</v>
      </c>
      <c r="K20" s="91">
        <f t="shared" si="1"/>
        <v>0</v>
      </c>
      <c r="L20" s="143">
        <f t="shared" si="2"/>
        <v>0</v>
      </c>
      <c r="M20" s="84">
        <f>National!C20</f>
        <v>15000</v>
      </c>
      <c r="N20" s="94">
        <f t="shared" si="4"/>
        <v>15000</v>
      </c>
      <c r="P20" s="444">
        <f>Wisconsin!K20+Illinois!B20+IND!B20+Ohio!K20+Buffalo!B20+Missouri!B20+Tennessee!K20+Florida!H20+'THE REST'!Q20</f>
        <v>0</v>
      </c>
      <c r="Q20" s="259">
        <f>National!B20</f>
        <v>14096.96</v>
      </c>
      <c r="R20" s="445">
        <f t="shared" si="12"/>
        <v>14096.96</v>
      </c>
      <c r="S20" s="425"/>
    </row>
    <row r="21" spans="1:19" ht="12.95" customHeight="1" x14ac:dyDescent="0.2">
      <c r="A21" s="81" t="s">
        <v>1537</v>
      </c>
      <c r="B21" s="88">
        <f>Wisconsin!L21</f>
        <v>0</v>
      </c>
      <c r="C21" s="143">
        <f>Illinois!E21</f>
        <v>0</v>
      </c>
      <c r="D21" s="143">
        <f>Ohio!L21</f>
        <v>0</v>
      </c>
      <c r="E21" s="143">
        <f>Buffalo!C21</f>
        <v>0</v>
      </c>
      <c r="F21" s="143">
        <f>Tennessee!L21</f>
        <v>0</v>
      </c>
      <c r="G21" s="143">
        <f>Florida!I21</f>
        <v>0</v>
      </c>
      <c r="H21" s="143">
        <f>Missouri!C21</f>
        <v>0</v>
      </c>
      <c r="I21" s="143">
        <f>IND!C21</f>
        <v>0</v>
      </c>
      <c r="J21" s="143">
        <f>'THE REST'!R21</f>
        <v>0</v>
      </c>
      <c r="K21" s="91">
        <f t="shared" si="1"/>
        <v>0</v>
      </c>
      <c r="L21" s="143">
        <f t="shared" si="2"/>
        <v>0</v>
      </c>
      <c r="M21" s="84">
        <f>National!C21</f>
        <v>1200</v>
      </c>
      <c r="N21" s="94">
        <f t="shared" si="4"/>
        <v>1200</v>
      </c>
      <c r="P21" s="444">
        <f>Wisconsin!K21+Illinois!B21+IND!B21+Ohio!K21+Buffalo!B21+Missouri!B21+Tennessee!K21+Florida!H21+'THE REST'!Q21</f>
        <v>0</v>
      </c>
      <c r="Q21" s="259">
        <f>National!B21</f>
        <v>1287</v>
      </c>
      <c r="R21" s="445">
        <f t="shared" si="12"/>
        <v>1287</v>
      </c>
      <c r="S21" s="425"/>
    </row>
    <row r="22" spans="1:19" ht="12.95" customHeight="1" x14ac:dyDescent="0.2">
      <c r="A22" s="81" t="s">
        <v>1236</v>
      </c>
      <c r="B22" s="88">
        <f>Wisconsin!L22</f>
        <v>0</v>
      </c>
      <c r="C22" s="143">
        <f>Illinois!E22</f>
        <v>500</v>
      </c>
      <c r="D22" s="143">
        <f>Ohio!L22</f>
        <v>150</v>
      </c>
      <c r="E22" s="143">
        <f>Buffalo!C22</f>
        <v>0</v>
      </c>
      <c r="F22" s="143">
        <f>Tennessee!L22</f>
        <v>0</v>
      </c>
      <c r="G22" s="143">
        <f>Florida!I22</f>
        <v>0</v>
      </c>
      <c r="H22" s="143">
        <f>Missouri!C22</f>
        <v>0</v>
      </c>
      <c r="I22" s="143">
        <f>IND!C22</f>
        <v>0</v>
      </c>
      <c r="J22" s="143">
        <f>'THE REST'!R22</f>
        <v>0</v>
      </c>
      <c r="K22" s="91">
        <f t="shared" si="1"/>
        <v>650</v>
      </c>
      <c r="L22" s="143">
        <f t="shared" si="2"/>
        <v>650</v>
      </c>
      <c r="M22" s="84">
        <f>National!C22</f>
        <v>5000</v>
      </c>
      <c r="N22" s="94">
        <f t="shared" si="4"/>
        <v>5650</v>
      </c>
      <c r="P22" s="444">
        <f>Wisconsin!K22+Illinois!B22+IND!B22+Ohio!K22+Buffalo!B22+Missouri!B22+Tennessee!K22+Florida!H22+'THE REST'!Q22</f>
        <v>589.80999999999995</v>
      </c>
      <c r="Q22" s="259">
        <f>National!B22</f>
        <v>5566.96</v>
      </c>
      <c r="R22" s="445">
        <f t="shared" si="12"/>
        <v>6156.77</v>
      </c>
      <c r="S22" s="425"/>
    </row>
    <row r="23" spans="1:19" ht="12.95" customHeight="1" x14ac:dyDescent="0.2">
      <c r="A23" s="82" t="s">
        <v>2156</v>
      </c>
      <c r="B23" s="88">
        <f>Wisconsin!L23</f>
        <v>0</v>
      </c>
      <c r="C23" s="143">
        <f>Illinois!E23</f>
        <v>0</v>
      </c>
      <c r="D23" s="143">
        <f>Ohio!L23</f>
        <v>0</v>
      </c>
      <c r="E23" s="143">
        <f>Buffalo!C23</f>
        <v>0</v>
      </c>
      <c r="F23" s="143">
        <f>Tennessee!L23</f>
        <v>0</v>
      </c>
      <c r="G23" s="143">
        <f>Florida!I23</f>
        <v>0</v>
      </c>
      <c r="H23" s="143">
        <f>Missouri!C23</f>
        <v>0</v>
      </c>
      <c r="I23" s="143">
        <f>IND!C23</f>
        <v>0</v>
      </c>
      <c r="J23" s="143">
        <f>'THE REST'!R23</f>
        <v>0</v>
      </c>
      <c r="K23" s="91">
        <f t="shared" si="1"/>
        <v>0</v>
      </c>
      <c r="L23" s="143">
        <f t="shared" si="2"/>
        <v>0</v>
      </c>
      <c r="M23" s="84">
        <f>National!C23</f>
        <v>2500</v>
      </c>
      <c r="N23" s="94">
        <f t="shared" si="4"/>
        <v>2500</v>
      </c>
      <c r="P23" s="444">
        <f>Wisconsin!K23+Illinois!B23+IND!B23+Ohio!K23+Buffalo!B23+Missouri!B23+Tennessee!K23+Florida!H23+'THE REST'!Q23</f>
        <v>0</v>
      </c>
      <c r="Q23" s="259">
        <f>National!B23</f>
        <v>1300</v>
      </c>
      <c r="R23" s="445">
        <f t="shared" si="12"/>
        <v>1300</v>
      </c>
      <c r="S23" s="425"/>
    </row>
    <row r="24" spans="1:19" ht="12.95" customHeight="1" x14ac:dyDescent="0.2">
      <c r="A24" s="82" t="s">
        <v>2176</v>
      </c>
      <c r="B24" s="88">
        <f>Wisconsin!L24</f>
        <v>9200</v>
      </c>
      <c r="C24" s="143">
        <f>Illinois!E24</f>
        <v>0</v>
      </c>
      <c r="D24" s="143">
        <f>Ohio!L24</f>
        <v>0</v>
      </c>
      <c r="E24" s="143">
        <f>Buffalo!C24</f>
        <v>0</v>
      </c>
      <c r="F24" s="143">
        <f>Tennessee!L24</f>
        <v>0</v>
      </c>
      <c r="G24" s="143">
        <f>Florida!I24</f>
        <v>0</v>
      </c>
      <c r="H24" s="143">
        <f>Missouri!C24</f>
        <v>0</v>
      </c>
      <c r="I24" s="143">
        <f>IND!C24</f>
        <v>0</v>
      </c>
      <c r="J24" s="143">
        <f>'THE REST'!R24</f>
        <v>0</v>
      </c>
      <c r="K24" s="91">
        <f t="shared" si="1"/>
        <v>9200</v>
      </c>
      <c r="L24" s="143">
        <f t="shared" si="2"/>
        <v>9200</v>
      </c>
      <c r="M24" s="84">
        <f>National!C24</f>
        <v>1000</v>
      </c>
      <c r="N24" s="94">
        <f t="shared" si="4"/>
        <v>10200</v>
      </c>
      <c r="P24" s="444">
        <f>Wisconsin!K24+Illinois!B24+IND!B24+Ohio!K24+Buffalo!B24+Missouri!B24+Tennessee!K24+Florida!H24+'THE REST'!Q24</f>
        <v>0</v>
      </c>
      <c r="Q24" s="259">
        <f>National!B24</f>
        <v>7500</v>
      </c>
      <c r="R24" s="445">
        <f t="shared" si="12"/>
        <v>7500</v>
      </c>
      <c r="S24" s="425"/>
    </row>
    <row r="25" spans="1:19" ht="12.95" customHeight="1" x14ac:dyDescent="0.2">
      <c r="A25" s="82" t="s">
        <v>2172</v>
      </c>
      <c r="B25" s="88">
        <f>Wisconsin!L25</f>
        <v>0</v>
      </c>
      <c r="C25" s="143">
        <f>Illinois!E25</f>
        <v>11000</v>
      </c>
      <c r="D25" s="143">
        <f>Ohio!L25</f>
        <v>0</v>
      </c>
      <c r="E25" s="143">
        <f>Buffalo!C25</f>
        <v>0</v>
      </c>
      <c r="F25" s="143">
        <f>Tennessee!L25</f>
        <v>0</v>
      </c>
      <c r="G25" s="143">
        <f>Florida!I25</f>
        <v>0</v>
      </c>
      <c r="H25" s="143">
        <f>Missouri!C25</f>
        <v>0</v>
      </c>
      <c r="I25" s="143">
        <f>IND!C25</f>
        <v>0</v>
      </c>
      <c r="J25" s="143">
        <f>'THE REST'!R25</f>
        <v>0</v>
      </c>
      <c r="K25" s="91">
        <f t="shared" si="1"/>
        <v>11000</v>
      </c>
      <c r="L25" s="143">
        <f t="shared" si="2"/>
        <v>11000</v>
      </c>
      <c r="M25" s="84">
        <f>National!C25</f>
        <v>14400</v>
      </c>
      <c r="N25" s="94">
        <f t="shared" si="4"/>
        <v>25400</v>
      </c>
      <c r="P25" s="444">
        <f>Wisconsin!K25+Illinois!B25+IND!B25+Ohio!K25+Buffalo!B25+Missouri!B25+Tennessee!K25+Florida!H25+'THE REST'!Q25</f>
        <v>4700</v>
      </c>
      <c r="Q25" s="259">
        <f>National!B25</f>
        <v>23075</v>
      </c>
      <c r="R25" s="445">
        <f t="shared" si="12"/>
        <v>27775</v>
      </c>
      <c r="S25" s="425"/>
    </row>
    <row r="26" spans="1:19" ht="12.95" customHeight="1" x14ac:dyDescent="0.2">
      <c r="A26" s="82" t="s">
        <v>1239</v>
      </c>
      <c r="B26" s="88">
        <f>Wisconsin!L26</f>
        <v>0</v>
      </c>
      <c r="C26" s="143">
        <f>Illinois!E26</f>
        <v>0</v>
      </c>
      <c r="D26" s="143">
        <f>Ohio!L26</f>
        <v>1308</v>
      </c>
      <c r="E26" s="143">
        <f>Buffalo!C26</f>
        <v>1848</v>
      </c>
      <c r="F26" s="143">
        <f>Tennessee!L26</f>
        <v>0</v>
      </c>
      <c r="G26" s="143">
        <f>Florida!I26</f>
        <v>0</v>
      </c>
      <c r="H26" s="143">
        <f>Missouri!C26</f>
        <v>0</v>
      </c>
      <c r="I26" s="143">
        <f>IND!C26</f>
        <v>0</v>
      </c>
      <c r="J26" s="143">
        <f>'THE REST'!R26</f>
        <v>0</v>
      </c>
      <c r="K26" s="91">
        <f t="shared" si="1"/>
        <v>3156</v>
      </c>
      <c r="L26" s="143">
        <f t="shared" si="2"/>
        <v>3156</v>
      </c>
      <c r="M26" s="84">
        <f>National!C26</f>
        <v>0</v>
      </c>
      <c r="N26" s="94">
        <f t="shared" si="4"/>
        <v>3156</v>
      </c>
      <c r="P26" s="444">
        <f>Wisconsin!K26+Illinois!B26+IND!B26+Ohio!K26+Buffalo!B26+Missouri!B26+Tennessee!K26+Florida!H26+'THE REST'!Q26</f>
        <v>3156</v>
      </c>
      <c r="Q26" s="259">
        <f>National!B26</f>
        <v>12000</v>
      </c>
      <c r="R26" s="445">
        <f t="shared" si="12"/>
        <v>15156</v>
      </c>
      <c r="S26" s="425"/>
    </row>
    <row r="27" spans="1:19" ht="12.95" customHeight="1" x14ac:dyDescent="0.2">
      <c r="A27" s="82" t="s">
        <v>1240</v>
      </c>
      <c r="B27" s="88">
        <f>Wisconsin!L27</f>
        <v>0</v>
      </c>
      <c r="C27" s="143">
        <f>Illinois!E27</f>
        <v>0</v>
      </c>
      <c r="D27" s="143">
        <f>Ohio!L27</f>
        <v>0</v>
      </c>
      <c r="E27" s="143">
        <f>Buffalo!C27</f>
        <v>0</v>
      </c>
      <c r="F27" s="143">
        <f>Tennessee!L27</f>
        <v>0</v>
      </c>
      <c r="G27" s="143">
        <f>Florida!I27</f>
        <v>0</v>
      </c>
      <c r="H27" s="143">
        <f>Missouri!C27</f>
        <v>0</v>
      </c>
      <c r="I27" s="143">
        <f>IND!C27</f>
        <v>0</v>
      </c>
      <c r="J27" s="143">
        <f>'THE REST'!R27</f>
        <v>0</v>
      </c>
      <c r="K27" s="91">
        <f t="shared" si="1"/>
        <v>0</v>
      </c>
      <c r="L27" s="143">
        <f t="shared" si="2"/>
        <v>0</v>
      </c>
      <c r="M27" s="84">
        <f>National!C27</f>
        <v>0</v>
      </c>
      <c r="N27" s="94">
        <f t="shared" si="4"/>
        <v>0</v>
      </c>
      <c r="P27" s="444">
        <f>Wisconsin!K27+Illinois!B27+IND!B27+Ohio!K27+Buffalo!B27+Missouri!B27+Tennessee!K27+Florida!H27+'THE REST'!Q27</f>
        <v>0</v>
      </c>
      <c r="Q27" s="259">
        <f>National!B27</f>
        <v>2251.04</v>
      </c>
      <c r="R27" s="445">
        <f t="shared" si="12"/>
        <v>2251.04</v>
      </c>
      <c r="S27" s="425"/>
    </row>
    <row r="28" spans="1:19" ht="12.95" customHeight="1" x14ac:dyDescent="0.2">
      <c r="A28" s="82" t="s">
        <v>1241</v>
      </c>
      <c r="B28" s="88">
        <f>Wisconsin!L28</f>
        <v>0</v>
      </c>
      <c r="C28" s="143">
        <f>Illinois!E28</f>
        <v>0</v>
      </c>
      <c r="D28" s="143">
        <f>Ohio!L28</f>
        <v>0</v>
      </c>
      <c r="E28" s="143">
        <f>Buffalo!C28</f>
        <v>0</v>
      </c>
      <c r="F28" s="143">
        <f>Tennessee!L28</f>
        <v>0</v>
      </c>
      <c r="G28" s="143">
        <f>Florida!I28</f>
        <v>0</v>
      </c>
      <c r="H28" s="143">
        <f>Missouri!C28</f>
        <v>0</v>
      </c>
      <c r="I28" s="143">
        <f>IND!C28</f>
        <v>0</v>
      </c>
      <c r="J28" s="143">
        <f>'THE REST'!R28</f>
        <v>0</v>
      </c>
      <c r="K28" s="91">
        <f t="shared" si="1"/>
        <v>0</v>
      </c>
      <c r="L28" s="143">
        <f t="shared" si="2"/>
        <v>0</v>
      </c>
      <c r="M28" s="84">
        <f>National!C28</f>
        <v>0</v>
      </c>
      <c r="N28" s="94">
        <f t="shared" si="4"/>
        <v>0</v>
      </c>
      <c r="P28" s="444">
        <f>Wisconsin!K28+Illinois!B28+IND!B28+Ohio!K28+Buffalo!B28+Missouri!B28+Tennessee!K28+Florida!H28+'THE REST'!Q28</f>
        <v>0</v>
      </c>
      <c r="Q28" s="259">
        <f>National!B28</f>
        <v>3227.86</v>
      </c>
      <c r="R28" s="445">
        <f t="shared" si="12"/>
        <v>3227.86</v>
      </c>
      <c r="S28" s="425"/>
    </row>
    <row r="29" spans="1:19" ht="12.95" customHeight="1" x14ac:dyDescent="0.2">
      <c r="A29" s="82" t="s">
        <v>2167</v>
      </c>
      <c r="B29" s="88">
        <f>Wisconsin!L29</f>
        <v>0</v>
      </c>
      <c r="C29" s="143">
        <f>Illinois!E29</f>
        <v>160</v>
      </c>
      <c r="D29" s="143">
        <f>Ohio!L29</f>
        <v>0</v>
      </c>
      <c r="E29" s="143">
        <f>Buffalo!C29</f>
        <v>0</v>
      </c>
      <c r="F29" s="143">
        <f>Tennessee!L29</f>
        <v>0</v>
      </c>
      <c r="G29" s="143">
        <f>Florida!I29</f>
        <v>0</v>
      </c>
      <c r="H29" s="143">
        <f>Missouri!C29</f>
        <v>0</v>
      </c>
      <c r="I29" s="143">
        <f>IND!C29</f>
        <v>0</v>
      </c>
      <c r="J29" s="143">
        <f>'THE REST'!R29</f>
        <v>0</v>
      </c>
      <c r="K29" s="91">
        <f t="shared" si="1"/>
        <v>160</v>
      </c>
      <c r="L29" s="143">
        <f t="shared" si="2"/>
        <v>160</v>
      </c>
      <c r="M29" s="84">
        <f>National!C29</f>
        <v>2200</v>
      </c>
      <c r="N29" s="94">
        <f t="shared" si="4"/>
        <v>2360</v>
      </c>
      <c r="P29" s="444">
        <f>Wisconsin!K29+Illinois!B29+IND!B29+Ohio!K29+Buffalo!B29+Missouri!B29+Tennessee!K29+Florida!H29+'THE REST'!Q29</f>
        <v>215.98000000000002</v>
      </c>
      <c r="Q29" s="259">
        <f>National!B29</f>
        <v>2178.54</v>
      </c>
      <c r="R29" s="445">
        <f t="shared" si="12"/>
        <v>2394.52</v>
      </c>
      <c r="S29" s="425"/>
    </row>
    <row r="30" spans="1:19" ht="12.95" customHeight="1" x14ac:dyDescent="0.2">
      <c r="A30" s="82" t="s">
        <v>1244</v>
      </c>
      <c r="B30" s="88">
        <f>Wisconsin!L30</f>
        <v>4500</v>
      </c>
      <c r="C30" s="143">
        <f>Illinois!E30</f>
        <v>7800</v>
      </c>
      <c r="D30" s="143">
        <f>Ohio!L30</f>
        <v>750</v>
      </c>
      <c r="E30" s="143">
        <f>Buffalo!C30</f>
        <v>600</v>
      </c>
      <c r="F30" s="143">
        <f>Tennessee!L30</f>
        <v>1400</v>
      </c>
      <c r="G30" s="143">
        <f>Florida!I30</f>
        <v>750</v>
      </c>
      <c r="H30" s="143">
        <f>Missouri!C30</f>
        <v>0</v>
      </c>
      <c r="I30" s="143">
        <f>IND!C30</f>
        <v>1000</v>
      </c>
      <c r="J30" s="143">
        <f>'THE REST'!R30</f>
        <v>1000</v>
      </c>
      <c r="K30" s="91">
        <f t="shared" si="1"/>
        <v>17800</v>
      </c>
      <c r="L30" s="143">
        <f t="shared" si="2"/>
        <v>17800</v>
      </c>
      <c r="M30" s="84">
        <f>National!C30</f>
        <v>3500</v>
      </c>
      <c r="N30" s="94">
        <f t="shared" si="4"/>
        <v>21300</v>
      </c>
      <c r="P30" s="444">
        <f>Wisconsin!K30+Illinois!B30+IND!B30+Ohio!K30+Buffalo!B30+Missouri!B30+Tennessee!K30+Florida!H30+'THE REST'!Q30</f>
        <v>9186.99</v>
      </c>
      <c r="Q30" s="259">
        <f>National!B30</f>
        <v>3499.11</v>
      </c>
      <c r="R30" s="445">
        <f t="shared" si="12"/>
        <v>12686.1</v>
      </c>
      <c r="S30" s="425"/>
    </row>
    <row r="31" spans="1:19" ht="12.95" customHeight="1" x14ac:dyDescent="0.2">
      <c r="A31" s="82" t="s">
        <v>1245</v>
      </c>
      <c r="B31" s="88">
        <f>Wisconsin!L31</f>
        <v>4000</v>
      </c>
      <c r="C31" s="143">
        <f>Illinois!E31</f>
        <v>100</v>
      </c>
      <c r="D31" s="143">
        <f>Ohio!L31</f>
        <v>150</v>
      </c>
      <c r="E31" s="143">
        <f>Buffalo!C31</f>
        <v>250</v>
      </c>
      <c r="F31" s="143">
        <f>Tennessee!L31</f>
        <v>0</v>
      </c>
      <c r="G31" s="143">
        <f>Florida!I31</f>
        <v>30</v>
      </c>
      <c r="H31" s="143">
        <f>Missouri!C31</f>
        <v>0</v>
      </c>
      <c r="I31" s="143">
        <f>IND!C31</f>
        <v>150</v>
      </c>
      <c r="J31" s="143">
        <f>'THE REST'!R31</f>
        <v>0</v>
      </c>
      <c r="K31" s="91">
        <f t="shared" si="1"/>
        <v>4680</v>
      </c>
      <c r="L31" s="143">
        <f t="shared" si="2"/>
        <v>4680</v>
      </c>
      <c r="M31" s="84">
        <f>National!C31</f>
        <v>4200</v>
      </c>
      <c r="N31" s="94">
        <f t="shared" si="4"/>
        <v>8880</v>
      </c>
      <c r="P31" s="444">
        <f>Wisconsin!K31+Illinois!B31+IND!B31+Ohio!K31+Buffalo!B31+Missouri!B31+Tennessee!K31+Florida!H31+'THE REST'!Q31</f>
        <v>4267.1200000000008</v>
      </c>
      <c r="Q31" s="259">
        <f>National!B31</f>
        <v>5030.08</v>
      </c>
      <c r="R31" s="445">
        <f t="shared" si="12"/>
        <v>9297.2000000000007</v>
      </c>
      <c r="S31" s="425"/>
    </row>
    <row r="32" spans="1:19" ht="12.95" customHeight="1" x14ac:dyDescent="0.2">
      <c r="A32" s="82" t="s">
        <v>1246</v>
      </c>
      <c r="B32" s="88">
        <f>Wisconsin!L32</f>
        <v>0</v>
      </c>
      <c r="C32" s="143">
        <f>Illinois!E32</f>
        <v>0</v>
      </c>
      <c r="D32" s="143">
        <f>Ohio!L32</f>
        <v>0</v>
      </c>
      <c r="E32" s="143">
        <f>Buffalo!C32</f>
        <v>0</v>
      </c>
      <c r="F32" s="143">
        <f>Tennessee!L32</f>
        <v>0</v>
      </c>
      <c r="G32" s="143">
        <f>Florida!I32</f>
        <v>0</v>
      </c>
      <c r="H32" s="143">
        <f>Missouri!C32</f>
        <v>0</v>
      </c>
      <c r="I32" s="143">
        <f>IND!C32</f>
        <v>0</v>
      </c>
      <c r="J32" s="143">
        <f>'THE REST'!R32</f>
        <v>0</v>
      </c>
      <c r="K32" s="91">
        <f t="shared" si="1"/>
        <v>0</v>
      </c>
      <c r="L32" s="143">
        <f t="shared" si="2"/>
        <v>0</v>
      </c>
      <c r="M32" s="84">
        <f>National!C32</f>
        <v>0</v>
      </c>
      <c r="N32" s="94">
        <f t="shared" si="4"/>
        <v>0</v>
      </c>
      <c r="P32" s="444">
        <f>Wisconsin!K32+Illinois!B32+IND!B32+Ohio!K32+Buffalo!B32+Missouri!B32+Tennessee!K32+Florida!H32+'THE REST'!Q32</f>
        <v>1851.82</v>
      </c>
      <c r="Q32" s="259">
        <f>National!B32</f>
        <v>189</v>
      </c>
      <c r="R32" s="445">
        <f t="shared" si="12"/>
        <v>2040.82</v>
      </c>
      <c r="S32" s="425"/>
    </row>
    <row r="33" spans="1:19" ht="12.95" customHeight="1" x14ac:dyDescent="0.2">
      <c r="A33" s="82" t="s">
        <v>1247</v>
      </c>
      <c r="B33" s="88">
        <f>Wisconsin!L33</f>
        <v>3150</v>
      </c>
      <c r="C33" s="143">
        <f>Illinois!E33</f>
        <v>500</v>
      </c>
      <c r="D33" s="143">
        <f>Ohio!L33</f>
        <v>175</v>
      </c>
      <c r="E33" s="143">
        <f>Buffalo!C33</f>
        <v>100</v>
      </c>
      <c r="F33" s="143">
        <f>Tennessee!L33</f>
        <v>0</v>
      </c>
      <c r="G33" s="143">
        <f>Florida!I33</f>
        <v>0</v>
      </c>
      <c r="H33" s="143">
        <f>Missouri!C33</f>
        <v>0</v>
      </c>
      <c r="I33" s="143">
        <f>IND!C33</f>
        <v>250</v>
      </c>
      <c r="J33" s="143">
        <f>'THE REST'!R33</f>
        <v>0</v>
      </c>
      <c r="K33" s="91">
        <f t="shared" si="1"/>
        <v>4175</v>
      </c>
      <c r="L33" s="143">
        <f t="shared" si="2"/>
        <v>4175</v>
      </c>
      <c r="M33" s="84">
        <f>National!C33</f>
        <v>8000</v>
      </c>
      <c r="N33" s="94">
        <f t="shared" si="4"/>
        <v>12175</v>
      </c>
      <c r="P33" s="444">
        <f>Wisconsin!K33+Illinois!B33+IND!B33+Ohio!K33+Buffalo!B33+Missouri!B33+Tennessee!K33+Florida!H33+'THE REST'!Q33</f>
        <v>3514.62</v>
      </c>
      <c r="Q33" s="259">
        <f>National!B33</f>
        <v>9792.31</v>
      </c>
      <c r="R33" s="445">
        <f t="shared" si="12"/>
        <v>13306.93</v>
      </c>
      <c r="S33" s="425"/>
    </row>
    <row r="34" spans="1:19" ht="12.95" customHeight="1" x14ac:dyDescent="0.2">
      <c r="A34" s="208" t="s">
        <v>2207</v>
      </c>
      <c r="B34" s="88">
        <f>Wisconsin!L34</f>
        <v>2000</v>
      </c>
      <c r="C34" s="143">
        <f>Illinois!E34</f>
        <v>7500</v>
      </c>
      <c r="D34" s="143">
        <f>Ohio!L34</f>
        <v>250</v>
      </c>
      <c r="E34" s="143">
        <f>Buffalo!C34</f>
        <v>500</v>
      </c>
      <c r="F34" s="143">
        <f>Tennessee!L34</f>
        <v>150</v>
      </c>
      <c r="G34" s="143">
        <f>Florida!I34</f>
        <v>400</v>
      </c>
      <c r="H34" s="143">
        <f>Missouri!C34</f>
        <v>0</v>
      </c>
      <c r="I34" s="143">
        <f>IND!C34</f>
        <v>500</v>
      </c>
      <c r="J34" s="143">
        <f>'THE REST'!R34</f>
        <v>100</v>
      </c>
      <c r="K34" s="91">
        <f t="shared" si="1"/>
        <v>11400</v>
      </c>
      <c r="L34" s="143">
        <f t="shared" si="2"/>
        <v>11400</v>
      </c>
      <c r="M34" s="84">
        <f>National!C34</f>
        <v>5000</v>
      </c>
      <c r="N34" s="94">
        <f t="shared" si="4"/>
        <v>16400</v>
      </c>
      <c r="P34" s="444">
        <f>Wisconsin!K34+Illinois!B34+IND!B34+Ohio!K34+Buffalo!B34+Missouri!B34+Tennessee!K34+Florida!H34+'THE REST'!Q34</f>
        <v>3845.69</v>
      </c>
      <c r="Q34" s="259">
        <f>National!B34</f>
        <v>4426.25</v>
      </c>
      <c r="R34" s="445">
        <f t="shared" si="12"/>
        <v>8271.94</v>
      </c>
      <c r="S34" s="425"/>
    </row>
    <row r="35" spans="1:19" ht="12.95" customHeight="1" x14ac:dyDescent="0.2">
      <c r="A35" s="208" t="s">
        <v>2204</v>
      </c>
      <c r="B35" s="88">
        <f>Wisconsin!L35</f>
        <v>750</v>
      </c>
      <c r="C35" s="143">
        <f>Illinois!E35</f>
        <v>1000</v>
      </c>
      <c r="D35" s="143">
        <f>Ohio!L35</f>
        <v>800</v>
      </c>
      <c r="E35" s="143">
        <f>Buffalo!C35</f>
        <v>200</v>
      </c>
      <c r="F35" s="143">
        <f>Tennessee!L35</f>
        <v>500</v>
      </c>
      <c r="G35" s="143">
        <f>Florida!I35</f>
        <v>500</v>
      </c>
      <c r="H35" s="143">
        <f>Missouri!C35</f>
        <v>0</v>
      </c>
      <c r="I35" s="143">
        <f>IND!C35</f>
        <v>500</v>
      </c>
      <c r="J35" s="143">
        <f>'THE REST'!R35</f>
        <v>250</v>
      </c>
      <c r="K35" s="91">
        <f t="shared" si="1"/>
        <v>4500</v>
      </c>
      <c r="L35" s="143">
        <f t="shared" si="2"/>
        <v>4500</v>
      </c>
      <c r="M35" s="84">
        <f>National!C35</f>
        <v>0</v>
      </c>
      <c r="N35" s="94">
        <f t="shared" si="4"/>
        <v>4500</v>
      </c>
      <c r="P35" s="444">
        <f>Wisconsin!K35+Illinois!B35+IND!B35+Ohio!K35+Buffalo!B35+Missouri!B35+Tennessee!K35+Florida!H35+'THE REST'!Q35</f>
        <v>2040.7099999999996</v>
      </c>
      <c r="Q35" s="259">
        <f>National!B35</f>
        <v>0</v>
      </c>
      <c r="R35" s="445">
        <f t="shared" si="12"/>
        <v>2040.7099999999996</v>
      </c>
      <c r="S35" s="425"/>
    </row>
    <row r="36" spans="1:19" ht="12.95" customHeight="1" x14ac:dyDescent="0.2">
      <c r="A36" s="82" t="s">
        <v>1250</v>
      </c>
      <c r="B36" s="88">
        <f>Wisconsin!L36</f>
        <v>1150</v>
      </c>
      <c r="C36" s="143">
        <f>Illinois!E36</f>
        <v>1500</v>
      </c>
      <c r="D36" s="143">
        <f>Ohio!L36</f>
        <v>980</v>
      </c>
      <c r="E36" s="143">
        <f>Buffalo!C36</f>
        <v>550</v>
      </c>
      <c r="F36" s="143">
        <f>Tennessee!L36</f>
        <v>250</v>
      </c>
      <c r="G36" s="143">
        <f>Florida!I36</f>
        <v>250</v>
      </c>
      <c r="H36" s="143">
        <f>Missouri!C36</f>
        <v>100</v>
      </c>
      <c r="I36" s="143">
        <f>IND!C36</f>
        <v>500</v>
      </c>
      <c r="J36" s="143">
        <f>'THE REST'!R36</f>
        <v>50</v>
      </c>
      <c r="K36" s="91">
        <f t="shared" si="1"/>
        <v>5330</v>
      </c>
      <c r="L36" s="143">
        <f t="shared" si="2"/>
        <v>5330</v>
      </c>
      <c r="M36" s="84">
        <f>National!C36</f>
        <v>5000</v>
      </c>
      <c r="N36" s="94">
        <f t="shared" si="4"/>
        <v>10330</v>
      </c>
      <c r="P36" s="444">
        <f>Wisconsin!K36+Illinois!B36+IND!B36+Ohio!K36+Buffalo!B36+Missouri!B36+Tennessee!K36+Florida!H36+'THE REST'!Q36</f>
        <v>5056.24</v>
      </c>
      <c r="Q36" s="259">
        <f>National!B36</f>
        <v>4210.66</v>
      </c>
      <c r="R36" s="445">
        <f t="shared" si="12"/>
        <v>9266.9</v>
      </c>
      <c r="S36" s="425"/>
    </row>
    <row r="37" spans="1:19" ht="12.95" customHeight="1" x14ac:dyDescent="0.2">
      <c r="A37" s="82" t="s">
        <v>2239</v>
      </c>
      <c r="B37" s="88">
        <f>Wisconsin!L37</f>
        <v>0</v>
      </c>
      <c r="C37" s="143">
        <f>Illinois!E37</f>
        <v>300</v>
      </c>
      <c r="D37" s="143">
        <f>Ohio!L37</f>
        <v>0</v>
      </c>
      <c r="E37" s="143">
        <f>Buffalo!C37</f>
        <v>0</v>
      </c>
      <c r="F37" s="143">
        <f>Tennessee!L37</f>
        <v>0</v>
      </c>
      <c r="G37" s="143">
        <f>Florida!I37</f>
        <v>0</v>
      </c>
      <c r="H37" s="143">
        <f>Missouri!C37</f>
        <v>0</v>
      </c>
      <c r="I37" s="143">
        <f>IND!C37</f>
        <v>0</v>
      </c>
      <c r="J37" s="143">
        <f>'THE REST'!R37</f>
        <v>0</v>
      </c>
      <c r="K37" s="91">
        <f t="shared" si="1"/>
        <v>300</v>
      </c>
      <c r="L37" s="143">
        <f t="shared" si="2"/>
        <v>300</v>
      </c>
      <c r="M37" s="84">
        <f>National!C37</f>
        <v>12000</v>
      </c>
      <c r="N37" s="94">
        <f t="shared" si="4"/>
        <v>12300</v>
      </c>
      <c r="P37" s="444">
        <f>Wisconsin!K37+Illinois!B37+IND!B37+Ohio!K37+Buffalo!B37+Missouri!B37+Tennessee!K37+Florida!H37+'THE REST'!Q37</f>
        <v>3490.5699999999997</v>
      </c>
      <c r="Q37" s="259">
        <f>National!B37</f>
        <v>14414.96</v>
      </c>
      <c r="R37" s="445"/>
      <c r="S37" s="425"/>
    </row>
    <row r="38" spans="1:19" ht="12.95" customHeight="1" x14ac:dyDescent="0.2">
      <c r="A38" s="82" t="s">
        <v>1251</v>
      </c>
      <c r="B38" s="88">
        <f>Wisconsin!L38</f>
        <v>4800</v>
      </c>
      <c r="C38" s="143">
        <f>Illinois!E38</f>
        <v>36</v>
      </c>
      <c r="D38" s="143">
        <f>Ohio!L38</f>
        <v>1018</v>
      </c>
      <c r="E38" s="143">
        <f>Buffalo!C38</f>
        <v>0</v>
      </c>
      <c r="F38" s="143">
        <f>Tennessee!L38</f>
        <v>2448</v>
      </c>
      <c r="G38" s="143">
        <f>Florida!I38</f>
        <v>2424</v>
      </c>
      <c r="H38" s="143">
        <f>Missouri!C38</f>
        <v>0</v>
      </c>
      <c r="I38" s="143">
        <f>IND!C38</f>
        <v>0</v>
      </c>
      <c r="J38" s="143">
        <f>'THE REST'!R38</f>
        <v>2100</v>
      </c>
      <c r="K38" s="91">
        <f t="shared" si="1"/>
        <v>12826</v>
      </c>
      <c r="L38" s="143">
        <f t="shared" ref="L38:L59" si="13">SUM(K38:K38)</f>
        <v>12826</v>
      </c>
      <c r="M38" s="84">
        <f>National!C38</f>
        <v>3228</v>
      </c>
      <c r="N38" s="94">
        <f t="shared" si="4"/>
        <v>16054</v>
      </c>
      <c r="P38" s="444">
        <f>Wisconsin!K38+Illinois!B38+IND!B38+Ohio!K38+Buffalo!B38+Missouri!B38+Tennessee!K38+Florida!H38+'THE REST'!Q38</f>
        <v>11006.98</v>
      </c>
      <c r="Q38" s="259">
        <f>National!B38</f>
        <v>1763.7</v>
      </c>
      <c r="R38" s="445">
        <f t="shared" si="12"/>
        <v>12770.68</v>
      </c>
      <c r="S38" s="425"/>
    </row>
    <row r="39" spans="1:19" ht="12.95" customHeight="1" x14ac:dyDescent="0.2">
      <c r="A39" s="82" t="s">
        <v>2178</v>
      </c>
      <c r="B39" s="88">
        <f>Wisconsin!L39</f>
        <v>0</v>
      </c>
      <c r="C39" s="143">
        <f>Illinois!E39</f>
        <v>1800</v>
      </c>
      <c r="D39" s="143">
        <f>Ohio!L39</f>
        <v>130</v>
      </c>
      <c r="E39" s="143">
        <f>Buffalo!C39</f>
        <v>0</v>
      </c>
      <c r="F39" s="143">
        <f>Tennessee!L39</f>
        <v>0</v>
      </c>
      <c r="G39" s="143">
        <f>Florida!I39</f>
        <v>0</v>
      </c>
      <c r="H39" s="143">
        <f>Missouri!C39</f>
        <v>0</v>
      </c>
      <c r="I39" s="143">
        <f>IND!C39</f>
        <v>0</v>
      </c>
      <c r="J39" s="143">
        <f>'THE REST'!R39</f>
        <v>0</v>
      </c>
      <c r="K39" s="91">
        <f t="shared" si="1"/>
        <v>1930</v>
      </c>
      <c r="L39" s="143">
        <f t="shared" si="13"/>
        <v>1930</v>
      </c>
      <c r="M39" s="84">
        <f>National!C39</f>
        <v>600</v>
      </c>
      <c r="N39" s="94">
        <f>L39+M39</f>
        <v>2530</v>
      </c>
      <c r="P39" s="444">
        <f>Wisconsin!K39+Illinois!B39+IND!B39+Ohio!K39+Buffalo!B39+Missouri!B39+Tennessee!K39+Florida!H39+'THE REST'!Q39</f>
        <v>149.97</v>
      </c>
      <c r="Q39" s="259">
        <f>National!B39</f>
        <v>2819.22</v>
      </c>
      <c r="R39" s="445">
        <f t="shared" si="12"/>
        <v>2969.1899999999996</v>
      </c>
      <c r="S39" s="425"/>
    </row>
    <row r="40" spans="1:19" ht="12.95" customHeight="1" x14ac:dyDescent="0.2">
      <c r="A40" s="82" t="s">
        <v>1308</v>
      </c>
      <c r="B40" s="470"/>
      <c r="C40" s="471"/>
      <c r="D40" s="471"/>
      <c r="E40" s="471"/>
      <c r="F40" s="471"/>
      <c r="G40" s="471"/>
      <c r="H40" s="471"/>
      <c r="I40" s="471"/>
      <c r="J40" s="471"/>
      <c r="K40" s="472"/>
      <c r="L40" s="471"/>
      <c r="M40" s="473"/>
      <c r="N40" s="474"/>
      <c r="P40" s="475"/>
      <c r="Q40" s="476"/>
      <c r="R40" s="477"/>
      <c r="S40" s="425"/>
    </row>
    <row r="41" spans="1:19" ht="12.95" customHeight="1" x14ac:dyDescent="0.2">
      <c r="A41" s="82" t="s">
        <v>1844</v>
      </c>
      <c r="B41" s="88">
        <f>Wisconsin!L41</f>
        <v>195000</v>
      </c>
      <c r="C41" s="143">
        <f>Illinois!E41</f>
        <v>175000</v>
      </c>
      <c r="D41" s="143">
        <f>Ohio!L41</f>
        <v>91360</v>
      </c>
      <c r="E41" s="143">
        <f>Buffalo!C41</f>
        <v>19710</v>
      </c>
      <c r="F41" s="143">
        <f>Tennessee!L41</f>
        <v>48895</v>
      </c>
      <c r="G41" s="143">
        <f>Florida!I41</f>
        <v>26576</v>
      </c>
      <c r="H41" s="143">
        <f>Missouri!C41</f>
        <v>14120</v>
      </c>
      <c r="I41" s="143">
        <f>IND!C41</f>
        <v>40000</v>
      </c>
      <c r="J41" s="143">
        <f>'THE REST'!R41</f>
        <v>39000</v>
      </c>
      <c r="K41" s="91">
        <f t="shared" si="1"/>
        <v>649661</v>
      </c>
      <c r="L41" s="143">
        <f t="shared" si="13"/>
        <v>649661</v>
      </c>
      <c r="M41" s="84">
        <f>National!C41</f>
        <v>0</v>
      </c>
      <c r="N41" s="94">
        <f t="shared" si="4"/>
        <v>649661</v>
      </c>
      <c r="P41" s="444">
        <f>Wisconsin!K41+Illinois!B41+IND!B41+Ohio!K41+Buffalo!B41+Missouri!B41+Tennessee!K41+Florida!H41+'THE REST'!Q41</f>
        <v>318768.07</v>
      </c>
      <c r="Q41" s="259">
        <f>National!B41</f>
        <v>5738</v>
      </c>
      <c r="R41" s="445">
        <f t="shared" si="12"/>
        <v>324506.07</v>
      </c>
      <c r="S41" s="425"/>
    </row>
    <row r="42" spans="1:19" ht="12.95" customHeight="1" x14ac:dyDescent="0.2">
      <c r="A42" s="82" t="s">
        <v>2166</v>
      </c>
      <c r="B42" s="88">
        <f>Wisconsin!L42</f>
        <v>20000</v>
      </c>
      <c r="C42" s="143">
        <f>Illinois!E42</f>
        <v>8750</v>
      </c>
      <c r="D42" s="143">
        <f>Ohio!L42</f>
        <v>13640</v>
      </c>
      <c r="E42" s="143">
        <f>Buffalo!C42</f>
        <v>6500</v>
      </c>
      <c r="F42" s="143">
        <f>Tennessee!L42</f>
        <v>8750</v>
      </c>
      <c r="G42" s="143">
        <f>Florida!I42</f>
        <v>7500</v>
      </c>
      <c r="H42" s="143">
        <f>Missouri!C42</f>
        <v>7000</v>
      </c>
      <c r="I42" s="143">
        <f>IND!C42</f>
        <v>2000</v>
      </c>
      <c r="J42" s="143">
        <f>'THE REST'!R42</f>
        <v>4300</v>
      </c>
      <c r="K42" s="91">
        <f t="shared" si="1"/>
        <v>78440</v>
      </c>
      <c r="L42" s="143">
        <f t="shared" si="13"/>
        <v>78440</v>
      </c>
      <c r="M42" s="84">
        <f>National!C42</f>
        <v>0</v>
      </c>
      <c r="N42" s="94">
        <f t="shared" si="4"/>
        <v>78440</v>
      </c>
      <c r="P42" s="444">
        <f>Wisconsin!K42+Illinois!B42+IND!B42+Ohio!K42+Buffalo!B42+Missouri!B42+Tennessee!K42+Florida!H42+'THE REST'!Q42</f>
        <v>40640.43</v>
      </c>
      <c r="Q42" s="259">
        <f>National!B42</f>
        <v>0</v>
      </c>
      <c r="R42" s="445">
        <f t="shared" si="12"/>
        <v>40640.43</v>
      </c>
      <c r="S42" s="425"/>
    </row>
    <row r="43" spans="1:19" ht="12.95" customHeight="1" x14ac:dyDescent="0.2">
      <c r="A43" s="82" t="s">
        <v>2165</v>
      </c>
      <c r="B43" s="88">
        <f>Wisconsin!L43</f>
        <v>7500</v>
      </c>
      <c r="C43" s="143">
        <f>Illinois!E43</f>
        <v>5000</v>
      </c>
      <c r="D43" s="143">
        <f>Ohio!L43</f>
        <v>8250</v>
      </c>
      <c r="E43" s="143">
        <f>Buffalo!C43</f>
        <v>3000</v>
      </c>
      <c r="F43" s="143">
        <f>Tennessee!L43</f>
        <v>13125</v>
      </c>
      <c r="G43" s="143">
        <f>Florida!I43</f>
        <v>2500</v>
      </c>
      <c r="H43" s="143">
        <f>Missouri!C43</f>
        <v>6000</v>
      </c>
      <c r="I43" s="143">
        <f>IND!C43</f>
        <v>1000</v>
      </c>
      <c r="J43" s="143">
        <f>'THE REST'!R43</f>
        <v>500</v>
      </c>
      <c r="K43" s="91">
        <f t="shared" si="1"/>
        <v>46875</v>
      </c>
      <c r="L43" s="143">
        <f t="shared" si="13"/>
        <v>46875</v>
      </c>
      <c r="M43" s="84">
        <f>National!C43</f>
        <v>0</v>
      </c>
      <c r="N43" s="94">
        <f t="shared" si="4"/>
        <v>46875</v>
      </c>
      <c r="P43" s="444">
        <f>Wisconsin!K43+Illinois!B43+IND!B43+Ohio!K43+Buffalo!B43+Missouri!B43+Tennessee!K43+Florida!H43+'THE REST'!Q43</f>
        <v>52448.89</v>
      </c>
      <c r="Q43" s="259">
        <f>National!B43</f>
        <v>0</v>
      </c>
      <c r="R43" s="445">
        <f t="shared" si="12"/>
        <v>52448.89</v>
      </c>
      <c r="S43" s="425"/>
    </row>
    <row r="44" spans="1:19" ht="12.95" customHeight="1" x14ac:dyDescent="0.2">
      <c r="A44" s="82" t="s">
        <v>2192</v>
      </c>
      <c r="B44" s="88">
        <f>Wisconsin!L44</f>
        <v>0</v>
      </c>
      <c r="C44" s="143">
        <f>Illinois!E44</f>
        <v>0</v>
      </c>
      <c r="D44" s="143">
        <f>Ohio!L44</f>
        <v>0</v>
      </c>
      <c r="E44" s="143">
        <f>Buffalo!C44</f>
        <v>0</v>
      </c>
      <c r="F44" s="143">
        <f>Tennessee!L44</f>
        <v>0</v>
      </c>
      <c r="G44" s="143">
        <f>Florida!I44</f>
        <v>0</v>
      </c>
      <c r="H44" s="143">
        <f>Missouri!C44</f>
        <v>0</v>
      </c>
      <c r="I44" s="143">
        <f>IND!C44</f>
        <v>0</v>
      </c>
      <c r="J44" s="143">
        <f>'THE REST'!R44</f>
        <v>0</v>
      </c>
      <c r="K44" s="91">
        <f t="shared" si="1"/>
        <v>0</v>
      </c>
      <c r="L44" s="143">
        <f t="shared" si="13"/>
        <v>0</v>
      </c>
      <c r="M44" s="84">
        <f>National!C44</f>
        <v>0</v>
      </c>
      <c r="N44" s="94">
        <f t="shared" si="4"/>
        <v>0</v>
      </c>
      <c r="P44" s="444">
        <f>Wisconsin!K44+Illinois!B44+IND!B44+Ohio!K44+Buffalo!B44+Missouri!B44+Tennessee!K44+Florida!H44+'THE REST'!Q44</f>
        <v>0</v>
      </c>
      <c r="Q44" s="259">
        <f>National!B44</f>
        <v>0</v>
      </c>
      <c r="R44" s="445">
        <f t="shared" si="12"/>
        <v>0</v>
      </c>
      <c r="S44" s="425"/>
    </row>
    <row r="45" spans="1:19" ht="12.95" customHeight="1" x14ac:dyDescent="0.2">
      <c r="A45" s="82" t="s">
        <v>1256</v>
      </c>
      <c r="B45" s="88">
        <f>Wisconsin!L45</f>
        <v>0</v>
      </c>
      <c r="C45" s="143">
        <f>Illinois!E45</f>
        <v>0</v>
      </c>
      <c r="D45" s="143">
        <f>Ohio!L45</f>
        <v>0</v>
      </c>
      <c r="E45" s="143">
        <f>Buffalo!C45</f>
        <v>0</v>
      </c>
      <c r="F45" s="143">
        <f>Tennessee!L45</f>
        <v>0</v>
      </c>
      <c r="G45" s="143">
        <f>Florida!I45</f>
        <v>0</v>
      </c>
      <c r="H45" s="143">
        <f>Missouri!C45</f>
        <v>0</v>
      </c>
      <c r="I45" s="143">
        <f>IND!C45</f>
        <v>0</v>
      </c>
      <c r="J45" s="143">
        <f>'THE REST'!R45</f>
        <v>0</v>
      </c>
      <c r="K45" s="91">
        <f t="shared" si="1"/>
        <v>0</v>
      </c>
      <c r="L45" s="143">
        <f t="shared" si="13"/>
        <v>0</v>
      </c>
      <c r="M45" s="84">
        <f>National!C45</f>
        <v>0</v>
      </c>
      <c r="N45" s="94">
        <f t="shared" si="4"/>
        <v>0</v>
      </c>
      <c r="P45" s="444">
        <f>Wisconsin!K45+Illinois!B45+IND!B45+Ohio!K45+Buffalo!B45+Missouri!B45+Tennessee!K45+Florida!H45+'THE REST'!Q45</f>
        <v>0</v>
      </c>
      <c r="Q45" s="259">
        <f>National!B45</f>
        <v>0</v>
      </c>
      <c r="R45" s="445">
        <f t="shared" si="12"/>
        <v>0</v>
      </c>
      <c r="S45" s="425"/>
    </row>
    <row r="46" spans="1:19" ht="12.95" customHeight="1" x14ac:dyDescent="0.2">
      <c r="A46" s="82" t="s">
        <v>2191</v>
      </c>
      <c r="B46" s="88">
        <f>Wisconsin!L46</f>
        <v>2000</v>
      </c>
      <c r="C46" s="143">
        <f>Illinois!E46</f>
        <v>0</v>
      </c>
      <c r="D46" s="143">
        <f>Ohio!L46</f>
        <v>0</v>
      </c>
      <c r="E46" s="143">
        <f>Buffalo!C46</f>
        <v>0</v>
      </c>
      <c r="F46" s="143">
        <f>Tennessee!L46</f>
        <v>0</v>
      </c>
      <c r="G46" s="143">
        <f>Florida!I46</f>
        <v>0</v>
      </c>
      <c r="H46" s="143">
        <f>Missouri!C46</f>
        <v>0</v>
      </c>
      <c r="I46" s="143">
        <f>IND!C46</f>
        <v>0</v>
      </c>
      <c r="J46" s="143">
        <f>'THE REST'!R46</f>
        <v>0</v>
      </c>
      <c r="K46" s="91">
        <f t="shared" si="1"/>
        <v>2000</v>
      </c>
      <c r="L46" s="143">
        <f t="shared" si="13"/>
        <v>2000</v>
      </c>
      <c r="M46" s="84">
        <f>National!C46</f>
        <v>0</v>
      </c>
      <c r="N46" s="94">
        <f t="shared" si="4"/>
        <v>2000</v>
      </c>
      <c r="P46" s="444">
        <f>Wisconsin!K46+Illinois!B46+IND!B46+Ohio!K46+Buffalo!B46+Missouri!B46+Tennessee!K46+Florida!H46+'THE REST'!Q46</f>
        <v>0</v>
      </c>
      <c r="Q46" s="259">
        <f>National!B46</f>
        <v>0</v>
      </c>
      <c r="R46" s="445">
        <f t="shared" si="12"/>
        <v>0</v>
      </c>
      <c r="S46" s="425"/>
    </row>
    <row r="47" spans="1:19" ht="12.95" customHeight="1" x14ac:dyDescent="0.2">
      <c r="A47" s="82" t="s">
        <v>1257</v>
      </c>
      <c r="B47" s="88">
        <f>Wisconsin!L47</f>
        <v>0</v>
      </c>
      <c r="C47" s="143">
        <f>Illinois!E47</f>
        <v>0</v>
      </c>
      <c r="D47" s="143">
        <f>Ohio!L47</f>
        <v>108</v>
      </c>
      <c r="E47" s="143">
        <f>Buffalo!C47</f>
        <v>0</v>
      </c>
      <c r="F47" s="143">
        <f>Tennessee!L47</f>
        <v>0</v>
      </c>
      <c r="G47" s="143">
        <f>Florida!I47</f>
        <v>0</v>
      </c>
      <c r="H47" s="143">
        <f>Missouri!C47</f>
        <v>0</v>
      </c>
      <c r="I47" s="143">
        <f>IND!C47</f>
        <v>0</v>
      </c>
      <c r="J47" s="143">
        <f>'THE REST'!R47</f>
        <v>0</v>
      </c>
      <c r="K47" s="91">
        <f t="shared" si="1"/>
        <v>108</v>
      </c>
      <c r="L47" s="143">
        <f t="shared" si="13"/>
        <v>108</v>
      </c>
      <c r="M47" s="84">
        <f>National!C47</f>
        <v>0</v>
      </c>
      <c r="N47" s="94">
        <f t="shared" si="4"/>
        <v>108</v>
      </c>
      <c r="P47" s="444">
        <f>Wisconsin!K47+Illinois!B47+IND!B47+Ohio!K47+Buffalo!B47+Missouri!B47+Tennessee!K47+Florida!H47+'THE REST'!Q47</f>
        <v>107.5</v>
      </c>
      <c r="Q47" s="259">
        <f>National!B47</f>
        <v>0</v>
      </c>
      <c r="R47" s="445">
        <f t="shared" si="12"/>
        <v>107.5</v>
      </c>
      <c r="S47" s="425"/>
    </row>
    <row r="48" spans="1:19" ht="12.95" customHeight="1" x14ac:dyDescent="0.2">
      <c r="A48" s="82" t="s">
        <v>2159</v>
      </c>
      <c r="B48" s="88">
        <f>Wisconsin!L48</f>
        <v>0</v>
      </c>
      <c r="C48" s="143">
        <f>Illinois!E48</f>
        <v>0</v>
      </c>
      <c r="D48" s="143">
        <f>Ohio!L48</f>
        <v>0</v>
      </c>
      <c r="E48" s="143">
        <f>Buffalo!C48</f>
        <v>0</v>
      </c>
      <c r="F48" s="143">
        <f>Tennessee!L48</f>
        <v>0</v>
      </c>
      <c r="G48" s="143">
        <f>Florida!I48</f>
        <v>0</v>
      </c>
      <c r="H48" s="143">
        <f>Missouri!C48</f>
        <v>0</v>
      </c>
      <c r="I48" s="143">
        <f>IND!C48</f>
        <v>0</v>
      </c>
      <c r="J48" s="143">
        <f>'THE REST'!R48</f>
        <v>0</v>
      </c>
      <c r="K48" s="91">
        <f t="shared" si="1"/>
        <v>0</v>
      </c>
      <c r="L48" s="143">
        <f t="shared" si="13"/>
        <v>0</v>
      </c>
      <c r="M48" s="84">
        <f>National!C48</f>
        <v>0</v>
      </c>
      <c r="N48" s="94">
        <f t="shared" si="4"/>
        <v>0</v>
      </c>
      <c r="P48" s="444">
        <f>Wisconsin!K48+Illinois!B48+IND!B48+Ohio!K48+Buffalo!B48+Missouri!B48+Tennessee!K48+Florida!H48+'THE REST'!Q48</f>
        <v>0</v>
      </c>
      <c r="Q48" s="259">
        <f>National!B48</f>
        <v>0</v>
      </c>
      <c r="R48" s="445">
        <f t="shared" si="12"/>
        <v>0</v>
      </c>
      <c r="S48" s="425"/>
    </row>
    <row r="49" spans="1:19" ht="12.95" customHeight="1" x14ac:dyDescent="0.2">
      <c r="A49" s="82" t="s">
        <v>1259</v>
      </c>
      <c r="B49" s="88">
        <f>Wisconsin!L49</f>
        <v>0</v>
      </c>
      <c r="C49" s="143">
        <f>Illinois!E49</f>
        <v>0</v>
      </c>
      <c r="D49" s="143">
        <f>Ohio!L49</f>
        <v>0</v>
      </c>
      <c r="E49" s="143">
        <f>Buffalo!C49</f>
        <v>0</v>
      </c>
      <c r="F49" s="143">
        <f>Tennessee!L49</f>
        <v>0</v>
      </c>
      <c r="G49" s="143">
        <f>Florida!I49</f>
        <v>0</v>
      </c>
      <c r="H49" s="143">
        <f>Missouri!C49</f>
        <v>0</v>
      </c>
      <c r="I49" s="143">
        <f>IND!C49</f>
        <v>0</v>
      </c>
      <c r="J49" s="143">
        <f>'THE REST'!R49</f>
        <v>0</v>
      </c>
      <c r="K49" s="91">
        <f t="shared" si="1"/>
        <v>0</v>
      </c>
      <c r="L49" s="143">
        <f t="shared" si="13"/>
        <v>0</v>
      </c>
      <c r="M49" s="84">
        <f>National!C49</f>
        <v>1200</v>
      </c>
      <c r="N49" s="94">
        <f t="shared" si="4"/>
        <v>1200</v>
      </c>
      <c r="P49" s="444">
        <f>Wisconsin!K49+Illinois!B49+IND!B49+Ohio!K49+Buffalo!B49+Missouri!B49+Tennessee!K49+Florida!H49+'THE REST'!Q49</f>
        <v>62.03</v>
      </c>
      <c r="Q49" s="259">
        <f>National!B49</f>
        <v>1094.7</v>
      </c>
      <c r="R49" s="445">
        <f t="shared" si="12"/>
        <v>1156.73</v>
      </c>
      <c r="S49" s="425"/>
    </row>
    <row r="50" spans="1:19" ht="12.95" customHeight="1" x14ac:dyDescent="0.2">
      <c r="A50" s="82" t="s">
        <v>1260</v>
      </c>
      <c r="B50" s="88">
        <f>Wisconsin!L50</f>
        <v>0</v>
      </c>
      <c r="C50" s="143">
        <f>Illinois!E50</f>
        <v>0</v>
      </c>
      <c r="D50" s="143">
        <f>Ohio!L50</f>
        <v>0</v>
      </c>
      <c r="E50" s="143">
        <f>Buffalo!C50</f>
        <v>0</v>
      </c>
      <c r="F50" s="143">
        <f>Tennessee!L50</f>
        <v>0</v>
      </c>
      <c r="G50" s="143">
        <f>Florida!I50</f>
        <v>0</v>
      </c>
      <c r="H50" s="143">
        <f>Missouri!C50</f>
        <v>0</v>
      </c>
      <c r="I50" s="143">
        <f>IND!C50</f>
        <v>0</v>
      </c>
      <c r="J50" s="143">
        <f>'THE REST'!R50</f>
        <v>0</v>
      </c>
      <c r="K50" s="91">
        <f t="shared" si="1"/>
        <v>0</v>
      </c>
      <c r="L50" s="143">
        <f t="shared" si="13"/>
        <v>0</v>
      </c>
      <c r="M50" s="84">
        <f>National!C50</f>
        <v>11343</v>
      </c>
      <c r="N50" s="94">
        <f t="shared" si="4"/>
        <v>11343</v>
      </c>
      <c r="P50" s="444">
        <f>Wisconsin!K50+Illinois!B50+IND!B50+Ohio!K50+Buffalo!B50+Missouri!B50+Tennessee!K50+Florida!H50+'THE REST'!Q50</f>
        <v>0</v>
      </c>
      <c r="Q50" s="259">
        <f>National!B50</f>
        <v>9595</v>
      </c>
      <c r="R50" s="445">
        <f t="shared" si="12"/>
        <v>9595</v>
      </c>
      <c r="S50" s="425"/>
    </row>
    <row r="51" spans="1:19" ht="12.95" customHeight="1" x14ac:dyDescent="0.2">
      <c r="A51" s="82" t="s">
        <v>2158</v>
      </c>
      <c r="B51" s="88">
        <f>Wisconsin!L51</f>
        <v>0</v>
      </c>
      <c r="C51" s="143">
        <f>Illinois!E51</f>
        <v>0</v>
      </c>
      <c r="D51" s="143">
        <f>Ohio!L51</f>
        <v>0</v>
      </c>
      <c r="E51" s="143">
        <f>Buffalo!C51</f>
        <v>0</v>
      </c>
      <c r="F51" s="143">
        <f>Tennessee!L51</f>
        <v>0</v>
      </c>
      <c r="G51" s="143">
        <f>Florida!I51</f>
        <v>0</v>
      </c>
      <c r="H51" s="143">
        <f>Missouri!C51</f>
        <v>0</v>
      </c>
      <c r="I51" s="143">
        <f>IND!C51</f>
        <v>0</v>
      </c>
      <c r="J51" s="143">
        <f>'THE REST'!R51</f>
        <v>0</v>
      </c>
      <c r="K51" s="91">
        <f t="shared" si="1"/>
        <v>0</v>
      </c>
      <c r="L51" s="143">
        <f t="shared" si="13"/>
        <v>0</v>
      </c>
      <c r="M51" s="84">
        <f>National!C51</f>
        <v>0</v>
      </c>
      <c r="N51" s="94">
        <f t="shared" si="4"/>
        <v>0</v>
      </c>
      <c r="P51" s="444">
        <f>Wisconsin!K51+Illinois!B51+IND!B51+Ohio!K51+Buffalo!B51+Missouri!B51+Tennessee!K51+Florida!H51+'THE REST'!Q51</f>
        <v>0</v>
      </c>
      <c r="Q51" s="259">
        <f>National!B51</f>
        <v>0</v>
      </c>
      <c r="R51" s="445">
        <f t="shared" si="12"/>
        <v>0</v>
      </c>
      <c r="S51" s="425"/>
    </row>
    <row r="52" spans="1:19" ht="12.95" customHeight="1" x14ac:dyDescent="0.2">
      <c r="A52" s="82" t="s">
        <v>2250</v>
      </c>
      <c r="B52" s="88">
        <f>Wisconsin!L52</f>
        <v>10800</v>
      </c>
      <c r="C52" s="143">
        <f>Illinois!E52</f>
        <v>0</v>
      </c>
      <c r="D52" s="143">
        <f>Ohio!L52</f>
        <v>0</v>
      </c>
      <c r="E52" s="143">
        <f>Buffalo!C52</f>
        <v>0</v>
      </c>
      <c r="F52" s="143">
        <f>Tennessee!L52</f>
        <v>0</v>
      </c>
      <c r="G52" s="143">
        <f>Florida!I52</f>
        <v>0</v>
      </c>
      <c r="H52" s="143">
        <f>Missouri!C52</f>
        <v>0</v>
      </c>
      <c r="I52" s="143">
        <f>IND!C52</f>
        <v>0</v>
      </c>
      <c r="J52" s="143">
        <f>'THE REST'!R52</f>
        <v>0</v>
      </c>
      <c r="K52" s="91">
        <f t="shared" si="1"/>
        <v>10800</v>
      </c>
      <c r="L52" s="143">
        <f t="shared" si="13"/>
        <v>10800</v>
      </c>
      <c r="M52" s="84">
        <f>National!C52</f>
        <v>35400</v>
      </c>
      <c r="N52" s="94">
        <f t="shared" si="4"/>
        <v>46200</v>
      </c>
      <c r="P52" s="444">
        <f>Wisconsin!K52+Illinois!B52+IND!B52+Ohio!K52+Buffalo!B52+Missouri!B52+Tennessee!K52+Florida!H52+'THE REST'!Q52</f>
        <v>11700</v>
      </c>
      <c r="Q52" s="259">
        <f>National!B52</f>
        <v>16450</v>
      </c>
      <c r="R52" s="445">
        <f t="shared" si="12"/>
        <v>28150</v>
      </c>
      <c r="S52" s="425"/>
    </row>
    <row r="53" spans="1:19" ht="12.95" customHeight="1" x14ac:dyDescent="0.2">
      <c r="A53" s="82" t="s">
        <v>1262</v>
      </c>
      <c r="B53" s="88">
        <f>Wisconsin!L53</f>
        <v>4213.9799999999996</v>
      </c>
      <c r="C53" s="143">
        <f>Illinois!E53</f>
        <v>9652.74</v>
      </c>
      <c r="D53" s="143">
        <f>Ohio!L53</f>
        <v>0</v>
      </c>
      <c r="E53" s="143">
        <f>Buffalo!C53</f>
        <v>0</v>
      </c>
      <c r="F53" s="143">
        <f>Tennessee!L53</f>
        <v>0</v>
      </c>
      <c r="G53" s="143">
        <f>Florida!I53</f>
        <v>0</v>
      </c>
      <c r="H53" s="143">
        <f>Missouri!C53</f>
        <v>0</v>
      </c>
      <c r="I53" s="143">
        <f>IND!C53</f>
        <v>0</v>
      </c>
      <c r="J53" s="143">
        <f>'THE REST'!R53</f>
        <v>0</v>
      </c>
      <c r="K53" s="91">
        <f t="shared" si="1"/>
        <v>13866.72</v>
      </c>
      <c r="L53" s="143">
        <f t="shared" si="13"/>
        <v>13866.72</v>
      </c>
      <c r="M53" s="84">
        <f>National!C53</f>
        <v>4680</v>
      </c>
      <c r="N53" s="94">
        <f t="shared" si="4"/>
        <v>18546.72</v>
      </c>
      <c r="P53" s="444">
        <f>Wisconsin!K53+Illinois!B53+IND!B53+Ohio!K53+Buffalo!B53+Missouri!B53+Tennessee!K53+Florida!H53+'THE REST'!Q53</f>
        <v>15547.34</v>
      </c>
      <c r="Q53" s="259">
        <f>National!B53</f>
        <v>6577.11</v>
      </c>
      <c r="R53" s="445">
        <f t="shared" si="12"/>
        <v>22124.45</v>
      </c>
      <c r="S53" s="425"/>
    </row>
    <row r="54" spans="1:19" ht="12.95" customHeight="1" x14ac:dyDescent="0.2">
      <c r="A54" s="82" t="s">
        <v>1263</v>
      </c>
      <c r="B54" s="88">
        <f>Wisconsin!L54</f>
        <v>0</v>
      </c>
      <c r="C54" s="143">
        <f>Illinois!E54</f>
        <v>0</v>
      </c>
      <c r="D54" s="143">
        <f>Ohio!L54</f>
        <v>0</v>
      </c>
      <c r="E54" s="143">
        <f>Buffalo!C54</f>
        <v>0</v>
      </c>
      <c r="F54" s="143">
        <f>Tennessee!L54</f>
        <v>638</v>
      </c>
      <c r="G54" s="143">
        <f>Florida!I54</f>
        <v>0</v>
      </c>
      <c r="H54" s="143">
        <f>Missouri!C54</f>
        <v>0</v>
      </c>
      <c r="I54" s="143">
        <f>IND!C54</f>
        <v>0</v>
      </c>
      <c r="J54" s="143">
        <f>'THE REST'!R54</f>
        <v>0</v>
      </c>
      <c r="K54" s="91">
        <f t="shared" si="1"/>
        <v>638</v>
      </c>
      <c r="L54" s="143">
        <f t="shared" si="13"/>
        <v>638</v>
      </c>
      <c r="M54" s="84">
        <f>National!C54</f>
        <v>1200</v>
      </c>
      <c r="N54" s="94">
        <f t="shared" si="4"/>
        <v>1838</v>
      </c>
      <c r="P54" s="444">
        <f>Wisconsin!K54+Illinois!B54+IND!B54+Ohio!K54+Buffalo!B54+Missouri!B54+Tennessee!K54+Florida!H54+'THE REST'!Q54</f>
        <v>0</v>
      </c>
      <c r="Q54" s="259">
        <f>National!B54</f>
        <v>1200</v>
      </c>
      <c r="R54" s="445">
        <f t="shared" si="12"/>
        <v>1200</v>
      </c>
      <c r="S54" s="425"/>
    </row>
    <row r="55" spans="1:19" ht="12.95" customHeight="1" x14ac:dyDescent="0.2">
      <c r="A55" s="82" t="s">
        <v>2177</v>
      </c>
      <c r="B55" s="88">
        <f>Wisconsin!L55</f>
        <v>7000</v>
      </c>
      <c r="C55" s="143">
        <f>Illinois!E55</f>
        <v>6100</v>
      </c>
      <c r="D55" s="143">
        <f>Ohio!L55</f>
        <v>0</v>
      </c>
      <c r="E55" s="143">
        <f>Buffalo!C55</f>
        <v>0</v>
      </c>
      <c r="F55" s="143">
        <f>Tennessee!L55</f>
        <v>612</v>
      </c>
      <c r="G55" s="143">
        <f>Florida!I55</f>
        <v>0</v>
      </c>
      <c r="H55" s="143">
        <f>Missouri!C55</f>
        <v>0</v>
      </c>
      <c r="I55" s="143">
        <f>IND!C55</f>
        <v>0</v>
      </c>
      <c r="J55" s="143">
        <f>'THE REST'!R55</f>
        <v>0</v>
      </c>
      <c r="K55" s="91">
        <f t="shared" si="1"/>
        <v>13712</v>
      </c>
      <c r="L55" s="143">
        <f t="shared" si="13"/>
        <v>13712</v>
      </c>
      <c r="M55" s="84">
        <f>National!C55</f>
        <v>9104</v>
      </c>
      <c r="N55" s="94">
        <f t="shared" si="4"/>
        <v>22816</v>
      </c>
      <c r="P55" s="444">
        <f>Wisconsin!K55+Illinois!B55+IND!B55+Ohio!K55+Buffalo!B55+Missouri!B55+Tennessee!K55+Florida!H55+'THE REST'!Q55</f>
        <v>8514.3100000000013</v>
      </c>
      <c r="Q55" s="259">
        <f>National!B55</f>
        <v>4545.49</v>
      </c>
      <c r="R55" s="445">
        <f t="shared" si="12"/>
        <v>13059.800000000001</v>
      </c>
      <c r="S55" s="425"/>
    </row>
    <row r="56" spans="1:19" ht="12.95" customHeight="1" x14ac:dyDescent="0.2">
      <c r="A56" s="82" t="s">
        <v>2203</v>
      </c>
      <c r="B56" s="88">
        <f>Wisconsin!L56</f>
        <v>65600</v>
      </c>
      <c r="C56" s="143">
        <f>Illinois!E56</f>
        <v>73600</v>
      </c>
      <c r="D56" s="143">
        <f>Ohio!L56</f>
        <v>0</v>
      </c>
      <c r="E56" s="143">
        <f>Buffalo!C56</f>
        <v>0</v>
      </c>
      <c r="F56" s="143">
        <f>Tennessee!L56</f>
        <v>8000</v>
      </c>
      <c r="G56" s="143">
        <f>Florida!I56</f>
        <v>0</v>
      </c>
      <c r="H56" s="143">
        <f>Missouri!C56</f>
        <v>0</v>
      </c>
      <c r="I56" s="143">
        <f>IND!C56</f>
        <v>0</v>
      </c>
      <c r="J56" s="143">
        <f>'THE REST'!R56</f>
        <v>0</v>
      </c>
      <c r="K56" s="91">
        <f t="shared" si="1"/>
        <v>147200</v>
      </c>
      <c r="L56" s="143">
        <f t="shared" si="13"/>
        <v>147200</v>
      </c>
      <c r="M56" s="84">
        <f>National!C56</f>
        <v>119000</v>
      </c>
      <c r="N56" s="94">
        <f t="shared" si="4"/>
        <v>266200</v>
      </c>
      <c r="P56" s="444">
        <f>Wisconsin!K56+Illinois!B56+IND!B56+Ohio!K56+Buffalo!B56+Missouri!B56+Tennessee!K56+Florida!H56+'THE REST'!Q56</f>
        <v>122272.07</v>
      </c>
      <c r="Q56" s="259">
        <f>National!B56</f>
        <v>61133.33</v>
      </c>
      <c r="R56" s="445">
        <f t="shared" si="12"/>
        <v>183405.40000000002</v>
      </c>
      <c r="S56" s="425"/>
    </row>
    <row r="57" spans="1:19" ht="12.95" customHeight="1" thickBot="1" x14ac:dyDescent="0.25">
      <c r="A57" s="102" t="s">
        <v>1269</v>
      </c>
      <c r="B57" s="124">
        <f>Wisconsin!L57</f>
        <v>0</v>
      </c>
      <c r="C57" s="103">
        <f>Illinois!E57</f>
        <v>0</v>
      </c>
      <c r="D57" s="103">
        <f>Ohio!L57</f>
        <v>0</v>
      </c>
      <c r="E57" s="103">
        <f>Buffalo!C57</f>
        <v>0</v>
      </c>
      <c r="F57" s="103">
        <f>Tennessee!L57</f>
        <v>0</v>
      </c>
      <c r="G57" s="103">
        <f>Florida!I57</f>
        <v>0</v>
      </c>
      <c r="H57" s="103">
        <f>Missouri!C57</f>
        <v>0</v>
      </c>
      <c r="I57" s="103">
        <f>IND!C57</f>
        <v>0</v>
      </c>
      <c r="J57" s="103">
        <f>'THE REST'!R57</f>
        <v>0</v>
      </c>
      <c r="K57" s="123">
        <f t="shared" si="1"/>
        <v>0</v>
      </c>
      <c r="L57" s="103">
        <f t="shared" si="13"/>
        <v>0</v>
      </c>
      <c r="M57" s="103">
        <f>National!C57</f>
        <v>0</v>
      </c>
      <c r="N57" s="182">
        <f t="shared" si="4"/>
        <v>0</v>
      </c>
      <c r="P57" s="451">
        <f>Wisconsin!K57+Illinois!B57+IND!B57+Ohio!K57+Buffalo!B57+Missouri!B57+Tennessee!K57+Florida!H57+'THE REST'!Q57</f>
        <v>0</v>
      </c>
      <c r="Q57" s="429">
        <f>National!B57</f>
        <v>0</v>
      </c>
      <c r="R57" s="452">
        <f t="shared" si="12"/>
        <v>0</v>
      </c>
      <c r="S57" s="425"/>
    </row>
    <row r="58" spans="1:19" s="111" customFormat="1" ht="12.95" customHeight="1" x14ac:dyDescent="0.2">
      <c r="A58" s="112" t="s">
        <v>1278</v>
      </c>
      <c r="B58" s="105">
        <f t="shared" ref="B58:J58" si="14">SUM(B19:B57)</f>
        <v>341663.98</v>
      </c>
      <c r="C58" s="106">
        <f t="shared" si="14"/>
        <v>310298.74</v>
      </c>
      <c r="D58" s="106">
        <f t="shared" si="14"/>
        <v>119069</v>
      </c>
      <c r="E58" s="106">
        <f t="shared" si="14"/>
        <v>33258</v>
      </c>
      <c r="F58" s="106">
        <f t="shared" si="14"/>
        <v>84768</v>
      </c>
      <c r="G58" s="106">
        <f t="shared" si="14"/>
        <v>41390</v>
      </c>
      <c r="H58" s="106">
        <f t="shared" si="14"/>
        <v>27220</v>
      </c>
      <c r="I58" s="106">
        <f t="shared" si="14"/>
        <v>45900</v>
      </c>
      <c r="J58" s="106">
        <f t="shared" si="14"/>
        <v>47300</v>
      </c>
      <c r="K58" s="108">
        <f t="shared" ref="K58:K59" si="15">SUM(B58:J58)</f>
        <v>1050867.72</v>
      </c>
      <c r="L58" s="109">
        <f t="shared" si="13"/>
        <v>1050867.72</v>
      </c>
      <c r="M58" s="107">
        <f>SUM(M19:M57)</f>
        <v>268655</v>
      </c>
      <c r="N58" s="110">
        <f t="shared" si="4"/>
        <v>1319522.72</v>
      </c>
      <c r="O58" s="169"/>
      <c r="P58" s="604">
        <f t="shared" ref="P58:R58" si="16">SUM(P19:P57)</f>
        <v>623593.14000000013</v>
      </c>
      <c r="Q58" s="605">
        <f t="shared" si="16"/>
        <v>228781.27999999997</v>
      </c>
      <c r="R58" s="606">
        <f t="shared" si="16"/>
        <v>834468.89</v>
      </c>
      <c r="S58" s="426"/>
    </row>
    <row r="59" spans="1:19" s="111" customFormat="1" ht="15.6" customHeight="1" thickBot="1" x14ac:dyDescent="0.25">
      <c r="A59" s="112" t="s">
        <v>1276</v>
      </c>
      <c r="B59" s="243">
        <f t="shared" ref="B59:J59" si="17">B17-B58</f>
        <v>-140891.47999999998</v>
      </c>
      <c r="C59" s="243">
        <f t="shared" si="17"/>
        <v>-87703.739999999991</v>
      </c>
      <c r="D59" s="243">
        <f t="shared" si="17"/>
        <v>-27054</v>
      </c>
      <c r="E59" s="154">
        <f t="shared" si="17"/>
        <v>18096</v>
      </c>
      <c r="F59" s="243">
        <f t="shared" si="17"/>
        <v>-12818</v>
      </c>
      <c r="G59" s="243">
        <f t="shared" si="17"/>
        <v>-9090</v>
      </c>
      <c r="H59" s="154">
        <f t="shared" si="17"/>
        <v>230</v>
      </c>
      <c r="I59" s="154">
        <f t="shared" si="17"/>
        <v>8100</v>
      </c>
      <c r="J59" s="243">
        <f t="shared" si="17"/>
        <v>-20298</v>
      </c>
      <c r="K59" s="592">
        <f t="shared" si="15"/>
        <v>-271429.21999999997</v>
      </c>
      <c r="L59" s="593">
        <f t="shared" si="13"/>
        <v>-271429.21999999997</v>
      </c>
      <c r="M59" s="107">
        <f>+M17-M58</f>
        <v>-62604.5</v>
      </c>
      <c r="N59" s="594">
        <f t="shared" si="4"/>
        <v>-334033.71999999997</v>
      </c>
      <c r="O59" s="169"/>
      <c r="P59" s="440">
        <f t="shared" ref="P59:R59" si="18">P17-P58</f>
        <v>196774.16999999993</v>
      </c>
      <c r="Q59" s="600">
        <f t="shared" si="18"/>
        <v>35219.390000000014</v>
      </c>
      <c r="R59" s="441">
        <f t="shared" si="18"/>
        <v>249899.08999999997</v>
      </c>
      <c r="S59" s="426"/>
    </row>
    <row r="60" spans="1:19" ht="12.95" customHeight="1" thickBot="1" x14ac:dyDescent="0.25">
      <c r="A60" s="79"/>
      <c r="B60" s="92"/>
      <c r="C60" s="95"/>
      <c r="D60" s="95"/>
      <c r="E60" s="95"/>
      <c r="F60" s="95"/>
      <c r="G60" s="95"/>
      <c r="H60" s="95"/>
      <c r="I60" s="95"/>
      <c r="J60" s="95"/>
      <c r="K60" s="142"/>
      <c r="L60" s="100"/>
      <c r="M60" s="120"/>
      <c r="N60" s="101"/>
      <c r="P60" s="429"/>
      <c r="Q60" s="429"/>
      <c r="R60" s="429"/>
      <c r="S60" s="425"/>
    </row>
    <row r="61" spans="1:19" s="119" customFormat="1" ht="12.95" customHeight="1" thickBot="1" x14ac:dyDescent="0.25">
      <c r="A61" s="138" t="s">
        <v>2155</v>
      </c>
      <c r="B61" s="136">
        <f>Wisconsin!L61</f>
        <v>30</v>
      </c>
      <c r="C61" s="137">
        <f>Illinois!C61</f>
        <v>35</v>
      </c>
      <c r="D61" s="137">
        <f>Ohio!L61</f>
        <v>25</v>
      </c>
      <c r="E61" s="137">
        <f>Buffalo!C61</f>
        <v>6</v>
      </c>
      <c r="F61" s="137">
        <f>Tennessee!L61</f>
        <v>15</v>
      </c>
      <c r="G61" s="137">
        <f>Florida!I61</f>
        <v>8</v>
      </c>
      <c r="H61" s="137">
        <f>Missouri!C61</f>
        <v>4</v>
      </c>
      <c r="I61" s="533">
        <f>IND!C61</f>
        <v>10</v>
      </c>
      <c r="J61" s="137">
        <f>'THE REST'!R61</f>
        <v>12</v>
      </c>
      <c r="K61" s="137">
        <f>SUM(B61:J61)</f>
        <v>145</v>
      </c>
      <c r="L61" s="139">
        <f>K61</f>
        <v>145</v>
      </c>
      <c r="M61" s="140">
        <v>0</v>
      </c>
      <c r="N61" s="167">
        <f>L61+M61</f>
        <v>145</v>
      </c>
      <c r="P61" s="467">
        <f>Wisconsin!K61+Illinois!B61+IND!B61+Ohio!K61+Buffalo!B61+Missouri!B61+Tennessee!K61+Florida!H61+'THE REST'!Q61</f>
        <v>80</v>
      </c>
      <c r="Q61" s="468">
        <v>0</v>
      </c>
      <c r="R61" s="469">
        <f t="shared" ref="R61" si="19">P61+Q61</f>
        <v>80</v>
      </c>
      <c r="S61" s="427"/>
    </row>
    <row r="62" spans="1:19" s="185" customFormat="1" ht="12.95" customHeight="1" x14ac:dyDescent="0.2">
      <c r="A62" s="144"/>
      <c r="B62" s="145">
        <f>B61/$N$61</f>
        <v>0.20689655172413793</v>
      </c>
      <c r="C62" s="145">
        <f>C61/$N$61</f>
        <v>0.2413793103448276</v>
      </c>
      <c r="D62" s="145">
        <f>D61/$N$61</f>
        <v>0.17241379310344829</v>
      </c>
      <c r="E62" s="145">
        <f t="shared" ref="E62:J62" si="20">E61/$N$61</f>
        <v>4.1379310344827586E-2</v>
      </c>
      <c r="F62" s="145">
        <f t="shared" si="20"/>
        <v>0.10344827586206896</v>
      </c>
      <c r="G62" s="145">
        <f t="shared" si="20"/>
        <v>5.5172413793103448E-2</v>
      </c>
      <c r="H62" s="145">
        <f t="shared" si="20"/>
        <v>2.7586206896551724E-2</v>
      </c>
      <c r="I62" s="145">
        <f t="shared" si="20"/>
        <v>6.8965517241379309E-2</v>
      </c>
      <c r="J62" s="145">
        <f t="shared" si="20"/>
        <v>8.2758620689655171E-2</v>
      </c>
      <c r="K62" s="145">
        <f>K61/$N$61</f>
        <v>1</v>
      </c>
      <c r="L62" s="183"/>
      <c r="M62" s="145"/>
      <c r="N62" s="184"/>
      <c r="P62" s="428"/>
      <c r="Q62" s="428" t="s">
        <v>2248</v>
      </c>
      <c r="R62" s="428"/>
      <c r="S62" s="428"/>
    </row>
    <row r="63" spans="1:19" ht="12.95" customHeight="1" x14ac:dyDescent="0.2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50"/>
      <c r="L63" s="143"/>
      <c r="M63" s="147"/>
      <c r="N63" s="163"/>
      <c r="P63" s="425"/>
      <c r="Q63" s="425"/>
      <c r="R63" s="425"/>
      <c r="S63" s="425"/>
    </row>
    <row r="64" spans="1:19" s="27" customFormat="1" ht="12.95" customHeight="1" thickBot="1" x14ac:dyDescent="0.25">
      <c r="A64" s="536" t="s">
        <v>2215</v>
      </c>
      <c r="B64" s="624">
        <v>2021</v>
      </c>
      <c r="C64" s="624">
        <v>2021</v>
      </c>
      <c r="D64" s="624">
        <v>2021</v>
      </c>
      <c r="E64" s="624">
        <v>2021</v>
      </c>
      <c r="F64" s="624">
        <v>2021</v>
      </c>
      <c r="G64" s="624">
        <v>2021</v>
      </c>
      <c r="H64" s="624">
        <v>2021</v>
      </c>
      <c r="I64" s="624">
        <v>2021</v>
      </c>
      <c r="J64" s="624">
        <v>2021</v>
      </c>
      <c r="K64" s="624">
        <v>2021</v>
      </c>
      <c r="L64" s="149"/>
      <c r="M64" s="149"/>
      <c r="N64" s="149"/>
      <c r="P64" s="424"/>
      <c r="Q64" s="424"/>
      <c r="R64" s="424"/>
      <c r="S64" s="424"/>
    </row>
    <row r="65" spans="1:19" ht="12.95" customHeight="1" x14ac:dyDescent="0.2">
      <c r="A65" s="538" t="s">
        <v>2216</v>
      </c>
      <c r="B65" s="539">
        <f>Wisconsin!L65</f>
        <v>6500</v>
      </c>
      <c r="C65" s="539">
        <f>Illinois!C65</f>
        <v>5000</v>
      </c>
      <c r="D65" s="539">
        <f>Ohio!L65</f>
        <v>3654.4</v>
      </c>
      <c r="E65" s="539">
        <f>Buffalo!C65</f>
        <v>3285</v>
      </c>
      <c r="F65" s="539">
        <f>Tennessee!L65</f>
        <v>9985</v>
      </c>
      <c r="G65" s="539">
        <f>Florida!I65</f>
        <v>3322</v>
      </c>
      <c r="H65" s="539">
        <f>Missouri!C65</f>
        <v>3530</v>
      </c>
      <c r="I65" s="539">
        <f>IND!C65</f>
        <v>4000</v>
      </c>
      <c r="J65" s="539">
        <f>'THE REST'!R65</f>
        <v>3250</v>
      </c>
      <c r="K65" s="540">
        <f t="shared" ref="K65:K67" si="21">SUM(B65:J65)</f>
        <v>42526.400000000001</v>
      </c>
      <c r="L65" s="152"/>
      <c r="M65" s="147"/>
      <c r="N65" s="163"/>
      <c r="P65" s="425"/>
      <c r="Q65" s="425"/>
      <c r="R65" s="425"/>
      <c r="S65" s="425"/>
    </row>
    <row r="66" spans="1:19" ht="12.95" customHeight="1" x14ac:dyDescent="0.2">
      <c r="A66" s="372" t="s">
        <v>2217</v>
      </c>
      <c r="B66" s="211">
        <f>Wisconsin!L66</f>
        <v>500</v>
      </c>
      <c r="C66" s="211">
        <f>Illinois!C66</f>
        <v>250</v>
      </c>
      <c r="D66" s="211">
        <f>Ohio!L66</f>
        <v>545.6</v>
      </c>
      <c r="E66" s="211">
        <f>Buffalo!C66</f>
        <v>1083.3333333333333</v>
      </c>
      <c r="F66" s="211">
        <f>Tennessee!L66</f>
        <v>1678.5714285714284</v>
      </c>
      <c r="G66" s="211">
        <f>Florida!I66</f>
        <v>937.5</v>
      </c>
      <c r="H66" s="211">
        <f>Missouri!C66</f>
        <v>1750</v>
      </c>
      <c r="I66" s="211">
        <f>IND!C66</f>
        <v>200</v>
      </c>
      <c r="J66" s="211">
        <f>'THE REST'!R66</f>
        <v>358.33333333333331</v>
      </c>
      <c r="K66" s="541">
        <f t="shared" si="21"/>
        <v>7303.3380952380949</v>
      </c>
      <c r="L66" s="152"/>
      <c r="M66" s="147"/>
      <c r="N66" s="163"/>
      <c r="P66" s="425"/>
      <c r="Q66" s="425"/>
      <c r="R66" s="425"/>
      <c r="S66" s="425"/>
    </row>
    <row r="67" spans="1:19" ht="12.95" customHeight="1" x14ac:dyDescent="0.2">
      <c r="A67" s="372" t="s">
        <v>2218</v>
      </c>
      <c r="B67" s="211">
        <f>Wisconsin!L67</f>
        <v>250</v>
      </c>
      <c r="C67" s="211">
        <f>Illinois!C67</f>
        <v>142.85714285714286</v>
      </c>
      <c r="D67" s="211">
        <f>Ohio!L67</f>
        <v>330</v>
      </c>
      <c r="E67" s="211">
        <f>Buffalo!C67</f>
        <v>500</v>
      </c>
      <c r="F67" s="211">
        <f>Tennessee!L67</f>
        <v>1875</v>
      </c>
      <c r="G67" s="211">
        <f>Florida!I67</f>
        <v>312.5</v>
      </c>
      <c r="H67" s="211">
        <f>Missouri!C67</f>
        <v>0</v>
      </c>
      <c r="I67" s="211">
        <f>IND!C67</f>
        <v>100</v>
      </c>
      <c r="J67" s="211">
        <f>'THE REST'!R67</f>
        <v>41.666666666666664</v>
      </c>
      <c r="K67" s="541">
        <f t="shared" si="21"/>
        <v>3552.0238095238096</v>
      </c>
      <c r="L67" s="152"/>
      <c r="M67" s="147"/>
      <c r="N67" s="163"/>
      <c r="P67" s="425"/>
      <c r="Q67" s="425"/>
      <c r="R67" s="425"/>
      <c r="S67" s="425"/>
    </row>
    <row r="68" spans="1:19" s="27" customFormat="1" ht="12.95" customHeight="1" x14ac:dyDescent="0.2">
      <c r="A68" s="542" t="s">
        <v>2219</v>
      </c>
      <c r="B68" s="210">
        <f>SUM(B65:B67)</f>
        <v>7250</v>
      </c>
      <c r="C68" s="210">
        <f t="shared" ref="C68:K68" si="22">SUM(C65:C67)</f>
        <v>5392.8571428571431</v>
      </c>
      <c r="D68" s="210">
        <f t="shared" si="22"/>
        <v>4530</v>
      </c>
      <c r="E68" s="210">
        <f t="shared" si="22"/>
        <v>4868.333333333333</v>
      </c>
      <c r="F68" s="210">
        <f t="shared" si="22"/>
        <v>13538.571428571428</v>
      </c>
      <c r="G68" s="210">
        <f t="shared" si="22"/>
        <v>4572</v>
      </c>
      <c r="H68" s="210">
        <f t="shared" si="22"/>
        <v>5280</v>
      </c>
      <c r="I68" s="210">
        <f t="shared" si="22"/>
        <v>4300</v>
      </c>
      <c r="J68" s="210">
        <f t="shared" si="22"/>
        <v>3650</v>
      </c>
      <c r="K68" s="503">
        <f t="shared" si="22"/>
        <v>53381.761904761908</v>
      </c>
      <c r="L68" s="149"/>
      <c r="M68" s="149"/>
      <c r="N68" s="149"/>
      <c r="P68" s="424"/>
      <c r="Q68" s="424"/>
      <c r="R68" s="424"/>
      <c r="S68" s="424"/>
    </row>
    <row r="69" spans="1:19" ht="12.95" customHeight="1" x14ac:dyDescent="0.2">
      <c r="A69" s="372" t="s">
        <v>2220</v>
      </c>
      <c r="B69" s="211">
        <f>Wisconsin!F69</f>
        <v>0</v>
      </c>
      <c r="C69" s="211">
        <f>Illinois!C69</f>
        <v>441.42857142857144</v>
      </c>
      <c r="D69" s="211">
        <f>Ohio!L69</f>
        <v>495</v>
      </c>
      <c r="E69" s="211">
        <f>Buffalo!C69</f>
        <v>1275</v>
      </c>
      <c r="F69" s="211">
        <f>Tennessee!L69</f>
        <v>595</v>
      </c>
      <c r="G69" s="211">
        <f>Wisconsin!K69</f>
        <v>46.849058823529404</v>
      </c>
      <c r="H69" s="211">
        <f>Missouri!C69</f>
        <v>637.5</v>
      </c>
      <c r="I69" s="211">
        <f>IND!C69</f>
        <v>900</v>
      </c>
      <c r="J69" s="211">
        <f>'THE REST'!R69</f>
        <v>326.5</v>
      </c>
      <c r="K69" s="541">
        <f t="shared" ref="K69:K71" si="23">SUM(B69:J69)</f>
        <v>4717.2776302521015</v>
      </c>
      <c r="L69" s="143"/>
      <c r="M69" s="147"/>
      <c r="N69" s="163"/>
      <c r="P69" s="425"/>
      <c r="Q69" s="425"/>
      <c r="R69" s="425"/>
      <c r="S69" s="425"/>
    </row>
    <row r="70" spans="1:19" ht="12.95" customHeight="1" x14ac:dyDescent="0.2">
      <c r="A70" s="543"/>
      <c r="B70" s="211"/>
      <c r="C70" s="211"/>
      <c r="D70" s="211"/>
      <c r="E70" s="211"/>
      <c r="F70" s="211"/>
      <c r="G70" s="211"/>
      <c r="H70" s="211"/>
      <c r="I70" s="211"/>
      <c r="J70" s="211"/>
      <c r="K70" s="541"/>
      <c r="L70" s="143"/>
      <c r="M70" s="147"/>
      <c r="N70" s="163"/>
      <c r="P70" s="425"/>
      <c r="Q70" s="425"/>
      <c r="R70" s="425"/>
      <c r="S70" s="425"/>
    </row>
    <row r="71" spans="1:19" s="27" customFormat="1" ht="12.95" customHeight="1" thickBot="1" x14ac:dyDescent="0.25">
      <c r="A71" s="373" t="s">
        <v>2221</v>
      </c>
      <c r="B71" s="537">
        <f>Wisconsin!F71</f>
        <v>11388.799333333332</v>
      </c>
      <c r="C71" s="537">
        <f>Illinois!C71</f>
        <v>8865.6782857142862</v>
      </c>
      <c r="D71" s="537">
        <f>Ohio!L71</f>
        <v>4762.76</v>
      </c>
      <c r="E71" s="537">
        <f>Buffalo!C71</f>
        <v>5543</v>
      </c>
      <c r="F71" s="537">
        <f>Tennessee!L71</f>
        <v>5651.2</v>
      </c>
      <c r="G71" s="537">
        <f>Florida!I71</f>
        <v>5173.75</v>
      </c>
      <c r="H71" s="537">
        <f>Missouri!C71</f>
        <v>6805</v>
      </c>
      <c r="I71" s="537">
        <f>IND!C71</f>
        <v>4590</v>
      </c>
      <c r="J71" s="537">
        <f>'THE REST'!R71</f>
        <v>3941.6666666666665</v>
      </c>
      <c r="K71" s="549">
        <f t="shared" si="23"/>
        <v>56721.854285714282</v>
      </c>
      <c r="L71" s="158"/>
      <c r="M71" s="150"/>
      <c r="N71" s="164"/>
      <c r="P71" s="424"/>
      <c r="Q71" s="424"/>
      <c r="R71" s="424"/>
      <c r="S71" s="424"/>
    </row>
    <row r="72" spans="1:19" ht="12.95" customHeight="1" x14ac:dyDescent="0.2">
      <c r="A72" s="146"/>
      <c r="B72" s="152"/>
      <c r="C72" s="152"/>
      <c r="D72" s="152"/>
      <c r="E72" s="152"/>
      <c r="F72" s="152"/>
      <c r="G72" s="152"/>
      <c r="H72" s="152"/>
      <c r="I72" s="152"/>
      <c r="J72" s="152"/>
      <c r="K72" s="149"/>
      <c r="L72" s="143"/>
      <c r="M72" s="147"/>
      <c r="N72" s="163"/>
      <c r="P72" s="425"/>
      <c r="Q72" s="425"/>
      <c r="R72" s="425"/>
      <c r="S72" s="425"/>
    </row>
    <row r="73" spans="1:19" ht="12.95" customHeight="1" x14ac:dyDescent="0.2">
      <c r="A73" s="146"/>
      <c r="B73" s="152"/>
      <c r="C73" s="152"/>
      <c r="D73" s="152"/>
      <c r="E73" s="152"/>
      <c r="F73" s="152"/>
      <c r="G73" s="152"/>
      <c r="H73" s="152"/>
      <c r="I73" s="152"/>
      <c r="J73" s="152"/>
      <c r="K73" s="149"/>
      <c r="L73" s="152"/>
      <c r="M73" s="152"/>
      <c r="N73" s="152"/>
      <c r="P73" s="425"/>
      <c r="Q73" s="425"/>
      <c r="R73" s="425"/>
      <c r="S73" s="425"/>
    </row>
    <row r="74" spans="1:19" ht="12.95" customHeight="1" x14ac:dyDescent="0.2">
      <c r="A74" s="146"/>
      <c r="B74" s="152"/>
      <c r="C74" s="152"/>
      <c r="D74" s="152"/>
      <c r="E74" s="152"/>
      <c r="F74" s="152"/>
      <c r="G74" s="152"/>
      <c r="H74" s="152"/>
      <c r="I74" s="152"/>
      <c r="J74" s="152"/>
      <c r="K74" s="149"/>
      <c r="L74" s="152"/>
      <c r="M74" s="152"/>
      <c r="N74" s="152"/>
      <c r="P74" s="425"/>
      <c r="Q74" s="425"/>
      <c r="R74" s="425"/>
      <c r="S74" s="425"/>
    </row>
    <row r="75" spans="1:19" ht="12.95" customHeight="1" x14ac:dyDescent="0.2">
      <c r="A75" s="146"/>
      <c r="B75" s="153"/>
      <c r="C75" s="153"/>
      <c r="D75" s="153"/>
      <c r="E75" s="153"/>
      <c r="F75" s="153"/>
      <c r="G75" s="153"/>
      <c r="H75" s="153"/>
      <c r="I75" s="153"/>
      <c r="J75" s="153"/>
      <c r="K75" s="160"/>
      <c r="L75" s="153"/>
      <c r="M75" s="153"/>
      <c r="N75" s="153"/>
      <c r="P75" s="425"/>
      <c r="Q75" s="425"/>
      <c r="R75" s="425"/>
      <c r="S75" s="425"/>
    </row>
    <row r="76" spans="1:19" ht="12.95" customHeight="1" x14ac:dyDescent="0.2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50"/>
      <c r="L76" s="162"/>
      <c r="M76" s="147"/>
      <c r="N76" s="163"/>
      <c r="P76" s="425"/>
      <c r="Q76" s="425"/>
      <c r="R76" s="425"/>
      <c r="S76" s="425"/>
    </row>
    <row r="77" spans="1:19" ht="12.95" customHeight="1" x14ac:dyDescent="0.2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50"/>
      <c r="L77" s="147"/>
      <c r="M77" s="147"/>
      <c r="N77" s="163"/>
    </row>
    <row r="78" spans="1:19" ht="12.95" customHeight="1" x14ac:dyDescent="0.2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50"/>
      <c r="L78" s="147"/>
      <c r="M78" s="147"/>
      <c r="N78" s="163"/>
    </row>
  </sheetData>
  <mergeCells count="5">
    <mergeCell ref="A1:N1"/>
    <mergeCell ref="A2:N2"/>
    <mergeCell ref="C3:J3"/>
    <mergeCell ref="L3:N3"/>
    <mergeCell ref="P3:R3"/>
  </mergeCells>
  <printOptions gridLines="1"/>
  <pageMargins left="0.7" right="0.7" top="0.75" bottom="0.75" header="0.3" footer="0.3"/>
  <pageSetup scale="64" orientation="landscape" r:id="rId1"/>
  <headerFooter>
    <oddHeader>&amp;L&amp;D&amp;T</oddHeader>
    <oddFooter>&amp;L&amp;D&amp;T&amp;CMASTER 2018 BUDGET&amp;R&amp;D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DAC4-96B1-4936-9CBB-23E9DD7BD621}">
  <dimension ref="A1:V79"/>
  <sheetViews>
    <sheetView topLeftCell="A37" workbookViewId="0">
      <selection activeCell="E49" sqref="E49"/>
    </sheetView>
  </sheetViews>
  <sheetFormatPr defaultColWidth="8.85546875" defaultRowHeight="12.75" x14ac:dyDescent="0.2"/>
  <cols>
    <col min="1" max="1" width="41.85546875" style="147" bestFit="1" customWidth="1"/>
    <col min="2" max="2" width="9.28515625" style="147" bestFit="1" customWidth="1"/>
    <col min="3" max="3" width="11.5703125" style="147" customWidth="1"/>
    <col min="4" max="4" width="10.5703125" style="147" customWidth="1"/>
    <col min="5" max="5" width="51.5703125" style="147" bestFit="1" customWidth="1"/>
    <col min="6" max="6" width="8.7109375" style="147" customWidth="1"/>
    <col min="7" max="7" width="9.28515625" style="147" customWidth="1"/>
    <col min="8" max="8" width="8.42578125" style="147" customWidth="1"/>
    <col min="9" max="9" width="9.28515625" style="147" customWidth="1"/>
    <col min="10" max="10" width="11.5703125" style="147" customWidth="1"/>
    <col min="11" max="11" width="8.28515625" style="147" customWidth="1"/>
    <col min="12" max="12" width="9.28515625" style="147" customWidth="1"/>
    <col min="13" max="13" width="8.28515625" style="147" customWidth="1"/>
    <col min="14" max="14" width="9.7109375" style="147" customWidth="1"/>
    <col min="15" max="15" width="11.7109375" style="147" customWidth="1"/>
    <col min="16" max="16" width="8.28515625" style="147" customWidth="1"/>
    <col min="17" max="17" width="10.28515625" style="147" customWidth="1"/>
    <col min="18" max="18" width="10.7109375" style="147" bestFit="1" customWidth="1"/>
    <col min="19" max="19" width="8.28515625" style="147" customWidth="1"/>
    <col min="20" max="20" width="9.28515625" style="147" bestFit="1" customWidth="1"/>
    <col min="21" max="21" width="8.7109375" style="147" bestFit="1" customWidth="1"/>
    <col min="22" max="22" width="10.28515625" style="163" bestFit="1" customWidth="1"/>
    <col min="23" max="24" width="8.85546875" style="147"/>
    <col min="25" max="25" width="9.28515625" style="147" bestFit="1" customWidth="1"/>
    <col min="26" max="16384" width="8.85546875" style="147"/>
  </cols>
  <sheetData>
    <row r="1" spans="1:22" ht="21.75" customHeight="1" x14ac:dyDescent="0.25">
      <c r="A1" s="419" t="s">
        <v>177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2" ht="18.75" customHeight="1" thickBot="1" x14ac:dyDescent="0.3">
      <c r="A2" s="419" t="s">
        <v>2238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3" spans="1:22" ht="12.75" customHeight="1" x14ac:dyDescent="0.2">
      <c r="A3" s="193"/>
      <c r="B3" s="97">
        <v>2020</v>
      </c>
      <c r="C3" s="98">
        <v>2021</v>
      </c>
      <c r="V3" s="147"/>
    </row>
    <row r="4" spans="1:22" s="150" customFormat="1" x14ac:dyDescent="0.2">
      <c r="A4" s="194" t="s">
        <v>2180</v>
      </c>
      <c r="B4" s="380" t="s">
        <v>2209</v>
      </c>
      <c r="C4" s="104" t="s">
        <v>2189</v>
      </c>
    </row>
    <row r="5" spans="1:22" s="150" customFormat="1" ht="12.95" customHeight="1" x14ac:dyDescent="0.2">
      <c r="A5" s="196" t="s">
        <v>2151</v>
      </c>
      <c r="B5" s="285">
        <f>SUM(B6:B8)</f>
        <v>47545.549999999996</v>
      </c>
      <c r="C5" s="267">
        <f>SUM(C6:C8)</f>
        <v>13500</v>
      </c>
    </row>
    <row r="6" spans="1:22" ht="12.95" customHeight="1" x14ac:dyDescent="0.2">
      <c r="A6" s="151" t="s">
        <v>2162</v>
      </c>
      <c r="B6" s="457">
        <v>0</v>
      </c>
      <c r="C6" s="269">
        <v>12000</v>
      </c>
      <c r="E6" s="147" t="s">
        <v>2242</v>
      </c>
      <c r="V6" s="147"/>
    </row>
    <row r="7" spans="1:22" ht="12.95" customHeight="1" x14ac:dyDescent="0.2">
      <c r="A7" s="151" t="s">
        <v>2163</v>
      </c>
      <c r="B7" s="457">
        <v>0</v>
      </c>
      <c r="C7" s="269">
        <v>0</v>
      </c>
      <c r="V7" s="147"/>
    </row>
    <row r="8" spans="1:22" ht="12.95" customHeight="1" x14ac:dyDescent="0.2">
      <c r="A8" s="151" t="s">
        <v>2164</v>
      </c>
      <c r="B8" s="457">
        <f>9293.67+1.96+38249.92</f>
        <v>47545.549999999996</v>
      </c>
      <c r="C8" s="308">
        <v>1500</v>
      </c>
      <c r="E8" s="147" t="s">
        <v>2253</v>
      </c>
      <c r="V8" s="147"/>
    </row>
    <row r="9" spans="1:22" ht="12.95" customHeight="1" x14ac:dyDescent="0.2">
      <c r="A9" s="151" t="s">
        <v>1359</v>
      </c>
      <c r="B9" s="457">
        <v>0</v>
      </c>
      <c r="C9" s="269">
        <v>0</v>
      </c>
      <c r="V9" s="147"/>
    </row>
    <row r="10" spans="1:22" s="150" customFormat="1" ht="12.95" customHeight="1" x14ac:dyDescent="0.2">
      <c r="A10" s="196" t="s">
        <v>2149</v>
      </c>
      <c r="B10" s="285">
        <f>SUM(B11:B12)</f>
        <v>75000</v>
      </c>
      <c r="C10" s="267">
        <f>SUM(C11:C12)</f>
        <v>75000</v>
      </c>
    </row>
    <row r="11" spans="1:22" ht="12.95" customHeight="1" x14ac:dyDescent="0.2">
      <c r="A11" s="151" t="s">
        <v>2162</v>
      </c>
      <c r="B11" s="457">
        <v>0</v>
      </c>
      <c r="C11" s="269">
        <v>0</v>
      </c>
      <c r="V11" s="147"/>
    </row>
    <row r="12" spans="1:22" ht="12.95" customHeight="1" x14ac:dyDescent="0.2">
      <c r="A12" s="151" t="s">
        <v>2170</v>
      </c>
      <c r="B12" s="580">
        <v>75000</v>
      </c>
      <c r="C12" s="571">
        <v>75000</v>
      </c>
      <c r="E12" s="147" t="s">
        <v>2246</v>
      </c>
      <c r="V12" s="147"/>
    </row>
    <row r="13" spans="1:22" ht="12.95" customHeight="1" x14ac:dyDescent="0.2">
      <c r="A13" s="151" t="s">
        <v>2168</v>
      </c>
      <c r="B13" s="457">
        <v>12000</v>
      </c>
      <c r="C13" s="308">
        <v>0</v>
      </c>
      <c r="V13" s="147"/>
    </row>
    <row r="14" spans="1:22" s="409" customFormat="1" ht="12.95" customHeight="1" x14ac:dyDescent="0.2">
      <c r="A14" s="408" t="s">
        <v>2152</v>
      </c>
      <c r="B14" s="458">
        <v>-5538.88</v>
      </c>
      <c r="C14" s="271">
        <v>0</v>
      </c>
    </row>
    <row r="15" spans="1:22" s="244" customFormat="1" ht="12.95" customHeight="1" x14ac:dyDescent="0.2">
      <c r="A15" s="421" t="s">
        <v>2153</v>
      </c>
      <c r="B15" s="459">
        <f>B5+B9+B10+B13+B14</f>
        <v>129006.66999999998</v>
      </c>
      <c r="C15" s="460">
        <f>C5+C9+C10+C13+C14</f>
        <v>88500</v>
      </c>
    </row>
    <row r="16" spans="1:22" s="244" customFormat="1" ht="12.95" customHeight="1" x14ac:dyDescent="0.2">
      <c r="A16" s="421" t="s">
        <v>2171</v>
      </c>
      <c r="B16" s="566">
        <v>134994</v>
      </c>
      <c r="C16" s="567">
        <f>'2021 BUDGET'!M16</f>
        <v>117550.5</v>
      </c>
    </row>
    <row r="17" spans="1:22" s="244" customFormat="1" ht="12.95" customHeight="1" x14ac:dyDescent="0.2">
      <c r="A17" s="421" t="s">
        <v>2154</v>
      </c>
      <c r="B17" s="459">
        <f>B15+B16</f>
        <v>264000.67</v>
      </c>
      <c r="C17" s="460">
        <f>C15+C16</f>
        <v>206050.5</v>
      </c>
    </row>
    <row r="18" spans="1:22" ht="12.95" customHeight="1" x14ac:dyDescent="0.2">
      <c r="A18" s="151"/>
      <c r="B18" s="457"/>
      <c r="C18" s="461"/>
      <c r="V18" s="147"/>
    </row>
    <row r="19" spans="1:22" ht="12.95" customHeight="1" x14ac:dyDescent="0.2">
      <c r="A19" s="151" t="s">
        <v>1536</v>
      </c>
      <c r="B19" s="462">
        <v>3819</v>
      </c>
      <c r="C19" s="308">
        <v>3900</v>
      </c>
      <c r="V19" s="147"/>
    </row>
    <row r="20" spans="1:22" ht="12.95" customHeight="1" x14ac:dyDescent="0.2">
      <c r="A20" s="151" t="s">
        <v>2157</v>
      </c>
      <c r="B20" s="462">
        <v>14096.96</v>
      </c>
      <c r="C20" s="308">
        <v>15000</v>
      </c>
      <c r="V20" s="147"/>
    </row>
    <row r="21" spans="1:22" ht="12.95" customHeight="1" x14ac:dyDescent="0.2">
      <c r="A21" s="151" t="s">
        <v>1537</v>
      </c>
      <c r="B21" s="462">
        <v>1287</v>
      </c>
      <c r="C21" s="308">
        <v>1200</v>
      </c>
      <c r="V21" s="147"/>
    </row>
    <row r="22" spans="1:22" ht="12.95" customHeight="1" x14ac:dyDescent="0.2">
      <c r="A22" s="151" t="s">
        <v>1236</v>
      </c>
      <c r="B22" s="462">
        <v>5566.96</v>
      </c>
      <c r="C22" s="308">
        <v>5000</v>
      </c>
      <c r="V22" s="147"/>
    </row>
    <row r="23" spans="1:22" ht="12.95" customHeight="1" x14ac:dyDescent="0.2">
      <c r="A23" s="146" t="s">
        <v>2156</v>
      </c>
      <c r="B23" s="462">
        <v>1300</v>
      </c>
      <c r="C23" s="308">
        <v>2500</v>
      </c>
      <c r="V23" s="147"/>
    </row>
    <row r="24" spans="1:22" s="188" customFormat="1" ht="12.95" customHeight="1" x14ac:dyDescent="0.2">
      <c r="A24" s="407" t="s">
        <v>2176</v>
      </c>
      <c r="B24" s="462">
        <v>7500</v>
      </c>
      <c r="C24" s="308">
        <v>1000</v>
      </c>
    </row>
    <row r="25" spans="1:22" s="188" customFormat="1" ht="12.95" customHeight="1" x14ac:dyDescent="0.2">
      <c r="A25" s="407" t="s">
        <v>2172</v>
      </c>
      <c r="B25" s="462">
        <f>9950+13125</f>
        <v>23075</v>
      </c>
      <c r="C25" s="308">
        <v>14400</v>
      </c>
      <c r="E25" s="188" t="s">
        <v>2251</v>
      </c>
    </row>
    <row r="26" spans="1:22" ht="12.95" customHeight="1" x14ac:dyDescent="0.2">
      <c r="A26" s="146" t="s">
        <v>1239</v>
      </c>
      <c r="B26" s="462">
        <v>12000</v>
      </c>
      <c r="C26" s="308">
        <v>0</v>
      </c>
      <c r="V26" s="147"/>
    </row>
    <row r="27" spans="1:22" ht="12.95" customHeight="1" x14ac:dyDescent="0.2">
      <c r="A27" s="146" t="s">
        <v>1240</v>
      </c>
      <c r="B27" s="462">
        <f>1571.05+360+319.99</f>
        <v>2251.04</v>
      </c>
      <c r="C27" s="308">
        <v>0</v>
      </c>
      <c r="V27" s="147"/>
    </row>
    <row r="28" spans="1:22" ht="12.95" customHeight="1" x14ac:dyDescent="0.2">
      <c r="A28" s="146" t="s">
        <v>1241</v>
      </c>
      <c r="B28" s="462">
        <v>3227.86</v>
      </c>
      <c r="C28" s="308">
        <v>0</v>
      </c>
      <c r="V28" s="147"/>
    </row>
    <row r="29" spans="1:22" ht="12.95" customHeight="1" x14ac:dyDescent="0.2">
      <c r="A29" s="146" t="s">
        <v>2167</v>
      </c>
      <c r="B29" s="462">
        <v>2178.54</v>
      </c>
      <c r="C29" s="308">
        <v>2200</v>
      </c>
      <c r="V29" s="147"/>
    </row>
    <row r="30" spans="1:22" ht="12.95" customHeight="1" x14ac:dyDescent="0.2">
      <c r="A30" s="146" t="s">
        <v>1244</v>
      </c>
      <c r="B30" s="462">
        <v>3499.11</v>
      </c>
      <c r="C30" s="308">
        <v>3500</v>
      </c>
      <c r="V30" s="147"/>
    </row>
    <row r="31" spans="1:22" ht="12.95" customHeight="1" x14ac:dyDescent="0.2">
      <c r="A31" s="146" t="s">
        <v>1245</v>
      </c>
      <c r="B31" s="462">
        <v>5030.08</v>
      </c>
      <c r="C31" s="308">
        <v>4200</v>
      </c>
      <c r="E31" s="147" t="s">
        <v>2240</v>
      </c>
      <c r="F31" s="579">
        <v>1220</v>
      </c>
      <c r="V31" s="147"/>
    </row>
    <row r="32" spans="1:22" ht="12.95" customHeight="1" x14ac:dyDescent="0.2">
      <c r="A32" s="146" t="s">
        <v>1246</v>
      </c>
      <c r="B32" s="462">
        <v>189</v>
      </c>
      <c r="C32" s="308">
        <v>0</v>
      </c>
      <c r="V32" s="147"/>
    </row>
    <row r="33" spans="1:22" ht="12.95" customHeight="1" x14ac:dyDescent="0.2">
      <c r="A33" s="146" t="s">
        <v>1247</v>
      </c>
      <c r="B33" s="462">
        <v>9792.31</v>
      </c>
      <c r="C33" s="308">
        <v>8000</v>
      </c>
      <c r="E33" s="147" t="s">
        <v>2240</v>
      </c>
      <c r="F33" s="579">
        <v>2100</v>
      </c>
      <c r="V33" s="147"/>
    </row>
    <row r="34" spans="1:22" ht="12.95" customHeight="1" x14ac:dyDescent="0.2">
      <c r="A34" s="407" t="s">
        <v>2207</v>
      </c>
      <c r="B34" s="462">
        <v>4426.25</v>
      </c>
      <c r="C34" s="308">
        <v>5000</v>
      </c>
      <c r="V34" s="147"/>
    </row>
    <row r="35" spans="1:22" ht="12.95" customHeight="1" x14ac:dyDescent="0.2">
      <c r="A35" s="407" t="s">
        <v>2204</v>
      </c>
      <c r="B35" s="462">
        <v>0</v>
      </c>
      <c r="C35" s="308">
        <v>0</v>
      </c>
      <c r="V35" s="147"/>
    </row>
    <row r="36" spans="1:22" ht="12.95" customHeight="1" x14ac:dyDescent="0.2">
      <c r="A36" s="146" t="s">
        <v>1250</v>
      </c>
      <c r="B36" s="462">
        <v>4210.66</v>
      </c>
      <c r="C36" s="308">
        <v>5000</v>
      </c>
      <c r="V36" s="147"/>
    </row>
    <row r="37" spans="1:22" ht="12.95" customHeight="1" x14ac:dyDescent="0.2">
      <c r="A37" s="554" t="s">
        <v>2239</v>
      </c>
      <c r="B37" s="462">
        <v>14414.96</v>
      </c>
      <c r="C37" s="308">
        <v>12000</v>
      </c>
      <c r="V37" s="147"/>
    </row>
    <row r="38" spans="1:22" ht="12.95" customHeight="1" x14ac:dyDescent="0.2">
      <c r="A38" s="146" t="s">
        <v>1251</v>
      </c>
      <c r="B38" s="462">
        <v>1763.7</v>
      </c>
      <c r="C38" s="308">
        <v>3228</v>
      </c>
      <c r="V38" s="147"/>
    </row>
    <row r="39" spans="1:22" ht="12.95" customHeight="1" x14ac:dyDescent="0.2">
      <c r="A39" s="146" t="s">
        <v>2178</v>
      </c>
      <c r="B39" s="462">
        <v>2819.22</v>
      </c>
      <c r="C39" s="308">
        <v>600</v>
      </c>
      <c r="E39" s="147" t="s">
        <v>2241</v>
      </c>
      <c r="V39" s="147"/>
    </row>
    <row r="40" spans="1:22" ht="12.95" customHeight="1" x14ac:dyDescent="0.2">
      <c r="A40" s="146" t="s">
        <v>1308</v>
      </c>
      <c r="B40" s="463"/>
      <c r="C40" s="273"/>
      <c r="V40" s="147"/>
    </row>
    <row r="41" spans="1:22" ht="12.95" customHeight="1" x14ac:dyDescent="0.2">
      <c r="A41" s="146" t="s">
        <v>1844</v>
      </c>
      <c r="B41" s="457">
        <v>5738</v>
      </c>
      <c r="C41" s="269">
        <v>0</v>
      </c>
      <c r="E41" s="147" t="s">
        <v>2243</v>
      </c>
      <c r="V41" s="147"/>
    </row>
    <row r="42" spans="1:22" ht="12.95" customHeight="1" x14ac:dyDescent="0.2">
      <c r="A42" s="146" t="s">
        <v>2166</v>
      </c>
      <c r="B42" s="457">
        <v>0</v>
      </c>
      <c r="C42" s="269">
        <v>0</v>
      </c>
      <c r="V42" s="147"/>
    </row>
    <row r="43" spans="1:22" ht="12.95" customHeight="1" x14ac:dyDescent="0.2">
      <c r="A43" s="146" t="s">
        <v>2165</v>
      </c>
      <c r="B43" s="457">
        <v>0</v>
      </c>
      <c r="C43" s="269">
        <v>0</v>
      </c>
      <c r="V43" s="147"/>
    </row>
    <row r="44" spans="1:22" ht="12.95" customHeight="1" x14ac:dyDescent="0.2">
      <c r="A44" s="146" t="s">
        <v>2202</v>
      </c>
      <c r="B44" s="462">
        <v>0</v>
      </c>
      <c r="C44" s="308">
        <v>0</v>
      </c>
      <c r="V44" s="147"/>
    </row>
    <row r="45" spans="1:22" ht="12.95" customHeight="1" x14ac:dyDescent="0.2">
      <c r="A45" s="146" t="s">
        <v>1256</v>
      </c>
      <c r="B45" s="462">
        <v>0</v>
      </c>
      <c r="C45" s="308">
        <v>0</v>
      </c>
      <c r="V45" s="147"/>
    </row>
    <row r="46" spans="1:22" ht="12.95" customHeight="1" x14ac:dyDescent="0.2">
      <c r="A46" s="146" t="s">
        <v>2205</v>
      </c>
      <c r="B46" s="462">
        <v>0</v>
      </c>
      <c r="C46" s="309">
        <v>0</v>
      </c>
      <c r="D46" s="325"/>
      <c r="V46" s="147"/>
    </row>
    <row r="47" spans="1:22" ht="12.95" customHeight="1" x14ac:dyDescent="0.2">
      <c r="A47" s="146" t="s">
        <v>1257</v>
      </c>
      <c r="B47" s="462">
        <v>0</v>
      </c>
      <c r="C47" s="308">
        <v>0</v>
      </c>
      <c r="V47" s="147"/>
    </row>
    <row r="48" spans="1:22" ht="12.95" customHeight="1" x14ac:dyDescent="0.2">
      <c r="A48" s="146" t="s">
        <v>2159</v>
      </c>
      <c r="B48" s="462">
        <v>0</v>
      </c>
      <c r="C48" s="308">
        <v>0</v>
      </c>
      <c r="V48" s="147"/>
    </row>
    <row r="49" spans="1:22" ht="12.95" customHeight="1" x14ac:dyDescent="0.2">
      <c r="A49" s="146" t="s">
        <v>1259</v>
      </c>
      <c r="B49" s="462">
        <v>1094.7</v>
      </c>
      <c r="C49" s="308">
        <v>1200</v>
      </c>
      <c r="V49" s="147"/>
    </row>
    <row r="50" spans="1:22" ht="12.95" customHeight="1" x14ac:dyDescent="0.2">
      <c r="A50" s="146" t="s">
        <v>1260</v>
      </c>
      <c r="B50" s="462">
        <v>9595</v>
      </c>
      <c r="C50" s="308">
        <v>11343</v>
      </c>
      <c r="V50" s="147"/>
    </row>
    <row r="51" spans="1:22" ht="12.95" customHeight="1" x14ac:dyDescent="0.2">
      <c r="A51" s="146" t="s">
        <v>2158</v>
      </c>
      <c r="B51" s="462">
        <v>0</v>
      </c>
      <c r="C51" s="308">
        <v>0</v>
      </c>
      <c r="V51" s="147"/>
    </row>
    <row r="52" spans="1:22" s="188" customFormat="1" ht="12.95" customHeight="1" x14ac:dyDescent="0.2">
      <c r="A52" s="208" t="s">
        <v>2250</v>
      </c>
      <c r="B52" s="462">
        <f>9050+5400+2000</f>
        <v>16450</v>
      </c>
      <c r="C52" s="308">
        <f>29400+6000</f>
        <v>35400</v>
      </c>
      <c r="E52" s="188" t="s">
        <v>2254</v>
      </c>
    </row>
    <row r="53" spans="1:22" ht="12.95" customHeight="1" x14ac:dyDescent="0.2">
      <c r="A53" s="146" t="s">
        <v>1262</v>
      </c>
      <c r="B53" s="462">
        <v>6577.11</v>
      </c>
      <c r="C53" s="308">
        <v>4680</v>
      </c>
      <c r="V53" s="147"/>
    </row>
    <row r="54" spans="1:22" ht="12.95" customHeight="1" x14ac:dyDescent="0.2">
      <c r="A54" s="146" t="s">
        <v>1263</v>
      </c>
      <c r="B54" s="462">
        <v>1200</v>
      </c>
      <c r="C54" s="308">
        <v>1200</v>
      </c>
      <c r="V54" s="147"/>
    </row>
    <row r="55" spans="1:22" ht="12.95" customHeight="1" x14ac:dyDescent="0.2">
      <c r="A55" s="146" t="s">
        <v>2177</v>
      </c>
      <c r="B55" s="462">
        <v>4545.49</v>
      </c>
      <c r="C55" s="308">
        <v>9104</v>
      </c>
      <c r="F55" s="245"/>
      <c r="V55" s="147"/>
    </row>
    <row r="56" spans="1:22" ht="12.95" customHeight="1" x14ac:dyDescent="0.2">
      <c r="A56" s="146" t="s">
        <v>2203</v>
      </c>
      <c r="B56" s="462">
        <f>53166.6+7966.73</f>
        <v>61133.33</v>
      </c>
      <c r="C56" s="308">
        <v>119000</v>
      </c>
      <c r="V56" s="147"/>
    </row>
    <row r="57" spans="1:22" ht="12.95" customHeight="1" thickBot="1" x14ac:dyDescent="0.25">
      <c r="A57" s="146" t="s">
        <v>1269</v>
      </c>
      <c r="B57" s="464">
        <v>0</v>
      </c>
      <c r="C57" s="275">
        <v>0</v>
      </c>
      <c r="V57" s="147"/>
    </row>
    <row r="58" spans="1:22" s="244" customFormat="1" ht="12.95" customHeight="1" x14ac:dyDescent="0.2">
      <c r="A58" s="453" t="s">
        <v>1278</v>
      </c>
      <c r="B58" s="402">
        <f>SUM(B19:B57)</f>
        <v>228781.27999999997</v>
      </c>
      <c r="C58" s="292">
        <f>SUM(C19:C57)</f>
        <v>268655</v>
      </c>
    </row>
    <row r="59" spans="1:22" s="244" customFormat="1" ht="15.6" customHeight="1" thickBot="1" x14ac:dyDescent="0.25">
      <c r="A59" s="454" t="s">
        <v>1276</v>
      </c>
      <c r="B59" s="455">
        <f>B17-B58</f>
        <v>35219.390000000014</v>
      </c>
      <c r="C59" s="456">
        <f>C17-C58</f>
        <v>-62604.5</v>
      </c>
    </row>
    <row r="60" spans="1:22" ht="12.95" customHeight="1" thickBot="1" x14ac:dyDescent="0.25">
      <c r="A60" s="420"/>
      <c r="B60" s="206"/>
      <c r="C60" s="422"/>
      <c r="V60" s="147"/>
    </row>
    <row r="61" spans="1:22" s="246" customFormat="1" ht="12.95" customHeight="1" thickBot="1" x14ac:dyDescent="0.25">
      <c r="A61" s="118" t="s">
        <v>2155</v>
      </c>
      <c r="B61" s="465">
        <v>0</v>
      </c>
      <c r="C61" s="466">
        <v>0</v>
      </c>
    </row>
    <row r="62" spans="1:22" s="248" customFormat="1" ht="12.95" customHeight="1" x14ac:dyDescent="0.2">
      <c r="A62" s="195"/>
      <c r="B62" s="423"/>
      <c r="C62" s="251"/>
    </row>
    <row r="63" spans="1:22" ht="37.5" customHeight="1" x14ac:dyDescent="0.2">
      <c r="A63" s="482" t="s">
        <v>2245</v>
      </c>
      <c r="B63" s="253">
        <v>44000</v>
      </c>
      <c r="C63" s="645" t="s">
        <v>2244</v>
      </c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V63" s="147"/>
    </row>
    <row r="64" spans="1:22" x14ac:dyDescent="0.2">
      <c r="A64" s="482"/>
      <c r="B64" s="253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V64" s="147"/>
    </row>
    <row r="65" spans="1:22" ht="12.95" customHeight="1" x14ac:dyDescent="0.2">
      <c r="A65" s="151"/>
      <c r="B65" s="263"/>
      <c r="C65" s="251"/>
      <c r="V65" s="147"/>
    </row>
    <row r="66" spans="1:22" ht="12.95" customHeight="1" x14ac:dyDescent="0.2">
      <c r="A66" s="151"/>
      <c r="B66" s="151"/>
      <c r="C66" s="143"/>
      <c r="V66" s="147"/>
    </row>
    <row r="67" spans="1:22" ht="12.95" customHeight="1" x14ac:dyDescent="0.2">
      <c r="A67" s="146"/>
      <c r="B67" s="146"/>
      <c r="C67" s="143"/>
      <c r="V67" s="147"/>
    </row>
    <row r="68" spans="1:22" ht="12.95" customHeight="1" x14ac:dyDescent="0.2">
      <c r="A68" s="146"/>
      <c r="B68" s="146"/>
      <c r="C68" s="143"/>
      <c r="V68" s="147"/>
    </row>
    <row r="69" spans="1:22" ht="12.95" customHeight="1" x14ac:dyDescent="0.2">
      <c r="A69" s="146"/>
      <c r="B69" s="146"/>
      <c r="C69" s="143"/>
      <c r="V69" s="147"/>
    </row>
    <row r="70" spans="1:22" ht="12.95" customHeight="1" x14ac:dyDescent="0.2">
      <c r="A70" s="146"/>
      <c r="B70" s="146"/>
      <c r="C70" s="143"/>
      <c r="V70" s="147"/>
    </row>
    <row r="71" spans="1:22" ht="12.95" customHeight="1" x14ac:dyDescent="0.2">
      <c r="A71" s="146"/>
      <c r="B71" s="146"/>
      <c r="C71" s="143"/>
      <c r="V71" s="147"/>
    </row>
    <row r="72" spans="1:22" ht="12.95" customHeight="1" x14ac:dyDescent="0.2">
      <c r="A72" s="146"/>
      <c r="B72" s="146"/>
      <c r="C72" s="152"/>
      <c r="V72" s="147"/>
    </row>
    <row r="73" spans="1:22" ht="12.95" customHeight="1" x14ac:dyDescent="0.2">
      <c r="A73" s="146"/>
      <c r="B73" s="146"/>
      <c r="C73" s="161"/>
      <c r="V73" s="147"/>
    </row>
    <row r="74" spans="1:22" ht="12.95" customHeight="1" x14ac:dyDescent="0.2">
      <c r="A74" s="146"/>
      <c r="B74" s="146"/>
      <c r="C74" s="153"/>
      <c r="V74" s="147"/>
    </row>
    <row r="75" spans="1:22" ht="12.95" customHeight="1" x14ac:dyDescent="0.2">
      <c r="A75" s="146"/>
      <c r="B75" s="146"/>
      <c r="C75" s="162"/>
      <c r="V75" s="147"/>
    </row>
    <row r="76" spans="1:22" ht="12.95" customHeight="1" x14ac:dyDescent="0.2">
      <c r="V76" s="147"/>
    </row>
    <row r="77" spans="1:22" x14ac:dyDescent="0.2">
      <c r="V77" s="147"/>
    </row>
    <row r="78" spans="1:22" x14ac:dyDescent="0.2">
      <c r="V78" s="147"/>
    </row>
    <row r="79" spans="1:22" x14ac:dyDescent="0.2">
      <c r="V79" s="147"/>
    </row>
  </sheetData>
  <mergeCells count="1">
    <mergeCell ref="C63:M63"/>
  </mergeCells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85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N60" sqref="N60"/>
    </sheetView>
  </sheetViews>
  <sheetFormatPr defaultColWidth="8.85546875" defaultRowHeight="12.75" x14ac:dyDescent="0.2"/>
  <cols>
    <col min="1" max="1" width="34.28515625" style="147" bestFit="1" customWidth="1"/>
    <col min="2" max="2" width="9.85546875" style="368" bestFit="1" customWidth="1"/>
    <col min="3" max="3" width="10.5703125" style="147" customWidth="1"/>
    <col min="4" max="4" width="5" style="147" customWidth="1"/>
    <col min="5" max="5" width="10.5703125" style="368" customWidth="1"/>
    <col min="6" max="6" width="10.28515625" style="147" bestFit="1" customWidth="1"/>
    <col min="7" max="7" width="4.5703125" style="147" customWidth="1"/>
    <col min="8" max="8" width="10.28515625" style="368" customWidth="1"/>
    <col min="9" max="9" width="9.28515625" style="147" customWidth="1"/>
    <col min="10" max="10" width="4.7109375" style="147" customWidth="1"/>
    <col min="11" max="11" width="9.28515625" style="368" customWidth="1"/>
    <col min="12" max="12" width="9.28515625" style="150" customWidth="1"/>
    <col min="13" max="14" width="8.85546875" style="147"/>
    <col min="15" max="15" width="9.28515625" style="147" bestFit="1" customWidth="1"/>
    <col min="16" max="16384" width="8.85546875" style="147"/>
  </cols>
  <sheetData>
    <row r="1" spans="1:12" ht="21.75" customHeight="1" x14ac:dyDescent="0.25">
      <c r="A1" s="646" t="s">
        <v>177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2" ht="18.75" customHeight="1" thickBot="1" x14ac:dyDescent="0.3">
      <c r="A2" s="646" t="s">
        <v>2237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</row>
    <row r="3" spans="1:12" ht="12.75" customHeight="1" x14ac:dyDescent="0.2">
      <c r="A3" s="351"/>
      <c r="B3" s="550">
        <v>2020</v>
      </c>
      <c r="C3" s="551">
        <v>2021</v>
      </c>
      <c r="D3" s="193"/>
      <c r="E3" s="550">
        <v>2020</v>
      </c>
      <c r="F3" s="551">
        <v>2021</v>
      </c>
      <c r="G3" s="193"/>
      <c r="H3" s="361">
        <v>2019</v>
      </c>
      <c r="I3" s="98">
        <v>2020</v>
      </c>
      <c r="J3" s="193"/>
      <c r="K3" s="550">
        <v>2020</v>
      </c>
      <c r="L3" s="551">
        <v>2021</v>
      </c>
    </row>
    <row r="4" spans="1:12" s="150" customFormat="1" ht="25.5" customHeight="1" x14ac:dyDescent="0.2">
      <c r="A4" s="194" t="s">
        <v>2169</v>
      </c>
      <c r="B4" s="565" t="s">
        <v>2209</v>
      </c>
      <c r="C4" s="104" t="s">
        <v>2181</v>
      </c>
      <c r="D4" s="165"/>
      <c r="E4" s="565" t="s">
        <v>2209</v>
      </c>
      <c r="F4" s="411" t="s">
        <v>2222</v>
      </c>
      <c r="G4" s="379"/>
      <c r="H4" s="231" t="s">
        <v>2209</v>
      </c>
      <c r="I4" s="104" t="s">
        <v>2196</v>
      </c>
      <c r="J4" s="379"/>
      <c r="K4" s="565" t="s">
        <v>2209</v>
      </c>
      <c r="L4" s="104" t="s">
        <v>2161</v>
      </c>
    </row>
    <row r="5" spans="1:12" s="150" customFormat="1" ht="12.95" customHeight="1" x14ac:dyDescent="0.2">
      <c r="A5" s="196" t="s">
        <v>2151</v>
      </c>
      <c r="B5" s="214">
        <f>SUM(B6:B8)</f>
        <v>54813.79</v>
      </c>
      <c r="C5" s="267">
        <f>SUM(C6:C8)</f>
        <v>15000</v>
      </c>
      <c r="D5" s="253"/>
      <c r="E5" s="214">
        <f t="shared" ref="E5:K5" si="0">SUM(E6:E8)</f>
        <v>5309.5599999999995</v>
      </c>
      <c r="F5" s="267">
        <f t="shared" si="0"/>
        <v>0</v>
      </c>
      <c r="G5" s="253"/>
      <c r="H5" s="214">
        <f t="shared" si="0"/>
        <v>0</v>
      </c>
      <c r="I5" s="267">
        <f t="shared" si="0"/>
        <v>0</v>
      </c>
      <c r="J5" s="253"/>
      <c r="K5" s="214">
        <f t="shared" si="0"/>
        <v>60123.35</v>
      </c>
      <c r="L5" s="267">
        <f>SUM(L6:L8)</f>
        <v>15000</v>
      </c>
    </row>
    <row r="6" spans="1:12" ht="12.95" customHeight="1" x14ac:dyDescent="0.2">
      <c r="A6" s="151" t="s">
        <v>2162</v>
      </c>
      <c r="B6" s="281">
        <v>0</v>
      </c>
      <c r="C6" s="269">
        <v>10000</v>
      </c>
      <c r="D6" s="252"/>
      <c r="E6" s="268"/>
      <c r="F6" s="269">
        <v>0</v>
      </c>
      <c r="G6" s="252"/>
      <c r="H6" s="268">
        <v>0</v>
      </c>
      <c r="I6" s="269">
        <v>0</v>
      </c>
      <c r="J6" s="252"/>
      <c r="K6" s="268">
        <f>B6+E6</f>
        <v>0</v>
      </c>
      <c r="L6" s="267">
        <f t="shared" ref="L6:L9" si="1">C6+F6+I6</f>
        <v>10000</v>
      </c>
    </row>
    <row r="7" spans="1:12" ht="12.95" customHeight="1" x14ac:dyDescent="0.2">
      <c r="A7" s="151" t="s">
        <v>2163</v>
      </c>
      <c r="B7" s="281">
        <v>0</v>
      </c>
      <c r="C7" s="269">
        <v>0</v>
      </c>
      <c r="D7" s="252"/>
      <c r="E7" s="268"/>
      <c r="F7" s="269">
        <v>0</v>
      </c>
      <c r="G7" s="252"/>
      <c r="H7" s="268">
        <v>0</v>
      </c>
      <c r="I7" s="269">
        <v>0</v>
      </c>
      <c r="J7" s="252"/>
      <c r="K7" s="268">
        <f t="shared" ref="K7:K9" si="2">B7+E7</f>
        <v>0</v>
      </c>
      <c r="L7" s="267">
        <f t="shared" si="1"/>
        <v>0</v>
      </c>
    </row>
    <row r="8" spans="1:12" ht="12.95" customHeight="1" x14ac:dyDescent="0.2">
      <c r="A8" s="151" t="s">
        <v>2164</v>
      </c>
      <c r="B8" s="281">
        <f>54753.01+60.78</f>
        <v>54813.79</v>
      </c>
      <c r="C8" s="269">
        <v>5000</v>
      </c>
      <c r="D8" s="252"/>
      <c r="E8" s="268">
        <f>5304.45+5.11</f>
        <v>5309.5599999999995</v>
      </c>
      <c r="F8" s="269"/>
      <c r="G8" s="252"/>
      <c r="H8" s="268">
        <v>0</v>
      </c>
      <c r="I8" s="269">
        <v>0</v>
      </c>
      <c r="J8" s="252"/>
      <c r="K8" s="268">
        <f t="shared" si="2"/>
        <v>60123.35</v>
      </c>
      <c r="L8" s="267">
        <f t="shared" si="1"/>
        <v>5000</v>
      </c>
    </row>
    <row r="9" spans="1:12" s="150" customFormat="1" ht="12.95" customHeight="1" x14ac:dyDescent="0.2">
      <c r="A9" s="196" t="s">
        <v>1359</v>
      </c>
      <c r="B9" s="403">
        <v>331490.78999999998</v>
      </c>
      <c r="C9" s="267">
        <v>261700</v>
      </c>
      <c r="D9" s="253"/>
      <c r="E9" s="268"/>
      <c r="F9" s="572">
        <v>0</v>
      </c>
      <c r="G9" s="598"/>
      <c r="H9" s="268">
        <v>0</v>
      </c>
      <c r="I9" s="574">
        <v>0</v>
      </c>
      <c r="J9" s="598"/>
      <c r="K9" s="268">
        <f t="shared" si="2"/>
        <v>331490.78999999998</v>
      </c>
      <c r="L9" s="267">
        <f t="shared" si="1"/>
        <v>261700</v>
      </c>
    </row>
    <row r="10" spans="1:12" s="150" customFormat="1" ht="12.95" customHeight="1" x14ac:dyDescent="0.2">
      <c r="A10" s="196" t="s">
        <v>2149</v>
      </c>
      <c r="B10" s="214">
        <f>SUM(B11:B12)</f>
        <v>17150</v>
      </c>
      <c r="C10" s="267">
        <f>SUM(C11:C12)</f>
        <v>10000</v>
      </c>
      <c r="D10" s="253"/>
      <c r="E10" s="214">
        <f t="shared" ref="E10:L10" si="3">SUM(E11:E12)</f>
        <v>0</v>
      </c>
      <c r="F10" s="267">
        <f t="shared" si="3"/>
        <v>0</v>
      </c>
      <c r="G10" s="253"/>
      <c r="H10" s="214">
        <f t="shared" si="3"/>
        <v>0</v>
      </c>
      <c r="I10" s="267">
        <f t="shared" si="3"/>
        <v>0</v>
      </c>
      <c r="J10" s="253"/>
      <c r="K10" s="214">
        <f t="shared" si="3"/>
        <v>17150</v>
      </c>
      <c r="L10" s="267">
        <f t="shared" si="3"/>
        <v>10000</v>
      </c>
    </row>
    <row r="11" spans="1:12" ht="12.95" customHeight="1" x14ac:dyDescent="0.2">
      <c r="A11" s="151" t="s">
        <v>2162</v>
      </c>
      <c r="B11" s="281">
        <v>17150</v>
      </c>
      <c r="C11" s="269"/>
      <c r="D11" s="252"/>
      <c r="E11" s="268">
        <v>0</v>
      </c>
      <c r="F11" s="269">
        <v>0</v>
      </c>
      <c r="G11" s="252"/>
      <c r="H11" s="268">
        <v>0</v>
      </c>
      <c r="I11" s="269">
        <v>0</v>
      </c>
      <c r="J11" s="252"/>
      <c r="K11" s="268">
        <f>B11+E11</f>
        <v>17150</v>
      </c>
      <c r="L11" s="267">
        <f t="shared" ref="L11:L14" si="4">C11+F11+I11</f>
        <v>0</v>
      </c>
    </row>
    <row r="12" spans="1:12" ht="12.95" customHeight="1" x14ac:dyDescent="0.2">
      <c r="A12" s="151" t="s">
        <v>2170</v>
      </c>
      <c r="B12" s="281">
        <v>0</v>
      </c>
      <c r="C12" s="269">
        <v>10000</v>
      </c>
      <c r="D12" s="252"/>
      <c r="E12" s="268">
        <v>0</v>
      </c>
      <c r="F12" s="269">
        <v>0</v>
      </c>
      <c r="G12" s="252"/>
      <c r="H12" s="268">
        <v>0</v>
      </c>
      <c r="I12" s="269">
        <v>0</v>
      </c>
      <c r="J12" s="252"/>
      <c r="K12" s="268">
        <f t="shared" ref="K12:K14" si="5">B12+E12</f>
        <v>0</v>
      </c>
      <c r="L12" s="267">
        <f t="shared" si="4"/>
        <v>10000</v>
      </c>
    </row>
    <row r="13" spans="1:12" s="150" customFormat="1" ht="12.95" customHeight="1" x14ac:dyDescent="0.2">
      <c r="A13" s="196" t="s">
        <v>2168</v>
      </c>
      <c r="B13" s="403">
        <v>1498</v>
      </c>
      <c r="C13" s="267">
        <v>5000</v>
      </c>
      <c r="D13" s="253"/>
      <c r="E13" s="214">
        <f>1778.98+5999.43</f>
        <v>7778.41</v>
      </c>
      <c r="F13" s="267">
        <v>22500</v>
      </c>
      <c r="G13" s="253"/>
      <c r="H13" s="214">
        <v>0</v>
      </c>
      <c r="I13" s="267">
        <v>0</v>
      </c>
      <c r="J13" s="253"/>
      <c r="K13" s="214">
        <f t="shared" si="5"/>
        <v>9276.41</v>
      </c>
      <c r="L13" s="267">
        <f t="shared" si="4"/>
        <v>27500</v>
      </c>
    </row>
    <row r="14" spans="1:12" s="376" customFormat="1" ht="12.95" customHeight="1" x14ac:dyDescent="0.2">
      <c r="A14" s="326" t="s">
        <v>2152</v>
      </c>
      <c r="B14" s="404">
        <v>-101698.38</v>
      </c>
      <c r="C14" s="342">
        <v>-82850</v>
      </c>
      <c r="D14" s="305"/>
      <c r="E14" s="374">
        <v>0</v>
      </c>
      <c r="F14" s="342">
        <v>0</v>
      </c>
      <c r="G14" s="305"/>
      <c r="H14" s="374">
        <v>0</v>
      </c>
      <c r="I14" s="356">
        <v>0</v>
      </c>
      <c r="J14" s="305"/>
      <c r="K14" s="374">
        <f t="shared" si="5"/>
        <v>-101698.38</v>
      </c>
      <c r="L14" s="342">
        <f t="shared" si="4"/>
        <v>-82850</v>
      </c>
    </row>
    <row r="15" spans="1:12" s="244" customFormat="1" ht="12.95" customHeight="1" x14ac:dyDescent="0.2">
      <c r="A15" s="197" t="s">
        <v>2153</v>
      </c>
      <c r="B15" s="217">
        <f>B5+B9+B10+B13+B14</f>
        <v>303254.19999999995</v>
      </c>
      <c r="C15" s="272">
        <f>C5+C9+C10+C13+C14</f>
        <v>208850</v>
      </c>
      <c r="D15" s="253"/>
      <c r="E15" s="217">
        <f t="shared" ref="E15:L15" si="6">E5+E9+E10+E13+E14</f>
        <v>13087.97</v>
      </c>
      <c r="F15" s="272">
        <f t="shared" si="6"/>
        <v>22500</v>
      </c>
      <c r="G15" s="253"/>
      <c r="H15" s="217">
        <f t="shared" si="6"/>
        <v>0</v>
      </c>
      <c r="I15" s="272">
        <f t="shared" si="6"/>
        <v>0</v>
      </c>
      <c r="J15" s="253"/>
      <c r="K15" s="217">
        <f t="shared" si="6"/>
        <v>316342.16999999993</v>
      </c>
      <c r="L15" s="272">
        <f t="shared" si="6"/>
        <v>231350</v>
      </c>
    </row>
    <row r="16" spans="1:12" s="322" customFormat="1" ht="12.95" customHeight="1" x14ac:dyDescent="0.2">
      <c r="A16" s="321" t="s">
        <v>2171</v>
      </c>
      <c r="B16" s="306">
        <v>-54378.83</v>
      </c>
      <c r="C16" s="304">
        <f>(C15-C13)*-0.15</f>
        <v>-30577.5</v>
      </c>
      <c r="D16" s="305"/>
      <c r="E16" s="306">
        <f t="shared" ref="E16:L16" si="7">(E15-E13)*-0.15</f>
        <v>-796.43399999999986</v>
      </c>
      <c r="F16" s="304">
        <f t="shared" si="7"/>
        <v>0</v>
      </c>
      <c r="G16" s="305"/>
      <c r="H16" s="306">
        <f t="shared" si="7"/>
        <v>0</v>
      </c>
      <c r="I16" s="304">
        <f t="shared" si="7"/>
        <v>0</v>
      </c>
      <c r="J16" s="305"/>
      <c r="K16" s="306">
        <f t="shared" si="7"/>
        <v>-46059.863999999994</v>
      </c>
      <c r="L16" s="304">
        <f t="shared" si="7"/>
        <v>-30577.5</v>
      </c>
    </row>
    <row r="17" spans="1:12" s="244" customFormat="1" ht="12.95" customHeight="1" x14ac:dyDescent="0.2">
      <c r="A17" s="197" t="s">
        <v>2154</v>
      </c>
      <c r="B17" s="217">
        <f t="shared" ref="B17:L17" si="8">B15+B16</f>
        <v>248875.36999999994</v>
      </c>
      <c r="C17" s="272">
        <f t="shared" si="8"/>
        <v>178272.5</v>
      </c>
      <c r="D17" s="253"/>
      <c r="E17" s="217">
        <f t="shared" si="8"/>
        <v>12291.536</v>
      </c>
      <c r="F17" s="272">
        <f t="shared" si="8"/>
        <v>22500</v>
      </c>
      <c r="G17" s="253"/>
      <c r="H17" s="217">
        <f t="shared" si="8"/>
        <v>0</v>
      </c>
      <c r="I17" s="272">
        <f t="shared" si="8"/>
        <v>0</v>
      </c>
      <c r="J17" s="253"/>
      <c r="K17" s="217">
        <f t="shared" si="8"/>
        <v>270282.30599999992</v>
      </c>
      <c r="L17" s="272">
        <f t="shared" si="8"/>
        <v>200772.5</v>
      </c>
    </row>
    <row r="18" spans="1:12" ht="12.95" customHeight="1" x14ac:dyDescent="0.2">
      <c r="A18" s="151"/>
      <c r="B18" s="281"/>
      <c r="C18" s="269"/>
      <c r="D18" s="252"/>
      <c r="E18" s="268"/>
      <c r="F18" s="269"/>
      <c r="G18" s="252"/>
      <c r="H18" s="268"/>
      <c r="I18" s="269"/>
      <c r="J18" s="252"/>
      <c r="K18" s="268"/>
      <c r="L18" s="267"/>
    </row>
    <row r="19" spans="1:12" ht="12.95" customHeight="1" x14ac:dyDescent="0.2">
      <c r="A19" s="151" t="s">
        <v>1536</v>
      </c>
      <c r="B19" s="281">
        <v>0</v>
      </c>
      <c r="C19" s="269">
        <v>0</v>
      </c>
      <c r="D19" s="252"/>
      <c r="E19" s="268">
        <v>0</v>
      </c>
      <c r="F19" s="269">
        <v>0</v>
      </c>
      <c r="G19" s="252"/>
      <c r="H19" s="268">
        <v>0</v>
      </c>
      <c r="I19" s="269">
        <v>0</v>
      </c>
      <c r="J19" s="252"/>
      <c r="K19" s="268">
        <f t="shared" ref="K19:K57" si="9">B19+E19+H19</f>
        <v>0</v>
      </c>
      <c r="L19" s="267">
        <f>C19+F19</f>
        <v>0</v>
      </c>
    </row>
    <row r="20" spans="1:12" ht="12.95" customHeight="1" x14ac:dyDescent="0.2">
      <c r="A20" s="151" t="s">
        <v>2157</v>
      </c>
      <c r="B20" s="281">
        <v>0</v>
      </c>
      <c r="C20" s="269">
        <v>0</v>
      </c>
      <c r="D20" s="252"/>
      <c r="E20" s="268">
        <v>0</v>
      </c>
      <c r="F20" s="269">
        <v>0</v>
      </c>
      <c r="G20" s="252"/>
      <c r="H20" s="268">
        <v>0</v>
      </c>
      <c r="I20" s="269">
        <v>0</v>
      </c>
      <c r="J20" s="252"/>
      <c r="K20" s="268">
        <f t="shared" si="9"/>
        <v>0</v>
      </c>
      <c r="L20" s="267">
        <f t="shared" ref="L20:L39" si="10">C20+F20</f>
        <v>0</v>
      </c>
    </row>
    <row r="21" spans="1:12" ht="12.95" customHeight="1" x14ac:dyDescent="0.2">
      <c r="A21" s="151" t="s">
        <v>1537</v>
      </c>
      <c r="B21" s="281">
        <v>0</v>
      </c>
      <c r="C21" s="269">
        <v>0</v>
      </c>
      <c r="D21" s="252"/>
      <c r="E21" s="268">
        <v>0</v>
      </c>
      <c r="F21" s="269">
        <v>0</v>
      </c>
      <c r="G21" s="252"/>
      <c r="H21" s="268">
        <v>0</v>
      </c>
      <c r="I21" s="269">
        <v>0</v>
      </c>
      <c r="J21" s="252"/>
      <c r="K21" s="268">
        <f t="shared" si="9"/>
        <v>0</v>
      </c>
      <c r="L21" s="267">
        <f t="shared" si="10"/>
        <v>0</v>
      </c>
    </row>
    <row r="22" spans="1:12" ht="12.95" customHeight="1" x14ac:dyDescent="0.2">
      <c r="A22" s="151" t="s">
        <v>1236</v>
      </c>
      <c r="B22" s="281">
        <v>0</v>
      </c>
      <c r="C22" s="269">
        <v>0</v>
      </c>
      <c r="D22" s="252"/>
      <c r="E22" s="268">
        <v>0</v>
      </c>
      <c r="F22" s="269">
        <v>0</v>
      </c>
      <c r="G22" s="252"/>
      <c r="H22" s="268">
        <v>0</v>
      </c>
      <c r="I22" s="269">
        <v>0</v>
      </c>
      <c r="J22" s="252"/>
      <c r="K22" s="268">
        <f t="shared" si="9"/>
        <v>0</v>
      </c>
      <c r="L22" s="267">
        <f t="shared" si="10"/>
        <v>0</v>
      </c>
    </row>
    <row r="23" spans="1:12" ht="12.95" customHeight="1" x14ac:dyDescent="0.2">
      <c r="A23" s="146" t="s">
        <v>2156</v>
      </c>
      <c r="B23" s="281">
        <v>0</v>
      </c>
      <c r="C23" s="269">
        <v>0</v>
      </c>
      <c r="D23" s="252"/>
      <c r="E23" s="268">
        <v>0</v>
      </c>
      <c r="F23" s="269">
        <v>0</v>
      </c>
      <c r="G23" s="252"/>
      <c r="H23" s="268">
        <v>0</v>
      </c>
      <c r="I23" s="269">
        <v>0</v>
      </c>
      <c r="J23" s="252"/>
      <c r="K23" s="268">
        <f t="shared" si="9"/>
        <v>0</v>
      </c>
      <c r="L23" s="267">
        <f t="shared" si="10"/>
        <v>0</v>
      </c>
    </row>
    <row r="24" spans="1:12" s="188" customFormat="1" ht="12.95" customHeight="1" x14ac:dyDescent="0.2">
      <c r="A24" s="407" t="s">
        <v>2176</v>
      </c>
      <c r="B24" s="252">
        <v>0</v>
      </c>
      <c r="C24" s="188">
        <v>9200</v>
      </c>
      <c r="D24" s="252"/>
      <c r="E24" s="314">
        <v>0</v>
      </c>
      <c r="F24" s="308">
        <v>0</v>
      </c>
      <c r="G24" s="252"/>
      <c r="H24" s="314">
        <v>0</v>
      </c>
      <c r="I24" s="308">
        <v>0</v>
      </c>
      <c r="J24" s="252"/>
      <c r="K24" s="314">
        <f t="shared" si="9"/>
        <v>0</v>
      </c>
      <c r="L24" s="309">
        <f t="shared" si="10"/>
        <v>9200</v>
      </c>
    </row>
    <row r="25" spans="1:12" s="188" customFormat="1" ht="12.95" customHeight="1" x14ac:dyDescent="0.2">
      <c r="A25" s="407" t="s">
        <v>2172</v>
      </c>
      <c r="B25" s="413">
        <v>0</v>
      </c>
      <c r="C25" s="308">
        <v>0</v>
      </c>
      <c r="D25" s="252"/>
      <c r="E25" s="314">
        <v>0</v>
      </c>
      <c r="F25" s="308">
        <v>0</v>
      </c>
      <c r="G25" s="252"/>
      <c r="H25" s="314">
        <v>0</v>
      </c>
      <c r="I25" s="308">
        <v>0</v>
      </c>
      <c r="J25" s="252"/>
      <c r="K25" s="314">
        <f t="shared" si="9"/>
        <v>0</v>
      </c>
      <c r="L25" s="309">
        <f t="shared" si="10"/>
        <v>0</v>
      </c>
    </row>
    <row r="26" spans="1:12" ht="12.95" customHeight="1" x14ac:dyDescent="0.2">
      <c r="A26" s="146" t="s">
        <v>1239</v>
      </c>
      <c r="B26" s="281">
        <v>0</v>
      </c>
      <c r="C26" s="269">
        <v>0</v>
      </c>
      <c r="D26" s="252"/>
      <c r="E26" s="268">
        <v>0</v>
      </c>
      <c r="F26" s="269">
        <v>0</v>
      </c>
      <c r="G26" s="252"/>
      <c r="H26" s="268">
        <v>0</v>
      </c>
      <c r="I26" s="269">
        <v>0</v>
      </c>
      <c r="J26" s="252"/>
      <c r="K26" s="268">
        <f t="shared" si="9"/>
        <v>0</v>
      </c>
      <c r="L26" s="267">
        <f t="shared" si="10"/>
        <v>0</v>
      </c>
    </row>
    <row r="27" spans="1:12" ht="12.95" customHeight="1" x14ac:dyDescent="0.2">
      <c r="A27" s="146" t="s">
        <v>1240</v>
      </c>
      <c r="B27" s="281">
        <v>0</v>
      </c>
      <c r="C27" s="269">
        <v>0</v>
      </c>
      <c r="D27" s="252"/>
      <c r="E27" s="268">
        <v>0</v>
      </c>
      <c r="F27" s="269">
        <v>0</v>
      </c>
      <c r="G27" s="252"/>
      <c r="H27" s="268">
        <v>0</v>
      </c>
      <c r="I27" s="269">
        <v>0</v>
      </c>
      <c r="J27" s="252"/>
      <c r="K27" s="268">
        <f t="shared" si="9"/>
        <v>0</v>
      </c>
      <c r="L27" s="267">
        <f t="shared" si="10"/>
        <v>0</v>
      </c>
    </row>
    <row r="28" spans="1:12" ht="12.95" customHeight="1" x14ac:dyDescent="0.2">
      <c r="A28" s="146" t="s">
        <v>1241</v>
      </c>
      <c r="B28" s="281">
        <v>0</v>
      </c>
      <c r="C28" s="269">
        <v>0</v>
      </c>
      <c r="D28" s="252"/>
      <c r="E28" s="268">
        <v>0</v>
      </c>
      <c r="F28" s="269">
        <v>0</v>
      </c>
      <c r="G28" s="252"/>
      <c r="H28" s="268">
        <v>0</v>
      </c>
      <c r="I28" s="269">
        <v>0</v>
      </c>
      <c r="J28" s="252"/>
      <c r="K28" s="268">
        <f t="shared" si="9"/>
        <v>0</v>
      </c>
      <c r="L28" s="267">
        <f t="shared" si="10"/>
        <v>0</v>
      </c>
    </row>
    <row r="29" spans="1:12" ht="12.95" customHeight="1" x14ac:dyDescent="0.2">
      <c r="A29" s="146" t="s">
        <v>2167</v>
      </c>
      <c r="B29" s="281">
        <v>0</v>
      </c>
      <c r="C29" s="269">
        <v>0</v>
      </c>
      <c r="D29" s="252"/>
      <c r="E29" s="268">
        <v>0</v>
      </c>
      <c r="F29" s="269">
        <v>0</v>
      </c>
      <c r="G29" s="252"/>
      <c r="H29" s="268">
        <v>0</v>
      </c>
      <c r="I29" s="269">
        <v>0</v>
      </c>
      <c r="J29" s="252"/>
      <c r="K29" s="268">
        <f t="shared" si="9"/>
        <v>0</v>
      </c>
      <c r="L29" s="267">
        <f t="shared" si="10"/>
        <v>0</v>
      </c>
    </row>
    <row r="30" spans="1:12" ht="12.95" customHeight="1" x14ac:dyDescent="0.2">
      <c r="A30" s="146" t="s">
        <v>1244</v>
      </c>
      <c r="B30" s="281">
        <v>0</v>
      </c>
      <c r="C30" s="269">
        <v>0</v>
      </c>
      <c r="D30" s="252"/>
      <c r="E30" s="268">
        <v>753.99</v>
      </c>
      <c r="F30" s="269">
        <v>4500</v>
      </c>
      <c r="G30" s="252"/>
      <c r="H30" s="268">
        <v>0</v>
      </c>
      <c r="I30" s="269">
        <v>0</v>
      </c>
      <c r="J30" s="252"/>
      <c r="K30" s="268">
        <f t="shared" si="9"/>
        <v>753.99</v>
      </c>
      <c r="L30" s="267">
        <f t="shared" si="10"/>
        <v>4500</v>
      </c>
    </row>
    <row r="31" spans="1:12" ht="12.95" customHeight="1" x14ac:dyDescent="0.2">
      <c r="A31" s="146" t="s">
        <v>1245</v>
      </c>
      <c r="B31" s="413">
        <v>2669</v>
      </c>
      <c r="C31" s="308">
        <v>4000</v>
      </c>
      <c r="D31" s="252"/>
      <c r="E31" s="268">
        <v>97.8</v>
      </c>
      <c r="F31" s="269">
        <v>0</v>
      </c>
      <c r="G31" s="252"/>
      <c r="H31" s="268">
        <v>0</v>
      </c>
      <c r="I31" s="269">
        <v>0</v>
      </c>
      <c r="J31" s="252"/>
      <c r="K31" s="268">
        <f t="shared" si="9"/>
        <v>2766.8</v>
      </c>
      <c r="L31" s="267">
        <f t="shared" si="10"/>
        <v>4000</v>
      </c>
    </row>
    <row r="32" spans="1:12" ht="12.95" customHeight="1" x14ac:dyDescent="0.2">
      <c r="A32" s="146" t="s">
        <v>1246</v>
      </c>
      <c r="B32" s="281">
        <v>1851.82</v>
      </c>
      <c r="C32" s="308">
        <v>0</v>
      </c>
      <c r="D32" s="252"/>
      <c r="E32" s="268">
        <v>0</v>
      </c>
      <c r="F32" s="269">
        <v>0</v>
      </c>
      <c r="G32" s="252"/>
      <c r="H32" s="268">
        <v>0</v>
      </c>
      <c r="I32" s="269">
        <v>0</v>
      </c>
      <c r="J32" s="252"/>
      <c r="K32" s="268">
        <f t="shared" si="9"/>
        <v>1851.82</v>
      </c>
      <c r="L32" s="267">
        <f t="shared" si="10"/>
        <v>0</v>
      </c>
    </row>
    <row r="33" spans="1:12" ht="12.95" customHeight="1" x14ac:dyDescent="0.2">
      <c r="A33" s="146" t="s">
        <v>1247</v>
      </c>
      <c r="B33" s="413">
        <v>1882.26</v>
      </c>
      <c r="C33" s="308">
        <v>3000</v>
      </c>
      <c r="D33" s="252"/>
      <c r="E33" s="268">
        <v>114.83</v>
      </c>
      <c r="F33" s="269">
        <v>150</v>
      </c>
      <c r="G33" s="252"/>
      <c r="H33" s="268">
        <v>0</v>
      </c>
      <c r="I33" s="269">
        <v>0</v>
      </c>
      <c r="J33" s="252"/>
      <c r="K33" s="268">
        <f t="shared" si="9"/>
        <v>1997.09</v>
      </c>
      <c r="L33" s="267">
        <f t="shared" si="10"/>
        <v>3150</v>
      </c>
    </row>
    <row r="34" spans="1:12" ht="12.95" customHeight="1" x14ac:dyDescent="0.2">
      <c r="A34" s="407" t="s">
        <v>2207</v>
      </c>
      <c r="B34" s="413">
        <v>451</v>
      </c>
      <c r="C34" s="308">
        <v>2000</v>
      </c>
      <c r="D34" s="252"/>
      <c r="E34" s="268">
        <v>269.08</v>
      </c>
      <c r="F34" s="269">
        <v>0</v>
      </c>
      <c r="G34" s="252"/>
      <c r="H34" s="268">
        <v>0</v>
      </c>
      <c r="I34" s="269">
        <v>0</v>
      </c>
      <c r="J34" s="252"/>
      <c r="K34" s="268">
        <f t="shared" si="9"/>
        <v>720.07999999999993</v>
      </c>
      <c r="L34" s="267">
        <f t="shared" si="10"/>
        <v>2000</v>
      </c>
    </row>
    <row r="35" spans="1:12" ht="12.95" customHeight="1" x14ac:dyDescent="0.2">
      <c r="A35" s="407" t="s">
        <v>2204</v>
      </c>
      <c r="B35" s="413">
        <v>0</v>
      </c>
      <c r="C35" s="308">
        <v>0</v>
      </c>
      <c r="D35" s="252"/>
      <c r="E35" s="268">
        <v>455.74</v>
      </c>
      <c r="F35" s="269">
        <v>750</v>
      </c>
      <c r="G35" s="252"/>
      <c r="H35" s="268">
        <v>0</v>
      </c>
      <c r="I35" s="269">
        <v>0</v>
      </c>
      <c r="J35" s="252"/>
      <c r="K35" s="268">
        <f t="shared" si="9"/>
        <v>455.74</v>
      </c>
      <c r="L35" s="267">
        <f t="shared" si="10"/>
        <v>750</v>
      </c>
    </row>
    <row r="36" spans="1:12" ht="12.95" customHeight="1" x14ac:dyDescent="0.2">
      <c r="A36" s="407" t="s">
        <v>1250</v>
      </c>
      <c r="B36" s="281">
        <v>1034.0899999999999</v>
      </c>
      <c r="C36" s="269">
        <v>1000</v>
      </c>
      <c r="D36" s="252"/>
      <c r="E36" s="268">
        <v>119</v>
      </c>
      <c r="F36" s="269">
        <v>150</v>
      </c>
      <c r="G36" s="252"/>
      <c r="H36" s="268">
        <v>0</v>
      </c>
      <c r="I36" s="269">
        <v>0</v>
      </c>
      <c r="J36" s="252"/>
      <c r="K36" s="268">
        <f t="shared" si="9"/>
        <v>1153.0899999999999</v>
      </c>
      <c r="L36" s="267">
        <f t="shared" si="10"/>
        <v>1150</v>
      </c>
    </row>
    <row r="37" spans="1:12" ht="12.95" customHeight="1" x14ac:dyDescent="0.2">
      <c r="A37" s="554" t="s">
        <v>2239</v>
      </c>
      <c r="B37" s="281">
        <f>339.7+2460.81</f>
        <v>2800.5099999999998</v>
      </c>
      <c r="C37" s="269">
        <v>0</v>
      </c>
      <c r="D37" s="252"/>
      <c r="E37" s="268">
        <v>0</v>
      </c>
      <c r="F37" s="269">
        <v>0</v>
      </c>
      <c r="G37" s="252"/>
      <c r="H37" s="268"/>
      <c r="I37" s="269"/>
      <c r="J37" s="252"/>
      <c r="K37" s="268">
        <f t="shared" si="9"/>
        <v>2800.5099999999998</v>
      </c>
      <c r="L37" s="267">
        <f t="shared" si="10"/>
        <v>0</v>
      </c>
    </row>
    <row r="38" spans="1:12" ht="12.95" customHeight="1" x14ac:dyDescent="0.2">
      <c r="A38" s="570" t="s">
        <v>1251</v>
      </c>
      <c r="B38" s="281">
        <v>3498.58</v>
      </c>
      <c r="C38" s="571">
        <v>4800</v>
      </c>
      <c r="D38" s="252"/>
      <c r="E38" s="268">
        <v>80</v>
      </c>
      <c r="F38" s="269">
        <v>0</v>
      </c>
      <c r="G38" s="252"/>
      <c r="H38" s="268">
        <v>0</v>
      </c>
      <c r="I38" s="269">
        <v>0</v>
      </c>
      <c r="J38" s="252"/>
      <c r="K38" s="268">
        <f t="shared" si="9"/>
        <v>3578.58</v>
      </c>
      <c r="L38" s="267">
        <f t="shared" si="10"/>
        <v>4800</v>
      </c>
    </row>
    <row r="39" spans="1:12" ht="12.95" customHeight="1" x14ac:dyDescent="0.2">
      <c r="A39" s="146" t="s">
        <v>2178</v>
      </c>
      <c r="B39" s="281">
        <v>0</v>
      </c>
      <c r="C39" s="269">
        <v>0</v>
      </c>
      <c r="D39" s="252"/>
      <c r="E39" s="268">
        <v>0</v>
      </c>
      <c r="F39" s="269">
        <v>0</v>
      </c>
      <c r="G39" s="252"/>
      <c r="H39" s="268">
        <v>0</v>
      </c>
      <c r="I39" s="269">
        <v>0</v>
      </c>
      <c r="J39" s="252"/>
      <c r="K39" s="268">
        <f t="shared" si="9"/>
        <v>0</v>
      </c>
      <c r="L39" s="267">
        <f t="shared" si="10"/>
        <v>0</v>
      </c>
    </row>
    <row r="40" spans="1:12" ht="12.95" customHeight="1" x14ac:dyDescent="0.2">
      <c r="A40" s="146" t="s">
        <v>1308</v>
      </c>
      <c r="B40" s="611"/>
      <c r="C40" s="610"/>
      <c r="D40" s="252"/>
      <c r="E40" s="614"/>
      <c r="F40" s="610"/>
      <c r="G40" s="252"/>
      <c r="H40" s="614"/>
      <c r="I40" s="610"/>
      <c r="J40" s="252"/>
      <c r="K40" s="614"/>
      <c r="L40" s="613"/>
    </row>
    <row r="41" spans="1:12" ht="12.95" customHeight="1" x14ac:dyDescent="0.2">
      <c r="A41" s="570" t="s">
        <v>1844</v>
      </c>
      <c r="B41" s="281">
        <v>0</v>
      </c>
      <c r="C41" s="269">
        <v>0</v>
      </c>
      <c r="D41" s="252"/>
      <c r="E41" s="268">
        <v>87964.88</v>
      </c>
      <c r="F41" s="269">
        <v>195000</v>
      </c>
      <c r="G41" s="252"/>
      <c r="H41" s="268">
        <v>0</v>
      </c>
      <c r="I41" s="269">
        <v>0</v>
      </c>
      <c r="J41" s="252"/>
      <c r="K41" s="268">
        <f t="shared" si="9"/>
        <v>87964.88</v>
      </c>
      <c r="L41" s="267">
        <f t="shared" ref="L41:L57" si="11">C41+F41</f>
        <v>195000</v>
      </c>
    </row>
    <row r="42" spans="1:12" s="188" customFormat="1" ht="12.95" customHeight="1" x14ac:dyDescent="0.2">
      <c r="A42" s="407" t="s">
        <v>2166</v>
      </c>
      <c r="B42" s="413">
        <v>1498</v>
      </c>
      <c r="C42" s="308">
        <v>5000</v>
      </c>
      <c r="D42" s="252"/>
      <c r="E42" s="314">
        <v>5999.43</v>
      </c>
      <c r="F42" s="308">
        <v>15000</v>
      </c>
      <c r="G42" s="252"/>
      <c r="H42" s="314">
        <v>0</v>
      </c>
      <c r="I42" s="308">
        <v>0</v>
      </c>
      <c r="J42" s="252"/>
      <c r="K42" s="268">
        <f t="shared" si="9"/>
        <v>7497.43</v>
      </c>
      <c r="L42" s="309">
        <f t="shared" si="11"/>
        <v>20000</v>
      </c>
    </row>
    <row r="43" spans="1:12" s="188" customFormat="1" ht="12.95" customHeight="1" x14ac:dyDescent="0.2">
      <c r="A43" s="407" t="s">
        <v>2165</v>
      </c>
      <c r="B43" s="413">
        <v>0</v>
      </c>
      <c r="C43" s="308">
        <v>0</v>
      </c>
      <c r="D43" s="252"/>
      <c r="E43" s="314">
        <v>1778.98</v>
      </c>
      <c r="F43" s="308">
        <v>7500</v>
      </c>
      <c r="G43" s="252"/>
      <c r="H43" s="314">
        <v>0</v>
      </c>
      <c r="I43" s="308">
        <v>0</v>
      </c>
      <c r="J43" s="252"/>
      <c r="K43" s="268">
        <f t="shared" si="9"/>
        <v>1778.98</v>
      </c>
      <c r="L43" s="309">
        <f t="shared" si="11"/>
        <v>7500</v>
      </c>
    </row>
    <row r="44" spans="1:12" ht="12.95" customHeight="1" x14ac:dyDescent="0.2">
      <c r="A44" s="146" t="s">
        <v>2202</v>
      </c>
      <c r="B44" s="281">
        <v>0</v>
      </c>
      <c r="C44" s="269">
        <v>0</v>
      </c>
      <c r="D44" s="252"/>
      <c r="E44" s="268">
        <v>0</v>
      </c>
      <c r="F44" s="269">
        <v>0</v>
      </c>
      <c r="G44" s="252"/>
      <c r="H44" s="268">
        <v>0</v>
      </c>
      <c r="I44" s="269">
        <v>0</v>
      </c>
      <c r="J44" s="252"/>
      <c r="K44" s="268">
        <f t="shared" si="9"/>
        <v>0</v>
      </c>
      <c r="L44" s="267">
        <f t="shared" si="11"/>
        <v>0</v>
      </c>
    </row>
    <row r="45" spans="1:12" ht="12.95" customHeight="1" x14ac:dyDescent="0.2">
      <c r="A45" s="146" t="s">
        <v>1256</v>
      </c>
      <c r="B45" s="281">
        <v>0</v>
      </c>
      <c r="C45" s="269">
        <v>0</v>
      </c>
      <c r="D45" s="252"/>
      <c r="E45" s="268">
        <v>0</v>
      </c>
      <c r="F45" s="269">
        <v>0</v>
      </c>
      <c r="G45" s="252"/>
      <c r="H45" s="268">
        <v>0</v>
      </c>
      <c r="I45" s="269">
        <v>0</v>
      </c>
      <c r="J45" s="252"/>
      <c r="K45" s="268">
        <f t="shared" si="9"/>
        <v>0</v>
      </c>
      <c r="L45" s="267">
        <f t="shared" si="11"/>
        <v>0</v>
      </c>
    </row>
    <row r="46" spans="1:12" ht="12.95" customHeight="1" x14ac:dyDescent="0.2">
      <c r="A46" s="570" t="s">
        <v>2191</v>
      </c>
      <c r="B46" s="281">
        <v>0</v>
      </c>
      <c r="C46" s="571">
        <v>2000</v>
      </c>
      <c r="D46" s="252"/>
      <c r="E46" s="268">
        <v>0</v>
      </c>
      <c r="F46" s="269">
        <v>0</v>
      </c>
      <c r="G46" s="252"/>
      <c r="H46" s="268">
        <v>0</v>
      </c>
      <c r="I46" s="269">
        <v>0</v>
      </c>
      <c r="J46" s="252"/>
      <c r="K46" s="268">
        <f t="shared" si="9"/>
        <v>0</v>
      </c>
      <c r="L46" s="267">
        <f t="shared" si="11"/>
        <v>2000</v>
      </c>
    </row>
    <row r="47" spans="1:12" ht="12.95" customHeight="1" x14ac:dyDescent="0.2">
      <c r="A47" s="146" t="s">
        <v>1257</v>
      </c>
      <c r="B47" s="281">
        <v>0</v>
      </c>
      <c r="C47" s="269">
        <v>0</v>
      </c>
      <c r="D47" s="252"/>
      <c r="E47" s="268">
        <v>0</v>
      </c>
      <c r="F47" s="269">
        <v>0</v>
      </c>
      <c r="G47" s="252"/>
      <c r="H47" s="268">
        <v>0</v>
      </c>
      <c r="I47" s="269">
        <v>0</v>
      </c>
      <c r="J47" s="252"/>
      <c r="K47" s="268">
        <f t="shared" si="9"/>
        <v>0</v>
      </c>
      <c r="L47" s="267">
        <f t="shared" si="11"/>
        <v>0</v>
      </c>
    </row>
    <row r="48" spans="1:12" ht="12.95" customHeight="1" x14ac:dyDescent="0.2">
      <c r="A48" s="146" t="s">
        <v>2159</v>
      </c>
      <c r="B48" s="281">
        <v>0</v>
      </c>
      <c r="C48" s="269">
        <v>0</v>
      </c>
      <c r="D48" s="252"/>
      <c r="E48" s="268">
        <v>0</v>
      </c>
      <c r="F48" s="269">
        <v>0</v>
      </c>
      <c r="G48" s="252"/>
      <c r="H48" s="268">
        <v>0</v>
      </c>
      <c r="I48" s="269">
        <v>0</v>
      </c>
      <c r="J48" s="252"/>
      <c r="K48" s="268">
        <f t="shared" si="9"/>
        <v>0</v>
      </c>
      <c r="L48" s="267">
        <f t="shared" si="11"/>
        <v>0</v>
      </c>
    </row>
    <row r="49" spans="1:18" ht="12.95" customHeight="1" x14ac:dyDescent="0.2">
      <c r="A49" s="146" t="s">
        <v>1259</v>
      </c>
      <c r="B49" s="281">
        <v>0</v>
      </c>
      <c r="C49" s="269">
        <v>0</v>
      </c>
      <c r="D49" s="252"/>
      <c r="E49" s="268">
        <v>0</v>
      </c>
      <c r="F49" s="269">
        <v>0</v>
      </c>
      <c r="G49" s="252"/>
      <c r="H49" s="268">
        <v>0</v>
      </c>
      <c r="I49" s="269">
        <v>0</v>
      </c>
      <c r="J49" s="252"/>
      <c r="K49" s="268">
        <f t="shared" si="9"/>
        <v>0</v>
      </c>
      <c r="L49" s="267">
        <f t="shared" si="11"/>
        <v>0</v>
      </c>
    </row>
    <row r="50" spans="1:18" ht="12.95" customHeight="1" x14ac:dyDescent="0.2">
      <c r="A50" s="146" t="s">
        <v>1260</v>
      </c>
      <c r="B50" s="281">
        <v>0</v>
      </c>
      <c r="C50" s="308">
        <v>0</v>
      </c>
      <c r="D50" s="252"/>
      <c r="E50" s="314">
        <v>0</v>
      </c>
      <c r="F50" s="308">
        <v>0</v>
      </c>
      <c r="G50" s="252"/>
      <c r="H50" s="314">
        <v>0</v>
      </c>
      <c r="I50" s="308">
        <v>0</v>
      </c>
      <c r="J50" s="252"/>
      <c r="K50" s="268">
        <f t="shared" si="9"/>
        <v>0</v>
      </c>
      <c r="L50" s="267">
        <f t="shared" si="11"/>
        <v>0</v>
      </c>
    </row>
    <row r="51" spans="1:18" ht="12.95" customHeight="1" x14ac:dyDescent="0.2">
      <c r="A51" s="146" t="s">
        <v>2158</v>
      </c>
      <c r="B51" s="281">
        <v>0</v>
      </c>
      <c r="C51" s="269">
        <v>0</v>
      </c>
      <c r="D51" s="252"/>
      <c r="E51" s="268">
        <v>0</v>
      </c>
      <c r="F51" s="269">
        <v>0</v>
      </c>
      <c r="G51" s="252"/>
      <c r="H51" s="268">
        <v>0</v>
      </c>
      <c r="I51" s="269">
        <v>0</v>
      </c>
      <c r="J51" s="252"/>
      <c r="K51" s="268">
        <f t="shared" si="9"/>
        <v>0</v>
      </c>
      <c r="L51" s="267">
        <f t="shared" si="11"/>
        <v>0</v>
      </c>
    </row>
    <row r="52" spans="1:18" ht="12.95" customHeight="1" x14ac:dyDescent="0.2">
      <c r="A52" s="82" t="s">
        <v>2250</v>
      </c>
      <c r="B52" s="281">
        <v>11700</v>
      </c>
      <c r="C52" s="269">
        <f>10800</f>
        <v>10800</v>
      </c>
      <c r="D52" s="252"/>
      <c r="E52" s="268">
        <v>0</v>
      </c>
      <c r="F52" s="269">
        <v>0</v>
      </c>
      <c r="G52" s="252"/>
      <c r="H52" s="268">
        <v>0</v>
      </c>
      <c r="I52" s="269">
        <v>0</v>
      </c>
      <c r="J52" s="252"/>
      <c r="K52" s="268">
        <f t="shared" si="9"/>
        <v>11700</v>
      </c>
      <c r="L52" s="267">
        <f t="shared" si="11"/>
        <v>10800</v>
      </c>
      <c r="M52" s="647" t="s">
        <v>2252</v>
      </c>
      <c r="N52" s="648"/>
      <c r="O52" s="648"/>
      <c r="P52" s="648"/>
      <c r="Q52" s="648"/>
      <c r="R52" s="648"/>
    </row>
    <row r="53" spans="1:18" ht="12.95" customHeight="1" x14ac:dyDescent="0.2">
      <c r="A53" s="146" t="s">
        <v>1262</v>
      </c>
      <c r="B53" s="281">
        <v>5092.99</v>
      </c>
      <c r="C53" s="308">
        <v>4213.9799999999996</v>
      </c>
      <c r="D53" s="252"/>
      <c r="E53" s="268">
        <v>0</v>
      </c>
      <c r="F53" s="308">
        <v>0</v>
      </c>
      <c r="G53" s="252"/>
      <c r="H53" s="314">
        <v>0</v>
      </c>
      <c r="I53" s="308">
        <v>0</v>
      </c>
      <c r="J53" s="252"/>
      <c r="K53" s="268">
        <f t="shared" si="9"/>
        <v>5092.99</v>
      </c>
      <c r="L53" s="267">
        <f t="shared" si="11"/>
        <v>4213.9799999999996</v>
      </c>
    </row>
    <row r="54" spans="1:18" ht="12.95" customHeight="1" x14ac:dyDescent="0.2">
      <c r="A54" s="146" t="s">
        <v>1263</v>
      </c>
      <c r="B54" s="281">
        <v>0</v>
      </c>
      <c r="C54" s="308">
        <v>0</v>
      </c>
      <c r="D54" s="252"/>
      <c r="E54" s="314">
        <v>0</v>
      </c>
      <c r="F54" s="308">
        <v>0</v>
      </c>
      <c r="G54" s="252"/>
      <c r="H54" s="314">
        <v>0</v>
      </c>
      <c r="I54" s="308">
        <v>0</v>
      </c>
      <c r="J54" s="252"/>
      <c r="K54" s="268">
        <f t="shared" si="9"/>
        <v>0</v>
      </c>
      <c r="L54" s="267">
        <f t="shared" si="11"/>
        <v>0</v>
      </c>
    </row>
    <row r="55" spans="1:18" ht="12.95" customHeight="1" x14ac:dyDescent="0.2">
      <c r="A55" s="146" t="s">
        <v>2177</v>
      </c>
      <c r="B55" s="281">
        <v>3950.84</v>
      </c>
      <c r="C55" s="308">
        <v>7000</v>
      </c>
      <c r="D55" s="252"/>
      <c r="E55" s="268">
        <v>0</v>
      </c>
      <c r="F55" s="308">
        <v>0</v>
      </c>
      <c r="G55" s="252"/>
      <c r="H55" s="314">
        <v>0</v>
      </c>
      <c r="I55" s="308">
        <v>0</v>
      </c>
      <c r="J55" s="252"/>
      <c r="K55" s="268">
        <f t="shared" si="9"/>
        <v>3950.84</v>
      </c>
      <c r="L55" s="267">
        <f t="shared" si="11"/>
        <v>7000</v>
      </c>
      <c r="O55" s="245"/>
    </row>
    <row r="56" spans="1:18" ht="12.95" customHeight="1" x14ac:dyDescent="0.2">
      <c r="A56" s="146" t="s">
        <v>2203</v>
      </c>
      <c r="B56" s="281">
        <v>52939.07</v>
      </c>
      <c r="C56" s="308">
        <v>65600</v>
      </c>
      <c r="D56" s="252"/>
      <c r="E56" s="268">
        <v>0</v>
      </c>
      <c r="F56" s="308">
        <v>0</v>
      </c>
      <c r="G56" s="252"/>
      <c r="H56" s="314">
        <v>0</v>
      </c>
      <c r="I56" s="308">
        <v>0</v>
      </c>
      <c r="J56" s="252"/>
      <c r="K56" s="268">
        <f t="shared" si="9"/>
        <v>52939.07</v>
      </c>
      <c r="L56" s="267">
        <f t="shared" si="11"/>
        <v>65600</v>
      </c>
    </row>
    <row r="57" spans="1:18" ht="12.95" customHeight="1" thickBot="1" x14ac:dyDescent="0.25">
      <c r="A57" s="102" t="s">
        <v>1269</v>
      </c>
      <c r="B57" s="405">
        <v>0</v>
      </c>
      <c r="C57" s="275"/>
      <c r="D57" s="346"/>
      <c r="E57" s="274">
        <v>0</v>
      </c>
      <c r="F57" s="275">
        <v>0</v>
      </c>
      <c r="G57" s="346"/>
      <c r="H57" s="274">
        <v>0</v>
      </c>
      <c r="I57" s="275">
        <v>0</v>
      </c>
      <c r="J57" s="346"/>
      <c r="K57" s="268">
        <f t="shared" si="9"/>
        <v>0</v>
      </c>
      <c r="L57" s="266">
        <f t="shared" si="11"/>
        <v>0</v>
      </c>
    </row>
    <row r="58" spans="1:18" s="244" customFormat="1" ht="12.95" customHeight="1" x14ac:dyDescent="0.2">
      <c r="A58" s="198" t="s">
        <v>1278</v>
      </c>
      <c r="B58" s="401">
        <f>SUM(B19:B57)</f>
        <v>89368.16</v>
      </c>
      <c r="C58" s="292">
        <f>SUM(C19:C57)</f>
        <v>118613.98</v>
      </c>
      <c r="D58" s="253"/>
      <c r="E58" s="401">
        <f t="shared" ref="E58:L58" si="12">SUM(E19:E57)</f>
        <v>97633.73</v>
      </c>
      <c r="F58" s="292">
        <f t="shared" si="12"/>
        <v>223050</v>
      </c>
      <c r="G58" s="253"/>
      <c r="H58" s="401">
        <f t="shared" si="12"/>
        <v>0</v>
      </c>
      <c r="I58" s="292">
        <f t="shared" si="12"/>
        <v>0</v>
      </c>
      <c r="J58" s="253"/>
      <c r="K58" s="401">
        <f t="shared" si="12"/>
        <v>187001.89</v>
      </c>
      <c r="L58" s="292">
        <f t="shared" si="12"/>
        <v>341663.98</v>
      </c>
    </row>
    <row r="59" spans="1:18" s="244" customFormat="1" ht="15.6" customHeight="1" x14ac:dyDescent="0.2">
      <c r="A59" s="198" t="s">
        <v>1276</v>
      </c>
      <c r="B59" s="363">
        <f>B17-B58</f>
        <v>159507.20999999993</v>
      </c>
      <c r="C59" s="294">
        <f>C17-C58</f>
        <v>59658.520000000004</v>
      </c>
      <c r="D59" s="256"/>
      <c r="E59" s="417">
        <f t="shared" ref="E59:L59" si="13">E17-E58</f>
        <v>-85342.193999999989</v>
      </c>
      <c r="F59" s="382">
        <f t="shared" si="13"/>
        <v>-200550</v>
      </c>
      <c r="G59" s="256"/>
      <c r="H59" s="417">
        <f t="shared" si="13"/>
        <v>0</v>
      </c>
      <c r="I59" s="382">
        <f t="shared" si="13"/>
        <v>0</v>
      </c>
      <c r="J59" s="256"/>
      <c r="K59" s="363">
        <f t="shared" si="13"/>
        <v>83280.41599999991</v>
      </c>
      <c r="L59" s="382">
        <f t="shared" si="13"/>
        <v>-140891.47999999998</v>
      </c>
    </row>
    <row r="60" spans="1:18" ht="12.95" customHeight="1" thickBot="1" x14ac:dyDescent="0.25">
      <c r="A60" s="177"/>
      <c r="B60" s="364"/>
      <c r="C60" s="333"/>
      <c r="D60" s="257"/>
      <c r="E60" s="364"/>
      <c r="F60" s="333"/>
      <c r="G60" s="257"/>
      <c r="H60" s="364"/>
      <c r="I60" s="333"/>
      <c r="J60" s="257"/>
      <c r="K60" s="364"/>
      <c r="L60" s="412"/>
    </row>
    <row r="61" spans="1:18" s="325" customFormat="1" ht="12.95" customHeight="1" x14ac:dyDescent="0.2">
      <c r="A61" s="199" t="s">
        <v>2155</v>
      </c>
      <c r="B61" s="396">
        <v>0</v>
      </c>
      <c r="C61" s="278">
        <v>0</v>
      </c>
      <c r="D61" s="377"/>
      <c r="E61" s="277">
        <v>17</v>
      </c>
      <c r="F61" s="410">
        <v>30</v>
      </c>
      <c r="G61" s="377"/>
      <c r="H61" s="415">
        <v>0</v>
      </c>
      <c r="I61" s="278">
        <v>0</v>
      </c>
      <c r="J61" s="377"/>
      <c r="K61" s="416">
        <f>B61+E61+H61</f>
        <v>17</v>
      </c>
      <c r="L61" s="313">
        <f>C61+F61+I61</f>
        <v>30</v>
      </c>
    </row>
    <row r="62" spans="1:18" s="248" customFormat="1" ht="12.95" customHeight="1" thickBot="1" x14ac:dyDescent="0.25">
      <c r="A62" s="195"/>
      <c r="B62" s="414">
        <f>B61/$K$61</f>
        <v>0</v>
      </c>
      <c r="C62" s="296">
        <f>C61/$L$61</f>
        <v>0</v>
      </c>
      <c r="D62" s="247"/>
      <c r="E62" s="414">
        <f>E61/$K$61</f>
        <v>1</v>
      </c>
      <c r="F62" s="296">
        <f>F61/$L$61</f>
        <v>1</v>
      </c>
      <c r="G62" s="247"/>
      <c r="H62" s="414">
        <f>H61/$K$61</f>
        <v>0</v>
      </c>
      <c r="I62" s="296">
        <f>I61/$L$61</f>
        <v>0</v>
      </c>
      <c r="J62" s="247"/>
      <c r="K62" s="414">
        <f>B62+E62+H62</f>
        <v>1</v>
      </c>
      <c r="L62" s="296">
        <f>L61/$L$61</f>
        <v>1</v>
      </c>
    </row>
    <row r="63" spans="1:18" ht="12.95" customHeight="1" thickBot="1" x14ac:dyDescent="0.25">
      <c r="A63" s="146"/>
      <c r="B63" s="395"/>
      <c r="G63" s="188"/>
    </row>
    <row r="64" spans="1:18" ht="12.95" customHeight="1" thickBot="1" x14ac:dyDescent="0.25">
      <c r="A64" s="497" t="s">
        <v>2215</v>
      </c>
      <c r="B64" s="558">
        <v>2020</v>
      </c>
      <c r="C64" s="559">
        <v>2021</v>
      </c>
      <c r="D64" s="508"/>
      <c r="E64" s="558">
        <v>2020</v>
      </c>
      <c r="F64" s="559">
        <v>2021</v>
      </c>
      <c r="G64" s="515"/>
      <c r="H64" s="529"/>
      <c r="I64" s="508"/>
      <c r="J64" s="508"/>
      <c r="K64" s="558">
        <v>2020</v>
      </c>
      <c r="L64" s="559">
        <v>2021</v>
      </c>
    </row>
    <row r="65" spans="1:12" s="150" customFormat="1" ht="12.95" customHeight="1" x14ac:dyDescent="0.2">
      <c r="A65" s="485" t="s">
        <v>2216</v>
      </c>
      <c r="B65" s="286">
        <v>0</v>
      </c>
      <c r="C65" s="493">
        <v>0</v>
      </c>
      <c r="D65" s="526"/>
      <c r="E65" s="492">
        <f>E41/E61</f>
        <v>5174.4047058823535</v>
      </c>
      <c r="F65" s="492">
        <f>F41/F61</f>
        <v>6500</v>
      </c>
      <c r="G65" s="527"/>
      <c r="H65" s="486" t="e">
        <f>H41/H61</f>
        <v>#DIV/0!</v>
      </c>
      <c r="I65" s="526"/>
      <c r="J65" s="526"/>
      <c r="K65" s="530">
        <f>B65+E65</f>
        <v>5174.4047058823535</v>
      </c>
      <c r="L65" s="528">
        <f>C65+F65</f>
        <v>6500</v>
      </c>
    </row>
    <row r="66" spans="1:12" ht="12.95" customHeight="1" x14ac:dyDescent="0.2">
      <c r="A66" s="151" t="s">
        <v>2217</v>
      </c>
      <c r="B66" s="286">
        <v>0</v>
      </c>
      <c r="C66" s="493">
        <v>0</v>
      </c>
      <c r="D66" s="526"/>
      <c r="E66" s="492">
        <f>E42/E61</f>
        <v>352.90764705882356</v>
      </c>
      <c r="F66" s="492">
        <f>F42/F61</f>
        <v>500</v>
      </c>
      <c r="G66" s="527"/>
      <c r="H66" s="486" t="e">
        <f>H42/H61</f>
        <v>#DIV/0!</v>
      </c>
      <c r="I66" s="526"/>
      <c r="J66" s="526"/>
      <c r="K66" s="530">
        <f t="shared" ref="K66:K67" si="14">B66+E66</f>
        <v>352.90764705882356</v>
      </c>
      <c r="L66" s="528">
        <f t="shared" ref="L66:L67" si="15">C66+F66</f>
        <v>500</v>
      </c>
    </row>
    <row r="67" spans="1:12" ht="12.95" customHeight="1" x14ac:dyDescent="0.2">
      <c r="A67" s="151" t="s">
        <v>2218</v>
      </c>
      <c r="B67" s="286">
        <v>0</v>
      </c>
      <c r="C67" s="493">
        <v>0</v>
      </c>
      <c r="D67" s="526"/>
      <c r="E67" s="492">
        <f>E43/E61</f>
        <v>104.64588235294117</v>
      </c>
      <c r="F67" s="492">
        <f>F43/F61</f>
        <v>250</v>
      </c>
      <c r="G67" s="527"/>
      <c r="H67" s="486" t="e">
        <f>H43/H61</f>
        <v>#DIV/0!</v>
      </c>
      <c r="I67" s="526"/>
      <c r="J67" s="526"/>
      <c r="K67" s="530">
        <f t="shared" si="14"/>
        <v>104.64588235294117</v>
      </c>
      <c r="L67" s="528">
        <f t="shared" si="15"/>
        <v>250</v>
      </c>
    </row>
    <row r="68" spans="1:12" s="150" customFormat="1" ht="12.95" customHeight="1" x14ac:dyDescent="0.2">
      <c r="A68" s="196" t="s">
        <v>2219</v>
      </c>
      <c r="B68" s="287">
        <f>SUM(B65:B67)</f>
        <v>0</v>
      </c>
      <c r="C68" s="511">
        <f>SUM(C65:C67)</f>
        <v>0</v>
      </c>
      <c r="D68" s="149"/>
      <c r="E68" s="510">
        <f>SUM(E65:E67)</f>
        <v>5631.9582352941179</v>
      </c>
      <c r="F68" s="509">
        <f t="shared" ref="F68:L68" si="16">SUM(F65:F67)</f>
        <v>7250</v>
      </c>
      <c r="G68" s="209">
        <f t="shared" si="16"/>
        <v>0</v>
      </c>
      <c r="H68" s="510" t="e">
        <f t="shared" si="16"/>
        <v>#DIV/0!</v>
      </c>
      <c r="I68" s="510">
        <f t="shared" si="16"/>
        <v>0</v>
      </c>
      <c r="J68" s="510"/>
      <c r="K68" s="510">
        <f t="shared" si="16"/>
        <v>5631.9582352941179</v>
      </c>
      <c r="L68" s="509">
        <f t="shared" si="16"/>
        <v>7250</v>
      </c>
    </row>
    <row r="69" spans="1:12" ht="12.95" customHeight="1" x14ac:dyDescent="0.2">
      <c r="A69" s="151" t="s">
        <v>2220</v>
      </c>
      <c r="B69" s="286">
        <v>0</v>
      </c>
      <c r="C69" s="493">
        <v>0</v>
      </c>
      <c r="D69" s="526"/>
      <c r="E69" s="492">
        <f>-E16/E61</f>
        <v>46.849058823529404</v>
      </c>
      <c r="F69" s="493">
        <f>-F16/F61</f>
        <v>0</v>
      </c>
      <c r="G69" s="527"/>
      <c r="H69" s="486"/>
      <c r="I69" s="526"/>
      <c r="J69" s="526"/>
      <c r="K69" s="530">
        <f>B69+E69</f>
        <v>46.849058823529404</v>
      </c>
      <c r="L69" s="531">
        <f>-C69+F69</f>
        <v>0</v>
      </c>
    </row>
    <row r="70" spans="1:12" ht="12.95" customHeight="1" x14ac:dyDescent="0.2">
      <c r="A70" s="485"/>
      <c r="B70" s="286"/>
      <c r="C70" s="493"/>
      <c r="D70" s="526"/>
      <c r="E70" s="492"/>
      <c r="F70" s="528"/>
      <c r="G70" s="527"/>
      <c r="H70" s="486"/>
      <c r="I70" s="526"/>
      <c r="J70" s="526"/>
      <c r="K70" s="530"/>
      <c r="L70" s="531"/>
    </row>
    <row r="71" spans="1:12" s="150" customFormat="1" ht="12.95" customHeight="1" thickBot="1" x14ac:dyDescent="0.25">
      <c r="A71" s="148" t="s">
        <v>2221</v>
      </c>
      <c r="B71" s="331">
        <v>0</v>
      </c>
      <c r="C71" s="495">
        <v>0</v>
      </c>
      <c r="D71" s="149"/>
      <c r="E71" s="336">
        <f>K58/K61</f>
        <v>11000.111176470589</v>
      </c>
      <c r="F71" s="532">
        <f>L58/L61</f>
        <v>11388.799333333332</v>
      </c>
      <c r="G71" s="189"/>
      <c r="H71" s="209"/>
      <c r="I71" s="149"/>
      <c r="J71" s="149"/>
      <c r="K71" s="548">
        <f>B71+E71</f>
        <v>11000.111176470589</v>
      </c>
      <c r="L71" s="532">
        <f>C71+F71</f>
        <v>11388.799333333332</v>
      </c>
    </row>
    <row r="72" spans="1:12" ht="12.95" customHeight="1" x14ac:dyDescent="0.2">
      <c r="A72" s="200"/>
      <c r="B72" s="263"/>
      <c r="C72" s="486"/>
      <c r="D72" s="526"/>
      <c r="E72" s="486"/>
      <c r="F72" s="526"/>
      <c r="G72" s="527"/>
      <c r="H72" s="486"/>
      <c r="I72" s="526"/>
      <c r="J72" s="526"/>
      <c r="K72" s="526"/>
      <c r="L72" s="149"/>
    </row>
    <row r="73" spans="1:12" ht="12.95" customHeight="1" x14ac:dyDescent="0.2">
      <c r="A73" s="200"/>
      <c r="B73" s="203"/>
      <c r="C73" s="260"/>
      <c r="D73" s="152"/>
      <c r="E73" s="212"/>
      <c r="F73" s="152"/>
      <c r="G73" s="190"/>
      <c r="H73" s="212"/>
      <c r="I73" s="152"/>
      <c r="J73" s="152"/>
      <c r="K73" s="211"/>
      <c r="L73" s="149"/>
    </row>
    <row r="74" spans="1:12" ht="12.95" customHeight="1" x14ac:dyDescent="0.2">
      <c r="A74" s="200"/>
      <c r="B74" s="203"/>
      <c r="C74" s="260"/>
      <c r="D74" s="152"/>
      <c r="E74" s="212"/>
      <c r="F74" s="152"/>
      <c r="G74" s="190"/>
      <c r="H74" s="212"/>
      <c r="I74" s="152"/>
      <c r="J74" s="152"/>
      <c r="K74" s="211"/>
      <c r="L74" s="149"/>
    </row>
    <row r="75" spans="1:12" ht="12.95" customHeight="1" x14ac:dyDescent="0.2">
      <c r="A75" s="201"/>
      <c r="B75" s="204"/>
      <c r="C75" s="260"/>
      <c r="D75" s="152"/>
      <c r="E75" s="210"/>
      <c r="F75" s="152"/>
      <c r="G75" s="190"/>
      <c r="H75" s="210"/>
      <c r="I75" s="152"/>
      <c r="J75" s="152"/>
      <c r="K75" s="211"/>
      <c r="L75" s="149"/>
    </row>
    <row r="76" spans="1:12" ht="12.95" customHeight="1" x14ac:dyDescent="0.2">
      <c r="A76" s="485"/>
      <c r="B76" s="395"/>
      <c r="C76" s="152"/>
      <c r="D76" s="152"/>
      <c r="E76" s="211"/>
      <c r="F76" s="152"/>
      <c r="G76" s="190"/>
      <c r="H76" s="211"/>
      <c r="I76" s="152"/>
      <c r="J76" s="152"/>
      <c r="K76" s="211"/>
      <c r="L76" s="149"/>
    </row>
    <row r="77" spans="1:12" ht="12.95" customHeight="1" x14ac:dyDescent="0.2">
      <c r="A77" s="146"/>
      <c r="B77" s="395"/>
      <c r="C77" s="152"/>
      <c r="D77" s="152"/>
      <c r="E77" s="211"/>
      <c r="F77" s="152"/>
      <c r="G77" s="190"/>
      <c r="H77" s="211"/>
      <c r="I77" s="152"/>
      <c r="J77" s="152"/>
      <c r="K77" s="211"/>
      <c r="L77" s="149"/>
    </row>
    <row r="78" spans="1:12" ht="12.95" customHeight="1" x14ac:dyDescent="0.2">
      <c r="A78" s="146"/>
      <c r="B78" s="395"/>
      <c r="C78" s="152"/>
      <c r="D78" s="152"/>
      <c r="E78" s="211"/>
      <c r="F78" s="152"/>
      <c r="G78" s="190"/>
      <c r="H78" s="211"/>
      <c r="I78" s="152"/>
      <c r="J78" s="152"/>
      <c r="K78" s="211"/>
      <c r="L78" s="149"/>
    </row>
    <row r="79" spans="1:12" ht="12.95" customHeight="1" x14ac:dyDescent="0.2">
      <c r="A79" s="146"/>
      <c r="B79" s="395"/>
      <c r="C79" s="152"/>
      <c r="D79" s="152"/>
      <c r="E79" s="211"/>
      <c r="F79" s="152"/>
      <c r="G79" s="190"/>
      <c r="H79" s="211"/>
      <c r="I79" s="152"/>
      <c r="J79" s="152"/>
      <c r="K79" s="211"/>
      <c r="L79" s="149"/>
    </row>
    <row r="80" spans="1:12" ht="12.95" customHeight="1" x14ac:dyDescent="0.2">
      <c r="A80" s="146"/>
      <c r="B80" s="395"/>
      <c r="C80" s="152"/>
      <c r="D80" s="152"/>
      <c r="E80" s="211"/>
      <c r="F80" s="152"/>
      <c r="G80" s="190"/>
      <c r="H80" s="211"/>
      <c r="I80" s="152"/>
      <c r="J80" s="152"/>
      <c r="K80" s="211"/>
      <c r="L80" s="149"/>
    </row>
    <row r="81" spans="1:12" ht="12.95" customHeight="1" x14ac:dyDescent="0.2">
      <c r="A81" s="146"/>
      <c r="B81" s="395"/>
      <c r="C81" s="152"/>
      <c r="D81" s="152"/>
      <c r="E81" s="211"/>
      <c r="F81" s="152"/>
      <c r="G81" s="190"/>
      <c r="H81" s="211"/>
      <c r="I81" s="152"/>
      <c r="J81" s="152"/>
      <c r="K81" s="211"/>
      <c r="L81" s="149"/>
    </row>
    <row r="82" spans="1:12" ht="12.95" customHeight="1" x14ac:dyDescent="0.2">
      <c r="A82" s="146"/>
      <c r="B82" s="395"/>
      <c r="C82" s="153"/>
      <c r="D82" s="153"/>
      <c r="E82" s="367"/>
      <c r="F82" s="153"/>
      <c r="G82" s="153"/>
      <c r="H82" s="367"/>
      <c r="I82" s="153"/>
      <c r="J82" s="153"/>
      <c r="K82" s="367"/>
      <c r="L82" s="160"/>
    </row>
    <row r="83" spans="1:12" ht="12.95" customHeight="1" x14ac:dyDescent="0.2">
      <c r="A83" s="146"/>
      <c r="B83" s="395"/>
    </row>
    <row r="84" spans="1:12" ht="12.95" customHeight="1" x14ac:dyDescent="0.2"/>
    <row r="85" spans="1:12" ht="12.95" customHeight="1" x14ac:dyDescent="0.2"/>
  </sheetData>
  <mergeCells count="3">
    <mergeCell ref="A1:L1"/>
    <mergeCell ref="A2:L2"/>
    <mergeCell ref="M52:R52"/>
  </mergeCells>
  <pageMargins left="0.7" right="0.7" top="0.75" bottom="0.75" header="0.3" footer="0.3"/>
  <pageSetup scale="5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9"/>
  <sheetViews>
    <sheetView tabSelected="1" topLeftCell="A52" workbookViewId="0">
      <selection activeCell="B56" sqref="B56"/>
    </sheetView>
  </sheetViews>
  <sheetFormatPr defaultColWidth="8.85546875" defaultRowHeight="12.75" x14ac:dyDescent="0.2"/>
  <cols>
    <col min="1" max="1" width="34.28515625" style="147" bestFit="1" customWidth="1"/>
    <col min="2" max="2" width="9.28515625" style="368" bestFit="1" customWidth="1"/>
    <col min="3" max="4" width="10.5703125" style="147" customWidth="1"/>
    <col min="5" max="5" width="9.28515625" style="147" customWidth="1"/>
    <col min="6" max="7" width="8.85546875" style="147"/>
    <col min="8" max="8" width="9.28515625" style="147" bestFit="1" customWidth="1"/>
    <col min="9" max="16384" width="8.85546875" style="147"/>
  </cols>
  <sheetData>
    <row r="1" spans="1:6" ht="21.75" customHeight="1" x14ac:dyDescent="0.25">
      <c r="A1" s="646" t="s">
        <v>177</v>
      </c>
      <c r="B1" s="646"/>
      <c r="C1" s="646"/>
      <c r="D1" s="646"/>
      <c r="E1" s="646"/>
    </row>
    <row r="2" spans="1:6" ht="18.75" customHeight="1" thickBot="1" x14ac:dyDescent="0.3">
      <c r="A2" s="646" t="s">
        <v>2236</v>
      </c>
      <c r="B2" s="646"/>
      <c r="C2" s="646"/>
      <c r="D2" s="646"/>
      <c r="E2" s="646"/>
    </row>
    <row r="3" spans="1:6" ht="12.75" customHeight="1" x14ac:dyDescent="0.2">
      <c r="A3" s="351"/>
      <c r="B3" s="550">
        <v>2020</v>
      </c>
      <c r="C3" s="551">
        <v>2021</v>
      </c>
      <c r="D3" s="192">
        <v>2021</v>
      </c>
      <c r="E3" s="98">
        <v>2021</v>
      </c>
    </row>
    <row r="4" spans="1:6" s="150" customFormat="1" ht="25.5" customHeight="1" x14ac:dyDescent="0.2">
      <c r="A4" s="194" t="s">
        <v>2180</v>
      </c>
      <c r="B4" s="231" t="s">
        <v>2209</v>
      </c>
      <c r="C4" s="165" t="s">
        <v>1362</v>
      </c>
      <c r="D4" s="165" t="s">
        <v>2173</v>
      </c>
      <c r="E4" s="104" t="s">
        <v>2179</v>
      </c>
    </row>
    <row r="5" spans="1:6" s="150" customFormat="1" ht="12.95" customHeight="1" x14ac:dyDescent="0.2">
      <c r="A5" s="196" t="s">
        <v>2151</v>
      </c>
      <c r="B5" s="214">
        <f>SUM(B6:B8)</f>
        <v>57364.72</v>
      </c>
      <c r="C5" s="202">
        <f>SUM(C6:C8)</f>
        <v>85000</v>
      </c>
      <c r="D5" s="202">
        <f t="shared" ref="D5:E5" si="0">SUM(D6:D8)</f>
        <v>0</v>
      </c>
      <c r="E5" s="267">
        <f t="shared" si="0"/>
        <v>85000</v>
      </c>
      <c r="F5" s="262"/>
    </row>
    <row r="6" spans="1:6" ht="12.95" customHeight="1" x14ac:dyDescent="0.2">
      <c r="A6" s="151" t="s">
        <v>2162</v>
      </c>
      <c r="B6" s="281">
        <v>57364.72</v>
      </c>
      <c r="C6" s="251">
        <v>60000</v>
      </c>
      <c r="D6" s="251">
        <v>0</v>
      </c>
      <c r="E6" s="269">
        <f t="shared" ref="E6:E37" si="1">SUM(C6:D6)</f>
        <v>60000</v>
      </c>
      <c r="F6" s="259"/>
    </row>
    <row r="7" spans="1:6" ht="12.95" customHeight="1" x14ac:dyDescent="0.2">
      <c r="A7" s="151" t="s">
        <v>2163</v>
      </c>
      <c r="B7" s="281">
        <v>0</v>
      </c>
      <c r="C7" s="251">
        <v>0</v>
      </c>
      <c r="D7" s="251">
        <v>0</v>
      </c>
      <c r="E7" s="269">
        <f t="shared" si="1"/>
        <v>0</v>
      </c>
      <c r="F7" s="259"/>
    </row>
    <row r="8" spans="1:6" ht="12.95" customHeight="1" x14ac:dyDescent="0.2">
      <c r="A8" s="151" t="s">
        <v>2164</v>
      </c>
      <c r="B8" s="281">
        <v>0</v>
      </c>
      <c r="C8" s="251">
        <v>25000</v>
      </c>
      <c r="D8" s="251">
        <v>0</v>
      </c>
      <c r="E8" s="269">
        <f t="shared" si="1"/>
        <v>25000</v>
      </c>
      <c r="F8" s="259"/>
    </row>
    <row r="9" spans="1:6" s="150" customFormat="1" ht="12.95" customHeight="1" x14ac:dyDescent="0.2">
      <c r="A9" s="196" t="s">
        <v>1359</v>
      </c>
      <c r="B9" s="403">
        <v>327660</v>
      </c>
      <c r="C9" s="202">
        <v>0</v>
      </c>
      <c r="D9" s="202">
        <v>235000</v>
      </c>
      <c r="E9" s="267">
        <f t="shared" si="1"/>
        <v>235000</v>
      </c>
      <c r="F9" s="262"/>
    </row>
    <row r="10" spans="1:6" s="150" customFormat="1" ht="12.95" customHeight="1" x14ac:dyDescent="0.2">
      <c r="A10" s="196" t="s">
        <v>2149</v>
      </c>
      <c r="B10" s="214">
        <f>SUM(B11:B12)</f>
        <v>40500</v>
      </c>
      <c r="C10" s="202">
        <f>SUM(C11:C12)</f>
        <v>18000</v>
      </c>
      <c r="D10" s="202">
        <v>0</v>
      </c>
      <c r="E10" s="267">
        <f t="shared" si="1"/>
        <v>18000</v>
      </c>
      <c r="F10" s="262"/>
    </row>
    <row r="11" spans="1:6" ht="12.95" customHeight="1" x14ac:dyDescent="0.2">
      <c r="A11" s="151" t="s">
        <v>2162</v>
      </c>
      <c r="B11" s="281">
        <v>40500</v>
      </c>
      <c r="C11" s="251">
        <v>18000</v>
      </c>
      <c r="D11" s="251">
        <v>0</v>
      </c>
      <c r="E11" s="269">
        <f t="shared" si="1"/>
        <v>18000</v>
      </c>
      <c r="F11" s="259"/>
    </row>
    <row r="12" spans="1:6" ht="12.95" customHeight="1" x14ac:dyDescent="0.2">
      <c r="A12" s="151" t="s">
        <v>2170</v>
      </c>
      <c r="B12" s="281">
        <v>0</v>
      </c>
      <c r="C12" s="251">
        <v>0</v>
      </c>
      <c r="D12" s="251">
        <v>0</v>
      </c>
      <c r="E12" s="269">
        <f t="shared" si="1"/>
        <v>0</v>
      </c>
      <c r="F12" s="259"/>
    </row>
    <row r="13" spans="1:6" ht="12.95" customHeight="1" x14ac:dyDescent="0.2">
      <c r="A13" s="196" t="s">
        <v>2168</v>
      </c>
      <c r="B13" s="403">
        <f>24410+4095.41</f>
        <v>28505.41</v>
      </c>
      <c r="C13" s="251">
        <v>13750</v>
      </c>
      <c r="D13" s="251">
        <v>0</v>
      </c>
      <c r="E13" s="269">
        <f t="shared" si="1"/>
        <v>13750</v>
      </c>
      <c r="F13" s="259"/>
    </row>
    <row r="14" spans="1:6" s="376" customFormat="1" ht="12.95" customHeight="1" x14ac:dyDescent="0.2">
      <c r="A14" s="326" t="s">
        <v>2152</v>
      </c>
      <c r="B14" s="404">
        <v>-99110.98</v>
      </c>
      <c r="C14" s="343">
        <v>0</v>
      </c>
      <c r="D14" s="343">
        <v>-92300</v>
      </c>
      <c r="E14" s="342">
        <f t="shared" si="1"/>
        <v>-92300</v>
      </c>
      <c r="F14" s="393"/>
    </row>
    <row r="15" spans="1:6" s="244" customFormat="1" ht="12.95" customHeight="1" x14ac:dyDescent="0.2">
      <c r="A15" s="197" t="s">
        <v>2153</v>
      </c>
      <c r="B15" s="217">
        <f>B5+B9+B10+B13+B14</f>
        <v>354919.14999999997</v>
      </c>
      <c r="C15" s="328">
        <f>C5+C9+C10+C13+C14</f>
        <v>116750</v>
      </c>
      <c r="D15" s="328">
        <f t="shared" ref="D15:E15" si="2">D5+D9+D10+D13+D14</f>
        <v>142700</v>
      </c>
      <c r="E15" s="272">
        <f t="shared" si="2"/>
        <v>259450</v>
      </c>
      <c r="F15" s="391"/>
    </row>
    <row r="16" spans="1:6" s="322" customFormat="1" ht="12.95" customHeight="1" x14ac:dyDescent="0.2">
      <c r="A16" s="321" t="s">
        <v>2171</v>
      </c>
      <c r="B16" s="564">
        <v>-53647.53</v>
      </c>
      <c r="C16" s="564">
        <f t="shared" ref="C16:E16" si="3">(C15-C13)*-0.15</f>
        <v>-15450</v>
      </c>
      <c r="D16" s="564">
        <f t="shared" si="3"/>
        <v>-21405</v>
      </c>
      <c r="E16" s="564">
        <f t="shared" si="3"/>
        <v>-36855</v>
      </c>
      <c r="F16" s="394"/>
    </row>
    <row r="17" spans="1:6" s="244" customFormat="1" ht="12.95" customHeight="1" x14ac:dyDescent="0.2">
      <c r="A17" s="197" t="s">
        <v>2154</v>
      </c>
      <c r="B17" s="217">
        <f t="shared" ref="B17:D17" si="4">B15+B16</f>
        <v>301271.62</v>
      </c>
      <c r="C17" s="328">
        <f t="shared" si="4"/>
        <v>101300</v>
      </c>
      <c r="D17" s="328">
        <f t="shared" si="4"/>
        <v>121295</v>
      </c>
      <c r="E17" s="272">
        <f t="shared" si="1"/>
        <v>222595</v>
      </c>
      <c r="F17" s="391"/>
    </row>
    <row r="18" spans="1:6" ht="12.95" customHeight="1" x14ac:dyDescent="0.2">
      <c r="A18" s="151"/>
      <c r="B18" s="281"/>
      <c r="C18" s="251"/>
      <c r="D18" s="251"/>
      <c r="E18" s="269"/>
      <c r="F18" s="259"/>
    </row>
    <row r="19" spans="1:6" ht="12.95" customHeight="1" x14ac:dyDescent="0.2">
      <c r="A19" s="151" t="s">
        <v>1536</v>
      </c>
      <c r="B19" s="281">
        <v>0</v>
      </c>
      <c r="C19" s="251">
        <v>0</v>
      </c>
      <c r="D19" s="251">
        <v>0</v>
      </c>
      <c r="E19" s="267">
        <f t="shared" si="1"/>
        <v>0</v>
      </c>
      <c r="F19" s="259"/>
    </row>
    <row r="20" spans="1:6" ht="12.95" customHeight="1" x14ac:dyDescent="0.2">
      <c r="A20" s="151" t="s">
        <v>2157</v>
      </c>
      <c r="B20" s="281">
        <v>0</v>
      </c>
      <c r="C20" s="251">
        <v>0</v>
      </c>
      <c r="D20" s="251">
        <v>0</v>
      </c>
      <c r="E20" s="267">
        <f t="shared" si="1"/>
        <v>0</v>
      </c>
      <c r="F20" s="259"/>
    </row>
    <row r="21" spans="1:6" ht="12.95" customHeight="1" x14ac:dyDescent="0.2">
      <c r="A21" s="151" t="s">
        <v>1537</v>
      </c>
      <c r="B21" s="281">
        <v>0</v>
      </c>
      <c r="C21" s="251">
        <v>0</v>
      </c>
      <c r="D21" s="251">
        <v>0</v>
      </c>
      <c r="E21" s="267">
        <f t="shared" si="1"/>
        <v>0</v>
      </c>
      <c r="F21" s="259"/>
    </row>
    <row r="22" spans="1:6" ht="12.95" customHeight="1" x14ac:dyDescent="0.2">
      <c r="A22" s="151" t="s">
        <v>1236</v>
      </c>
      <c r="B22" s="281">
        <v>454.38</v>
      </c>
      <c r="C22" s="251">
        <v>0</v>
      </c>
      <c r="D22" s="251">
        <v>500</v>
      </c>
      <c r="E22" s="267">
        <f t="shared" si="1"/>
        <v>500</v>
      </c>
      <c r="F22" s="259"/>
    </row>
    <row r="23" spans="1:6" ht="12.95" customHeight="1" x14ac:dyDescent="0.2">
      <c r="A23" s="146" t="s">
        <v>2156</v>
      </c>
      <c r="B23" s="281">
        <v>0</v>
      </c>
      <c r="C23" s="251">
        <v>0</v>
      </c>
      <c r="D23" s="251">
        <v>0</v>
      </c>
      <c r="E23" s="267">
        <f t="shared" si="1"/>
        <v>0</v>
      </c>
      <c r="F23" s="259"/>
    </row>
    <row r="24" spans="1:6" s="188" customFormat="1" ht="12.95" customHeight="1" x14ac:dyDescent="0.2">
      <c r="A24" s="407" t="s">
        <v>2176</v>
      </c>
      <c r="B24" s="413">
        <v>0</v>
      </c>
      <c r="C24" s="252">
        <v>0</v>
      </c>
      <c r="D24" s="252"/>
      <c r="E24" s="309">
        <f t="shared" si="1"/>
        <v>0</v>
      </c>
      <c r="F24" s="623"/>
    </row>
    <row r="25" spans="1:6" s="188" customFormat="1" ht="12.95" customHeight="1" x14ac:dyDescent="0.2">
      <c r="A25" s="407" t="s">
        <v>2172</v>
      </c>
      <c r="B25" s="413">
        <v>4700</v>
      </c>
      <c r="C25" s="252">
        <v>0</v>
      </c>
      <c r="D25" s="252">
        <v>11000</v>
      </c>
      <c r="E25" s="309">
        <f t="shared" si="1"/>
        <v>11000</v>
      </c>
      <c r="F25" s="623"/>
    </row>
    <row r="26" spans="1:6" ht="12.95" customHeight="1" x14ac:dyDescent="0.2">
      <c r="A26" s="146" t="s">
        <v>1239</v>
      </c>
      <c r="B26" s="281">
        <v>0</v>
      </c>
      <c r="C26" s="251">
        <v>0</v>
      </c>
      <c r="D26" s="251">
        <v>0</v>
      </c>
      <c r="E26" s="267">
        <f t="shared" si="1"/>
        <v>0</v>
      </c>
      <c r="F26" s="259"/>
    </row>
    <row r="27" spans="1:6" ht="12.95" customHeight="1" x14ac:dyDescent="0.2">
      <c r="A27" s="146" t="s">
        <v>1240</v>
      </c>
      <c r="B27" s="281">
        <v>0</v>
      </c>
      <c r="C27" s="251">
        <v>0</v>
      </c>
      <c r="D27" s="251">
        <v>0</v>
      </c>
      <c r="E27" s="267">
        <f t="shared" si="1"/>
        <v>0</v>
      </c>
      <c r="F27" s="259"/>
    </row>
    <row r="28" spans="1:6" ht="12.95" customHeight="1" x14ac:dyDescent="0.2">
      <c r="A28" s="146" t="s">
        <v>1241</v>
      </c>
      <c r="B28" s="281">
        <v>0</v>
      </c>
      <c r="C28" s="251">
        <v>0</v>
      </c>
      <c r="D28" s="251">
        <v>0</v>
      </c>
      <c r="E28" s="267">
        <f t="shared" si="1"/>
        <v>0</v>
      </c>
      <c r="F28" s="259"/>
    </row>
    <row r="29" spans="1:6" ht="12.95" customHeight="1" x14ac:dyDescent="0.2">
      <c r="A29" s="146" t="s">
        <v>2167</v>
      </c>
      <c r="B29" s="281">
        <v>163.80000000000001</v>
      </c>
      <c r="C29" s="251">
        <v>0</v>
      </c>
      <c r="D29" s="251">
        <v>160</v>
      </c>
      <c r="E29" s="267">
        <f t="shared" si="1"/>
        <v>160</v>
      </c>
      <c r="F29" s="259"/>
    </row>
    <row r="30" spans="1:6" ht="12.95" customHeight="1" x14ac:dyDescent="0.2">
      <c r="A30" s="146" t="s">
        <v>1244</v>
      </c>
      <c r="B30" s="281">
        <v>3231.93</v>
      </c>
      <c r="C30" s="251">
        <v>3500</v>
      </c>
      <c r="D30" s="251">
        <v>4300</v>
      </c>
      <c r="E30" s="267">
        <f t="shared" si="1"/>
        <v>7800</v>
      </c>
      <c r="F30" s="259"/>
    </row>
    <row r="31" spans="1:6" ht="12.95" customHeight="1" x14ac:dyDescent="0.2">
      <c r="A31" s="146" t="s">
        <v>1245</v>
      </c>
      <c r="B31" s="281">
        <v>735.38</v>
      </c>
      <c r="C31" s="251">
        <v>0</v>
      </c>
      <c r="D31" s="251">
        <v>100</v>
      </c>
      <c r="E31" s="267">
        <f t="shared" si="1"/>
        <v>100</v>
      </c>
      <c r="F31" s="259"/>
    </row>
    <row r="32" spans="1:6" ht="12.95" customHeight="1" x14ac:dyDescent="0.2">
      <c r="A32" s="146" t="s">
        <v>1246</v>
      </c>
      <c r="B32" s="281">
        <v>0</v>
      </c>
      <c r="C32" s="251">
        <v>0</v>
      </c>
      <c r="D32" s="251">
        <v>0</v>
      </c>
      <c r="E32" s="267">
        <f t="shared" si="1"/>
        <v>0</v>
      </c>
      <c r="F32" s="259"/>
    </row>
    <row r="33" spans="1:6" ht="12.95" customHeight="1" x14ac:dyDescent="0.2">
      <c r="A33" s="146" t="s">
        <v>1247</v>
      </c>
      <c r="B33" s="281">
        <v>836.34</v>
      </c>
      <c r="C33" s="251">
        <v>0</v>
      </c>
      <c r="D33" s="251">
        <v>500</v>
      </c>
      <c r="E33" s="267">
        <f t="shared" si="1"/>
        <v>500</v>
      </c>
      <c r="F33" s="259"/>
    </row>
    <row r="34" spans="1:6" ht="12.95" customHeight="1" x14ac:dyDescent="0.2">
      <c r="A34" s="208" t="s">
        <v>2207</v>
      </c>
      <c r="B34" s="281">
        <v>1910.71</v>
      </c>
      <c r="C34" s="251">
        <v>0</v>
      </c>
      <c r="D34" s="251">
        <v>7500</v>
      </c>
      <c r="E34" s="267">
        <f t="shared" si="1"/>
        <v>7500</v>
      </c>
      <c r="F34" s="259"/>
    </row>
    <row r="35" spans="1:6" ht="12.95" customHeight="1" x14ac:dyDescent="0.2">
      <c r="A35" s="208" t="s">
        <v>2204</v>
      </c>
      <c r="B35" s="281">
        <v>352.2</v>
      </c>
      <c r="C35" s="251">
        <v>1000</v>
      </c>
      <c r="D35" s="251">
        <v>0</v>
      </c>
      <c r="E35" s="267">
        <f t="shared" si="1"/>
        <v>1000</v>
      </c>
      <c r="F35" s="259"/>
    </row>
    <row r="36" spans="1:6" ht="12.95" customHeight="1" x14ac:dyDescent="0.2">
      <c r="A36" s="146" t="s">
        <v>1250</v>
      </c>
      <c r="B36" s="281">
        <v>485.22</v>
      </c>
      <c r="C36" s="251">
        <v>0</v>
      </c>
      <c r="D36" s="251">
        <v>1500</v>
      </c>
      <c r="E36" s="267">
        <f t="shared" si="1"/>
        <v>1500</v>
      </c>
      <c r="F36" s="259"/>
    </row>
    <row r="37" spans="1:6" ht="12.95" customHeight="1" x14ac:dyDescent="0.2">
      <c r="A37" s="554" t="s">
        <v>2239</v>
      </c>
      <c r="B37" s="281">
        <v>450.06</v>
      </c>
      <c r="C37" s="251">
        <v>0</v>
      </c>
      <c r="D37" s="251">
        <v>300</v>
      </c>
      <c r="E37" s="267">
        <f t="shared" si="1"/>
        <v>300</v>
      </c>
      <c r="F37" s="259"/>
    </row>
    <row r="38" spans="1:6" ht="12.95" customHeight="1" x14ac:dyDescent="0.2">
      <c r="A38" s="146" t="s">
        <v>1251</v>
      </c>
      <c r="B38" s="281">
        <v>36</v>
      </c>
      <c r="C38" s="251">
        <v>0</v>
      </c>
      <c r="D38" s="251">
        <v>36</v>
      </c>
      <c r="E38" s="267">
        <f t="shared" ref="E38:E59" si="5">SUM(C38:D38)</f>
        <v>36</v>
      </c>
      <c r="F38" s="259"/>
    </row>
    <row r="39" spans="1:6" ht="12.95" customHeight="1" x14ac:dyDescent="0.2">
      <c r="A39" s="146" t="s">
        <v>2178</v>
      </c>
      <c r="B39" s="281">
        <v>0</v>
      </c>
      <c r="C39" s="251">
        <v>0</v>
      </c>
      <c r="D39" s="251">
        <v>1800</v>
      </c>
      <c r="E39" s="267">
        <f t="shared" si="5"/>
        <v>1800</v>
      </c>
      <c r="F39" s="259"/>
    </row>
    <row r="40" spans="1:6" ht="12.95" customHeight="1" x14ac:dyDescent="0.2">
      <c r="A40" s="146" t="s">
        <v>1308</v>
      </c>
      <c r="B40" s="611"/>
      <c r="C40" s="612"/>
      <c r="D40" s="612"/>
      <c r="E40" s="613"/>
      <c r="F40" s="259"/>
    </row>
    <row r="41" spans="1:6" ht="12.95" customHeight="1" x14ac:dyDescent="0.2">
      <c r="A41" s="146" t="s">
        <v>1844</v>
      </c>
      <c r="B41" s="281">
        <v>97830.13</v>
      </c>
      <c r="C41" s="252">
        <v>175000</v>
      </c>
      <c r="D41" s="251">
        <v>0</v>
      </c>
      <c r="E41" s="267">
        <f t="shared" si="5"/>
        <v>175000</v>
      </c>
      <c r="F41" s="259"/>
    </row>
    <row r="42" spans="1:6" ht="12.95" customHeight="1" x14ac:dyDescent="0.2">
      <c r="A42" s="146" t="s">
        <v>2166</v>
      </c>
      <c r="B42" s="281">
        <v>4095.41</v>
      </c>
      <c r="C42" s="251">
        <v>8750</v>
      </c>
      <c r="D42" s="251">
        <v>0</v>
      </c>
      <c r="E42" s="267">
        <f t="shared" si="5"/>
        <v>8750</v>
      </c>
      <c r="F42" s="259"/>
    </row>
    <row r="43" spans="1:6" ht="12.95" customHeight="1" x14ac:dyDescent="0.2">
      <c r="A43" s="146" t="s">
        <v>2165</v>
      </c>
      <c r="B43" s="281">
        <v>24410</v>
      </c>
      <c r="C43" s="251">
        <v>5000</v>
      </c>
      <c r="D43" s="251">
        <v>0</v>
      </c>
      <c r="E43" s="267">
        <f t="shared" si="5"/>
        <v>5000</v>
      </c>
      <c r="F43" s="259"/>
    </row>
    <row r="44" spans="1:6" ht="12.95" customHeight="1" x14ac:dyDescent="0.2">
      <c r="A44" s="146" t="s">
        <v>2202</v>
      </c>
      <c r="B44" s="281">
        <v>0</v>
      </c>
      <c r="C44" s="251">
        <v>0</v>
      </c>
      <c r="D44" s="251">
        <v>0</v>
      </c>
      <c r="E44" s="267">
        <f t="shared" si="5"/>
        <v>0</v>
      </c>
      <c r="F44" s="259"/>
    </row>
    <row r="45" spans="1:6" ht="12.95" customHeight="1" x14ac:dyDescent="0.2">
      <c r="A45" s="146" t="s">
        <v>1256</v>
      </c>
      <c r="B45" s="281">
        <v>0</v>
      </c>
      <c r="C45" s="251">
        <v>0</v>
      </c>
      <c r="D45" s="251">
        <v>0</v>
      </c>
      <c r="E45" s="267">
        <f t="shared" si="5"/>
        <v>0</v>
      </c>
      <c r="F45" s="259"/>
    </row>
    <row r="46" spans="1:6" ht="12.95" customHeight="1" x14ac:dyDescent="0.2">
      <c r="A46" s="146" t="s">
        <v>2191</v>
      </c>
      <c r="B46" s="281">
        <v>0</v>
      </c>
      <c r="C46" s="251">
        <v>0</v>
      </c>
      <c r="D46" s="251">
        <v>0</v>
      </c>
      <c r="E46" s="267">
        <f t="shared" si="5"/>
        <v>0</v>
      </c>
      <c r="F46" s="259"/>
    </row>
    <row r="47" spans="1:6" ht="12.95" customHeight="1" x14ac:dyDescent="0.2">
      <c r="A47" s="146" t="s">
        <v>1257</v>
      </c>
      <c r="B47" s="281">
        <v>0</v>
      </c>
      <c r="C47" s="251">
        <v>0</v>
      </c>
      <c r="D47" s="251">
        <v>0</v>
      </c>
      <c r="E47" s="267">
        <f t="shared" si="5"/>
        <v>0</v>
      </c>
      <c r="F47" s="259"/>
    </row>
    <row r="48" spans="1:6" ht="12.95" customHeight="1" x14ac:dyDescent="0.2">
      <c r="A48" s="146" t="s">
        <v>2159</v>
      </c>
      <c r="B48" s="281">
        <v>0</v>
      </c>
      <c r="C48" s="251">
        <v>0</v>
      </c>
      <c r="D48" s="251">
        <v>0</v>
      </c>
      <c r="E48" s="267">
        <f t="shared" si="5"/>
        <v>0</v>
      </c>
      <c r="F48" s="259"/>
    </row>
    <row r="49" spans="1:8" ht="12.95" customHeight="1" x14ac:dyDescent="0.2">
      <c r="A49" s="146" t="s">
        <v>1259</v>
      </c>
      <c r="B49" s="281">
        <v>0</v>
      </c>
      <c r="C49" s="251">
        <v>0</v>
      </c>
      <c r="D49" s="251">
        <v>0</v>
      </c>
      <c r="E49" s="267">
        <f t="shared" si="5"/>
        <v>0</v>
      </c>
      <c r="F49" s="259"/>
    </row>
    <row r="50" spans="1:8" ht="12.95" customHeight="1" x14ac:dyDescent="0.2">
      <c r="A50" s="146" t="s">
        <v>1260</v>
      </c>
      <c r="B50" s="281">
        <v>0</v>
      </c>
      <c r="C50" s="251">
        <v>0</v>
      </c>
      <c r="D50" s="251">
        <v>0</v>
      </c>
      <c r="E50" s="267">
        <f t="shared" si="5"/>
        <v>0</v>
      </c>
      <c r="F50" s="259"/>
    </row>
    <row r="51" spans="1:8" ht="12.95" customHeight="1" x14ac:dyDescent="0.2">
      <c r="A51" s="146" t="s">
        <v>2158</v>
      </c>
      <c r="B51" s="281">
        <v>0</v>
      </c>
      <c r="C51" s="251">
        <v>0</v>
      </c>
      <c r="D51" s="251">
        <v>0</v>
      </c>
      <c r="E51" s="267">
        <f t="shared" si="5"/>
        <v>0</v>
      </c>
      <c r="F51" s="259"/>
    </row>
    <row r="52" spans="1:8" s="82" customFormat="1" ht="12.95" customHeight="1" x14ac:dyDescent="0.2">
      <c r="A52" s="82" t="s">
        <v>2250</v>
      </c>
      <c r="B52" s="281">
        <v>0</v>
      </c>
      <c r="C52" s="251">
        <v>0</v>
      </c>
      <c r="D52" s="251">
        <v>0</v>
      </c>
      <c r="E52" s="267">
        <f t="shared" si="5"/>
        <v>0</v>
      </c>
    </row>
    <row r="53" spans="1:8" ht="12.95" customHeight="1" x14ac:dyDescent="0.2">
      <c r="A53" s="146" t="s">
        <v>1262</v>
      </c>
      <c r="B53" s="413">
        <v>8990.73</v>
      </c>
      <c r="C53" s="251">
        <v>0</v>
      </c>
      <c r="D53" s="252">
        <v>9652.74</v>
      </c>
      <c r="E53" s="267">
        <f t="shared" si="5"/>
        <v>9652.74</v>
      </c>
      <c r="F53" s="259"/>
    </row>
    <row r="54" spans="1:8" ht="12.95" customHeight="1" x14ac:dyDescent="0.2">
      <c r="A54" s="146" t="s">
        <v>1263</v>
      </c>
      <c r="B54" s="281">
        <v>0</v>
      </c>
      <c r="C54" s="252">
        <v>0</v>
      </c>
      <c r="D54" s="252">
        <v>0</v>
      </c>
      <c r="E54" s="309">
        <f t="shared" si="5"/>
        <v>0</v>
      </c>
      <c r="F54" s="259"/>
    </row>
    <row r="55" spans="1:8" ht="12.95" customHeight="1" x14ac:dyDescent="0.2">
      <c r="A55" s="146" t="s">
        <v>2177</v>
      </c>
      <c r="B55" s="281">
        <v>4148.68</v>
      </c>
      <c r="C55" s="252">
        <v>0</v>
      </c>
      <c r="D55" s="252">
        <v>6100</v>
      </c>
      <c r="E55" s="309">
        <f t="shared" si="5"/>
        <v>6100</v>
      </c>
      <c r="F55" s="259"/>
      <c r="H55" s="245"/>
    </row>
    <row r="56" spans="1:8" ht="12.95" customHeight="1" x14ac:dyDescent="0.2">
      <c r="A56" s="146" t="s">
        <v>2203</v>
      </c>
      <c r="B56" s="252">
        <v>57333</v>
      </c>
      <c r="C56" s="252">
        <v>0</v>
      </c>
      <c r="D56" s="188">
        <v>73600</v>
      </c>
      <c r="E56" s="309">
        <f>SUM(C56:D56)</f>
        <v>73600</v>
      </c>
      <c r="F56" s="259"/>
    </row>
    <row r="57" spans="1:8" ht="12.95" customHeight="1" thickBot="1" x14ac:dyDescent="0.25">
      <c r="A57" s="102" t="s">
        <v>1269</v>
      </c>
      <c r="B57" s="405">
        <v>0</v>
      </c>
      <c r="C57" s="265">
        <v>0</v>
      </c>
      <c r="D57" s="265">
        <v>0</v>
      </c>
      <c r="E57" s="266">
        <f>SUM(C57:D57)</f>
        <v>0</v>
      </c>
      <c r="F57" s="259"/>
    </row>
    <row r="58" spans="1:8" s="244" customFormat="1" ht="12.95" customHeight="1" x14ac:dyDescent="0.2">
      <c r="A58" s="198" t="s">
        <v>1278</v>
      </c>
      <c r="B58" s="401">
        <f>SUM(B19:B57)</f>
        <v>210163.97</v>
      </c>
      <c r="C58" s="402">
        <f>SUM(C19:C57)</f>
        <v>193250</v>
      </c>
      <c r="D58" s="402">
        <f>SUM(D19:D57)</f>
        <v>117048.73999999999</v>
      </c>
      <c r="E58" s="292">
        <f t="shared" si="5"/>
        <v>310298.74</v>
      </c>
      <c r="F58" s="391"/>
    </row>
    <row r="59" spans="1:8" s="244" customFormat="1" ht="15.6" customHeight="1" x14ac:dyDescent="0.2">
      <c r="A59" s="198" t="s">
        <v>1276</v>
      </c>
      <c r="B59" s="363">
        <f>B17-B58</f>
        <v>91107.65</v>
      </c>
      <c r="C59" s="406">
        <f>C17-C58</f>
        <v>-91950</v>
      </c>
      <c r="D59" s="329">
        <f>D17-D58</f>
        <v>4246.2600000000093</v>
      </c>
      <c r="E59" s="272">
        <f t="shared" si="5"/>
        <v>-87703.739999999991</v>
      </c>
      <c r="F59" s="391"/>
    </row>
    <row r="60" spans="1:8" ht="12.95" customHeight="1" thickBot="1" x14ac:dyDescent="0.25">
      <c r="A60" s="177"/>
      <c r="B60" s="364"/>
      <c r="C60" s="330"/>
      <c r="D60" s="330"/>
      <c r="E60" s="333"/>
      <c r="F60" s="259"/>
    </row>
    <row r="61" spans="1:8" s="246" customFormat="1" ht="12.95" customHeight="1" x14ac:dyDescent="0.2">
      <c r="A61" s="199" t="s">
        <v>2155</v>
      </c>
      <c r="B61" s="396">
        <v>24</v>
      </c>
      <c r="C61" s="397">
        <v>35</v>
      </c>
      <c r="D61" s="397">
        <v>0</v>
      </c>
      <c r="E61" s="278">
        <f>SUM(C61:D61)</f>
        <v>35</v>
      </c>
      <c r="F61" s="392"/>
    </row>
    <row r="62" spans="1:8" s="248" customFormat="1" ht="12.95" customHeight="1" thickBot="1" x14ac:dyDescent="0.25">
      <c r="A62" s="195"/>
      <c r="B62" s="398"/>
      <c r="C62" s="399"/>
      <c r="D62" s="399"/>
      <c r="E62" s="400"/>
      <c r="F62" s="392"/>
    </row>
    <row r="63" spans="1:8" s="248" customFormat="1" ht="12.95" customHeight="1" thickBot="1" x14ac:dyDescent="0.25">
      <c r="A63" s="195"/>
      <c r="B63" s="525"/>
      <c r="C63" s="392"/>
      <c r="D63" s="392"/>
      <c r="E63" s="392"/>
      <c r="F63" s="392"/>
    </row>
    <row r="64" spans="1:8" ht="12.95" customHeight="1" thickBot="1" x14ac:dyDescent="0.25">
      <c r="A64" s="497" t="s">
        <v>2215</v>
      </c>
      <c r="B64" s="585">
        <v>2020</v>
      </c>
      <c r="C64" s="562">
        <v>2021</v>
      </c>
      <c r="D64" s="259"/>
      <c r="E64" s="259"/>
      <c r="F64" s="259"/>
    </row>
    <row r="65" spans="1:6" s="150" customFormat="1" ht="12.95" customHeight="1" x14ac:dyDescent="0.2">
      <c r="A65" s="586" t="s">
        <v>2216</v>
      </c>
      <c r="B65" s="488">
        <f>B41/B61</f>
        <v>4076.2554166666669</v>
      </c>
      <c r="C65" s="573">
        <f>C41/C61</f>
        <v>5000</v>
      </c>
      <c r="D65" s="209"/>
      <c r="E65" s="209"/>
      <c r="F65" s="262"/>
    </row>
    <row r="66" spans="1:6" ht="12.95" customHeight="1" x14ac:dyDescent="0.2">
      <c r="A66" s="587" t="s">
        <v>2217</v>
      </c>
      <c r="B66" s="286">
        <f>B42/B61</f>
        <v>170.64208333333332</v>
      </c>
      <c r="C66" s="491">
        <f>C42/C61</f>
        <v>250</v>
      </c>
      <c r="D66" s="260"/>
      <c r="E66" s="260"/>
      <c r="F66" s="259"/>
    </row>
    <row r="67" spans="1:6" ht="12.95" customHeight="1" x14ac:dyDescent="0.2">
      <c r="A67" s="587" t="s">
        <v>2218</v>
      </c>
      <c r="B67" s="286">
        <f>B43/B61</f>
        <v>1017.0833333333334</v>
      </c>
      <c r="C67" s="491">
        <f>C43/C61</f>
        <v>142.85714285714286</v>
      </c>
      <c r="D67" s="260"/>
      <c r="E67" s="260"/>
      <c r="F67" s="259"/>
    </row>
    <row r="68" spans="1:6" s="150" customFormat="1" ht="12.95" customHeight="1" x14ac:dyDescent="0.2">
      <c r="A68" s="588" t="s">
        <v>2219</v>
      </c>
      <c r="B68" s="287">
        <f>SUM(B65:B67)</f>
        <v>5263.9808333333331</v>
      </c>
      <c r="C68" s="511">
        <f>SUM(C65:C67)</f>
        <v>5392.8571428571431</v>
      </c>
      <c r="D68" s="209"/>
      <c r="E68" s="209"/>
      <c r="F68" s="262"/>
    </row>
    <row r="69" spans="1:6" ht="12.95" customHeight="1" x14ac:dyDescent="0.2">
      <c r="A69" s="587" t="s">
        <v>2220</v>
      </c>
      <c r="B69" s="286">
        <f>-B16/B61</f>
        <v>2235.3137499999998</v>
      </c>
      <c r="C69" s="493">
        <f>-C16/C61</f>
        <v>441.42857142857144</v>
      </c>
      <c r="D69" s="260"/>
      <c r="E69" s="260"/>
      <c r="F69" s="259"/>
    </row>
    <row r="70" spans="1:6" ht="12.95" customHeight="1" x14ac:dyDescent="0.2">
      <c r="A70" s="589"/>
      <c r="B70" s="281"/>
      <c r="C70" s="307"/>
      <c r="D70" s="260"/>
      <c r="E70" s="260"/>
      <c r="F70" s="259"/>
    </row>
    <row r="71" spans="1:6" ht="12.95" customHeight="1" thickBot="1" x14ac:dyDescent="0.25">
      <c r="A71" s="590" t="s">
        <v>2221</v>
      </c>
      <c r="B71" s="282">
        <f>B58/B61</f>
        <v>8756.8320833333328</v>
      </c>
      <c r="C71" s="495">
        <f>E58/E61</f>
        <v>8865.6782857142862</v>
      </c>
      <c r="D71" s="260"/>
      <c r="E71" s="260"/>
      <c r="F71" s="259"/>
    </row>
    <row r="72" spans="1:6" ht="12.95" customHeight="1" x14ac:dyDescent="0.2">
      <c r="A72" s="146"/>
      <c r="B72" s="203"/>
      <c r="C72" s="260"/>
      <c r="D72" s="260"/>
      <c r="E72" s="260"/>
      <c r="F72" s="259"/>
    </row>
    <row r="73" spans="1:6" ht="12.95" customHeight="1" x14ac:dyDescent="0.2">
      <c r="A73" s="146"/>
      <c r="B73" s="203"/>
      <c r="C73" s="260"/>
      <c r="D73" s="260"/>
      <c r="E73" s="260"/>
      <c r="F73" s="259"/>
    </row>
    <row r="74" spans="1:6" ht="12.95" customHeight="1" x14ac:dyDescent="0.2">
      <c r="A74" s="146"/>
      <c r="B74" s="203"/>
      <c r="C74" s="260"/>
      <c r="D74" s="260"/>
      <c r="E74" s="260"/>
      <c r="F74" s="259"/>
    </row>
    <row r="75" spans="1:6" ht="12.95" customHeight="1" x14ac:dyDescent="0.2">
      <c r="A75" s="146"/>
      <c r="B75" s="203"/>
      <c r="C75" s="260"/>
      <c r="D75" s="260"/>
      <c r="E75" s="260"/>
      <c r="F75" s="259"/>
    </row>
    <row r="76" spans="1:6" ht="12.95" customHeight="1" x14ac:dyDescent="0.2">
      <c r="A76" s="146"/>
      <c r="B76" s="203"/>
      <c r="C76" s="261"/>
      <c r="D76" s="261"/>
      <c r="E76" s="261"/>
      <c r="F76" s="259"/>
    </row>
    <row r="77" spans="1:6" ht="12.95" customHeight="1" x14ac:dyDescent="0.2">
      <c r="A77" s="146"/>
      <c r="B77" s="395"/>
    </row>
    <row r="78" spans="1:6" ht="12.95" customHeight="1" x14ac:dyDescent="0.2"/>
    <row r="79" spans="1:6" ht="12.95" customHeight="1" x14ac:dyDescent="0.2"/>
  </sheetData>
  <mergeCells count="2">
    <mergeCell ref="A1:E1"/>
    <mergeCell ref="A2:E2"/>
  </mergeCells>
  <pageMargins left="0.7" right="0.7" top="0.75" bottom="0.75" header="0.3" footer="0.3"/>
  <pageSetup scale="74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6EAF-C06D-4CF1-AA48-C6355215CCC6}">
  <sheetPr>
    <pageSetUpPr fitToPage="1"/>
  </sheetPr>
  <dimension ref="A1:M79"/>
  <sheetViews>
    <sheetView workbookViewId="0">
      <selection activeCell="A71" sqref="A1:C71"/>
    </sheetView>
  </sheetViews>
  <sheetFormatPr defaultRowHeight="12.75" x14ac:dyDescent="0.2"/>
  <cols>
    <col min="1" max="1" width="35.85546875" style="26" customWidth="1"/>
    <col min="2" max="2" width="13" style="26" customWidth="1"/>
    <col min="3" max="3" width="9.28515625" style="170" customWidth="1"/>
  </cols>
  <sheetData>
    <row r="1" spans="1:9" ht="15.75" x14ac:dyDescent="0.25">
      <c r="A1" s="534" t="s">
        <v>177</v>
      </c>
      <c r="B1" s="534"/>
      <c r="C1" s="534"/>
      <c r="D1" s="534"/>
      <c r="E1" s="534"/>
      <c r="F1" s="534"/>
      <c r="G1" s="534"/>
      <c r="H1" s="534"/>
      <c r="I1" s="534"/>
    </row>
    <row r="2" spans="1:9" ht="16.5" thickBot="1" x14ac:dyDescent="0.3">
      <c r="A2" s="534" t="s">
        <v>2235</v>
      </c>
      <c r="B2" s="534"/>
      <c r="C2" s="534"/>
      <c r="D2" s="534"/>
      <c r="E2" s="534"/>
      <c r="F2" s="534"/>
      <c r="G2" s="534"/>
      <c r="H2" s="534"/>
      <c r="I2" s="534"/>
    </row>
    <row r="3" spans="1:9" x14ac:dyDescent="0.2">
      <c r="A3" s="125"/>
      <c r="B3" s="550">
        <v>2020</v>
      </c>
      <c r="C3" s="551">
        <v>2021</v>
      </c>
    </row>
    <row r="4" spans="1:9" ht="13.5" thickBot="1" x14ac:dyDescent="0.25">
      <c r="A4" s="387" t="s">
        <v>2169</v>
      </c>
      <c r="B4" s="352" t="s">
        <v>2206</v>
      </c>
      <c r="C4" s="390" t="s">
        <v>2206</v>
      </c>
    </row>
    <row r="5" spans="1:9" x14ac:dyDescent="0.2">
      <c r="A5" s="85" t="s">
        <v>2151</v>
      </c>
      <c r="B5" s="354">
        <f t="shared" ref="B5:C5" si="0">SUM(B6:B8)</f>
        <v>665</v>
      </c>
      <c r="C5" s="309">
        <f t="shared" si="0"/>
        <v>20000</v>
      </c>
    </row>
    <row r="6" spans="1:9" x14ac:dyDescent="0.2">
      <c r="A6" s="81" t="s">
        <v>2162</v>
      </c>
      <c r="B6" s="286">
        <v>0</v>
      </c>
      <c r="C6" s="308">
        <v>15000</v>
      </c>
    </row>
    <row r="7" spans="1:9" x14ac:dyDescent="0.2">
      <c r="A7" s="81" t="s">
        <v>2163</v>
      </c>
      <c r="B7" s="286">
        <v>0</v>
      </c>
      <c r="C7" s="308">
        <v>0</v>
      </c>
    </row>
    <row r="8" spans="1:9" x14ac:dyDescent="0.2">
      <c r="A8" s="81" t="s">
        <v>2164</v>
      </c>
      <c r="B8" s="286">
        <v>665</v>
      </c>
      <c r="C8" s="308">
        <v>5000</v>
      </c>
    </row>
    <row r="9" spans="1:9" x14ac:dyDescent="0.2">
      <c r="A9" s="85" t="s">
        <v>1359</v>
      </c>
      <c r="B9" s="287">
        <v>0</v>
      </c>
      <c r="C9" s="309">
        <v>20000</v>
      </c>
    </row>
    <row r="10" spans="1:9" x14ac:dyDescent="0.2">
      <c r="A10" s="85" t="s">
        <v>2149</v>
      </c>
      <c r="B10" s="354">
        <f t="shared" ref="B10:C10" si="1">SUM(B11:B12)</f>
        <v>0</v>
      </c>
      <c r="C10" s="309">
        <f t="shared" si="1"/>
        <v>20000</v>
      </c>
    </row>
    <row r="11" spans="1:9" x14ac:dyDescent="0.2">
      <c r="A11" s="81" t="s">
        <v>2162</v>
      </c>
      <c r="B11" s="286">
        <v>0</v>
      </c>
      <c r="C11" s="308">
        <v>20000</v>
      </c>
    </row>
    <row r="12" spans="1:9" x14ac:dyDescent="0.2">
      <c r="A12" s="81" t="s">
        <v>2170</v>
      </c>
      <c r="B12" s="286">
        <v>0</v>
      </c>
      <c r="C12" s="308">
        <v>0</v>
      </c>
    </row>
    <row r="13" spans="1:9" x14ac:dyDescent="0.2">
      <c r="A13" s="85" t="s">
        <v>2168</v>
      </c>
      <c r="B13" s="287">
        <v>0</v>
      </c>
      <c r="C13" s="308">
        <v>3000</v>
      </c>
    </row>
    <row r="14" spans="1:9" x14ac:dyDescent="0.2">
      <c r="A14" s="85" t="s">
        <v>2152</v>
      </c>
      <c r="B14" s="287">
        <v>0</v>
      </c>
      <c r="C14" s="310">
        <v>0</v>
      </c>
    </row>
    <row r="15" spans="1:9" x14ac:dyDescent="0.2">
      <c r="A15" s="172" t="s">
        <v>2153</v>
      </c>
      <c r="B15" s="289">
        <f t="shared" ref="B15:C15" si="2">B5+B9+B10+B13+B14</f>
        <v>665</v>
      </c>
      <c r="C15" s="272">
        <f t="shared" si="2"/>
        <v>63000</v>
      </c>
    </row>
    <row r="16" spans="1:9" s="389" customFormat="1" x14ac:dyDescent="0.2">
      <c r="A16" s="350" t="s">
        <v>2171</v>
      </c>
      <c r="B16" s="303">
        <f t="shared" ref="B16:C16" si="3">(B15-B13)*-0.15</f>
        <v>-99.75</v>
      </c>
      <c r="C16" s="304">
        <f t="shared" si="3"/>
        <v>-9000</v>
      </c>
    </row>
    <row r="17" spans="1:3" x14ac:dyDescent="0.2">
      <c r="A17" s="172" t="s">
        <v>2154</v>
      </c>
      <c r="B17" s="289">
        <f t="shared" ref="B17:C17" si="4">B15+B16</f>
        <v>565.25</v>
      </c>
      <c r="C17" s="272">
        <f t="shared" si="4"/>
        <v>54000</v>
      </c>
    </row>
    <row r="18" spans="1:3" x14ac:dyDescent="0.2">
      <c r="A18" s="81"/>
      <c r="B18" s="286"/>
      <c r="C18" s="308"/>
    </row>
    <row r="19" spans="1:3" x14ac:dyDescent="0.2">
      <c r="A19" s="81" t="s">
        <v>1536</v>
      </c>
      <c r="B19" s="286">
        <v>0</v>
      </c>
      <c r="C19" s="308">
        <v>0</v>
      </c>
    </row>
    <row r="20" spans="1:3" x14ac:dyDescent="0.2">
      <c r="A20" s="81" t="s">
        <v>2157</v>
      </c>
      <c r="B20" s="286">
        <v>0</v>
      </c>
      <c r="C20" s="308">
        <v>0</v>
      </c>
    </row>
    <row r="21" spans="1:3" x14ac:dyDescent="0.2">
      <c r="A21" s="81" t="s">
        <v>1537</v>
      </c>
      <c r="B21" s="286">
        <v>0</v>
      </c>
      <c r="C21" s="308">
        <v>0</v>
      </c>
    </row>
    <row r="22" spans="1:3" x14ac:dyDescent="0.2">
      <c r="A22" s="81" t="s">
        <v>1236</v>
      </c>
      <c r="B22" s="286">
        <v>0</v>
      </c>
      <c r="C22" s="308">
        <v>0</v>
      </c>
    </row>
    <row r="23" spans="1:3" x14ac:dyDescent="0.2">
      <c r="A23" s="82" t="s">
        <v>2156</v>
      </c>
      <c r="B23" s="286">
        <v>0</v>
      </c>
      <c r="C23" s="308">
        <v>0</v>
      </c>
    </row>
    <row r="24" spans="1:3" x14ac:dyDescent="0.2">
      <c r="A24" s="82" t="s">
        <v>2176</v>
      </c>
      <c r="B24" s="286">
        <v>0</v>
      </c>
      <c r="C24" s="308">
        <v>0</v>
      </c>
    </row>
    <row r="25" spans="1:3" x14ac:dyDescent="0.2">
      <c r="A25" s="82" t="s">
        <v>2172</v>
      </c>
      <c r="B25" s="286">
        <v>0</v>
      </c>
      <c r="C25" s="308">
        <v>0</v>
      </c>
    </row>
    <row r="26" spans="1:3" x14ac:dyDescent="0.2">
      <c r="A26" s="82" t="s">
        <v>1239</v>
      </c>
      <c r="B26" s="286">
        <v>0</v>
      </c>
      <c r="C26" s="308">
        <v>0</v>
      </c>
    </row>
    <row r="27" spans="1:3" x14ac:dyDescent="0.2">
      <c r="A27" s="82" t="s">
        <v>1240</v>
      </c>
      <c r="B27" s="286">
        <v>0</v>
      </c>
      <c r="C27" s="308">
        <v>0</v>
      </c>
    </row>
    <row r="28" spans="1:3" x14ac:dyDescent="0.2">
      <c r="A28" s="82" t="s">
        <v>1241</v>
      </c>
      <c r="B28" s="286">
        <v>0</v>
      </c>
      <c r="C28" s="308">
        <v>0</v>
      </c>
    </row>
    <row r="29" spans="1:3" x14ac:dyDescent="0.2">
      <c r="A29" s="82" t="s">
        <v>2167</v>
      </c>
      <c r="B29" s="286">
        <v>0</v>
      </c>
      <c r="C29" s="308">
        <v>0</v>
      </c>
    </row>
    <row r="30" spans="1:3" x14ac:dyDescent="0.2">
      <c r="A30" s="82" t="s">
        <v>1244</v>
      </c>
      <c r="B30" s="286">
        <v>0</v>
      </c>
      <c r="C30" s="308">
        <v>1000</v>
      </c>
    </row>
    <row r="31" spans="1:3" x14ac:dyDescent="0.2">
      <c r="A31" s="82" t="s">
        <v>1245</v>
      </c>
      <c r="B31" s="286">
        <v>0</v>
      </c>
      <c r="C31" s="308">
        <v>150</v>
      </c>
    </row>
    <row r="32" spans="1:3" x14ac:dyDescent="0.2">
      <c r="A32" s="82" t="s">
        <v>1246</v>
      </c>
      <c r="B32" s="286">
        <v>0</v>
      </c>
      <c r="C32" s="308">
        <v>0</v>
      </c>
    </row>
    <row r="33" spans="1:4" x14ac:dyDescent="0.2">
      <c r="A33" s="82" t="s">
        <v>1247</v>
      </c>
      <c r="B33" s="286">
        <v>0</v>
      </c>
      <c r="C33" s="308">
        <v>250</v>
      </c>
    </row>
    <row r="34" spans="1:4" x14ac:dyDescent="0.2">
      <c r="A34" s="208" t="s">
        <v>2207</v>
      </c>
      <c r="B34" s="286">
        <v>0</v>
      </c>
      <c r="C34" s="308">
        <v>500</v>
      </c>
    </row>
    <row r="35" spans="1:4" x14ac:dyDescent="0.2">
      <c r="A35" s="208" t="s">
        <v>2204</v>
      </c>
      <c r="B35" s="286">
        <v>0</v>
      </c>
      <c r="C35" s="308">
        <v>500</v>
      </c>
    </row>
    <row r="36" spans="1:4" x14ac:dyDescent="0.2">
      <c r="A36" s="82" t="s">
        <v>1250</v>
      </c>
      <c r="B36" s="286">
        <v>0</v>
      </c>
      <c r="C36" s="308">
        <v>500</v>
      </c>
    </row>
    <row r="37" spans="1:4" s="553" customFormat="1" x14ac:dyDescent="0.2">
      <c r="A37" s="82" t="s">
        <v>2239</v>
      </c>
      <c r="B37" s="286"/>
      <c r="C37" s="308">
        <v>0</v>
      </c>
    </row>
    <row r="38" spans="1:4" x14ac:dyDescent="0.2">
      <c r="A38" s="82" t="s">
        <v>1251</v>
      </c>
      <c r="B38" s="286">
        <v>0</v>
      </c>
      <c r="C38" s="308">
        <v>0</v>
      </c>
    </row>
    <row r="39" spans="1:4" x14ac:dyDescent="0.2">
      <c r="A39" s="82" t="s">
        <v>2178</v>
      </c>
      <c r="B39" s="286">
        <v>0</v>
      </c>
      <c r="C39" s="308">
        <v>0</v>
      </c>
    </row>
    <row r="40" spans="1:4" ht="18" customHeight="1" x14ac:dyDescent="0.2">
      <c r="A40" s="82" t="s">
        <v>1308</v>
      </c>
      <c r="B40" s="615"/>
      <c r="C40" s="610"/>
    </row>
    <row r="41" spans="1:4" x14ac:dyDescent="0.2">
      <c r="A41" s="82" t="s">
        <v>1844</v>
      </c>
      <c r="B41" s="286">
        <v>0</v>
      </c>
      <c r="C41" s="309">
        <v>40000</v>
      </c>
      <c r="D41" s="484" t="s">
        <v>2210</v>
      </c>
    </row>
    <row r="42" spans="1:4" x14ac:dyDescent="0.2">
      <c r="A42" s="82" t="s">
        <v>2166</v>
      </c>
      <c r="B42" s="286">
        <v>0</v>
      </c>
      <c r="C42" s="308">
        <v>2000</v>
      </c>
    </row>
    <row r="43" spans="1:4" x14ac:dyDescent="0.2">
      <c r="A43" s="82" t="s">
        <v>2165</v>
      </c>
      <c r="B43" s="286">
        <v>0</v>
      </c>
      <c r="C43" s="308">
        <v>1000</v>
      </c>
    </row>
    <row r="44" spans="1:4" x14ac:dyDescent="0.2">
      <c r="A44" s="82" t="s">
        <v>2202</v>
      </c>
      <c r="B44" s="286">
        <v>0</v>
      </c>
      <c r="C44" s="308">
        <v>0</v>
      </c>
    </row>
    <row r="45" spans="1:4" x14ac:dyDescent="0.2">
      <c r="A45" s="82" t="s">
        <v>1256</v>
      </c>
      <c r="B45" s="286">
        <v>0</v>
      </c>
      <c r="C45" s="308">
        <v>0</v>
      </c>
    </row>
    <row r="46" spans="1:4" x14ac:dyDescent="0.2">
      <c r="A46" s="82" t="s">
        <v>2191</v>
      </c>
      <c r="B46" s="286">
        <v>0</v>
      </c>
      <c r="C46" s="308">
        <v>0</v>
      </c>
    </row>
    <row r="47" spans="1:4" x14ac:dyDescent="0.2">
      <c r="A47" s="82" t="s">
        <v>1257</v>
      </c>
      <c r="B47" s="286">
        <v>0</v>
      </c>
      <c r="C47" s="308">
        <v>0</v>
      </c>
    </row>
    <row r="48" spans="1:4" x14ac:dyDescent="0.2">
      <c r="A48" s="82" t="s">
        <v>2159</v>
      </c>
      <c r="B48" s="286">
        <v>0</v>
      </c>
      <c r="C48" s="308">
        <v>0</v>
      </c>
    </row>
    <row r="49" spans="1:3" x14ac:dyDescent="0.2">
      <c r="A49" s="82" t="s">
        <v>1259</v>
      </c>
      <c r="B49" s="286">
        <v>0</v>
      </c>
      <c r="C49" s="308">
        <v>0</v>
      </c>
    </row>
    <row r="50" spans="1:3" x14ac:dyDescent="0.2">
      <c r="A50" s="82" t="s">
        <v>1260</v>
      </c>
      <c r="B50" s="286">
        <v>0</v>
      </c>
      <c r="C50" s="308">
        <v>0</v>
      </c>
    </row>
    <row r="51" spans="1:3" x14ac:dyDescent="0.2">
      <c r="A51" s="82" t="s">
        <v>2158</v>
      </c>
      <c r="B51" s="286">
        <v>0</v>
      </c>
      <c r="C51" s="308">
        <v>0</v>
      </c>
    </row>
    <row r="52" spans="1:3" s="82" customFormat="1" x14ac:dyDescent="0.2">
      <c r="A52" s="82" t="s">
        <v>2250</v>
      </c>
      <c r="B52" s="286">
        <v>0</v>
      </c>
      <c r="C52" s="308">
        <v>0</v>
      </c>
    </row>
    <row r="53" spans="1:3" x14ac:dyDescent="0.2">
      <c r="A53" s="82" t="s">
        <v>1262</v>
      </c>
      <c r="B53" s="286">
        <v>0</v>
      </c>
      <c r="C53" s="308">
        <v>0</v>
      </c>
    </row>
    <row r="54" spans="1:3" x14ac:dyDescent="0.2">
      <c r="A54" s="82" t="s">
        <v>1263</v>
      </c>
      <c r="B54" s="286">
        <v>0</v>
      </c>
      <c r="C54" s="308">
        <v>0</v>
      </c>
    </row>
    <row r="55" spans="1:3" x14ac:dyDescent="0.2">
      <c r="A55" s="82" t="s">
        <v>2177</v>
      </c>
      <c r="B55" s="286">
        <v>0</v>
      </c>
      <c r="C55" s="308">
        <v>0</v>
      </c>
    </row>
    <row r="56" spans="1:3" x14ac:dyDescent="0.2">
      <c r="A56" s="82" t="s">
        <v>2203</v>
      </c>
      <c r="B56" s="286">
        <v>0</v>
      </c>
      <c r="C56" s="308">
        <v>0</v>
      </c>
    </row>
    <row r="57" spans="1:3" ht="13.5" thickBot="1" x14ac:dyDescent="0.25">
      <c r="A57" s="102" t="s">
        <v>1269</v>
      </c>
      <c r="B57" s="290">
        <v>0</v>
      </c>
      <c r="C57" s="357">
        <v>0</v>
      </c>
    </row>
    <row r="58" spans="1:3" x14ac:dyDescent="0.2">
      <c r="A58" s="171" t="s">
        <v>1278</v>
      </c>
      <c r="B58" s="291">
        <f t="shared" ref="B58:C58" si="5">SUM(B19:B57)</f>
        <v>0</v>
      </c>
      <c r="C58" s="292">
        <f t="shared" si="5"/>
        <v>45900</v>
      </c>
    </row>
    <row r="59" spans="1:3" x14ac:dyDescent="0.2">
      <c r="A59" s="171" t="s">
        <v>1276</v>
      </c>
      <c r="B59" s="293">
        <f t="shared" ref="B59:C59" si="6">B17-B58</f>
        <v>565.25</v>
      </c>
      <c r="C59" s="294">
        <f t="shared" si="6"/>
        <v>8100</v>
      </c>
    </row>
    <row r="60" spans="1:3" ht="13.5" thickBot="1" x14ac:dyDescent="0.25">
      <c r="A60" s="175"/>
      <c r="B60" s="332"/>
      <c r="C60" s="333"/>
    </row>
    <row r="61" spans="1:3" ht="13.5" thickBot="1" x14ac:dyDescent="0.25">
      <c r="A61" s="141" t="s">
        <v>2155</v>
      </c>
      <c r="B61" s="358">
        <v>0</v>
      </c>
      <c r="C61" s="583">
        <v>10</v>
      </c>
    </row>
    <row r="62" spans="1:3" x14ac:dyDescent="0.2">
      <c r="A62" s="144"/>
      <c r="B62" s="345"/>
      <c r="C62" s="187"/>
    </row>
    <row r="63" spans="1:3" ht="13.5" thickBot="1" x14ac:dyDescent="0.25">
      <c r="A63" s="146"/>
      <c r="B63" s="146"/>
      <c r="C63" s="188"/>
    </row>
    <row r="64" spans="1:3" s="483" customFormat="1" ht="13.5" thickBot="1" x14ac:dyDescent="0.25">
      <c r="A64" s="497" t="s">
        <v>2215</v>
      </c>
      <c r="B64" s="118">
        <v>2020</v>
      </c>
      <c r="C64" s="516">
        <v>2021</v>
      </c>
    </row>
    <row r="65" spans="1:13" x14ac:dyDescent="0.2">
      <c r="A65" s="485" t="s">
        <v>2216</v>
      </c>
      <c r="B65" s="287" t="e">
        <f>B41/B61</f>
        <v>#DIV/0!</v>
      </c>
      <c r="C65" s="287">
        <f>C41/C61</f>
        <v>4000</v>
      </c>
    </row>
    <row r="66" spans="1:13" x14ac:dyDescent="0.2">
      <c r="A66" s="151" t="s">
        <v>2217</v>
      </c>
      <c r="B66" s="287" t="e">
        <f>B42/B62</f>
        <v>#DIV/0!</v>
      </c>
      <c r="C66" s="287">
        <f>C42/C61</f>
        <v>200</v>
      </c>
    </row>
    <row r="67" spans="1:13" x14ac:dyDescent="0.2">
      <c r="A67" s="151" t="s">
        <v>2218</v>
      </c>
      <c r="B67" s="287" t="e">
        <f>B43/B63</f>
        <v>#DIV/0!</v>
      </c>
      <c r="C67" s="517">
        <f>C43/C61</f>
        <v>100</v>
      </c>
    </row>
    <row r="68" spans="1:13" x14ac:dyDescent="0.2">
      <c r="A68" s="196" t="s">
        <v>2219</v>
      </c>
      <c r="B68" s="520" t="e">
        <f>SUM(B65:B67)</f>
        <v>#DIV/0!</v>
      </c>
      <c r="C68" s="521">
        <f>SUM(C65:C67)</f>
        <v>4300</v>
      </c>
    </row>
    <row r="69" spans="1:13" x14ac:dyDescent="0.2">
      <c r="A69" s="151" t="s">
        <v>2220</v>
      </c>
      <c r="B69" s="287" t="e">
        <f t="shared" ref="B69" si="7">B45/B65</f>
        <v>#DIV/0!</v>
      </c>
      <c r="C69" s="517">
        <f>-C16/C61</f>
        <v>900</v>
      </c>
    </row>
    <row r="70" spans="1:13" s="483" customFormat="1" x14ac:dyDescent="0.2">
      <c r="A70" s="485"/>
      <c r="B70" s="287"/>
      <c r="C70" s="517"/>
    </row>
    <row r="71" spans="1:13" s="483" customFormat="1" ht="13.5" thickBot="1" x14ac:dyDescent="0.25">
      <c r="A71" s="148" t="s">
        <v>2221</v>
      </c>
      <c r="B71" s="331">
        <v>0</v>
      </c>
      <c r="C71" s="547">
        <f>C58/C61</f>
        <v>4590</v>
      </c>
    </row>
    <row r="72" spans="1:13" s="483" customFormat="1" x14ac:dyDescent="0.2">
      <c r="A72" s="201"/>
      <c r="B72" s="327"/>
      <c r="C72" s="349"/>
    </row>
    <row r="73" spans="1:13" ht="26.25" customHeight="1" x14ac:dyDescent="0.2">
      <c r="A73" s="482" t="s">
        <v>2212</v>
      </c>
      <c r="B73" s="253">
        <v>10000</v>
      </c>
      <c r="C73" s="645" t="s">
        <v>2213</v>
      </c>
      <c r="D73" s="645"/>
      <c r="E73" s="645"/>
      <c r="F73" s="645"/>
      <c r="G73" s="645"/>
      <c r="H73" s="645"/>
      <c r="I73" s="645"/>
      <c r="J73" s="645"/>
      <c r="K73" s="645"/>
      <c r="L73" s="645"/>
      <c r="M73" s="645"/>
    </row>
    <row r="74" spans="1:13" x14ac:dyDescent="0.2">
      <c r="A74" s="146"/>
      <c r="B74" s="146"/>
      <c r="C74" s="190"/>
    </row>
    <row r="75" spans="1:13" x14ac:dyDescent="0.2">
      <c r="A75" s="146"/>
      <c r="B75" s="146"/>
      <c r="C75" s="190"/>
    </row>
    <row r="76" spans="1:13" x14ac:dyDescent="0.2">
      <c r="A76" s="146"/>
      <c r="B76" s="146"/>
      <c r="C76" s="190"/>
    </row>
    <row r="77" spans="1:13" x14ac:dyDescent="0.2">
      <c r="A77" s="146"/>
      <c r="B77" s="146"/>
      <c r="C77" s="190"/>
    </row>
    <row r="78" spans="1:13" x14ac:dyDescent="0.2">
      <c r="A78" s="146"/>
      <c r="B78" s="146"/>
      <c r="C78" s="191"/>
    </row>
    <row r="79" spans="1:13" x14ac:dyDescent="0.2">
      <c r="A79" s="146"/>
      <c r="B79" s="146"/>
      <c r="C79" s="188"/>
    </row>
  </sheetData>
  <mergeCells count="1">
    <mergeCell ref="C73:M73"/>
  </mergeCells>
  <printOptions gridLines="1"/>
  <pageMargins left="0.7" right="0.7" top="0.75" bottom="0.75" header="0.3" footer="0.3"/>
  <pageSetup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8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1" sqref="A1:L71"/>
    </sheetView>
  </sheetViews>
  <sheetFormatPr defaultColWidth="8.85546875" defaultRowHeight="12.75" x14ac:dyDescent="0.2"/>
  <cols>
    <col min="1" max="1" width="34.28515625" style="147" bestFit="1" customWidth="1"/>
    <col min="2" max="2" width="10.85546875" style="147" customWidth="1"/>
    <col min="3" max="3" width="10.140625" style="147" bestFit="1" customWidth="1"/>
    <col min="4" max="4" width="4.28515625" style="147" customWidth="1"/>
    <col min="5" max="5" width="10.85546875" style="147" customWidth="1"/>
    <col min="6" max="6" width="10" style="147" customWidth="1"/>
    <col min="7" max="7" width="5" style="147" customWidth="1"/>
    <col min="8" max="8" width="10" style="147" customWidth="1"/>
    <col min="9" max="9" width="8.28515625" style="147" bestFit="1" customWidth="1"/>
    <col min="10" max="10" width="5.140625" style="147" customWidth="1"/>
    <col min="11" max="11" width="8.85546875" style="147" bestFit="1" customWidth="1"/>
    <col min="12" max="12" width="8.7109375" style="147" bestFit="1" customWidth="1"/>
    <col min="13" max="14" width="8.85546875" style="147"/>
    <col min="15" max="15" width="9.28515625" style="147" bestFit="1" customWidth="1"/>
    <col min="16" max="16384" width="8.85546875" style="147"/>
  </cols>
  <sheetData>
    <row r="1" spans="1:12" ht="21.75" customHeight="1" x14ac:dyDescent="0.25">
      <c r="A1" s="419" t="s">
        <v>177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8.75" customHeight="1" thickBot="1" x14ac:dyDescent="0.3">
      <c r="A2" s="419" t="s">
        <v>2234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ht="12.75" customHeight="1" thickBot="1" x14ac:dyDescent="0.25">
      <c r="A3" s="193"/>
      <c r="B3" s="550">
        <v>2020</v>
      </c>
      <c r="C3" s="551">
        <v>2021</v>
      </c>
      <c r="D3" s="235"/>
      <c r="E3" s="550">
        <v>2020</v>
      </c>
      <c r="F3" s="551">
        <v>2021</v>
      </c>
      <c r="G3" s="378"/>
      <c r="H3" s="550">
        <v>2020</v>
      </c>
      <c r="I3" s="551">
        <v>2021</v>
      </c>
      <c r="J3" s="235"/>
      <c r="K3" s="558">
        <v>2020</v>
      </c>
      <c r="L3" s="559">
        <v>2021</v>
      </c>
    </row>
    <row r="4" spans="1:12" s="150" customFormat="1" ht="25.5" customHeight="1" x14ac:dyDescent="0.2">
      <c r="A4" s="194" t="s">
        <v>2169</v>
      </c>
      <c r="B4" s="560" t="s">
        <v>2226</v>
      </c>
      <c r="C4" s="620" t="s">
        <v>2174</v>
      </c>
      <c r="D4" s="165"/>
      <c r="E4" s="560" t="s">
        <v>2209</v>
      </c>
      <c r="F4" s="334" t="s">
        <v>440</v>
      </c>
      <c r="G4" s="379"/>
      <c r="H4" s="560" t="s">
        <v>2226</v>
      </c>
      <c r="I4" s="334" t="s">
        <v>1506</v>
      </c>
      <c r="J4" s="379"/>
      <c r="K4" s="563" t="s">
        <v>2226</v>
      </c>
      <c r="L4" s="104" t="s">
        <v>2175</v>
      </c>
    </row>
    <row r="5" spans="1:12" s="150" customFormat="1" ht="12.95" customHeight="1" x14ac:dyDescent="0.2">
      <c r="A5" s="196" t="s">
        <v>2151</v>
      </c>
      <c r="B5" s="285">
        <f t="shared" ref="B5:K5" si="0">SUM(B6:B8)</f>
        <v>4601</v>
      </c>
      <c r="C5" s="267">
        <f t="shared" si="0"/>
        <v>5000</v>
      </c>
      <c r="D5" s="253"/>
      <c r="E5" s="285">
        <f t="shared" si="0"/>
        <v>6054.81</v>
      </c>
      <c r="F5" s="267">
        <f t="shared" si="0"/>
        <v>15000</v>
      </c>
      <c r="G5" s="253"/>
      <c r="H5" s="285">
        <f t="shared" si="0"/>
        <v>2267</v>
      </c>
      <c r="I5" s="267">
        <f t="shared" si="0"/>
        <v>5000</v>
      </c>
      <c r="J5" s="253"/>
      <c r="K5" s="285">
        <f t="shared" si="0"/>
        <v>12922.810000000001</v>
      </c>
      <c r="L5" s="267">
        <f>SUM(L6:L8)</f>
        <v>25000</v>
      </c>
    </row>
    <row r="6" spans="1:12" ht="12.95" customHeight="1" x14ac:dyDescent="0.2">
      <c r="A6" s="151" t="s">
        <v>2162</v>
      </c>
      <c r="B6" s="286">
        <v>0</v>
      </c>
      <c r="C6" s="269"/>
      <c r="D6" s="252"/>
      <c r="E6" s="338">
        <v>0</v>
      </c>
      <c r="F6" s="269">
        <v>10000</v>
      </c>
      <c r="G6" s="252"/>
      <c r="H6" s="338">
        <v>0</v>
      </c>
      <c r="I6" s="269"/>
      <c r="J6" s="252"/>
      <c r="K6" s="338">
        <f>B6+E6+H6</f>
        <v>0</v>
      </c>
      <c r="L6" s="269">
        <f>C6+F6+I6</f>
        <v>10000</v>
      </c>
    </row>
    <row r="7" spans="1:12" ht="12.95" customHeight="1" x14ac:dyDescent="0.2">
      <c r="A7" s="151" t="s">
        <v>2163</v>
      </c>
      <c r="B7" s="286">
        <v>0</v>
      </c>
      <c r="C7" s="269"/>
      <c r="D7" s="252"/>
      <c r="E7" s="338">
        <v>0</v>
      </c>
      <c r="F7" s="269"/>
      <c r="G7" s="252"/>
      <c r="H7" s="338">
        <v>0</v>
      </c>
      <c r="I7" s="269"/>
      <c r="J7" s="252"/>
      <c r="K7" s="338">
        <f t="shared" ref="K7:K9" si="1">B7+E7+H7</f>
        <v>0</v>
      </c>
      <c r="L7" s="269">
        <f t="shared" ref="L7:L9" si="2">C7+F7+I7</f>
        <v>0</v>
      </c>
    </row>
    <row r="8" spans="1:12" ht="12.95" customHeight="1" x14ac:dyDescent="0.2">
      <c r="A8" s="151" t="s">
        <v>2164</v>
      </c>
      <c r="B8" s="286">
        <v>4601</v>
      </c>
      <c r="C8" s="269">
        <v>5000</v>
      </c>
      <c r="D8" s="252"/>
      <c r="E8" s="338">
        <v>6054.81</v>
      </c>
      <c r="F8" s="269">
        <v>5000</v>
      </c>
      <c r="G8" s="252"/>
      <c r="H8" s="338">
        <v>2267</v>
      </c>
      <c r="I8" s="269">
        <v>5000</v>
      </c>
      <c r="J8" s="252"/>
      <c r="K8" s="338">
        <f t="shared" si="1"/>
        <v>12922.810000000001</v>
      </c>
      <c r="L8" s="269">
        <f t="shared" si="2"/>
        <v>15000</v>
      </c>
    </row>
    <row r="9" spans="1:12" s="150" customFormat="1" ht="12.95" customHeight="1" x14ac:dyDescent="0.2">
      <c r="A9" s="196" t="s">
        <v>1359</v>
      </c>
      <c r="B9" s="287">
        <v>21400</v>
      </c>
      <c r="C9" s="567">
        <v>25000</v>
      </c>
      <c r="D9" s="253"/>
      <c r="E9" s="285">
        <v>18513.02</v>
      </c>
      <c r="F9" s="267">
        <v>25000</v>
      </c>
      <c r="G9" s="253"/>
      <c r="H9" s="285">
        <v>0</v>
      </c>
      <c r="I9" s="267">
        <v>0</v>
      </c>
      <c r="J9" s="253"/>
      <c r="K9" s="285">
        <f t="shared" si="1"/>
        <v>39913.020000000004</v>
      </c>
      <c r="L9" s="267">
        <f t="shared" si="2"/>
        <v>50000</v>
      </c>
    </row>
    <row r="10" spans="1:12" s="150" customFormat="1" ht="12.95" customHeight="1" x14ac:dyDescent="0.2">
      <c r="A10" s="196" t="s">
        <v>2149</v>
      </c>
      <c r="B10" s="285">
        <f t="shared" ref="B10:K10" si="3">SUM(B11:B12)</f>
        <v>500</v>
      </c>
      <c r="C10" s="267">
        <f t="shared" si="3"/>
        <v>500</v>
      </c>
      <c r="D10" s="253"/>
      <c r="E10" s="285">
        <f t="shared" si="3"/>
        <v>2500</v>
      </c>
      <c r="F10" s="267">
        <f t="shared" si="3"/>
        <v>10000</v>
      </c>
      <c r="G10" s="253"/>
      <c r="H10" s="285">
        <f t="shared" si="3"/>
        <v>0</v>
      </c>
      <c r="I10" s="267">
        <f t="shared" si="3"/>
        <v>5000</v>
      </c>
      <c r="J10" s="253"/>
      <c r="K10" s="285">
        <f t="shared" si="3"/>
        <v>3000</v>
      </c>
      <c r="L10" s="267">
        <f>SUM(L11:L12)</f>
        <v>15500</v>
      </c>
    </row>
    <row r="11" spans="1:12" ht="12.95" customHeight="1" x14ac:dyDescent="0.2">
      <c r="A11" s="151" t="s">
        <v>2162</v>
      </c>
      <c r="B11" s="286">
        <v>0</v>
      </c>
      <c r="C11" s="269"/>
      <c r="D11" s="252"/>
      <c r="E11" s="338"/>
      <c r="F11" s="269">
        <v>10000</v>
      </c>
      <c r="G11" s="252"/>
      <c r="H11" s="338">
        <v>0</v>
      </c>
      <c r="I11" s="269">
        <v>5000</v>
      </c>
      <c r="J11" s="252"/>
      <c r="K11" s="338">
        <f t="shared" ref="K11:K14" si="4">B11+E11+H11</f>
        <v>0</v>
      </c>
      <c r="L11" s="269">
        <f t="shared" ref="L11:L14" si="5">C11+F11+I11</f>
        <v>15000</v>
      </c>
    </row>
    <row r="12" spans="1:12" ht="12.95" customHeight="1" x14ac:dyDescent="0.2">
      <c r="A12" s="151" t="s">
        <v>2170</v>
      </c>
      <c r="B12" s="286">
        <v>500</v>
      </c>
      <c r="C12" s="269">
        <v>500</v>
      </c>
      <c r="D12" s="252"/>
      <c r="E12" s="338">
        <v>2500</v>
      </c>
      <c r="F12" s="269">
        <v>0</v>
      </c>
      <c r="G12" s="252"/>
      <c r="H12" s="338">
        <v>0</v>
      </c>
      <c r="I12" s="269">
        <v>0</v>
      </c>
      <c r="J12" s="252"/>
      <c r="K12" s="338">
        <f t="shared" si="4"/>
        <v>3000</v>
      </c>
      <c r="L12" s="269">
        <f t="shared" si="5"/>
        <v>500</v>
      </c>
    </row>
    <row r="13" spans="1:12" s="150" customFormat="1" ht="12.95" customHeight="1" x14ac:dyDescent="0.2">
      <c r="A13" s="196" t="s">
        <v>2168</v>
      </c>
      <c r="B13" s="287">
        <f>400+1308+1593.99</f>
        <v>3301.99</v>
      </c>
      <c r="C13" s="267">
        <v>9000</v>
      </c>
      <c r="D13" s="253"/>
      <c r="E13" s="285">
        <f>2124.91+2820.45</f>
        <v>4945.3599999999997</v>
      </c>
      <c r="F13" s="267">
        <v>9890</v>
      </c>
      <c r="G13" s="253"/>
      <c r="H13" s="285">
        <f>1725+317.58</f>
        <v>2042.58</v>
      </c>
      <c r="I13" s="267">
        <v>3000</v>
      </c>
      <c r="J13" s="253"/>
      <c r="K13" s="285">
        <f t="shared" si="4"/>
        <v>10289.929999999998</v>
      </c>
      <c r="L13" s="267">
        <f t="shared" si="5"/>
        <v>21890</v>
      </c>
    </row>
    <row r="14" spans="1:12" s="376" customFormat="1" ht="12.95" customHeight="1" x14ac:dyDescent="0.2">
      <c r="A14" s="326" t="s">
        <v>2152</v>
      </c>
      <c r="B14" s="288">
        <v>-6699.28</v>
      </c>
      <c r="C14" s="584">
        <v>-5000</v>
      </c>
      <c r="D14" s="305"/>
      <c r="E14" s="344">
        <v>-3272.13</v>
      </c>
      <c r="F14" s="342">
        <v>-3000</v>
      </c>
      <c r="G14" s="305"/>
      <c r="H14" s="344">
        <v>0</v>
      </c>
      <c r="I14" s="342">
        <v>0</v>
      </c>
      <c r="J14" s="305"/>
      <c r="K14" s="344">
        <f t="shared" si="4"/>
        <v>-9971.41</v>
      </c>
      <c r="L14" s="342">
        <f t="shared" si="5"/>
        <v>-8000</v>
      </c>
    </row>
    <row r="15" spans="1:12" s="244" customFormat="1" ht="12.95" customHeight="1" x14ac:dyDescent="0.2">
      <c r="A15" s="197" t="s">
        <v>2153</v>
      </c>
      <c r="B15" s="289">
        <f>B5+B9+B10+B13+B14</f>
        <v>23103.71</v>
      </c>
      <c r="C15" s="272">
        <f>C5+C9+C10+C13+C14</f>
        <v>34500</v>
      </c>
      <c r="D15" s="253"/>
      <c r="E15" s="289">
        <f t="shared" ref="E15:K15" si="6">E5+E9+E10+E13+E14</f>
        <v>28741.06</v>
      </c>
      <c r="F15" s="272">
        <f t="shared" si="6"/>
        <v>56890</v>
      </c>
      <c r="G15" s="253"/>
      <c r="H15" s="289">
        <f t="shared" si="6"/>
        <v>4309.58</v>
      </c>
      <c r="I15" s="272">
        <f t="shared" si="6"/>
        <v>13000</v>
      </c>
      <c r="J15" s="253"/>
      <c r="K15" s="289">
        <f t="shared" si="6"/>
        <v>56154.349999999991</v>
      </c>
      <c r="L15" s="272">
        <f>L5+L9+L10+L13+L14</f>
        <v>104390</v>
      </c>
    </row>
    <row r="16" spans="1:12" s="322" customFormat="1" ht="12.95" customHeight="1" x14ac:dyDescent="0.2">
      <c r="A16" s="321" t="s">
        <v>2171</v>
      </c>
      <c r="B16" s="303">
        <v>-3067.88</v>
      </c>
      <c r="C16" s="304">
        <f>(C15-C13)*-0.15</f>
        <v>-3825</v>
      </c>
      <c r="D16" s="305"/>
      <c r="E16" s="303">
        <v>-610.66</v>
      </c>
      <c r="F16" s="304">
        <f t="shared" ref="F16:I16" si="7">(F15-F13)*-0.15</f>
        <v>-7050</v>
      </c>
      <c r="G16" s="305"/>
      <c r="H16" s="303">
        <v>-348.67</v>
      </c>
      <c r="I16" s="304">
        <f t="shared" si="7"/>
        <v>-1500</v>
      </c>
      <c r="J16" s="305"/>
      <c r="K16" s="303">
        <f>B16+E16+H16</f>
        <v>-4027.21</v>
      </c>
      <c r="L16" s="304">
        <f>(L15-L13)*-0.15</f>
        <v>-12375</v>
      </c>
    </row>
    <row r="17" spans="1:12" s="244" customFormat="1" ht="12.95" customHeight="1" x14ac:dyDescent="0.2">
      <c r="A17" s="197" t="s">
        <v>2154</v>
      </c>
      <c r="B17" s="289">
        <f t="shared" ref="B17:K17" si="8">B15+B16</f>
        <v>20035.829999999998</v>
      </c>
      <c r="C17" s="272">
        <f t="shared" si="8"/>
        <v>30675</v>
      </c>
      <c r="D17" s="253"/>
      <c r="E17" s="289">
        <f t="shared" si="8"/>
        <v>28130.400000000001</v>
      </c>
      <c r="F17" s="272">
        <f t="shared" si="8"/>
        <v>49840</v>
      </c>
      <c r="G17" s="253"/>
      <c r="H17" s="289">
        <f t="shared" si="8"/>
        <v>3960.91</v>
      </c>
      <c r="I17" s="272">
        <f t="shared" si="8"/>
        <v>11500</v>
      </c>
      <c r="J17" s="253"/>
      <c r="K17" s="289">
        <f t="shared" si="8"/>
        <v>52127.139999999992</v>
      </c>
      <c r="L17" s="272">
        <f t="shared" ref="L17" si="9">L15+L16</f>
        <v>92015</v>
      </c>
    </row>
    <row r="18" spans="1:12" ht="12.95" customHeight="1" x14ac:dyDescent="0.2">
      <c r="A18" s="151"/>
      <c r="B18" s="286"/>
      <c r="C18" s="269"/>
      <c r="D18" s="252"/>
      <c r="E18" s="338"/>
      <c r="F18" s="269"/>
      <c r="G18" s="252"/>
      <c r="H18" s="338"/>
      <c r="I18" s="269"/>
      <c r="J18" s="252"/>
      <c r="K18" s="338"/>
      <c r="L18" s="269"/>
    </row>
    <row r="19" spans="1:12" ht="12.95" customHeight="1" x14ac:dyDescent="0.2">
      <c r="A19" s="151" t="s">
        <v>1536</v>
      </c>
      <c r="B19" s="286">
        <v>0</v>
      </c>
      <c r="C19" s="269">
        <v>0</v>
      </c>
      <c r="D19" s="252"/>
      <c r="E19" s="338">
        <v>0</v>
      </c>
      <c r="F19" s="269">
        <v>0</v>
      </c>
      <c r="G19" s="252"/>
      <c r="H19" s="338">
        <v>0</v>
      </c>
      <c r="I19" s="269">
        <v>0</v>
      </c>
      <c r="J19" s="252"/>
      <c r="K19" s="338">
        <f t="shared" ref="K19:K57" si="10">B19+E19+H19</f>
        <v>0</v>
      </c>
      <c r="L19" s="267">
        <f t="shared" ref="L19:L57" si="11">C19+F19+I19</f>
        <v>0</v>
      </c>
    </row>
    <row r="20" spans="1:12" ht="12.95" customHeight="1" x14ac:dyDescent="0.2">
      <c r="A20" s="151" t="s">
        <v>2157</v>
      </c>
      <c r="B20" s="286">
        <v>0</v>
      </c>
      <c r="C20" s="269">
        <v>0</v>
      </c>
      <c r="D20" s="252"/>
      <c r="E20" s="338">
        <v>0</v>
      </c>
      <c r="F20" s="269">
        <v>0</v>
      </c>
      <c r="G20" s="252"/>
      <c r="H20" s="338">
        <v>0</v>
      </c>
      <c r="I20" s="269">
        <v>0</v>
      </c>
      <c r="J20" s="252"/>
      <c r="K20" s="338">
        <f t="shared" si="10"/>
        <v>0</v>
      </c>
      <c r="L20" s="267">
        <f t="shared" si="11"/>
        <v>0</v>
      </c>
    </row>
    <row r="21" spans="1:12" ht="12.95" customHeight="1" x14ac:dyDescent="0.2">
      <c r="A21" s="151" t="s">
        <v>1537</v>
      </c>
      <c r="B21" s="286">
        <v>0</v>
      </c>
      <c r="C21" s="269">
        <v>0</v>
      </c>
      <c r="D21" s="252"/>
      <c r="E21" s="338">
        <v>0</v>
      </c>
      <c r="F21" s="269">
        <v>0</v>
      </c>
      <c r="G21" s="252"/>
      <c r="H21" s="338">
        <v>0</v>
      </c>
      <c r="I21" s="269">
        <v>0</v>
      </c>
      <c r="J21" s="252"/>
      <c r="K21" s="338">
        <f t="shared" si="10"/>
        <v>0</v>
      </c>
      <c r="L21" s="267">
        <f t="shared" si="11"/>
        <v>0</v>
      </c>
    </row>
    <row r="22" spans="1:12" ht="12.95" customHeight="1" x14ac:dyDescent="0.2">
      <c r="A22" s="151" t="s">
        <v>1236</v>
      </c>
      <c r="B22" s="286">
        <v>0</v>
      </c>
      <c r="C22" s="269">
        <v>0</v>
      </c>
      <c r="D22" s="252"/>
      <c r="E22" s="338">
        <v>135.43</v>
      </c>
      <c r="F22" s="269">
        <v>150</v>
      </c>
      <c r="G22" s="252"/>
      <c r="H22" s="338">
        <v>0</v>
      </c>
      <c r="I22" s="269">
        <v>0</v>
      </c>
      <c r="J22" s="252"/>
      <c r="K22" s="338">
        <f t="shared" si="10"/>
        <v>135.43</v>
      </c>
      <c r="L22" s="267">
        <f t="shared" si="11"/>
        <v>150</v>
      </c>
    </row>
    <row r="23" spans="1:12" ht="12.95" customHeight="1" x14ac:dyDescent="0.2">
      <c r="A23" s="146" t="s">
        <v>2156</v>
      </c>
      <c r="B23" s="286">
        <v>0</v>
      </c>
      <c r="C23" s="269">
        <v>0</v>
      </c>
      <c r="D23" s="252"/>
      <c r="E23" s="338">
        <v>0</v>
      </c>
      <c r="F23" s="269">
        <v>0</v>
      </c>
      <c r="G23" s="252"/>
      <c r="H23" s="338">
        <v>0</v>
      </c>
      <c r="I23" s="269">
        <v>0</v>
      </c>
      <c r="J23" s="252"/>
      <c r="K23" s="338">
        <f t="shared" si="10"/>
        <v>0</v>
      </c>
      <c r="L23" s="267">
        <f t="shared" si="11"/>
        <v>0</v>
      </c>
    </row>
    <row r="24" spans="1:12" ht="12.95" customHeight="1" x14ac:dyDescent="0.2">
      <c r="A24" s="146" t="s">
        <v>2176</v>
      </c>
      <c r="B24" s="286">
        <v>0</v>
      </c>
      <c r="C24" s="269">
        <v>0</v>
      </c>
      <c r="D24" s="252"/>
      <c r="E24" s="338">
        <v>0</v>
      </c>
      <c r="F24" s="269">
        <v>0</v>
      </c>
      <c r="G24" s="252"/>
      <c r="H24" s="338">
        <v>0</v>
      </c>
      <c r="I24" s="269">
        <v>0</v>
      </c>
      <c r="J24" s="252"/>
      <c r="K24" s="338">
        <f t="shared" si="10"/>
        <v>0</v>
      </c>
      <c r="L24" s="267">
        <f t="shared" si="11"/>
        <v>0</v>
      </c>
    </row>
    <row r="25" spans="1:12" ht="12.95" customHeight="1" x14ac:dyDescent="0.2">
      <c r="A25" s="146" t="s">
        <v>2172</v>
      </c>
      <c r="B25" s="286">
        <v>0</v>
      </c>
      <c r="C25" s="269">
        <v>0</v>
      </c>
      <c r="D25" s="252"/>
      <c r="E25" s="338">
        <v>0</v>
      </c>
      <c r="F25" s="269">
        <v>0</v>
      </c>
      <c r="G25" s="252"/>
      <c r="H25" s="338">
        <v>0</v>
      </c>
      <c r="I25" s="269">
        <v>0</v>
      </c>
      <c r="J25" s="252"/>
      <c r="K25" s="338">
        <f t="shared" si="10"/>
        <v>0</v>
      </c>
      <c r="L25" s="267">
        <f t="shared" si="11"/>
        <v>0</v>
      </c>
    </row>
    <row r="26" spans="1:12" ht="12.95" customHeight="1" x14ac:dyDescent="0.2">
      <c r="A26" s="146" t="s">
        <v>1239</v>
      </c>
      <c r="B26" s="581">
        <v>1308</v>
      </c>
      <c r="C26" s="308">
        <v>1308</v>
      </c>
      <c r="D26" s="252"/>
      <c r="E26" s="338">
        <v>0</v>
      </c>
      <c r="F26" s="269">
        <v>0</v>
      </c>
      <c r="G26" s="252"/>
      <c r="H26" s="338">
        <v>0</v>
      </c>
      <c r="I26" s="269">
        <v>0</v>
      </c>
      <c r="J26" s="252"/>
      <c r="K26" s="338">
        <f t="shared" si="10"/>
        <v>1308</v>
      </c>
      <c r="L26" s="267">
        <f t="shared" si="11"/>
        <v>1308</v>
      </c>
    </row>
    <row r="27" spans="1:12" ht="12.95" customHeight="1" x14ac:dyDescent="0.2">
      <c r="A27" s="146" t="s">
        <v>1240</v>
      </c>
      <c r="B27" s="286">
        <v>0</v>
      </c>
      <c r="C27" s="269">
        <v>0</v>
      </c>
      <c r="D27" s="252"/>
      <c r="E27" s="338">
        <v>0</v>
      </c>
      <c r="F27" s="269">
        <v>0</v>
      </c>
      <c r="G27" s="252"/>
      <c r="H27" s="338">
        <v>0</v>
      </c>
      <c r="I27" s="269">
        <v>0</v>
      </c>
      <c r="J27" s="252"/>
      <c r="K27" s="338">
        <f t="shared" si="10"/>
        <v>0</v>
      </c>
      <c r="L27" s="267">
        <f t="shared" si="11"/>
        <v>0</v>
      </c>
    </row>
    <row r="28" spans="1:12" ht="12.95" customHeight="1" x14ac:dyDescent="0.2">
      <c r="A28" s="146" t="s">
        <v>1241</v>
      </c>
      <c r="B28" s="286">
        <v>0</v>
      </c>
      <c r="C28" s="269">
        <v>0</v>
      </c>
      <c r="D28" s="252"/>
      <c r="E28" s="338">
        <v>0</v>
      </c>
      <c r="F28" s="269">
        <v>0</v>
      </c>
      <c r="G28" s="252"/>
      <c r="H28" s="338">
        <v>0</v>
      </c>
      <c r="I28" s="269">
        <v>0</v>
      </c>
      <c r="J28" s="252"/>
      <c r="K28" s="338">
        <f t="shared" si="10"/>
        <v>0</v>
      </c>
      <c r="L28" s="267">
        <f t="shared" si="11"/>
        <v>0</v>
      </c>
    </row>
    <row r="29" spans="1:12" ht="12.95" customHeight="1" x14ac:dyDescent="0.2">
      <c r="A29" s="146" t="s">
        <v>2167</v>
      </c>
      <c r="B29" s="286">
        <v>0</v>
      </c>
      <c r="C29" s="269">
        <v>0</v>
      </c>
      <c r="D29" s="252"/>
      <c r="E29" s="338">
        <v>52.18</v>
      </c>
      <c r="F29" s="269">
        <v>0</v>
      </c>
      <c r="G29" s="252"/>
      <c r="H29" s="338">
        <v>0</v>
      </c>
      <c r="I29" s="269">
        <v>0</v>
      </c>
      <c r="J29" s="252"/>
      <c r="K29" s="338">
        <f t="shared" si="10"/>
        <v>52.18</v>
      </c>
      <c r="L29" s="267">
        <f t="shared" si="11"/>
        <v>0</v>
      </c>
    </row>
    <row r="30" spans="1:12" ht="12.95" customHeight="1" x14ac:dyDescent="0.2">
      <c r="A30" s="146" t="s">
        <v>1244</v>
      </c>
      <c r="B30" s="286">
        <v>126.9</v>
      </c>
      <c r="C30" s="269">
        <v>150</v>
      </c>
      <c r="D30" s="252"/>
      <c r="E30" s="338">
        <v>393.72</v>
      </c>
      <c r="F30" s="269">
        <v>600</v>
      </c>
      <c r="G30" s="252"/>
      <c r="H30" s="338">
        <f>107.23</f>
        <v>107.23</v>
      </c>
      <c r="I30" s="269">
        <v>0</v>
      </c>
      <c r="J30" s="252"/>
      <c r="K30" s="338">
        <f t="shared" si="10"/>
        <v>627.85</v>
      </c>
      <c r="L30" s="267">
        <f t="shared" si="11"/>
        <v>750</v>
      </c>
    </row>
    <row r="31" spans="1:12" ht="12.95" customHeight="1" x14ac:dyDescent="0.2">
      <c r="A31" s="146" t="s">
        <v>1245</v>
      </c>
      <c r="B31" s="286">
        <v>90.48</v>
      </c>
      <c r="C31" s="269">
        <v>100</v>
      </c>
      <c r="D31" s="252"/>
      <c r="E31" s="338">
        <v>290.64999999999998</v>
      </c>
      <c r="F31" s="269">
        <v>50</v>
      </c>
      <c r="G31" s="252"/>
      <c r="H31" s="338">
        <v>0</v>
      </c>
      <c r="I31" s="269">
        <v>0</v>
      </c>
      <c r="J31" s="252"/>
      <c r="K31" s="338">
        <f t="shared" si="10"/>
        <v>381.13</v>
      </c>
      <c r="L31" s="267">
        <f t="shared" si="11"/>
        <v>150</v>
      </c>
    </row>
    <row r="32" spans="1:12" ht="12.95" customHeight="1" x14ac:dyDescent="0.2">
      <c r="A32" s="146" t="s">
        <v>1246</v>
      </c>
      <c r="B32" s="286">
        <v>0</v>
      </c>
      <c r="C32" s="269">
        <v>0</v>
      </c>
      <c r="D32" s="252"/>
      <c r="E32" s="338">
        <v>0</v>
      </c>
      <c r="F32" s="269">
        <v>0</v>
      </c>
      <c r="G32" s="252"/>
      <c r="H32" s="338">
        <v>0</v>
      </c>
      <c r="I32" s="269">
        <v>0</v>
      </c>
      <c r="J32" s="252"/>
      <c r="K32" s="338">
        <f t="shared" si="10"/>
        <v>0</v>
      </c>
      <c r="L32" s="267">
        <f t="shared" si="11"/>
        <v>0</v>
      </c>
    </row>
    <row r="33" spans="1:12" ht="12.95" customHeight="1" x14ac:dyDescent="0.2">
      <c r="A33" s="146" t="s">
        <v>1247</v>
      </c>
      <c r="B33" s="286">
        <v>251.94</v>
      </c>
      <c r="C33" s="269">
        <v>75</v>
      </c>
      <c r="D33" s="252"/>
      <c r="E33" s="338">
        <v>0</v>
      </c>
      <c r="F33" s="269">
        <v>0</v>
      </c>
      <c r="G33" s="252"/>
      <c r="H33" s="338">
        <v>179.62</v>
      </c>
      <c r="I33" s="269">
        <v>100</v>
      </c>
      <c r="J33" s="252"/>
      <c r="K33" s="338">
        <f t="shared" si="10"/>
        <v>431.56</v>
      </c>
      <c r="L33" s="267">
        <f t="shared" si="11"/>
        <v>175</v>
      </c>
    </row>
    <row r="34" spans="1:12" ht="12.95" customHeight="1" x14ac:dyDescent="0.2">
      <c r="A34" s="208" t="s">
        <v>2207</v>
      </c>
      <c r="B34" s="286">
        <v>0</v>
      </c>
      <c r="C34" s="269">
        <v>0</v>
      </c>
      <c r="D34" s="252"/>
      <c r="E34" s="338">
        <v>0</v>
      </c>
      <c r="F34" s="269">
        <v>0</v>
      </c>
      <c r="G34" s="252"/>
      <c r="H34" s="338">
        <v>349.94</v>
      </c>
      <c r="I34" s="269">
        <v>250</v>
      </c>
      <c r="J34" s="252"/>
      <c r="K34" s="338">
        <f t="shared" si="10"/>
        <v>349.94</v>
      </c>
      <c r="L34" s="267">
        <f t="shared" si="11"/>
        <v>250</v>
      </c>
    </row>
    <row r="35" spans="1:12" ht="12.95" customHeight="1" x14ac:dyDescent="0.2">
      <c r="A35" s="208" t="s">
        <v>2204</v>
      </c>
      <c r="B35" s="286">
        <v>260.70999999999998</v>
      </c>
      <c r="C35" s="269">
        <v>400</v>
      </c>
      <c r="D35" s="252"/>
      <c r="E35" s="338">
        <v>75</v>
      </c>
      <c r="F35" s="269">
        <v>150</v>
      </c>
      <c r="G35" s="252"/>
      <c r="H35" s="338">
        <v>199.97</v>
      </c>
      <c r="I35" s="269">
        <v>250</v>
      </c>
      <c r="J35" s="252"/>
      <c r="K35" s="338">
        <f t="shared" si="10"/>
        <v>535.67999999999995</v>
      </c>
      <c r="L35" s="267">
        <f t="shared" si="11"/>
        <v>800</v>
      </c>
    </row>
    <row r="36" spans="1:12" ht="12.95" customHeight="1" x14ac:dyDescent="0.2">
      <c r="A36" s="146" t="s">
        <v>1250</v>
      </c>
      <c r="B36" s="286">
        <v>724.11</v>
      </c>
      <c r="C36" s="269">
        <v>500</v>
      </c>
      <c r="D36" s="252"/>
      <c r="E36" s="338">
        <v>640.34</v>
      </c>
      <c r="F36" s="269">
        <v>350</v>
      </c>
      <c r="G36" s="252"/>
      <c r="H36" s="338">
        <v>130.31</v>
      </c>
      <c r="I36" s="269">
        <v>130</v>
      </c>
      <c r="J36" s="252"/>
      <c r="K36" s="338">
        <f t="shared" si="10"/>
        <v>1494.76</v>
      </c>
      <c r="L36" s="267">
        <f t="shared" si="11"/>
        <v>980</v>
      </c>
    </row>
    <row r="37" spans="1:12" ht="12.95" customHeight="1" x14ac:dyDescent="0.2">
      <c r="A37" s="554" t="s">
        <v>2239</v>
      </c>
      <c r="B37" s="286">
        <v>0</v>
      </c>
      <c r="C37" s="269">
        <v>0</v>
      </c>
      <c r="D37" s="252"/>
      <c r="E37" s="338">
        <v>0</v>
      </c>
      <c r="F37" s="269">
        <v>0</v>
      </c>
      <c r="G37" s="252"/>
      <c r="H37" s="338">
        <v>0</v>
      </c>
      <c r="I37" s="269">
        <v>0</v>
      </c>
      <c r="J37" s="252"/>
      <c r="K37" s="338">
        <f t="shared" si="10"/>
        <v>0</v>
      </c>
      <c r="L37" s="267">
        <f t="shared" si="11"/>
        <v>0</v>
      </c>
    </row>
    <row r="38" spans="1:12" ht="12.95" customHeight="1" x14ac:dyDescent="0.2">
      <c r="A38" s="146" t="s">
        <v>1251</v>
      </c>
      <c r="B38" s="286">
        <v>53</v>
      </c>
      <c r="C38" s="269">
        <v>0</v>
      </c>
      <c r="D38" s="252"/>
      <c r="E38" s="338">
        <v>1469.4</v>
      </c>
      <c r="F38" s="269">
        <v>1018</v>
      </c>
      <c r="G38" s="252"/>
      <c r="H38" s="338">
        <v>0</v>
      </c>
      <c r="I38" s="269">
        <v>0</v>
      </c>
      <c r="J38" s="252"/>
      <c r="K38" s="338">
        <f t="shared" si="10"/>
        <v>1522.4</v>
      </c>
      <c r="L38" s="267">
        <f t="shared" si="11"/>
        <v>1018</v>
      </c>
    </row>
    <row r="39" spans="1:12" ht="12.95" customHeight="1" x14ac:dyDescent="0.2">
      <c r="A39" s="146" t="s">
        <v>2178</v>
      </c>
      <c r="B39" s="286">
        <v>0</v>
      </c>
      <c r="C39" s="269">
        <v>0</v>
      </c>
      <c r="D39" s="252"/>
      <c r="E39" s="338">
        <v>149.97</v>
      </c>
      <c r="F39" s="269">
        <v>130</v>
      </c>
      <c r="G39" s="252"/>
      <c r="H39" s="338">
        <v>0</v>
      </c>
      <c r="I39" s="269">
        <v>0</v>
      </c>
      <c r="J39" s="252"/>
      <c r="K39" s="338">
        <f t="shared" si="10"/>
        <v>149.97</v>
      </c>
      <c r="L39" s="267">
        <f t="shared" si="11"/>
        <v>130</v>
      </c>
    </row>
    <row r="40" spans="1:12" ht="12.95" customHeight="1" x14ac:dyDescent="0.2">
      <c r="A40" s="146" t="s">
        <v>1308</v>
      </c>
      <c r="B40" s="615"/>
      <c r="C40" s="610"/>
      <c r="D40" s="252"/>
      <c r="E40" s="616"/>
      <c r="F40" s="610"/>
      <c r="G40" s="252"/>
      <c r="H40" s="616"/>
      <c r="I40" s="610"/>
      <c r="J40" s="252"/>
      <c r="K40" s="616"/>
      <c r="L40" s="613"/>
    </row>
    <row r="41" spans="1:12" ht="12.95" customHeight="1" x14ac:dyDescent="0.2">
      <c r="A41" s="146" t="s">
        <v>1844</v>
      </c>
      <c r="B41" s="286">
        <v>36757.839999999997</v>
      </c>
      <c r="C41" s="308">
        <v>39996</v>
      </c>
      <c r="D41" s="252"/>
      <c r="E41" s="338">
        <v>17486.21</v>
      </c>
      <c r="F41" s="269">
        <v>35864</v>
      </c>
      <c r="G41" s="252"/>
      <c r="H41" s="338">
        <v>7622.04</v>
      </c>
      <c r="I41" s="269">
        <v>15500</v>
      </c>
      <c r="J41" s="252"/>
      <c r="K41" s="338">
        <f t="shared" si="10"/>
        <v>61866.09</v>
      </c>
      <c r="L41" s="267">
        <f t="shared" si="11"/>
        <v>91360</v>
      </c>
    </row>
    <row r="42" spans="1:12" ht="12.95" customHeight="1" x14ac:dyDescent="0.2">
      <c r="A42" s="146" t="s">
        <v>2166</v>
      </c>
      <c r="B42" s="286">
        <v>1593.99</v>
      </c>
      <c r="C42" s="308">
        <v>6000</v>
      </c>
      <c r="D42" s="252"/>
      <c r="E42" s="338">
        <v>2820.45</v>
      </c>
      <c r="F42" s="269">
        <v>5640</v>
      </c>
      <c r="G42" s="252"/>
      <c r="H42" s="338">
        <v>317.58</v>
      </c>
      <c r="I42" s="269">
        <v>2000</v>
      </c>
      <c r="J42" s="252"/>
      <c r="K42" s="338">
        <f t="shared" si="10"/>
        <v>4732.0199999999995</v>
      </c>
      <c r="L42" s="267">
        <f t="shared" si="11"/>
        <v>13640</v>
      </c>
    </row>
    <row r="43" spans="1:12" ht="12.95" customHeight="1" x14ac:dyDescent="0.2">
      <c r="A43" s="146" t="s">
        <v>2165</v>
      </c>
      <c r="B43" s="286">
        <v>400</v>
      </c>
      <c r="C43" s="308">
        <v>3000</v>
      </c>
      <c r="D43" s="252"/>
      <c r="E43" s="338">
        <v>2124.91</v>
      </c>
      <c r="F43" s="269">
        <v>4250</v>
      </c>
      <c r="G43" s="252"/>
      <c r="H43" s="338">
        <v>1725</v>
      </c>
      <c r="I43" s="269">
        <v>1000</v>
      </c>
      <c r="J43" s="252"/>
      <c r="K43" s="338">
        <f t="shared" si="10"/>
        <v>4249.91</v>
      </c>
      <c r="L43" s="267">
        <f t="shared" si="11"/>
        <v>8250</v>
      </c>
    </row>
    <row r="44" spans="1:12" ht="12.95" customHeight="1" x14ac:dyDescent="0.2">
      <c r="A44" s="146" t="s">
        <v>2202</v>
      </c>
      <c r="B44" s="286">
        <v>0</v>
      </c>
      <c r="C44" s="269">
        <v>0</v>
      </c>
      <c r="D44" s="252"/>
      <c r="E44" s="338">
        <v>0</v>
      </c>
      <c r="F44" s="269">
        <v>0</v>
      </c>
      <c r="G44" s="252"/>
      <c r="H44" s="338">
        <v>0</v>
      </c>
      <c r="I44" s="269">
        <v>0</v>
      </c>
      <c r="J44" s="252"/>
      <c r="K44" s="338">
        <f t="shared" si="10"/>
        <v>0</v>
      </c>
      <c r="L44" s="267">
        <f t="shared" si="11"/>
        <v>0</v>
      </c>
    </row>
    <row r="45" spans="1:12" ht="12.95" customHeight="1" x14ac:dyDescent="0.2">
      <c r="A45" s="146" t="s">
        <v>1256</v>
      </c>
      <c r="B45" s="286">
        <v>0</v>
      </c>
      <c r="C45" s="269">
        <v>0</v>
      </c>
      <c r="D45" s="252"/>
      <c r="E45" s="338">
        <v>0</v>
      </c>
      <c r="F45" s="269">
        <v>0</v>
      </c>
      <c r="G45" s="252"/>
      <c r="H45" s="338">
        <v>0</v>
      </c>
      <c r="I45" s="269">
        <v>0</v>
      </c>
      <c r="J45" s="252"/>
      <c r="K45" s="338">
        <f t="shared" si="10"/>
        <v>0</v>
      </c>
      <c r="L45" s="267">
        <f t="shared" si="11"/>
        <v>0</v>
      </c>
    </row>
    <row r="46" spans="1:12" ht="12.95" customHeight="1" x14ac:dyDescent="0.2">
      <c r="A46" s="146" t="s">
        <v>2191</v>
      </c>
      <c r="B46" s="286">
        <v>0</v>
      </c>
      <c r="C46" s="269">
        <v>0</v>
      </c>
      <c r="D46" s="252"/>
      <c r="E46" s="338">
        <v>0</v>
      </c>
      <c r="F46" s="269">
        <v>0</v>
      </c>
      <c r="G46" s="252"/>
      <c r="H46" s="338">
        <v>0</v>
      </c>
      <c r="I46" s="269">
        <v>0</v>
      </c>
      <c r="J46" s="252"/>
      <c r="K46" s="338">
        <f t="shared" si="10"/>
        <v>0</v>
      </c>
      <c r="L46" s="267">
        <f t="shared" si="11"/>
        <v>0</v>
      </c>
    </row>
    <row r="47" spans="1:12" ht="12.95" customHeight="1" x14ac:dyDescent="0.2">
      <c r="A47" s="146" t="s">
        <v>1257</v>
      </c>
      <c r="B47" s="286">
        <v>0</v>
      </c>
      <c r="C47" s="269">
        <v>0</v>
      </c>
      <c r="D47" s="252"/>
      <c r="E47" s="338">
        <v>107.5</v>
      </c>
      <c r="F47" s="269">
        <v>108</v>
      </c>
      <c r="G47" s="252"/>
      <c r="H47" s="338">
        <v>0</v>
      </c>
      <c r="I47" s="269">
        <v>0</v>
      </c>
      <c r="J47" s="252"/>
      <c r="K47" s="338">
        <f t="shared" si="10"/>
        <v>107.5</v>
      </c>
      <c r="L47" s="267">
        <f t="shared" si="11"/>
        <v>108</v>
      </c>
    </row>
    <row r="48" spans="1:12" ht="12.95" customHeight="1" x14ac:dyDescent="0.2">
      <c r="A48" s="146" t="s">
        <v>2159</v>
      </c>
      <c r="B48" s="286">
        <v>0</v>
      </c>
      <c r="C48" s="269">
        <v>0</v>
      </c>
      <c r="D48" s="252"/>
      <c r="E48" s="338">
        <v>0</v>
      </c>
      <c r="F48" s="269">
        <v>0</v>
      </c>
      <c r="G48" s="252"/>
      <c r="H48" s="338">
        <v>0</v>
      </c>
      <c r="I48" s="269">
        <v>0</v>
      </c>
      <c r="J48" s="252"/>
      <c r="K48" s="338">
        <f t="shared" si="10"/>
        <v>0</v>
      </c>
      <c r="L48" s="267">
        <f t="shared" si="11"/>
        <v>0</v>
      </c>
    </row>
    <row r="49" spans="1:15" ht="12.95" customHeight="1" x14ac:dyDescent="0.2">
      <c r="A49" s="146" t="s">
        <v>1259</v>
      </c>
      <c r="B49" s="286">
        <v>0</v>
      </c>
      <c r="C49" s="269">
        <v>0</v>
      </c>
      <c r="D49" s="252"/>
      <c r="E49" s="338">
        <v>62.03</v>
      </c>
      <c r="F49" s="269">
        <v>0</v>
      </c>
      <c r="G49" s="252"/>
      <c r="H49" s="338">
        <v>0</v>
      </c>
      <c r="I49" s="269">
        <v>0</v>
      </c>
      <c r="J49" s="252"/>
      <c r="K49" s="338">
        <f t="shared" si="10"/>
        <v>62.03</v>
      </c>
      <c r="L49" s="267">
        <f t="shared" si="11"/>
        <v>0</v>
      </c>
    </row>
    <row r="50" spans="1:15" ht="12.95" customHeight="1" x14ac:dyDescent="0.2">
      <c r="A50" s="146" t="s">
        <v>1260</v>
      </c>
      <c r="B50" s="286">
        <v>0</v>
      </c>
      <c r="C50" s="308">
        <v>0</v>
      </c>
      <c r="D50" s="252"/>
      <c r="E50" s="339">
        <v>0</v>
      </c>
      <c r="F50" s="308">
        <v>0</v>
      </c>
      <c r="G50" s="252"/>
      <c r="H50" s="339">
        <v>0</v>
      </c>
      <c r="I50" s="308">
        <v>0</v>
      </c>
      <c r="J50" s="252"/>
      <c r="K50" s="339">
        <f t="shared" si="10"/>
        <v>0</v>
      </c>
      <c r="L50" s="309">
        <f t="shared" si="11"/>
        <v>0</v>
      </c>
    </row>
    <row r="51" spans="1:15" ht="12.95" customHeight="1" x14ac:dyDescent="0.2">
      <c r="A51" s="146" t="s">
        <v>2158</v>
      </c>
      <c r="B51" s="286">
        <v>0</v>
      </c>
      <c r="C51" s="308">
        <v>0</v>
      </c>
      <c r="D51" s="252"/>
      <c r="E51" s="339">
        <v>0</v>
      </c>
      <c r="F51" s="308">
        <v>0</v>
      </c>
      <c r="G51" s="252"/>
      <c r="H51" s="339">
        <v>0</v>
      </c>
      <c r="I51" s="308">
        <v>0</v>
      </c>
      <c r="J51" s="252"/>
      <c r="K51" s="339">
        <f t="shared" si="10"/>
        <v>0</v>
      </c>
      <c r="L51" s="309">
        <f t="shared" si="11"/>
        <v>0</v>
      </c>
    </row>
    <row r="52" spans="1:15" s="82" customFormat="1" ht="12.95" customHeight="1" x14ac:dyDescent="0.2">
      <c r="A52" s="82" t="s">
        <v>2250</v>
      </c>
      <c r="B52" s="286">
        <v>0</v>
      </c>
      <c r="C52" s="308">
        <v>0</v>
      </c>
      <c r="E52" s="339">
        <v>0</v>
      </c>
      <c r="F52" s="308">
        <v>0</v>
      </c>
      <c r="H52" s="339">
        <v>0</v>
      </c>
      <c r="I52" s="308">
        <v>0</v>
      </c>
      <c r="K52" s="339">
        <f t="shared" si="10"/>
        <v>0</v>
      </c>
      <c r="L52" s="309">
        <f t="shared" si="11"/>
        <v>0</v>
      </c>
    </row>
    <row r="53" spans="1:15" ht="12.95" customHeight="1" x14ac:dyDescent="0.2">
      <c r="A53" s="146" t="s">
        <v>1262</v>
      </c>
      <c r="B53" s="286">
        <v>0</v>
      </c>
      <c r="C53" s="308">
        <v>0</v>
      </c>
      <c r="D53" s="252"/>
      <c r="E53" s="339">
        <v>0</v>
      </c>
      <c r="F53" s="308">
        <v>0</v>
      </c>
      <c r="G53" s="252"/>
      <c r="H53" s="339">
        <v>0</v>
      </c>
      <c r="I53" s="308">
        <v>0</v>
      </c>
      <c r="J53" s="252"/>
      <c r="K53" s="339">
        <f t="shared" si="10"/>
        <v>0</v>
      </c>
      <c r="L53" s="309">
        <f t="shared" si="11"/>
        <v>0</v>
      </c>
    </row>
    <row r="54" spans="1:15" ht="12.95" customHeight="1" x14ac:dyDescent="0.2">
      <c r="A54" s="146" t="s">
        <v>1263</v>
      </c>
      <c r="B54" s="286">
        <v>0</v>
      </c>
      <c r="C54" s="308">
        <v>0</v>
      </c>
      <c r="D54" s="252"/>
      <c r="E54" s="339">
        <v>0</v>
      </c>
      <c r="F54" s="308">
        <v>0</v>
      </c>
      <c r="G54" s="252"/>
      <c r="H54" s="339">
        <v>0</v>
      </c>
      <c r="I54" s="308">
        <v>0</v>
      </c>
      <c r="J54" s="252"/>
      <c r="K54" s="339">
        <f t="shared" si="10"/>
        <v>0</v>
      </c>
      <c r="L54" s="309">
        <f t="shared" si="11"/>
        <v>0</v>
      </c>
    </row>
    <row r="55" spans="1:15" ht="12.95" customHeight="1" x14ac:dyDescent="0.2">
      <c r="A55" s="146" t="s">
        <v>2177</v>
      </c>
      <c r="B55" s="286">
        <v>0</v>
      </c>
      <c r="C55" s="308">
        <v>0</v>
      </c>
      <c r="D55" s="252"/>
      <c r="E55" s="339">
        <v>0</v>
      </c>
      <c r="F55" s="308">
        <v>0</v>
      </c>
      <c r="G55" s="252"/>
      <c r="H55" s="339">
        <v>0</v>
      </c>
      <c r="I55" s="308">
        <v>0</v>
      </c>
      <c r="J55" s="252"/>
      <c r="K55" s="339">
        <f t="shared" si="10"/>
        <v>0</v>
      </c>
      <c r="L55" s="309">
        <f t="shared" si="11"/>
        <v>0</v>
      </c>
      <c r="O55" s="245"/>
    </row>
    <row r="56" spans="1:15" ht="12.95" customHeight="1" x14ac:dyDescent="0.2">
      <c r="A56" s="146" t="s">
        <v>2203</v>
      </c>
      <c r="B56" s="286">
        <v>0</v>
      </c>
      <c r="C56" s="308">
        <v>0</v>
      </c>
      <c r="D56" s="252"/>
      <c r="E56" s="339">
        <v>0</v>
      </c>
      <c r="F56" s="308">
        <v>0</v>
      </c>
      <c r="G56" s="252"/>
      <c r="H56" s="339">
        <v>0</v>
      </c>
      <c r="I56" s="308">
        <v>0</v>
      </c>
      <c r="J56" s="252"/>
      <c r="K56" s="339">
        <f t="shared" si="10"/>
        <v>0</v>
      </c>
      <c r="L56" s="309">
        <f t="shared" si="11"/>
        <v>0</v>
      </c>
    </row>
    <row r="57" spans="1:15" ht="12.95" customHeight="1" thickBot="1" x14ac:dyDescent="0.25">
      <c r="A57" s="102" t="s">
        <v>1269</v>
      </c>
      <c r="B57" s="290">
        <v>0</v>
      </c>
      <c r="C57" s="275">
        <v>0</v>
      </c>
      <c r="D57" s="346"/>
      <c r="E57" s="340">
        <v>0</v>
      </c>
      <c r="F57" s="275">
        <v>0</v>
      </c>
      <c r="G57" s="346"/>
      <c r="H57" s="340">
        <v>0</v>
      </c>
      <c r="I57" s="275">
        <v>0</v>
      </c>
      <c r="J57" s="346"/>
      <c r="K57" s="340">
        <f t="shared" si="10"/>
        <v>0</v>
      </c>
      <c r="L57" s="266">
        <f t="shared" si="11"/>
        <v>0</v>
      </c>
    </row>
    <row r="58" spans="1:15" s="244" customFormat="1" ht="12.95" customHeight="1" x14ac:dyDescent="0.2">
      <c r="A58" s="198" t="s">
        <v>1278</v>
      </c>
      <c r="B58" s="291">
        <f>SUM(B19:B57)</f>
        <v>41566.969999999994</v>
      </c>
      <c r="C58" s="292">
        <f>SUM(C19:C57)</f>
        <v>51529</v>
      </c>
      <c r="D58" s="253"/>
      <c r="E58" s="291">
        <f t="shared" ref="E58:K58" si="12">SUM(E19:E57)</f>
        <v>25807.789999999997</v>
      </c>
      <c r="F58" s="292">
        <f t="shared" si="12"/>
        <v>48310</v>
      </c>
      <c r="G58" s="253"/>
      <c r="H58" s="291">
        <f t="shared" si="12"/>
        <v>10631.69</v>
      </c>
      <c r="I58" s="292">
        <f t="shared" si="12"/>
        <v>19230</v>
      </c>
      <c r="J58" s="253"/>
      <c r="K58" s="291">
        <f t="shared" si="12"/>
        <v>78006.45</v>
      </c>
      <c r="L58" s="292">
        <f>SUM(L19:L57)</f>
        <v>119069</v>
      </c>
    </row>
    <row r="59" spans="1:15" s="244" customFormat="1" ht="15.6" customHeight="1" x14ac:dyDescent="0.2">
      <c r="A59" s="198" t="s">
        <v>1276</v>
      </c>
      <c r="B59" s="293">
        <f>B17-B58</f>
        <v>-21531.139999999996</v>
      </c>
      <c r="C59" s="294">
        <f>C17-C58</f>
        <v>-20854</v>
      </c>
      <c r="D59" s="256"/>
      <c r="E59" s="381">
        <f t="shared" ref="E59:K59" si="13">E17-E58</f>
        <v>2322.6100000000042</v>
      </c>
      <c r="F59" s="382">
        <f t="shared" si="13"/>
        <v>1530</v>
      </c>
      <c r="G59" s="256"/>
      <c r="H59" s="293">
        <f t="shared" si="13"/>
        <v>-6670.7800000000007</v>
      </c>
      <c r="I59" s="294">
        <f t="shared" si="13"/>
        <v>-7730</v>
      </c>
      <c r="J59" s="256"/>
      <c r="K59" s="293">
        <f t="shared" si="13"/>
        <v>-25879.310000000005</v>
      </c>
      <c r="L59" s="304">
        <f>L17-L58</f>
        <v>-27054</v>
      </c>
    </row>
    <row r="60" spans="1:15" ht="12.95" customHeight="1" thickBot="1" x14ac:dyDescent="0.25">
      <c r="A60" s="177"/>
      <c r="B60" s="332"/>
      <c r="C60" s="333"/>
      <c r="D60" s="257"/>
      <c r="E60" s="332"/>
      <c r="F60" s="333"/>
      <c r="G60" s="257"/>
      <c r="H60" s="332"/>
      <c r="I60" s="333"/>
      <c r="J60" s="257"/>
      <c r="K60" s="332"/>
      <c r="L60" s="333"/>
    </row>
    <row r="61" spans="1:15" s="246" customFormat="1" ht="12.95" customHeight="1" x14ac:dyDescent="0.2">
      <c r="A61" s="199" t="s">
        <v>2155</v>
      </c>
      <c r="B61" s="295">
        <v>8</v>
      </c>
      <c r="C61" s="582">
        <v>12</v>
      </c>
      <c r="D61" s="377"/>
      <c r="E61" s="337">
        <v>5</v>
      </c>
      <c r="F61" s="278">
        <v>8</v>
      </c>
      <c r="G61" s="377"/>
      <c r="H61" s="337">
        <v>2</v>
      </c>
      <c r="I61" s="278">
        <v>5</v>
      </c>
      <c r="J61" s="377"/>
      <c r="K61" s="337">
        <f>B61+E61+H61</f>
        <v>15</v>
      </c>
      <c r="L61" s="278">
        <f>C61+F61+I61</f>
        <v>25</v>
      </c>
    </row>
    <row r="62" spans="1:15" s="248" customFormat="1" ht="12.95" customHeight="1" thickBot="1" x14ac:dyDescent="0.25">
      <c r="A62" s="195"/>
      <c r="B62" s="299">
        <f>B61/$K$61</f>
        <v>0.53333333333333333</v>
      </c>
      <c r="C62" s="296">
        <f>C61/$L$61</f>
        <v>0.48</v>
      </c>
      <c r="D62" s="247"/>
      <c r="E62" s="299">
        <f>E61/$K$61</f>
        <v>0.33333333333333331</v>
      </c>
      <c r="F62" s="296">
        <f t="shared" ref="F62:I62" si="14">F61/$L$61</f>
        <v>0.32</v>
      </c>
      <c r="G62" s="247"/>
      <c r="H62" s="299">
        <f>H61/$K$61</f>
        <v>0.13333333333333333</v>
      </c>
      <c r="I62" s="296">
        <f t="shared" si="14"/>
        <v>0.2</v>
      </c>
      <c r="J62" s="247"/>
      <c r="K62" s="299">
        <f>B62+E62+H62</f>
        <v>1</v>
      </c>
      <c r="L62" s="296">
        <f>C62+F62+I62</f>
        <v>1</v>
      </c>
    </row>
    <row r="63" spans="1:15" s="248" customFormat="1" ht="12.95" customHeight="1" thickBot="1" x14ac:dyDescent="0.25">
      <c r="A63" s="195"/>
      <c r="B63" s="184"/>
      <c r="C63" s="184"/>
      <c r="D63" s="247"/>
      <c r="E63" s="184"/>
      <c r="F63" s="184"/>
      <c r="G63" s="247"/>
      <c r="H63" s="184"/>
      <c r="I63" s="184"/>
      <c r="J63" s="247"/>
      <c r="K63" s="184"/>
      <c r="L63" s="184"/>
    </row>
    <row r="64" spans="1:15" ht="12.95" customHeight="1" thickBot="1" x14ac:dyDescent="0.25">
      <c r="A64" s="497" t="s">
        <v>2215</v>
      </c>
      <c r="B64" s="558">
        <v>2020</v>
      </c>
      <c r="C64" s="559">
        <v>2021</v>
      </c>
      <c r="D64" s="515"/>
      <c r="E64" s="568">
        <v>2020</v>
      </c>
      <c r="F64" s="569">
        <v>2021</v>
      </c>
      <c r="G64" s="515"/>
      <c r="H64" s="568">
        <v>2020</v>
      </c>
      <c r="I64" s="569">
        <v>2021</v>
      </c>
      <c r="J64" s="515"/>
      <c r="K64" s="558">
        <v>2020</v>
      </c>
      <c r="L64" s="559">
        <v>2021</v>
      </c>
    </row>
    <row r="65" spans="1:12" s="150" customFormat="1" ht="12.95" customHeight="1" x14ac:dyDescent="0.2">
      <c r="A65" s="485" t="s">
        <v>2216</v>
      </c>
      <c r="B65" s="286">
        <f>B41/B61</f>
        <v>4594.7299999999996</v>
      </c>
      <c r="C65" s="286">
        <f>C41/C61</f>
        <v>3333</v>
      </c>
      <c r="D65" s="489"/>
      <c r="E65" s="578">
        <f>E41/E61</f>
        <v>3497.2419999999997</v>
      </c>
      <c r="F65" s="487">
        <f>F41/F61</f>
        <v>4483</v>
      </c>
      <c r="G65" s="489"/>
      <c r="H65" s="578">
        <f>H41/H61</f>
        <v>3811.02</v>
      </c>
      <c r="I65" s="487">
        <f>I41/I61</f>
        <v>3100</v>
      </c>
      <c r="J65" s="489"/>
      <c r="K65" s="492">
        <f>B65+E65+H65</f>
        <v>11902.992</v>
      </c>
      <c r="L65" s="493">
        <f>L41/L61</f>
        <v>3654.4</v>
      </c>
    </row>
    <row r="66" spans="1:12" ht="12.95" customHeight="1" x14ac:dyDescent="0.2">
      <c r="A66" s="151" t="s">
        <v>2217</v>
      </c>
      <c r="B66" s="286">
        <f>B42/B61</f>
        <v>199.24875</v>
      </c>
      <c r="C66" s="286">
        <f>C42/C61</f>
        <v>500</v>
      </c>
      <c r="D66" s="349"/>
      <c r="E66" s="335">
        <f>E42/E61</f>
        <v>564.08999999999992</v>
      </c>
      <c r="F66" s="307">
        <f>F42/F61</f>
        <v>705</v>
      </c>
      <c r="G66" s="349"/>
      <c r="H66" s="335">
        <f>H42/H61</f>
        <v>158.79</v>
      </c>
      <c r="I66" s="307">
        <f>I42/I61</f>
        <v>400</v>
      </c>
      <c r="J66" s="349"/>
      <c r="K66" s="492">
        <f t="shared" ref="K66:K67" si="15">B66+E66+H66</f>
        <v>922.12874999999985</v>
      </c>
      <c r="L66" s="493">
        <f>L42/L61</f>
        <v>545.6</v>
      </c>
    </row>
    <row r="67" spans="1:12" ht="12.95" customHeight="1" x14ac:dyDescent="0.2">
      <c r="A67" s="151" t="s">
        <v>2218</v>
      </c>
      <c r="B67" s="286">
        <f>B43/B61</f>
        <v>50</v>
      </c>
      <c r="C67" s="286">
        <f>C43/C61</f>
        <v>250</v>
      </c>
      <c r="D67" s="349"/>
      <c r="E67" s="335">
        <f>E43/E61</f>
        <v>424.98199999999997</v>
      </c>
      <c r="F67" s="307">
        <f>F43/F61</f>
        <v>531.25</v>
      </c>
      <c r="G67" s="349"/>
      <c r="H67" s="335">
        <f>H43/H61</f>
        <v>862.5</v>
      </c>
      <c r="I67" s="307">
        <f>I43/I61</f>
        <v>200</v>
      </c>
      <c r="J67" s="349"/>
      <c r="K67" s="492">
        <f t="shared" si="15"/>
        <v>1337.482</v>
      </c>
      <c r="L67" s="493">
        <f>L43/L61</f>
        <v>330</v>
      </c>
    </row>
    <row r="68" spans="1:12" ht="12.95" customHeight="1" x14ac:dyDescent="0.2">
      <c r="A68" s="196" t="s">
        <v>2219</v>
      </c>
      <c r="B68" s="287">
        <f>SUM(B65:B67)</f>
        <v>4843.9787499999993</v>
      </c>
      <c r="C68" s="511">
        <f t="shared" ref="C68:L68" si="16">SUM(C65:C67)</f>
        <v>4083</v>
      </c>
      <c r="D68" s="327"/>
      <c r="E68" s="287">
        <f t="shared" si="16"/>
        <v>4486.3139999999994</v>
      </c>
      <c r="F68" s="511">
        <f t="shared" si="16"/>
        <v>5719.25</v>
      </c>
      <c r="G68" s="327"/>
      <c r="H68" s="287">
        <f t="shared" si="16"/>
        <v>4832.3099999999995</v>
      </c>
      <c r="I68" s="511">
        <f t="shared" si="16"/>
        <v>3700</v>
      </c>
      <c r="J68" s="327"/>
      <c r="K68" s="287">
        <f t="shared" si="16"/>
        <v>14162.60275</v>
      </c>
      <c r="L68" s="511">
        <f t="shared" si="16"/>
        <v>4530</v>
      </c>
    </row>
    <row r="69" spans="1:12" ht="12.95" customHeight="1" x14ac:dyDescent="0.2">
      <c r="A69" s="151" t="s">
        <v>2220</v>
      </c>
      <c r="B69" s="286">
        <f>-B16/B61</f>
        <v>383.48500000000001</v>
      </c>
      <c r="C69" s="307">
        <f>-C16/C61</f>
        <v>318.75</v>
      </c>
      <c r="D69" s="349"/>
      <c r="E69" s="335">
        <f>-E16/E61</f>
        <v>122.13199999999999</v>
      </c>
      <c r="F69" s="307">
        <f>-F16/F61</f>
        <v>881.25</v>
      </c>
      <c r="G69" s="349"/>
      <c r="H69" s="335">
        <f>-H16/H61</f>
        <v>174.33500000000001</v>
      </c>
      <c r="I69" s="307">
        <f>-I16/I61</f>
        <v>300</v>
      </c>
      <c r="J69" s="349"/>
      <c r="K69" s="335">
        <f>-K16/K61</f>
        <v>268.48066666666665</v>
      </c>
      <c r="L69" s="307">
        <f>-L16/L61</f>
        <v>495</v>
      </c>
    </row>
    <row r="70" spans="1:12" ht="12.95" customHeight="1" x14ac:dyDescent="0.2">
      <c r="A70" s="485"/>
      <c r="B70" s="286"/>
      <c r="C70" s="307"/>
      <c r="D70" s="349"/>
      <c r="E70" s="335"/>
      <c r="F70" s="307"/>
      <c r="G70" s="349"/>
      <c r="H70" s="335"/>
      <c r="I70" s="307"/>
      <c r="J70" s="349"/>
      <c r="K70" s="335"/>
      <c r="L70" s="307"/>
    </row>
    <row r="71" spans="1:12" s="150" customFormat="1" ht="12.95" customHeight="1" thickBot="1" x14ac:dyDescent="0.25">
      <c r="A71" s="148" t="s">
        <v>2221</v>
      </c>
      <c r="B71" s="331">
        <f>B58/B61</f>
        <v>5195.8712499999992</v>
      </c>
      <c r="C71" s="495">
        <f>C58/C61</f>
        <v>4294.083333333333</v>
      </c>
      <c r="D71" s="348"/>
      <c r="E71" s="336">
        <f>E58/E61</f>
        <v>5161.5579999999991</v>
      </c>
      <c r="F71" s="495">
        <f>F58/F61</f>
        <v>6038.75</v>
      </c>
      <c r="G71" s="348"/>
      <c r="H71" s="336">
        <f>H58/H61</f>
        <v>5315.8450000000003</v>
      </c>
      <c r="I71" s="495">
        <f>I58/I61</f>
        <v>3846</v>
      </c>
      <c r="J71" s="348"/>
      <c r="K71" s="336">
        <f>K58/K61</f>
        <v>5200.4299999999994</v>
      </c>
      <c r="L71" s="495">
        <f>L58/L61</f>
        <v>4762.76</v>
      </c>
    </row>
    <row r="72" spans="1:12" ht="12.95" customHeight="1" x14ac:dyDescent="0.2">
      <c r="A72" s="200"/>
      <c r="B72" s="263"/>
      <c r="C72" s="260"/>
      <c r="D72" s="349"/>
      <c r="E72" s="260"/>
      <c r="F72" s="260"/>
      <c r="G72" s="349"/>
      <c r="H72" s="260"/>
      <c r="I72" s="260"/>
      <c r="J72" s="349"/>
      <c r="K72" s="260"/>
      <c r="L72" s="260"/>
    </row>
    <row r="73" spans="1:12" ht="12.95" customHeight="1" x14ac:dyDescent="0.2">
      <c r="A73" s="200"/>
      <c r="B73" s="263"/>
      <c r="C73" s="260"/>
      <c r="D73" s="349"/>
      <c r="E73" s="260"/>
      <c r="F73" s="260"/>
      <c r="G73" s="349"/>
      <c r="H73" s="260"/>
      <c r="I73" s="260"/>
      <c r="J73" s="349"/>
      <c r="K73" s="260"/>
      <c r="L73" s="260"/>
    </row>
    <row r="74" spans="1:12" ht="12.95" customHeight="1" x14ac:dyDescent="0.2">
      <c r="A74" s="201"/>
      <c r="B74" s="327"/>
      <c r="C74" s="260"/>
      <c r="D74" s="349"/>
      <c r="E74" s="209"/>
      <c r="F74" s="260"/>
      <c r="G74" s="349"/>
      <c r="H74" s="209"/>
      <c r="I74" s="260"/>
      <c r="J74" s="349"/>
      <c r="K74" s="260"/>
      <c r="L74" s="260"/>
    </row>
    <row r="75" spans="1:12" ht="12.95" customHeight="1" x14ac:dyDescent="0.2">
      <c r="A75" s="146"/>
      <c r="B75" s="263"/>
      <c r="C75" s="260"/>
      <c r="D75" s="349"/>
      <c r="E75" s="260"/>
      <c r="F75" s="260"/>
      <c r="G75" s="349"/>
      <c r="H75" s="260"/>
      <c r="I75" s="260"/>
      <c r="J75" s="349"/>
      <c r="K75" s="260"/>
      <c r="L75" s="260"/>
    </row>
    <row r="76" spans="1:12" ht="12.95" customHeight="1" x14ac:dyDescent="0.2">
      <c r="A76" s="146"/>
      <c r="B76" s="146"/>
      <c r="C76" s="152"/>
      <c r="D76" s="190"/>
      <c r="E76" s="152"/>
      <c r="F76" s="152"/>
      <c r="G76" s="152"/>
      <c r="H76" s="152"/>
      <c r="I76" s="152"/>
      <c r="J76" s="190"/>
      <c r="K76" s="152"/>
      <c r="L76" s="152"/>
    </row>
    <row r="77" spans="1:12" ht="12.95" customHeight="1" x14ac:dyDescent="0.2">
      <c r="A77" s="146"/>
      <c r="B77" s="146"/>
      <c r="C77" s="152"/>
      <c r="D77" s="190"/>
      <c r="E77" s="152"/>
      <c r="F77" s="152"/>
      <c r="G77" s="152"/>
      <c r="H77" s="152"/>
      <c r="I77" s="152"/>
      <c r="J77" s="190"/>
      <c r="K77" s="152"/>
      <c r="L77" s="152"/>
    </row>
    <row r="78" spans="1:12" ht="12.95" customHeight="1" x14ac:dyDescent="0.2">
      <c r="A78" s="146"/>
      <c r="B78" s="146"/>
      <c r="C78" s="152"/>
      <c r="D78" s="190"/>
      <c r="E78" s="152"/>
      <c r="F78" s="152"/>
      <c r="G78" s="152"/>
      <c r="H78" s="152"/>
      <c r="I78" s="152"/>
      <c r="J78" s="190"/>
      <c r="K78" s="152"/>
      <c r="L78" s="152"/>
    </row>
    <row r="79" spans="1:12" ht="12.95" customHeight="1" x14ac:dyDescent="0.2">
      <c r="A79" s="146"/>
      <c r="B79" s="146"/>
      <c r="C79" s="152"/>
      <c r="D79" s="190"/>
      <c r="E79" s="152"/>
      <c r="F79" s="152"/>
      <c r="G79" s="152"/>
      <c r="H79" s="152"/>
      <c r="I79" s="152"/>
      <c r="J79" s="152"/>
      <c r="K79" s="152"/>
      <c r="L79" s="152"/>
    </row>
    <row r="80" spans="1:12" ht="12.95" customHeight="1" x14ac:dyDescent="0.2">
      <c r="A80" s="146"/>
      <c r="B80" s="146"/>
      <c r="C80" s="152"/>
      <c r="D80" s="190"/>
      <c r="E80" s="152"/>
      <c r="F80" s="152"/>
      <c r="G80" s="152"/>
      <c r="H80" s="152"/>
      <c r="I80" s="152"/>
      <c r="J80" s="152"/>
      <c r="K80" s="152"/>
      <c r="L80" s="152"/>
    </row>
    <row r="81" spans="1:12" ht="12.95" customHeight="1" x14ac:dyDescent="0.2">
      <c r="A81" s="146"/>
      <c r="B81" s="146"/>
      <c r="C81" s="153"/>
      <c r="D81" s="191"/>
      <c r="E81" s="153"/>
      <c r="F81" s="153"/>
      <c r="G81" s="153"/>
      <c r="H81" s="153"/>
      <c r="I81" s="153"/>
      <c r="J81" s="153"/>
      <c r="K81" s="153"/>
      <c r="L81" s="153"/>
    </row>
    <row r="82" spans="1:12" ht="12.95" customHeight="1" x14ac:dyDescent="0.2">
      <c r="A82" s="146"/>
      <c r="B82" s="146"/>
      <c r="D82" s="188"/>
    </row>
    <row r="83" spans="1:12" ht="12.95" customHeight="1" x14ac:dyDescent="0.2"/>
    <row r="84" spans="1:12" ht="12.95" customHeight="1" x14ac:dyDescent="0.2"/>
  </sheetData>
  <printOptions gridLines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D28" sqref="D28"/>
    </sheetView>
  </sheetViews>
  <sheetFormatPr defaultRowHeight="12.75" x14ac:dyDescent="0.2"/>
  <cols>
    <col min="6" max="6" width="12.28515625" bestFit="1" customWidth="1"/>
  </cols>
  <sheetData>
    <row r="1" spans="1:6" x14ac:dyDescent="0.2">
      <c r="A1" s="27" t="s">
        <v>1513</v>
      </c>
    </row>
    <row r="2" spans="1:6" x14ac:dyDescent="0.2">
      <c r="A2" s="27" t="s">
        <v>1525</v>
      </c>
    </row>
    <row r="3" spans="1:6" x14ac:dyDescent="0.2">
      <c r="A3" s="27" t="s">
        <v>2126</v>
      </c>
    </row>
    <row r="5" spans="1:6" x14ac:dyDescent="0.2">
      <c r="F5" s="37"/>
    </row>
    <row r="6" spans="1:6" x14ac:dyDescent="0.2">
      <c r="A6" s="27" t="s">
        <v>1526</v>
      </c>
      <c r="F6" s="37"/>
    </row>
    <row r="7" spans="1:6" x14ac:dyDescent="0.2">
      <c r="B7" s="26" t="s">
        <v>1527</v>
      </c>
      <c r="F7" s="35">
        <v>427986</v>
      </c>
    </row>
    <row r="8" spans="1:6" x14ac:dyDescent="0.2">
      <c r="B8" s="26" t="s">
        <v>2127</v>
      </c>
      <c r="F8" s="37">
        <f>249077-81386</f>
        <v>167691</v>
      </c>
    </row>
    <row r="9" spans="1:6" x14ac:dyDescent="0.2">
      <c r="B9" s="26" t="s">
        <v>1231</v>
      </c>
      <c r="F9" s="38">
        <v>100</v>
      </c>
    </row>
    <row r="10" spans="1:6" x14ac:dyDescent="0.2">
      <c r="B10" s="26"/>
      <c r="F10" s="37"/>
    </row>
    <row r="11" spans="1:6" x14ac:dyDescent="0.2">
      <c r="A11" s="26" t="s">
        <v>1528</v>
      </c>
      <c r="B11" s="26" t="s">
        <v>1529</v>
      </c>
      <c r="F11" s="38">
        <f>SUM(F7:F9)</f>
        <v>595777</v>
      </c>
    </row>
    <row r="12" spans="1:6" x14ac:dyDescent="0.2">
      <c r="F12" s="37"/>
    </row>
    <row r="13" spans="1:6" x14ac:dyDescent="0.2">
      <c r="F13" s="37"/>
    </row>
    <row r="14" spans="1:6" x14ac:dyDescent="0.2">
      <c r="A14" s="27" t="s">
        <v>1335</v>
      </c>
      <c r="F14" s="37"/>
    </row>
    <row r="15" spans="1:6" x14ac:dyDescent="0.2">
      <c r="B15" s="26" t="s">
        <v>1530</v>
      </c>
      <c r="F15" s="37">
        <f>+'Statement of Functional Expense'!C43</f>
        <v>468449</v>
      </c>
    </row>
    <row r="16" spans="1:6" x14ac:dyDescent="0.2">
      <c r="B16" s="26" t="s">
        <v>1531</v>
      </c>
      <c r="F16" s="37">
        <f>+'Statement of Functional Expense'!D43</f>
        <v>68567</v>
      </c>
    </row>
    <row r="17" spans="1:6" x14ac:dyDescent="0.2">
      <c r="B17" s="26" t="s">
        <v>1359</v>
      </c>
      <c r="F17" s="38">
        <f>+'Statement of Functional Expense'!E43</f>
        <v>44810</v>
      </c>
    </row>
    <row r="18" spans="1:6" x14ac:dyDescent="0.2">
      <c r="B18" s="26"/>
      <c r="F18" s="37"/>
    </row>
    <row r="19" spans="1:6" x14ac:dyDescent="0.2">
      <c r="B19" s="26" t="s">
        <v>1539</v>
      </c>
      <c r="F19" s="38">
        <f>SUM(F15:F17)</f>
        <v>581826</v>
      </c>
    </row>
    <row r="20" spans="1:6" x14ac:dyDescent="0.2">
      <c r="F20" s="37"/>
    </row>
    <row r="21" spans="1:6" ht="13.5" thickBot="1" x14ac:dyDescent="0.25">
      <c r="A21" s="27" t="s">
        <v>1540</v>
      </c>
      <c r="F21" s="34">
        <f>+F11-F19</f>
        <v>13951</v>
      </c>
    </row>
    <row r="22" spans="1:6" ht="13.5" thickTop="1" x14ac:dyDescent="0.2">
      <c r="F22" s="37"/>
    </row>
    <row r="23" spans="1:6" x14ac:dyDescent="0.2">
      <c r="F23" s="3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87"/>
  <sheetViews>
    <sheetView workbookViewId="0">
      <selection activeCell="A71" sqref="A1:C71"/>
    </sheetView>
  </sheetViews>
  <sheetFormatPr defaultColWidth="8.85546875" defaultRowHeight="12.75" x14ac:dyDescent="0.2"/>
  <cols>
    <col min="1" max="1" width="34.28515625" style="26" bestFit="1" customWidth="1"/>
    <col min="2" max="2" width="10.5703125" style="369" customWidth="1"/>
    <col min="3" max="3" width="9.28515625" style="26" customWidth="1"/>
    <col min="4" max="5" width="8.85546875" style="26"/>
    <col min="6" max="6" width="9.28515625" style="26" bestFit="1" customWidth="1"/>
    <col min="7" max="16384" width="8.85546875" style="26"/>
  </cols>
  <sheetData>
    <row r="1" spans="1:3" ht="21.75" customHeight="1" x14ac:dyDescent="0.25">
      <c r="A1" s="649" t="s">
        <v>177</v>
      </c>
      <c r="B1" s="649"/>
      <c r="C1" s="649"/>
    </row>
    <row r="2" spans="1:3" ht="18.75" customHeight="1" thickBot="1" x14ac:dyDescent="0.3">
      <c r="A2" s="649" t="s">
        <v>2233</v>
      </c>
      <c r="B2" s="649"/>
      <c r="C2" s="649"/>
    </row>
    <row r="3" spans="1:3" ht="12.75" customHeight="1" x14ac:dyDescent="0.2">
      <c r="A3" s="87"/>
      <c r="B3" s="550">
        <v>2020</v>
      </c>
      <c r="C3" s="551">
        <v>2021</v>
      </c>
    </row>
    <row r="4" spans="1:3" s="27" customFormat="1" ht="25.5" customHeight="1" x14ac:dyDescent="0.2">
      <c r="A4" s="96" t="s">
        <v>2180</v>
      </c>
      <c r="B4" s="362" t="s">
        <v>2226</v>
      </c>
      <c r="C4" s="99" t="s">
        <v>2232</v>
      </c>
    </row>
    <row r="5" spans="1:3" s="27" customFormat="1" ht="12.95" customHeight="1" x14ac:dyDescent="0.2">
      <c r="A5" s="85" t="s">
        <v>2151</v>
      </c>
      <c r="B5" s="214">
        <f>SUM(B6:B8)</f>
        <v>44893.85</v>
      </c>
      <c r="C5" s="267">
        <f t="shared" ref="C5" si="0">SUM(C6:C8)</f>
        <v>35000</v>
      </c>
    </row>
    <row r="6" spans="1:3" ht="12.95" customHeight="1" x14ac:dyDescent="0.2">
      <c r="A6" s="81" t="s">
        <v>2162</v>
      </c>
      <c r="B6" s="268">
        <v>0</v>
      </c>
      <c r="C6" s="269">
        <v>0</v>
      </c>
    </row>
    <row r="7" spans="1:3" ht="12.95" customHeight="1" x14ac:dyDescent="0.2">
      <c r="A7" s="81" t="s">
        <v>2163</v>
      </c>
      <c r="B7" s="268">
        <v>5000</v>
      </c>
      <c r="C7" s="269">
        <v>0</v>
      </c>
    </row>
    <row r="8" spans="1:3" ht="12.95" customHeight="1" x14ac:dyDescent="0.2">
      <c r="A8" s="81" t="s">
        <v>2164</v>
      </c>
      <c r="B8" s="268">
        <v>39893.85</v>
      </c>
      <c r="C8" s="269">
        <v>35000</v>
      </c>
    </row>
    <row r="9" spans="1:3" ht="12.95" customHeight="1" x14ac:dyDescent="0.2">
      <c r="A9" s="85" t="s">
        <v>1359</v>
      </c>
      <c r="B9" s="285">
        <v>4675.9799999999996</v>
      </c>
      <c r="C9" s="267">
        <v>10000</v>
      </c>
    </row>
    <row r="10" spans="1:3" s="27" customFormat="1" ht="12.95" customHeight="1" x14ac:dyDescent="0.2">
      <c r="A10" s="85" t="s">
        <v>2149</v>
      </c>
      <c r="B10" s="202">
        <f>SUM(B11:B12)</f>
        <v>8000</v>
      </c>
      <c r="C10" s="202">
        <f>SUM(C11:C12)</f>
        <v>8000</v>
      </c>
    </row>
    <row r="11" spans="1:3" ht="12.95" customHeight="1" x14ac:dyDescent="0.2">
      <c r="A11" s="81" t="s">
        <v>2162</v>
      </c>
      <c r="B11" s="268">
        <v>0</v>
      </c>
      <c r="C11" s="269">
        <v>0</v>
      </c>
    </row>
    <row r="12" spans="1:3" ht="12.95" customHeight="1" x14ac:dyDescent="0.2">
      <c r="A12" s="81" t="s">
        <v>2170</v>
      </c>
      <c r="B12" s="268">
        <v>8000</v>
      </c>
      <c r="C12" s="269">
        <v>8000</v>
      </c>
    </row>
    <row r="13" spans="1:3" ht="12.95" customHeight="1" x14ac:dyDescent="0.2">
      <c r="A13" s="85" t="s">
        <v>2168</v>
      </c>
      <c r="B13" s="214">
        <f>1848+6514.94</f>
        <v>8362.9399999999987</v>
      </c>
      <c r="C13" s="269">
        <v>8004</v>
      </c>
    </row>
    <row r="14" spans="1:3" s="27" customFormat="1" ht="12.95" customHeight="1" x14ac:dyDescent="0.2">
      <c r="A14" s="85" t="s">
        <v>2152</v>
      </c>
      <c r="B14" s="374">
        <v>0</v>
      </c>
      <c r="C14" s="342">
        <v>-2000</v>
      </c>
    </row>
    <row r="15" spans="1:3" s="169" customFormat="1" ht="12.95" customHeight="1" x14ac:dyDescent="0.2">
      <c r="A15" s="172" t="s">
        <v>2153</v>
      </c>
      <c r="B15" s="217">
        <f>B5+B9+B10+B13+B14</f>
        <v>65932.77</v>
      </c>
      <c r="C15" s="272">
        <f>C5+C9+C10+C13+C14</f>
        <v>59004</v>
      </c>
    </row>
    <row r="16" spans="1:3" s="375" customFormat="1" ht="12.95" customHeight="1" x14ac:dyDescent="0.2">
      <c r="A16" s="350" t="s">
        <v>2171</v>
      </c>
      <c r="B16" s="306">
        <v>-8819.07</v>
      </c>
      <c r="C16" s="304">
        <f>(C15-C13)*-0.15</f>
        <v>-7650</v>
      </c>
    </row>
    <row r="17" spans="1:8" s="169" customFormat="1" ht="12.95" customHeight="1" x14ac:dyDescent="0.2">
      <c r="A17" s="172" t="s">
        <v>2154</v>
      </c>
      <c r="B17" s="217">
        <f t="shared" ref="B17:C17" si="1">B15+B16</f>
        <v>57113.700000000004</v>
      </c>
      <c r="C17" s="272">
        <f t="shared" si="1"/>
        <v>51354</v>
      </c>
    </row>
    <row r="18" spans="1:8" ht="12.95" customHeight="1" x14ac:dyDescent="0.2">
      <c r="A18" s="81"/>
      <c r="B18" s="268"/>
      <c r="C18" s="269"/>
    </row>
    <row r="19" spans="1:8" ht="12.95" customHeight="1" x14ac:dyDescent="0.2">
      <c r="A19" s="81" t="s">
        <v>1536</v>
      </c>
      <c r="B19" s="268">
        <v>0</v>
      </c>
      <c r="C19" s="572">
        <v>0</v>
      </c>
    </row>
    <row r="20" spans="1:8" ht="12.95" customHeight="1" x14ac:dyDescent="0.2">
      <c r="A20" s="81" t="s">
        <v>2157</v>
      </c>
      <c r="B20" s="268">
        <v>0</v>
      </c>
      <c r="C20" s="572">
        <v>0</v>
      </c>
    </row>
    <row r="21" spans="1:8" ht="12.95" customHeight="1" x14ac:dyDescent="0.2">
      <c r="A21" s="81" t="s">
        <v>1537</v>
      </c>
      <c r="B21" s="268">
        <v>0</v>
      </c>
      <c r="C21" s="572">
        <v>0</v>
      </c>
    </row>
    <row r="22" spans="1:8" ht="12.95" customHeight="1" x14ac:dyDescent="0.2">
      <c r="A22" s="81" t="s">
        <v>1236</v>
      </c>
      <c r="B22" s="268">
        <v>0</v>
      </c>
      <c r="C22" s="572">
        <v>0</v>
      </c>
    </row>
    <row r="23" spans="1:8" ht="12.95" customHeight="1" x14ac:dyDescent="0.2">
      <c r="A23" s="82" t="s">
        <v>2156</v>
      </c>
      <c r="B23" s="268">
        <v>0</v>
      </c>
      <c r="C23" s="572">
        <v>0</v>
      </c>
    </row>
    <row r="24" spans="1:8" ht="12.95" customHeight="1" x14ac:dyDescent="0.2">
      <c r="A24" s="82" t="s">
        <v>2176</v>
      </c>
      <c r="B24" s="268">
        <v>0</v>
      </c>
      <c r="C24" s="574">
        <v>0</v>
      </c>
      <c r="D24" s="652"/>
      <c r="E24" s="653"/>
      <c r="F24" s="653"/>
      <c r="G24" s="653"/>
      <c r="H24" s="653"/>
    </row>
    <row r="25" spans="1:8" ht="12.95" customHeight="1" x14ac:dyDescent="0.2">
      <c r="A25" s="82" t="s">
        <v>2172</v>
      </c>
      <c r="B25" s="268">
        <v>0</v>
      </c>
      <c r="C25" s="572">
        <v>0</v>
      </c>
    </row>
    <row r="26" spans="1:8" ht="12.95" customHeight="1" x14ac:dyDescent="0.2">
      <c r="A26" s="82" t="s">
        <v>1239</v>
      </c>
      <c r="B26" s="268">
        <v>1848</v>
      </c>
      <c r="C26" s="572">
        <v>1848</v>
      </c>
    </row>
    <row r="27" spans="1:8" ht="12.95" customHeight="1" x14ac:dyDescent="0.2">
      <c r="A27" s="82" t="s">
        <v>1240</v>
      </c>
      <c r="B27" s="268">
        <v>0</v>
      </c>
      <c r="C27" s="572">
        <v>0</v>
      </c>
    </row>
    <row r="28" spans="1:8" ht="12.95" customHeight="1" x14ac:dyDescent="0.2">
      <c r="A28" s="82" t="s">
        <v>1241</v>
      </c>
      <c r="B28" s="268">
        <v>0</v>
      </c>
      <c r="C28" s="572">
        <v>0</v>
      </c>
    </row>
    <row r="29" spans="1:8" ht="12.95" customHeight="1" x14ac:dyDescent="0.2">
      <c r="A29" s="82" t="s">
        <v>2167</v>
      </c>
      <c r="B29" s="268">
        <v>0</v>
      </c>
      <c r="C29" s="572">
        <v>0</v>
      </c>
    </row>
    <row r="30" spans="1:8" ht="12.95" customHeight="1" x14ac:dyDescent="0.2">
      <c r="A30" s="82" t="s">
        <v>1244</v>
      </c>
      <c r="B30" s="268">
        <v>0</v>
      </c>
      <c r="C30" s="574">
        <v>600</v>
      </c>
    </row>
    <row r="31" spans="1:8" ht="12.95" customHeight="1" x14ac:dyDescent="0.2">
      <c r="A31" s="82" t="s">
        <v>1245</v>
      </c>
      <c r="B31" s="268">
        <v>236.5</v>
      </c>
      <c r="C31" s="572">
        <v>250</v>
      </c>
    </row>
    <row r="32" spans="1:8" ht="12.95" customHeight="1" x14ac:dyDescent="0.2">
      <c r="A32" s="82" t="s">
        <v>1246</v>
      </c>
      <c r="B32" s="268">
        <v>0</v>
      </c>
      <c r="C32" s="572">
        <v>0</v>
      </c>
    </row>
    <row r="33" spans="1:3" ht="12.95" customHeight="1" x14ac:dyDescent="0.2">
      <c r="A33" s="82" t="s">
        <v>1247</v>
      </c>
      <c r="B33" s="268">
        <v>79.760000000000005</v>
      </c>
      <c r="C33" s="572">
        <v>100</v>
      </c>
    </row>
    <row r="34" spans="1:3" ht="12.95" customHeight="1" x14ac:dyDescent="0.2">
      <c r="A34" s="208" t="s">
        <v>2207</v>
      </c>
      <c r="B34" s="268">
        <v>0</v>
      </c>
      <c r="C34" s="572">
        <v>500</v>
      </c>
    </row>
    <row r="35" spans="1:3" ht="12.95" customHeight="1" x14ac:dyDescent="0.2">
      <c r="A35" s="208" t="s">
        <v>2204</v>
      </c>
      <c r="B35" s="268">
        <v>184.58</v>
      </c>
      <c r="C35" s="572">
        <v>200</v>
      </c>
    </row>
    <row r="36" spans="1:3" ht="12.95" customHeight="1" x14ac:dyDescent="0.2">
      <c r="A36" s="82" t="s">
        <v>1250</v>
      </c>
      <c r="B36" s="268">
        <v>527.17999999999995</v>
      </c>
      <c r="C36" s="572">
        <v>550</v>
      </c>
    </row>
    <row r="37" spans="1:3" ht="12.95" customHeight="1" x14ac:dyDescent="0.2">
      <c r="A37" s="82" t="s">
        <v>2239</v>
      </c>
      <c r="B37" s="268">
        <v>240</v>
      </c>
      <c r="C37" s="572">
        <v>0</v>
      </c>
    </row>
    <row r="38" spans="1:3" ht="12.95" customHeight="1" x14ac:dyDescent="0.2">
      <c r="A38" s="82" t="s">
        <v>1251</v>
      </c>
      <c r="B38" s="268">
        <v>0</v>
      </c>
      <c r="C38" s="572">
        <v>0</v>
      </c>
    </row>
    <row r="39" spans="1:3" ht="12.95" customHeight="1" x14ac:dyDescent="0.2">
      <c r="A39" s="82" t="s">
        <v>2178</v>
      </c>
      <c r="B39" s="268">
        <v>0</v>
      </c>
      <c r="C39" s="572">
        <v>0</v>
      </c>
    </row>
    <row r="40" spans="1:3" ht="12.95" customHeight="1" x14ac:dyDescent="0.2">
      <c r="A40" s="82" t="s">
        <v>1308</v>
      </c>
      <c r="B40" s="614"/>
      <c r="C40" s="617"/>
    </row>
    <row r="41" spans="1:3" ht="12.95" customHeight="1" x14ac:dyDescent="0.2">
      <c r="A41" s="82" t="s">
        <v>1844</v>
      </c>
      <c r="B41" s="268">
        <v>16597</v>
      </c>
      <c r="C41" s="572">
        <v>19710</v>
      </c>
    </row>
    <row r="42" spans="1:3" ht="12.95" customHeight="1" x14ac:dyDescent="0.2">
      <c r="A42" s="82" t="s">
        <v>2166</v>
      </c>
      <c r="B42" s="268">
        <v>6514.94</v>
      </c>
      <c r="C42" s="572">
        <v>6500</v>
      </c>
    </row>
    <row r="43" spans="1:3" ht="12.95" customHeight="1" x14ac:dyDescent="0.2">
      <c r="A43" s="82" t="s">
        <v>2165</v>
      </c>
      <c r="B43" s="268">
        <v>0</v>
      </c>
      <c r="C43" s="572">
        <v>3000</v>
      </c>
    </row>
    <row r="44" spans="1:3" ht="12.95" customHeight="1" x14ac:dyDescent="0.2">
      <c r="A44" s="82" t="s">
        <v>2202</v>
      </c>
      <c r="B44" s="268">
        <v>0</v>
      </c>
      <c r="C44" s="572">
        <v>0</v>
      </c>
    </row>
    <row r="45" spans="1:3" ht="12.95" customHeight="1" x14ac:dyDescent="0.2">
      <c r="A45" s="82" t="s">
        <v>1256</v>
      </c>
      <c r="B45" s="268">
        <v>0</v>
      </c>
      <c r="C45" s="572">
        <v>0</v>
      </c>
    </row>
    <row r="46" spans="1:3" ht="12.95" customHeight="1" x14ac:dyDescent="0.2">
      <c r="A46" s="82" t="s">
        <v>2191</v>
      </c>
      <c r="B46" s="268">
        <v>0</v>
      </c>
      <c r="C46" s="572">
        <v>0</v>
      </c>
    </row>
    <row r="47" spans="1:3" ht="12.95" customHeight="1" x14ac:dyDescent="0.2">
      <c r="A47" s="82" t="s">
        <v>1257</v>
      </c>
      <c r="B47" s="268">
        <v>0</v>
      </c>
      <c r="C47" s="572">
        <v>0</v>
      </c>
    </row>
    <row r="48" spans="1:3" ht="12.95" customHeight="1" x14ac:dyDescent="0.2">
      <c r="A48" s="82" t="s">
        <v>2159</v>
      </c>
      <c r="B48" s="268">
        <v>0</v>
      </c>
      <c r="C48" s="572">
        <v>0</v>
      </c>
    </row>
    <row r="49" spans="1:10" ht="12.95" customHeight="1" x14ac:dyDescent="0.2">
      <c r="A49" s="82" t="s">
        <v>1259</v>
      </c>
      <c r="B49" s="268">
        <v>0</v>
      </c>
      <c r="C49" s="572">
        <v>0</v>
      </c>
    </row>
    <row r="50" spans="1:10" ht="12.95" customHeight="1" x14ac:dyDescent="0.2">
      <c r="A50" s="82" t="s">
        <v>1260</v>
      </c>
      <c r="B50" s="268">
        <v>0</v>
      </c>
      <c r="C50" s="572">
        <v>0</v>
      </c>
    </row>
    <row r="51" spans="1:10" ht="12.95" customHeight="1" x14ac:dyDescent="0.2">
      <c r="A51" s="82" t="s">
        <v>2158</v>
      </c>
      <c r="B51" s="268">
        <v>0</v>
      </c>
      <c r="C51" s="572">
        <v>0</v>
      </c>
    </row>
    <row r="52" spans="1:10" s="82" customFormat="1" ht="12.95" customHeight="1" x14ac:dyDescent="0.2">
      <c r="A52" s="82" t="s">
        <v>2250</v>
      </c>
      <c r="B52" s="268">
        <v>0</v>
      </c>
      <c r="C52" s="572">
        <v>0</v>
      </c>
    </row>
    <row r="53" spans="1:10" ht="12.95" customHeight="1" x14ac:dyDescent="0.2">
      <c r="A53" s="82" t="s">
        <v>1262</v>
      </c>
      <c r="B53" s="314">
        <v>0</v>
      </c>
      <c r="C53" s="574">
        <v>0</v>
      </c>
    </row>
    <row r="54" spans="1:10" ht="12.95" customHeight="1" x14ac:dyDescent="0.2">
      <c r="A54" s="82" t="s">
        <v>1263</v>
      </c>
      <c r="B54" s="314">
        <v>0</v>
      </c>
      <c r="C54" s="574">
        <v>0</v>
      </c>
    </row>
    <row r="55" spans="1:10" ht="12.95" customHeight="1" x14ac:dyDescent="0.2">
      <c r="A55" s="82" t="s">
        <v>2177</v>
      </c>
      <c r="B55" s="314">
        <v>0</v>
      </c>
      <c r="C55" s="574">
        <v>0</v>
      </c>
      <c r="F55" s="83"/>
    </row>
    <row r="56" spans="1:10" ht="12.95" customHeight="1" x14ac:dyDescent="0.2">
      <c r="A56" s="82" t="s">
        <v>2203</v>
      </c>
      <c r="B56" s="314">
        <v>0</v>
      </c>
      <c r="C56" s="574">
        <v>0</v>
      </c>
    </row>
    <row r="57" spans="1:10" ht="12.95" customHeight="1" thickBot="1" x14ac:dyDescent="0.25">
      <c r="A57" s="102" t="s">
        <v>1269</v>
      </c>
      <c r="B57" s="274">
        <v>0</v>
      </c>
      <c r="C57" s="575">
        <v>0</v>
      </c>
    </row>
    <row r="58" spans="1:10" s="169" customFormat="1" ht="12.95" customHeight="1" x14ac:dyDescent="0.2">
      <c r="A58" s="171" t="s">
        <v>1278</v>
      </c>
      <c r="B58" s="217">
        <f>SUM(B19:B57)</f>
        <v>26227.96</v>
      </c>
      <c r="C58" s="272">
        <f>SUM(C19:C57)</f>
        <v>33258</v>
      </c>
    </row>
    <row r="59" spans="1:10" s="169" customFormat="1" ht="15.6" customHeight="1" x14ac:dyDescent="0.2">
      <c r="A59" s="171" t="s">
        <v>1276</v>
      </c>
      <c r="B59" s="363">
        <f>B17-B58</f>
        <v>30885.740000000005</v>
      </c>
      <c r="C59" s="272">
        <f>C17-C58</f>
        <v>18096</v>
      </c>
    </row>
    <row r="60" spans="1:10" s="170" customFormat="1" ht="12.95" customHeight="1" thickBot="1" x14ac:dyDescent="0.25">
      <c r="A60" s="175"/>
      <c r="B60" s="364"/>
      <c r="C60" s="333"/>
    </row>
    <row r="61" spans="1:10" s="119" customFormat="1" ht="12.95" customHeight="1" thickBot="1" x14ac:dyDescent="0.25">
      <c r="A61" s="118" t="s">
        <v>2155</v>
      </c>
      <c r="B61" s="365">
        <v>7</v>
      </c>
      <c r="C61" s="360">
        <v>6</v>
      </c>
      <c r="D61" s="650"/>
      <c r="E61" s="651"/>
      <c r="F61" s="651"/>
      <c r="G61" s="651"/>
      <c r="H61" s="651"/>
      <c r="I61" s="651"/>
      <c r="J61" s="651"/>
    </row>
    <row r="62" spans="1:10" s="117" customFormat="1" ht="12.95" customHeight="1" thickBot="1" x14ac:dyDescent="0.25">
      <c r="A62" s="116"/>
      <c r="B62" s="370"/>
      <c r="C62" s="371"/>
    </row>
    <row r="63" spans="1:10" ht="12.95" customHeight="1" thickBot="1" x14ac:dyDescent="0.25">
      <c r="A63" s="146"/>
      <c r="B63" s="205"/>
      <c r="C63" s="259"/>
    </row>
    <row r="64" spans="1:10" ht="12.95" customHeight="1" thickBot="1" x14ac:dyDescent="0.25">
      <c r="A64" s="497" t="s">
        <v>2215</v>
      </c>
      <c r="B64" s="561">
        <v>2020</v>
      </c>
      <c r="C64" s="562">
        <v>2021</v>
      </c>
    </row>
    <row r="65" spans="1:3" s="27" customFormat="1" ht="12.95" customHeight="1" x14ac:dyDescent="0.2">
      <c r="A65" s="485" t="s">
        <v>2216</v>
      </c>
      <c r="B65" s="488">
        <f>B41/B61</f>
        <v>2371</v>
      </c>
      <c r="C65" s="573">
        <f>C41/C61</f>
        <v>3285</v>
      </c>
    </row>
    <row r="66" spans="1:3" ht="12.95" customHeight="1" x14ac:dyDescent="0.2">
      <c r="A66" s="151" t="s">
        <v>2217</v>
      </c>
      <c r="B66" s="286">
        <f>B42/B61</f>
        <v>930.70571428571418</v>
      </c>
      <c r="C66" s="491">
        <f>C42/C61</f>
        <v>1083.3333333333333</v>
      </c>
    </row>
    <row r="67" spans="1:3" ht="12.95" customHeight="1" x14ac:dyDescent="0.2">
      <c r="A67" s="151" t="s">
        <v>2218</v>
      </c>
      <c r="B67" s="286">
        <f>B43/B61</f>
        <v>0</v>
      </c>
      <c r="C67" s="491">
        <f>C43/C61</f>
        <v>500</v>
      </c>
    </row>
    <row r="68" spans="1:3" ht="14.25" customHeight="1" x14ac:dyDescent="0.2">
      <c r="A68" s="196" t="s">
        <v>2219</v>
      </c>
      <c r="B68" s="520">
        <f>SUM(B65:B67)</f>
        <v>3301.7057142857143</v>
      </c>
      <c r="C68" s="521">
        <f>SUM(C65:C67)</f>
        <v>4868.333333333333</v>
      </c>
    </row>
    <row r="69" spans="1:3" ht="14.25" customHeight="1" x14ac:dyDescent="0.2">
      <c r="A69" s="151" t="s">
        <v>2220</v>
      </c>
      <c r="B69" s="523">
        <f>-B16/B61</f>
        <v>1259.8671428571429</v>
      </c>
      <c r="C69" s="524">
        <f>-C16/C61</f>
        <v>1275</v>
      </c>
    </row>
    <row r="70" spans="1:3" ht="14.25" customHeight="1" x14ac:dyDescent="0.2">
      <c r="A70" s="485"/>
      <c r="B70" s="523"/>
      <c r="C70" s="524"/>
    </row>
    <row r="71" spans="1:3" ht="14.25" customHeight="1" thickBot="1" x14ac:dyDescent="0.25">
      <c r="A71" s="148" t="s">
        <v>2221</v>
      </c>
      <c r="B71" s="545">
        <f>B58/B61</f>
        <v>3746.8514285714286</v>
      </c>
      <c r="C71" s="546">
        <f>C58/C61</f>
        <v>5543</v>
      </c>
    </row>
    <row r="72" spans="1:3" ht="14.25" customHeight="1" x14ac:dyDescent="0.2">
      <c r="A72" s="372"/>
      <c r="B72" s="366"/>
      <c r="C72" s="366"/>
    </row>
    <row r="73" spans="1:3" ht="14.25" customHeight="1" x14ac:dyDescent="0.2">
      <c r="A73" s="372"/>
      <c r="B73" s="366"/>
      <c r="C73" s="366"/>
    </row>
    <row r="74" spans="1:3" ht="14.25" customHeight="1" x14ac:dyDescent="0.2">
      <c r="A74" s="372"/>
      <c r="B74" s="366"/>
      <c r="C74" s="366"/>
    </row>
    <row r="75" spans="1:3" ht="14.25" customHeight="1" x14ac:dyDescent="0.2">
      <c r="A75" s="372"/>
      <c r="B75" s="366"/>
      <c r="C75" s="366"/>
    </row>
    <row r="76" spans="1:3" ht="14.25" customHeight="1" x14ac:dyDescent="0.2">
      <c r="A76" s="372"/>
      <c r="B76" s="366"/>
      <c r="C76" s="366"/>
    </row>
    <row r="77" spans="1:3" x14ac:dyDescent="0.2">
      <c r="A77" s="201"/>
      <c r="B77" s="204"/>
      <c r="C77" s="260"/>
    </row>
    <row r="78" spans="1:3" ht="12.95" customHeight="1" x14ac:dyDescent="0.2">
      <c r="A78" s="146"/>
      <c r="B78" s="211"/>
      <c r="C78" s="152"/>
    </row>
    <row r="79" spans="1:3" ht="12.95" customHeight="1" x14ac:dyDescent="0.2">
      <c r="A79" s="146"/>
      <c r="B79" s="211"/>
      <c r="C79" s="152"/>
    </row>
    <row r="80" spans="1:3" ht="12.95" customHeight="1" x14ac:dyDescent="0.2">
      <c r="A80" s="146"/>
      <c r="B80" s="211"/>
      <c r="C80" s="152"/>
    </row>
    <row r="81" spans="1:3" ht="12.95" customHeight="1" x14ac:dyDescent="0.2">
      <c r="A81" s="146"/>
      <c r="B81" s="211"/>
      <c r="C81" s="152"/>
    </row>
    <row r="82" spans="1:3" ht="12.95" customHeight="1" x14ac:dyDescent="0.2">
      <c r="A82" s="146"/>
      <c r="B82" s="211"/>
      <c r="C82" s="152"/>
    </row>
    <row r="83" spans="1:3" ht="12.95" customHeight="1" x14ac:dyDescent="0.2">
      <c r="A83" s="146"/>
      <c r="B83" s="211"/>
      <c r="C83" s="152"/>
    </row>
    <row r="84" spans="1:3" ht="12.95" customHeight="1" x14ac:dyDescent="0.2">
      <c r="A84" s="146"/>
      <c r="B84" s="367"/>
      <c r="C84" s="153"/>
    </row>
    <row r="85" spans="1:3" ht="12.95" customHeight="1" x14ac:dyDescent="0.2">
      <c r="A85" s="146"/>
      <c r="B85" s="368"/>
      <c r="C85" s="147"/>
    </row>
    <row r="86" spans="1:3" ht="12.95" customHeight="1" x14ac:dyDescent="0.2">
      <c r="A86" s="147"/>
      <c r="B86" s="368"/>
      <c r="C86" s="147"/>
    </row>
    <row r="87" spans="1:3" ht="12.95" customHeight="1" x14ac:dyDescent="0.2">
      <c r="A87" s="147"/>
      <c r="B87" s="368"/>
      <c r="C87" s="147"/>
    </row>
  </sheetData>
  <mergeCells count="4">
    <mergeCell ref="A1:C1"/>
    <mergeCell ref="A2:C2"/>
    <mergeCell ref="D61:J61"/>
    <mergeCell ref="D24:H24"/>
  </mergeCells>
  <printOptions gridLines="1"/>
  <pageMargins left="0.7" right="0.7" top="0.75" bottom="0.75" header="0.3" footer="0.3"/>
  <pageSetup scale="68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3667-6C3B-4623-BF54-EB14B45CABEF}">
  <sheetPr>
    <pageSetUpPr fitToPage="1"/>
  </sheetPr>
  <dimension ref="A1:M78"/>
  <sheetViews>
    <sheetView workbookViewId="0">
      <selection activeCell="A71" sqref="A1:C71"/>
    </sheetView>
  </sheetViews>
  <sheetFormatPr defaultRowHeight="12.75" x14ac:dyDescent="0.2"/>
  <cols>
    <col min="1" max="1" width="33.140625" style="26" customWidth="1"/>
    <col min="2" max="2" width="13.5703125" style="26" bestFit="1" customWidth="1"/>
    <col min="3" max="3" width="10.5703125" style="170" customWidth="1"/>
  </cols>
  <sheetData>
    <row r="1" spans="1:9" ht="15.75" x14ac:dyDescent="0.25">
      <c r="A1" s="534" t="s">
        <v>177</v>
      </c>
      <c r="B1" s="534"/>
      <c r="C1" s="534"/>
      <c r="D1" s="534"/>
      <c r="E1" s="534"/>
      <c r="F1" s="534"/>
      <c r="G1" s="534"/>
      <c r="H1" s="534"/>
      <c r="I1" s="534"/>
    </row>
    <row r="2" spans="1:9" ht="16.5" thickBot="1" x14ac:dyDescent="0.3">
      <c r="A2" s="534" t="s">
        <v>2231</v>
      </c>
      <c r="B2" s="534"/>
      <c r="C2" s="534"/>
      <c r="D2" s="534"/>
      <c r="E2" s="534"/>
      <c r="F2" s="534"/>
      <c r="G2" s="534"/>
      <c r="H2" s="534"/>
      <c r="I2" s="534"/>
    </row>
    <row r="3" spans="1:9" x14ac:dyDescent="0.2">
      <c r="A3" s="125"/>
      <c r="B3" s="550">
        <v>2020</v>
      </c>
      <c r="C3" s="551">
        <v>2021</v>
      </c>
    </row>
    <row r="4" spans="1:9" ht="13.5" thickBot="1" x14ac:dyDescent="0.25">
      <c r="A4" s="96" t="s">
        <v>2169</v>
      </c>
      <c r="B4" s="352" t="s">
        <v>2209</v>
      </c>
      <c r="C4" s="353" t="s">
        <v>2186</v>
      </c>
    </row>
    <row r="5" spans="1:9" x14ac:dyDescent="0.2">
      <c r="A5" s="85" t="s">
        <v>2151</v>
      </c>
      <c r="B5" s="341">
        <f t="shared" ref="B5:C5" si="0">SUM(B6:B8)</f>
        <v>8236</v>
      </c>
      <c r="C5" s="276">
        <f t="shared" si="0"/>
        <v>5000</v>
      </c>
    </row>
    <row r="6" spans="1:9" x14ac:dyDescent="0.2">
      <c r="A6" s="81" t="s">
        <v>2162</v>
      </c>
      <c r="B6" s="286">
        <v>0</v>
      </c>
      <c r="C6" s="308">
        <v>0</v>
      </c>
    </row>
    <row r="7" spans="1:9" x14ac:dyDescent="0.2">
      <c r="A7" s="81" t="s">
        <v>2163</v>
      </c>
      <c r="B7" s="286">
        <v>0</v>
      </c>
      <c r="C7" s="308">
        <v>0</v>
      </c>
    </row>
    <row r="8" spans="1:9" x14ac:dyDescent="0.2">
      <c r="A8" s="81" t="s">
        <v>2164</v>
      </c>
      <c r="B8" s="286">
        <v>8236</v>
      </c>
      <c r="C8" s="308">
        <v>5000</v>
      </c>
    </row>
    <row r="9" spans="1:9" x14ac:dyDescent="0.2">
      <c r="A9" s="85" t="s">
        <v>1359</v>
      </c>
      <c r="B9" s="287">
        <v>12290</v>
      </c>
      <c r="C9" s="309">
        <v>15000</v>
      </c>
    </row>
    <row r="10" spans="1:9" x14ac:dyDescent="0.2">
      <c r="A10" s="85" t="s">
        <v>2149</v>
      </c>
      <c r="B10" s="354">
        <f t="shared" ref="B10:C10" si="1">SUM(B11:B12)</f>
        <v>0</v>
      </c>
      <c r="C10" s="309">
        <f t="shared" si="1"/>
        <v>0</v>
      </c>
    </row>
    <row r="11" spans="1:9" x14ac:dyDescent="0.2">
      <c r="A11" s="81" t="s">
        <v>2162</v>
      </c>
      <c r="B11" s="286">
        <v>0</v>
      </c>
      <c r="C11" s="308">
        <v>0</v>
      </c>
    </row>
    <row r="12" spans="1:9" x14ac:dyDescent="0.2">
      <c r="A12" s="81" t="s">
        <v>2170</v>
      </c>
      <c r="B12" s="286">
        <v>0</v>
      </c>
      <c r="C12" s="308">
        <v>0</v>
      </c>
    </row>
    <row r="13" spans="1:9" x14ac:dyDescent="0.2">
      <c r="A13" s="85" t="s">
        <v>2168</v>
      </c>
      <c r="B13" s="287">
        <v>18628</v>
      </c>
      <c r="C13" s="309">
        <v>13000</v>
      </c>
    </row>
    <row r="14" spans="1:9" x14ac:dyDescent="0.2">
      <c r="A14" s="85" t="s">
        <v>2152</v>
      </c>
      <c r="B14" s="288">
        <v>-5423</v>
      </c>
      <c r="C14" s="356">
        <v>-3000</v>
      </c>
    </row>
    <row r="15" spans="1:9" x14ac:dyDescent="0.2">
      <c r="A15" s="172" t="s">
        <v>2153</v>
      </c>
      <c r="B15" s="354">
        <f t="shared" ref="B15:C15" si="2">B5+B9+B10+B13+B14</f>
        <v>33731</v>
      </c>
      <c r="C15" s="309">
        <f t="shared" si="2"/>
        <v>30000</v>
      </c>
    </row>
    <row r="16" spans="1:9" x14ac:dyDescent="0.2">
      <c r="A16" s="350" t="s">
        <v>2171</v>
      </c>
      <c r="B16" s="355">
        <v>-1165</v>
      </c>
      <c r="C16" s="356">
        <f>(C15-C13)*-0.15</f>
        <v>-2550</v>
      </c>
    </row>
    <row r="17" spans="1:4" x14ac:dyDescent="0.2">
      <c r="A17" s="172" t="s">
        <v>2154</v>
      </c>
      <c r="B17" s="354">
        <f t="shared" ref="B17:C17" si="3">B15+B16</f>
        <v>32566</v>
      </c>
      <c r="C17" s="309">
        <f t="shared" si="3"/>
        <v>27450</v>
      </c>
    </row>
    <row r="18" spans="1:4" x14ac:dyDescent="0.2">
      <c r="A18" s="81"/>
      <c r="B18" s="286"/>
      <c r="C18" s="308"/>
    </row>
    <row r="19" spans="1:4" x14ac:dyDescent="0.2">
      <c r="A19" s="81" t="s">
        <v>1536</v>
      </c>
      <c r="B19" s="286">
        <v>0</v>
      </c>
      <c r="C19" s="308">
        <v>0</v>
      </c>
    </row>
    <row r="20" spans="1:4" x14ac:dyDescent="0.2">
      <c r="A20" s="81" t="s">
        <v>2157</v>
      </c>
      <c r="B20" s="286">
        <v>0</v>
      </c>
      <c r="C20" s="308">
        <v>0</v>
      </c>
    </row>
    <row r="21" spans="1:4" x14ac:dyDescent="0.2">
      <c r="A21" s="81" t="s">
        <v>1537</v>
      </c>
      <c r="B21" s="286">
        <v>0</v>
      </c>
      <c r="C21" s="308">
        <v>0</v>
      </c>
    </row>
    <row r="22" spans="1:4" x14ac:dyDescent="0.2">
      <c r="A22" s="81" t="s">
        <v>1236</v>
      </c>
      <c r="B22" s="286">
        <v>0</v>
      </c>
      <c r="C22" s="308">
        <v>0</v>
      </c>
    </row>
    <row r="23" spans="1:4" x14ac:dyDescent="0.2">
      <c r="A23" s="82" t="s">
        <v>2156</v>
      </c>
      <c r="B23" s="286">
        <v>0</v>
      </c>
      <c r="C23" s="308">
        <v>0</v>
      </c>
    </row>
    <row r="24" spans="1:4" x14ac:dyDescent="0.2">
      <c r="A24" s="82" t="s">
        <v>2208</v>
      </c>
      <c r="B24" s="252">
        <v>0</v>
      </c>
      <c r="C24" s="574">
        <v>0</v>
      </c>
      <c r="D24" s="26"/>
    </row>
    <row r="25" spans="1:4" x14ac:dyDescent="0.2">
      <c r="A25" s="82" t="s">
        <v>2172</v>
      </c>
      <c r="B25" s="286">
        <v>0</v>
      </c>
      <c r="C25" s="308">
        <v>0</v>
      </c>
    </row>
    <row r="26" spans="1:4" x14ac:dyDescent="0.2">
      <c r="A26" s="82" t="s">
        <v>1239</v>
      </c>
      <c r="B26" s="286">
        <v>0</v>
      </c>
      <c r="C26" s="308">
        <v>0</v>
      </c>
    </row>
    <row r="27" spans="1:4" x14ac:dyDescent="0.2">
      <c r="A27" s="82" t="s">
        <v>1240</v>
      </c>
      <c r="B27" s="286">
        <v>0</v>
      </c>
      <c r="C27" s="308">
        <v>0</v>
      </c>
    </row>
    <row r="28" spans="1:4" x14ac:dyDescent="0.2">
      <c r="A28" s="82" t="s">
        <v>1241</v>
      </c>
      <c r="B28" s="286">
        <v>0</v>
      </c>
      <c r="C28" s="308">
        <v>0</v>
      </c>
    </row>
    <row r="29" spans="1:4" x14ac:dyDescent="0.2">
      <c r="A29" s="82" t="s">
        <v>2167</v>
      </c>
      <c r="B29" s="286">
        <v>0</v>
      </c>
      <c r="C29" s="308">
        <v>0</v>
      </c>
    </row>
    <row r="30" spans="1:4" x14ac:dyDescent="0.2">
      <c r="A30" s="82" t="s">
        <v>1244</v>
      </c>
      <c r="B30" s="286">
        <v>0</v>
      </c>
      <c r="C30" s="308">
        <v>0</v>
      </c>
    </row>
    <row r="31" spans="1:4" x14ac:dyDescent="0.2">
      <c r="A31" s="82" t="s">
        <v>1245</v>
      </c>
      <c r="B31" s="286">
        <v>0</v>
      </c>
      <c r="C31" s="308">
        <v>0</v>
      </c>
    </row>
    <row r="32" spans="1:4" x14ac:dyDescent="0.2">
      <c r="A32" s="82" t="s">
        <v>1246</v>
      </c>
      <c r="B32" s="286">
        <v>0</v>
      </c>
      <c r="C32" s="308">
        <v>0</v>
      </c>
    </row>
    <row r="33" spans="1:4" x14ac:dyDescent="0.2">
      <c r="A33" s="82" t="s">
        <v>1247</v>
      </c>
      <c r="B33" s="286">
        <v>0</v>
      </c>
      <c r="C33" s="308">
        <v>0</v>
      </c>
    </row>
    <row r="34" spans="1:4" x14ac:dyDescent="0.2">
      <c r="A34" s="208" t="s">
        <v>2207</v>
      </c>
      <c r="B34" s="286">
        <v>0</v>
      </c>
      <c r="C34" s="308">
        <v>0</v>
      </c>
    </row>
    <row r="35" spans="1:4" x14ac:dyDescent="0.2">
      <c r="A35" s="208" t="s">
        <v>2204</v>
      </c>
      <c r="B35" s="286">
        <v>0</v>
      </c>
      <c r="C35" s="308">
        <v>0</v>
      </c>
    </row>
    <row r="36" spans="1:4" x14ac:dyDescent="0.2">
      <c r="A36" s="82" t="s">
        <v>1250</v>
      </c>
      <c r="B36" s="286">
        <v>207</v>
      </c>
      <c r="C36" s="308">
        <v>100</v>
      </c>
    </row>
    <row r="37" spans="1:4" s="553" customFormat="1" x14ac:dyDescent="0.2">
      <c r="A37" s="82" t="s">
        <v>2239</v>
      </c>
      <c r="B37" s="286">
        <v>0</v>
      </c>
      <c r="C37" s="308">
        <v>0</v>
      </c>
    </row>
    <row r="38" spans="1:4" x14ac:dyDescent="0.2">
      <c r="A38" s="82" t="s">
        <v>1251</v>
      </c>
      <c r="B38" s="286">
        <v>0</v>
      </c>
      <c r="C38" s="308">
        <v>0</v>
      </c>
    </row>
    <row r="39" spans="1:4" x14ac:dyDescent="0.2">
      <c r="A39" s="82" t="s">
        <v>2178</v>
      </c>
      <c r="B39" s="286">
        <v>0</v>
      </c>
      <c r="C39" s="308">
        <v>0</v>
      </c>
    </row>
    <row r="40" spans="1:4" ht="15" customHeight="1" x14ac:dyDescent="0.2">
      <c r="A40" s="347" t="s">
        <v>1308</v>
      </c>
      <c r="B40" s="615"/>
      <c r="C40" s="610"/>
    </row>
    <row r="41" spans="1:4" x14ac:dyDescent="0.2">
      <c r="A41" s="82" t="s">
        <v>1844</v>
      </c>
      <c r="B41" s="286">
        <v>6504</v>
      </c>
      <c r="C41" s="308">
        <v>14120</v>
      </c>
      <c r="D41" s="26"/>
    </row>
    <row r="42" spans="1:4" x14ac:dyDescent="0.2">
      <c r="A42" s="82" t="s">
        <v>2166</v>
      </c>
      <c r="B42" s="286">
        <v>5218</v>
      </c>
      <c r="C42" s="308">
        <v>7000</v>
      </c>
    </row>
    <row r="43" spans="1:4" x14ac:dyDescent="0.2">
      <c r="A43" s="82" t="s">
        <v>2165</v>
      </c>
      <c r="B43" s="286">
        <v>13410</v>
      </c>
      <c r="C43" s="308">
        <v>6000</v>
      </c>
    </row>
    <row r="44" spans="1:4" x14ac:dyDescent="0.2">
      <c r="A44" s="82" t="s">
        <v>2202</v>
      </c>
      <c r="B44" s="286">
        <v>0</v>
      </c>
      <c r="C44" s="308">
        <v>0</v>
      </c>
    </row>
    <row r="45" spans="1:4" x14ac:dyDescent="0.2">
      <c r="A45" s="82" t="s">
        <v>1256</v>
      </c>
      <c r="B45" s="286">
        <v>0</v>
      </c>
      <c r="C45" s="308">
        <v>0</v>
      </c>
    </row>
    <row r="46" spans="1:4" x14ac:dyDescent="0.2">
      <c r="A46" s="82" t="s">
        <v>2191</v>
      </c>
      <c r="B46" s="286">
        <v>0</v>
      </c>
      <c r="C46" s="308">
        <v>0</v>
      </c>
    </row>
    <row r="47" spans="1:4" x14ac:dyDescent="0.2">
      <c r="A47" s="82" t="s">
        <v>1257</v>
      </c>
      <c r="B47" s="286">
        <v>0</v>
      </c>
      <c r="C47" s="308">
        <v>0</v>
      </c>
    </row>
    <row r="48" spans="1:4" x14ac:dyDescent="0.2">
      <c r="A48" s="82" t="s">
        <v>2159</v>
      </c>
      <c r="B48" s="286">
        <v>0</v>
      </c>
      <c r="C48" s="308">
        <v>0</v>
      </c>
    </row>
    <row r="49" spans="1:3" x14ac:dyDescent="0.2">
      <c r="A49" s="82" t="s">
        <v>1259</v>
      </c>
      <c r="B49" s="286">
        <v>0</v>
      </c>
      <c r="C49" s="308">
        <v>0</v>
      </c>
    </row>
    <row r="50" spans="1:3" x14ac:dyDescent="0.2">
      <c r="A50" s="82" t="s">
        <v>1260</v>
      </c>
      <c r="B50" s="286">
        <v>0</v>
      </c>
      <c r="C50" s="308">
        <v>0</v>
      </c>
    </row>
    <row r="51" spans="1:3" x14ac:dyDescent="0.2">
      <c r="A51" s="82" t="s">
        <v>2158</v>
      </c>
      <c r="B51" s="286">
        <v>0</v>
      </c>
      <c r="C51" s="308">
        <v>0</v>
      </c>
    </row>
    <row r="52" spans="1:3" s="621" customFormat="1" x14ac:dyDescent="0.2">
      <c r="A52" s="82" t="s">
        <v>2250</v>
      </c>
      <c r="B52" s="286">
        <v>0</v>
      </c>
      <c r="C52" s="308">
        <v>0</v>
      </c>
    </row>
    <row r="53" spans="1:3" x14ac:dyDescent="0.2">
      <c r="A53" s="82" t="s">
        <v>1262</v>
      </c>
      <c r="B53" s="286">
        <v>0</v>
      </c>
      <c r="C53" s="308">
        <v>0</v>
      </c>
    </row>
    <row r="54" spans="1:3" x14ac:dyDescent="0.2">
      <c r="A54" s="82" t="s">
        <v>1263</v>
      </c>
      <c r="B54" s="286">
        <v>0</v>
      </c>
      <c r="C54" s="308">
        <v>0</v>
      </c>
    </row>
    <row r="55" spans="1:3" x14ac:dyDescent="0.2">
      <c r="A55" s="82" t="s">
        <v>2177</v>
      </c>
      <c r="B55" s="286">
        <v>0</v>
      </c>
      <c r="C55" s="308">
        <v>0</v>
      </c>
    </row>
    <row r="56" spans="1:3" x14ac:dyDescent="0.2">
      <c r="A56" s="82" t="s">
        <v>2203</v>
      </c>
      <c r="B56" s="286">
        <v>0</v>
      </c>
      <c r="C56" s="308">
        <v>0</v>
      </c>
    </row>
    <row r="57" spans="1:3" ht="13.5" thickBot="1" x14ac:dyDescent="0.25">
      <c r="A57" s="102" t="s">
        <v>1269</v>
      </c>
      <c r="B57" s="290">
        <v>0</v>
      </c>
      <c r="C57" s="357">
        <v>0</v>
      </c>
    </row>
    <row r="58" spans="1:3" x14ac:dyDescent="0.2">
      <c r="A58" s="171" t="s">
        <v>1278</v>
      </c>
      <c r="B58" s="291">
        <f t="shared" ref="B58:C58" si="4">SUM(B19:B57)</f>
        <v>25339</v>
      </c>
      <c r="C58" s="292">
        <f t="shared" si="4"/>
        <v>27220</v>
      </c>
    </row>
    <row r="59" spans="1:3" x14ac:dyDescent="0.2">
      <c r="A59" s="171" t="s">
        <v>1276</v>
      </c>
      <c r="B59" s="381">
        <f t="shared" ref="B59:C59" si="5">B17-B58</f>
        <v>7227</v>
      </c>
      <c r="C59" s="382">
        <f t="shared" si="5"/>
        <v>230</v>
      </c>
    </row>
    <row r="60" spans="1:3" ht="13.5" thickBot="1" x14ac:dyDescent="0.25">
      <c r="A60" s="175"/>
      <c r="B60" s="332"/>
      <c r="C60" s="333"/>
    </row>
    <row r="61" spans="1:3" ht="13.5" thickBot="1" x14ac:dyDescent="0.25">
      <c r="A61" s="141" t="s">
        <v>2155</v>
      </c>
      <c r="B61" s="358">
        <v>2</v>
      </c>
      <c r="C61" s="359">
        <v>4</v>
      </c>
    </row>
    <row r="62" spans="1:3" x14ac:dyDescent="0.2">
      <c r="A62" s="144"/>
      <c r="B62" s="345"/>
      <c r="C62" s="187"/>
    </row>
    <row r="63" spans="1:3" ht="13.5" thickBot="1" x14ac:dyDescent="0.25">
      <c r="A63" s="146"/>
      <c r="B63" s="146"/>
      <c r="C63" s="188"/>
    </row>
    <row r="64" spans="1:3" s="483" customFormat="1" ht="13.5" thickBot="1" x14ac:dyDescent="0.25">
      <c r="A64" s="507" t="s">
        <v>2215</v>
      </c>
      <c r="B64" s="141">
        <v>2020</v>
      </c>
      <c r="C64" s="591">
        <v>2021</v>
      </c>
    </row>
    <row r="65" spans="1:13" x14ac:dyDescent="0.2">
      <c r="A65" s="485" t="s">
        <v>2216</v>
      </c>
      <c r="B65" s="488">
        <f>B41/B61</f>
        <v>3252</v>
      </c>
      <c r="C65" s="573">
        <f>C41/C61</f>
        <v>3530</v>
      </c>
    </row>
    <row r="66" spans="1:13" x14ac:dyDescent="0.2">
      <c r="A66" s="151" t="s">
        <v>2217</v>
      </c>
      <c r="B66" s="286">
        <f>B42/B61</f>
        <v>2609</v>
      </c>
      <c r="C66" s="491">
        <f>C42/C61</f>
        <v>1750</v>
      </c>
    </row>
    <row r="67" spans="1:13" x14ac:dyDescent="0.2">
      <c r="A67" s="151" t="s">
        <v>2218</v>
      </c>
      <c r="B67" s="286">
        <f>B43/B61</f>
        <v>6705</v>
      </c>
      <c r="C67" s="517">
        <v>0</v>
      </c>
    </row>
    <row r="68" spans="1:13" x14ac:dyDescent="0.2">
      <c r="A68" s="196" t="s">
        <v>2219</v>
      </c>
      <c r="B68" s="520">
        <f>SUM(B65:B67)</f>
        <v>12566</v>
      </c>
      <c r="C68" s="521">
        <f>SUM(C65:C67)</f>
        <v>5280</v>
      </c>
    </row>
    <row r="69" spans="1:13" x14ac:dyDescent="0.2">
      <c r="A69" s="151" t="s">
        <v>2220</v>
      </c>
      <c r="B69" s="286">
        <f>-B16/B61</f>
        <v>582.5</v>
      </c>
      <c r="C69" s="522">
        <f>-C16/C61</f>
        <v>637.5</v>
      </c>
    </row>
    <row r="70" spans="1:13" x14ac:dyDescent="0.2">
      <c r="A70" s="485"/>
      <c r="B70" s="518"/>
      <c r="C70" s="519"/>
    </row>
    <row r="71" spans="1:13" s="483" customFormat="1" ht="13.5" thickBot="1" x14ac:dyDescent="0.25">
      <c r="A71" s="148" t="s">
        <v>2221</v>
      </c>
      <c r="B71" s="331">
        <f>B58/B61</f>
        <v>12669.5</v>
      </c>
      <c r="C71" s="494">
        <f>C58/C61</f>
        <v>6805</v>
      </c>
    </row>
    <row r="72" spans="1:13" s="483" customFormat="1" x14ac:dyDescent="0.2">
      <c r="A72" s="349"/>
      <c r="B72" s="485"/>
      <c r="C72" s="190"/>
    </row>
    <row r="73" spans="1:13" ht="25.5" customHeight="1" x14ac:dyDescent="0.2">
      <c r="A73" s="482"/>
      <c r="B73" s="253"/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</row>
    <row r="74" spans="1:13" x14ac:dyDescent="0.2">
      <c r="A74" s="146"/>
      <c r="B74" s="146"/>
      <c r="C74" s="190"/>
    </row>
    <row r="75" spans="1:13" x14ac:dyDescent="0.2">
      <c r="A75" s="146"/>
      <c r="B75" s="146"/>
      <c r="C75" s="190"/>
    </row>
    <row r="76" spans="1:13" x14ac:dyDescent="0.2">
      <c r="A76" s="146"/>
      <c r="B76" s="146"/>
      <c r="C76" s="190"/>
    </row>
    <row r="77" spans="1:13" x14ac:dyDescent="0.2">
      <c r="A77" s="146"/>
      <c r="B77" s="146"/>
      <c r="C77" s="191"/>
    </row>
    <row r="78" spans="1:13" x14ac:dyDescent="0.2">
      <c r="A78" s="146"/>
      <c r="B78" s="146"/>
      <c r="C78" s="188"/>
    </row>
  </sheetData>
  <mergeCells count="1">
    <mergeCell ref="C73:M73"/>
  </mergeCells>
  <printOptions gridLines="1"/>
  <pageMargins left="0.7" right="0.7" top="0.75" bottom="0.75" header="0.3" footer="0.3"/>
  <pageSetup scale="6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8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1" sqref="A1:L71"/>
    </sheetView>
  </sheetViews>
  <sheetFormatPr defaultColWidth="8.85546875" defaultRowHeight="12.75" x14ac:dyDescent="0.2"/>
  <cols>
    <col min="1" max="1" width="34.28515625" style="147" bestFit="1" customWidth="1"/>
    <col min="2" max="2" width="12.5703125" style="147" customWidth="1"/>
    <col min="3" max="3" width="10.5703125" style="147" customWidth="1"/>
    <col min="4" max="4" width="3.140625" style="147" customWidth="1"/>
    <col min="5" max="6" width="10.5703125" style="147" customWidth="1"/>
    <col min="7" max="7" width="3.140625" style="147" customWidth="1"/>
    <col min="8" max="9" width="10.5703125" style="147" customWidth="1"/>
    <col min="10" max="10" width="2.7109375" style="147" customWidth="1"/>
    <col min="11" max="11" width="10.5703125" style="147" customWidth="1"/>
    <col min="12" max="12" width="9.28515625" style="147" customWidth="1"/>
    <col min="13" max="14" width="8.85546875" style="147"/>
    <col min="15" max="15" width="9.28515625" style="147" bestFit="1" customWidth="1"/>
    <col min="16" max="16384" width="8.85546875" style="147"/>
  </cols>
  <sheetData>
    <row r="1" spans="1:12" ht="21.75" customHeight="1" x14ac:dyDescent="0.25">
      <c r="A1" s="419" t="s">
        <v>177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 ht="18.75" customHeight="1" x14ac:dyDescent="0.25">
      <c r="A2" s="419" t="s">
        <v>2230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ht="12.75" customHeight="1" thickBot="1" x14ac:dyDescent="0.25">
      <c r="A3" s="552"/>
      <c r="B3" s="552">
        <v>2020</v>
      </c>
      <c r="C3" s="552">
        <v>2021</v>
      </c>
      <c r="D3" s="351"/>
      <c r="E3" s="552">
        <v>2020</v>
      </c>
      <c r="F3" s="552">
        <v>2021</v>
      </c>
      <c r="G3" s="351"/>
      <c r="H3" s="552">
        <v>2020</v>
      </c>
      <c r="I3" s="552">
        <v>2021</v>
      </c>
      <c r="J3" s="351"/>
      <c r="K3" s="552">
        <v>2020</v>
      </c>
      <c r="L3" s="552">
        <v>2021</v>
      </c>
    </row>
    <row r="4" spans="1:12" s="150" customFormat="1" ht="25.5" customHeight="1" x14ac:dyDescent="0.2">
      <c r="A4" s="194" t="s">
        <v>2180</v>
      </c>
      <c r="B4" s="560" t="s">
        <v>2209</v>
      </c>
      <c r="C4" s="334" t="s">
        <v>2188</v>
      </c>
      <c r="D4" s="165"/>
      <c r="E4" s="560" t="s">
        <v>2209</v>
      </c>
      <c r="F4" s="334" t="s">
        <v>509</v>
      </c>
      <c r="G4" s="165"/>
      <c r="H4" s="560" t="s">
        <v>2226</v>
      </c>
      <c r="I4" s="334" t="s">
        <v>790</v>
      </c>
      <c r="J4" s="165"/>
      <c r="K4" s="560" t="s">
        <v>2209</v>
      </c>
      <c r="L4" s="334" t="s">
        <v>2182</v>
      </c>
    </row>
    <row r="5" spans="1:12" s="150" customFormat="1" ht="12.95" customHeight="1" x14ac:dyDescent="0.2">
      <c r="A5" s="196" t="s">
        <v>2151</v>
      </c>
      <c r="B5" s="285">
        <f t="shared" ref="B5:K5" si="0">SUM(B6:B8)</f>
        <v>3065</v>
      </c>
      <c r="C5" s="267">
        <f t="shared" si="0"/>
        <v>16500</v>
      </c>
      <c r="D5" s="202"/>
      <c r="E5" s="285">
        <f t="shared" si="0"/>
        <v>17080.239999999998</v>
      </c>
      <c r="F5" s="267">
        <f t="shared" si="0"/>
        <v>13000</v>
      </c>
      <c r="G5" s="202"/>
      <c r="H5" s="285">
        <f t="shared" si="0"/>
        <v>50</v>
      </c>
      <c r="I5" s="267">
        <f t="shared" si="0"/>
        <v>0</v>
      </c>
      <c r="J5" s="202"/>
      <c r="K5" s="285">
        <f t="shared" si="0"/>
        <v>20195.239999999998</v>
      </c>
      <c r="L5" s="267">
        <f>SUM(L6:L8)</f>
        <v>29500</v>
      </c>
    </row>
    <row r="6" spans="1:12" ht="12.95" customHeight="1" x14ac:dyDescent="0.2">
      <c r="A6" s="151" t="s">
        <v>2162</v>
      </c>
      <c r="B6" s="286">
        <v>0</v>
      </c>
      <c r="C6" s="269">
        <v>0</v>
      </c>
      <c r="D6" s="251"/>
      <c r="E6" s="338">
        <v>15000</v>
      </c>
      <c r="F6" s="269">
        <v>0</v>
      </c>
      <c r="G6" s="251"/>
      <c r="H6" s="338">
        <v>0</v>
      </c>
      <c r="I6" s="269">
        <v>0</v>
      </c>
      <c r="J6" s="251"/>
      <c r="K6" s="338">
        <f>B6+E6+H6</f>
        <v>15000</v>
      </c>
      <c r="L6" s="269">
        <f>C6+F6+I6</f>
        <v>0</v>
      </c>
    </row>
    <row r="7" spans="1:12" ht="12.95" customHeight="1" x14ac:dyDescent="0.2">
      <c r="A7" s="151" t="s">
        <v>2163</v>
      </c>
      <c r="B7" s="286">
        <v>0</v>
      </c>
      <c r="C7" s="269">
        <v>1500</v>
      </c>
      <c r="D7" s="251"/>
      <c r="E7" s="338">
        <v>0</v>
      </c>
      <c r="F7" s="269">
        <v>1000</v>
      </c>
      <c r="G7" s="251"/>
      <c r="H7" s="338">
        <v>0</v>
      </c>
      <c r="I7" s="269">
        <v>0</v>
      </c>
      <c r="J7" s="251"/>
      <c r="K7" s="338">
        <f t="shared" ref="K7:K9" si="1">B7+E7+H7</f>
        <v>0</v>
      </c>
      <c r="L7" s="269">
        <f t="shared" ref="L7:L9" si="2">C7+F7+I7</f>
        <v>2500</v>
      </c>
    </row>
    <row r="8" spans="1:12" ht="12.95" customHeight="1" x14ac:dyDescent="0.2">
      <c r="A8" s="151" t="s">
        <v>2164</v>
      </c>
      <c r="B8" s="286">
        <v>3065</v>
      </c>
      <c r="C8" s="269">
        <v>15000</v>
      </c>
      <c r="D8" s="251"/>
      <c r="E8" s="338">
        <v>2080.2399999999998</v>
      </c>
      <c r="F8" s="269">
        <v>12000</v>
      </c>
      <c r="G8" s="251"/>
      <c r="H8" s="338">
        <v>50</v>
      </c>
      <c r="I8" s="269">
        <v>0</v>
      </c>
      <c r="J8" s="251"/>
      <c r="K8" s="338">
        <f t="shared" si="1"/>
        <v>5195.24</v>
      </c>
      <c r="L8" s="269">
        <f t="shared" si="2"/>
        <v>27000</v>
      </c>
    </row>
    <row r="9" spans="1:12" s="150" customFormat="1" ht="12.95" customHeight="1" x14ac:dyDescent="0.2">
      <c r="A9" s="196" t="s">
        <v>1359</v>
      </c>
      <c r="B9" s="287">
        <v>0</v>
      </c>
      <c r="C9" s="267">
        <v>0</v>
      </c>
      <c r="D9" s="202"/>
      <c r="E9" s="285">
        <v>740</v>
      </c>
      <c r="F9" s="267">
        <v>30000</v>
      </c>
      <c r="G9" s="202"/>
      <c r="H9" s="285">
        <v>0</v>
      </c>
      <c r="I9" s="267">
        <v>0</v>
      </c>
      <c r="J9" s="202"/>
      <c r="K9" s="285">
        <f t="shared" si="1"/>
        <v>740</v>
      </c>
      <c r="L9" s="267">
        <f t="shared" si="2"/>
        <v>30000</v>
      </c>
    </row>
    <row r="10" spans="1:12" s="150" customFormat="1" ht="12.95" customHeight="1" x14ac:dyDescent="0.2">
      <c r="A10" s="196" t="s">
        <v>2149</v>
      </c>
      <c r="B10" s="285">
        <f t="shared" ref="B10:K10" si="3">SUM(B11:B12)</f>
        <v>0</v>
      </c>
      <c r="C10" s="267">
        <f t="shared" si="3"/>
        <v>0</v>
      </c>
      <c r="D10" s="202"/>
      <c r="E10" s="285">
        <f t="shared" si="3"/>
        <v>0</v>
      </c>
      <c r="F10" s="267">
        <f t="shared" si="3"/>
        <v>5000</v>
      </c>
      <c r="G10" s="202"/>
      <c r="H10" s="285">
        <f t="shared" si="3"/>
        <v>3500</v>
      </c>
      <c r="I10" s="267">
        <f t="shared" si="3"/>
        <v>0</v>
      </c>
      <c r="J10" s="202"/>
      <c r="K10" s="285">
        <f t="shared" si="3"/>
        <v>3500</v>
      </c>
      <c r="L10" s="267">
        <f>SUM(L11:L12)</f>
        <v>5000</v>
      </c>
    </row>
    <row r="11" spans="1:12" ht="12.95" customHeight="1" x14ac:dyDescent="0.2">
      <c r="A11" s="151" t="s">
        <v>2162</v>
      </c>
      <c r="B11" s="286">
        <v>0</v>
      </c>
      <c r="C11" s="269">
        <v>0</v>
      </c>
      <c r="D11" s="251"/>
      <c r="E11" s="338">
        <v>0</v>
      </c>
      <c r="F11" s="269">
        <v>5000</v>
      </c>
      <c r="G11" s="251"/>
      <c r="H11" s="338">
        <v>3500</v>
      </c>
      <c r="I11" s="269">
        <v>0</v>
      </c>
      <c r="J11" s="251"/>
      <c r="K11" s="338">
        <f t="shared" ref="K11:K14" si="4">B11+E11+H11</f>
        <v>3500</v>
      </c>
      <c r="L11" s="269">
        <f t="shared" ref="L11:L14" si="5">C11+F11+I11</f>
        <v>5000</v>
      </c>
    </row>
    <row r="12" spans="1:12" ht="12.95" customHeight="1" x14ac:dyDescent="0.2">
      <c r="A12" s="151" t="s">
        <v>2170</v>
      </c>
      <c r="B12" s="286">
        <v>0</v>
      </c>
      <c r="C12" s="269">
        <v>0</v>
      </c>
      <c r="D12" s="251"/>
      <c r="E12" s="338">
        <v>0</v>
      </c>
      <c r="F12" s="269">
        <v>0</v>
      </c>
      <c r="G12" s="251"/>
      <c r="H12" s="338">
        <v>0</v>
      </c>
      <c r="I12" s="269">
        <v>0</v>
      </c>
      <c r="J12" s="251"/>
      <c r="K12" s="338">
        <f t="shared" si="4"/>
        <v>0</v>
      </c>
      <c r="L12" s="269">
        <f t="shared" si="5"/>
        <v>0</v>
      </c>
    </row>
    <row r="13" spans="1:12" s="150" customFormat="1" ht="12.95" customHeight="1" x14ac:dyDescent="0.2">
      <c r="A13" s="196" t="s">
        <v>2168</v>
      </c>
      <c r="B13" s="287">
        <f>6750+3499.81</f>
        <v>10249.81</v>
      </c>
      <c r="C13" s="267">
        <v>15375</v>
      </c>
      <c r="D13" s="202"/>
      <c r="E13" s="285">
        <v>1080.0999999999999</v>
      </c>
      <c r="F13" s="267">
        <v>6000</v>
      </c>
      <c r="G13" s="202"/>
      <c r="H13" s="285">
        <v>0</v>
      </c>
      <c r="I13" s="267">
        <v>0</v>
      </c>
      <c r="J13" s="202"/>
      <c r="K13" s="285">
        <f t="shared" si="4"/>
        <v>11329.91</v>
      </c>
      <c r="L13" s="267">
        <f t="shared" si="5"/>
        <v>21375</v>
      </c>
    </row>
    <row r="14" spans="1:12" s="150" customFormat="1" ht="12.95" customHeight="1" x14ac:dyDescent="0.2">
      <c r="A14" s="196" t="s">
        <v>2152</v>
      </c>
      <c r="B14" s="288">
        <v>0</v>
      </c>
      <c r="C14" s="342">
        <v>0</v>
      </c>
      <c r="D14" s="343"/>
      <c r="E14" s="344">
        <v>-1842.79</v>
      </c>
      <c r="F14" s="342">
        <v>-5000</v>
      </c>
      <c r="G14" s="343"/>
      <c r="H14" s="344">
        <v>0</v>
      </c>
      <c r="I14" s="342">
        <v>0</v>
      </c>
      <c r="J14" s="343"/>
      <c r="K14" s="344">
        <f t="shared" si="4"/>
        <v>-1842.79</v>
      </c>
      <c r="L14" s="342">
        <f t="shared" si="5"/>
        <v>-5000</v>
      </c>
    </row>
    <row r="15" spans="1:12" s="244" customFormat="1" ht="12.95" customHeight="1" x14ac:dyDescent="0.2">
      <c r="A15" s="197" t="s">
        <v>2153</v>
      </c>
      <c r="B15" s="289">
        <f>B5+B9+B10+B13+B14</f>
        <v>13314.81</v>
      </c>
      <c r="C15" s="272">
        <f>C5+C9+C10+C13+C14</f>
        <v>31875</v>
      </c>
      <c r="D15" s="253"/>
      <c r="E15" s="289">
        <f t="shared" ref="E15:L15" si="6">E5+E9+E10+E13+E14</f>
        <v>17057.549999999996</v>
      </c>
      <c r="F15" s="272">
        <f t="shared" si="6"/>
        <v>49000</v>
      </c>
      <c r="G15" s="253"/>
      <c r="H15" s="289">
        <f t="shared" si="6"/>
        <v>3550</v>
      </c>
      <c r="I15" s="272">
        <f t="shared" si="6"/>
        <v>0</v>
      </c>
      <c r="J15" s="253"/>
      <c r="K15" s="289">
        <f t="shared" si="6"/>
        <v>33922.359999999993</v>
      </c>
      <c r="L15" s="272">
        <f t="shared" si="6"/>
        <v>80875</v>
      </c>
    </row>
    <row r="16" spans="1:12" s="322" customFormat="1" ht="12.95" customHeight="1" x14ac:dyDescent="0.2">
      <c r="A16" s="321" t="s">
        <v>2171</v>
      </c>
      <c r="B16" s="303">
        <v>-335.44</v>
      </c>
      <c r="C16" s="304">
        <f t="shared" ref="C16" si="7">(C15-C13)*-0.15</f>
        <v>-2475</v>
      </c>
      <c r="D16" s="305"/>
      <c r="E16" s="303">
        <v>-2546.9899999999998</v>
      </c>
      <c r="F16" s="304">
        <f t="shared" ref="F16:L16" si="8">(F15-F13)*-0.15</f>
        <v>-6450</v>
      </c>
      <c r="G16" s="305"/>
      <c r="H16" s="303">
        <v>-532.29</v>
      </c>
      <c r="I16" s="304">
        <f t="shared" si="8"/>
        <v>0</v>
      </c>
      <c r="J16" s="305"/>
      <c r="K16" s="303">
        <f>B16+E16+H16</f>
        <v>-3414.72</v>
      </c>
      <c r="L16" s="304">
        <f t="shared" si="8"/>
        <v>-8925</v>
      </c>
    </row>
    <row r="17" spans="1:12" s="244" customFormat="1" ht="12.95" customHeight="1" x14ac:dyDescent="0.2">
      <c r="A17" s="197" t="s">
        <v>2154</v>
      </c>
      <c r="B17" s="289">
        <f t="shared" ref="B17:L17" si="9">B15+B16</f>
        <v>12979.369999999999</v>
      </c>
      <c r="C17" s="272">
        <f t="shared" si="9"/>
        <v>29400</v>
      </c>
      <c r="D17" s="253"/>
      <c r="E17" s="289">
        <f t="shared" si="9"/>
        <v>14510.559999999996</v>
      </c>
      <c r="F17" s="272">
        <f t="shared" si="9"/>
        <v>42550</v>
      </c>
      <c r="G17" s="253"/>
      <c r="H17" s="289">
        <f t="shared" si="9"/>
        <v>3017.71</v>
      </c>
      <c r="I17" s="272">
        <f t="shared" si="9"/>
        <v>0</v>
      </c>
      <c r="J17" s="253"/>
      <c r="K17" s="289">
        <f t="shared" si="9"/>
        <v>30507.639999999992</v>
      </c>
      <c r="L17" s="272">
        <f t="shared" si="9"/>
        <v>71950</v>
      </c>
    </row>
    <row r="18" spans="1:12" ht="12.95" customHeight="1" x14ac:dyDescent="0.2">
      <c r="A18" s="151"/>
      <c r="B18" s="286"/>
      <c r="C18" s="269"/>
      <c r="D18" s="252"/>
      <c r="E18" s="338"/>
      <c r="F18" s="269"/>
      <c r="G18" s="251"/>
      <c r="H18" s="338"/>
      <c r="I18" s="269"/>
      <c r="J18" s="251"/>
      <c r="K18" s="338"/>
      <c r="L18" s="269"/>
    </row>
    <row r="19" spans="1:12" ht="12.95" customHeight="1" x14ac:dyDescent="0.2">
      <c r="A19" s="151" t="s">
        <v>1536</v>
      </c>
      <c r="B19" s="286">
        <v>0</v>
      </c>
      <c r="C19" s="269">
        <v>0</v>
      </c>
      <c r="D19" s="251"/>
      <c r="E19" s="338">
        <v>0</v>
      </c>
      <c r="F19" s="269">
        <v>0</v>
      </c>
      <c r="G19" s="251"/>
      <c r="H19" s="338">
        <v>0</v>
      </c>
      <c r="I19" s="269">
        <v>0</v>
      </c>
      <c r="J19" s="251"/>
      <c r="K19" s="338">
        <f t="shared" ref="K19:K57" si="10">B19+E19+H19</f>
        <v>0</v>
      </c>
      <c r="L19" s="267">
        <f t="shared" ref="L19:L57" si="11">C19+F19+I19</f>
        <v>0</v>
      </c>
    </row>
    <row r="20" spans="1:12" ht="12.95" customHeight="1" x14ac:dyDescent="0.2">
      <c r="A20" s="151" t="s">
        <v>2157</v>
      </c>
      <c r="B20" s="286">
        <v>0</v>
      </c>
      <c r="C20" s="269">
        <v>0</v>
      </c>
      <c r="D20" s="251"/>
      <c r="E20" s="338">
        <v>0</v>
      </c>
      <c r="F20" s="269">
        <v>0</v>
      </c>
      <c r="G20" s="251"/>
      <c r="H20" s="338">
        <v>0</v>
      </c>
      <c r="I20" s="269">
        <v>0</v>
      </c>
      <c r="J20" s="251"/>
      <c r="K20" s="338">
        <f t="shared" si="10"/>
        <v>0</v>
      </c>
      <c r="L20" s="267">
        <f t="shared" si="11"/>
        <v>0</v>
      </c>
    </row>
    <row r="21" spans="1:12" ht="12.95" customHeight="1" x14ac:dyDescent="0.2">
      <c r="A21" s="151" t="s">
        <v>1537</v>
      </c>
      <c r="B21" s="286">
        <v>0</v>
      </c>
      <c r="C21" s="269">
        <v>0</v>
      </c>
      <c r="D21" s="251"/>
      <c r="E21" s="338">
        <v>0</v>
      </c>
      <c r="F21" s="269">
        <v>0</v>
      </c>
      <c r="G21" s="251"/>
      <c r="H21" s="338">
        <v>0</v>
      </c>
      <c r="I21" s="269">
        <v>0</v>
      </c>
      <c r="J21" s="251"/>
      <c r="K21" s="338">
        <f t="shared" si="10"/>
        <v>0</v>
      </c>
      <c r="L21" s="267">
        <f t="shared" si="11"/>
        <v>0</v>
      </c>
    </row>
    <row r="22" spans="1:12" ht="12.95" customHeight="1" x14ac:dyDescent="0.2">
      <c r="A22" s="151" t="s">
        <v>1236</v>
      </c>
      <c r="B22" s="286">
        <v>0</v>
      </c>
      <c r="C22" s="269">
        <v>0</v>
      </c>
      <c r="D22" s="251"/>
      <c r="E22" s="338">
        <v>0</v>
      </c>
      <c r="F22" s="269">
        <v>0</v>
      </c>
      <c r="G22" s="251"/>
      <c r="H22" s="338">
        <v>0</v>
      </c>
      <c r="I22" s="269">
        <v>0</v>
      </c>
      <c r="J22" s="251"/>
      <c r="K22" s="338">
        <f t="shared" si="10"/>
        <v>0</v>
      </c>
      <c r="L22" s="267">
        <f t="shared" si="11"/>
        <v>0</v>
      </c>
    </row>
    <row r="23" spans="1:12" ht="12.95" customHeight="1" x14ac:dyDescent="0.2">
      <c r="A23" s="146" t="s">
        <v>2156</v>
      </c>
      <c r="B23" s="286">
        <v>0</v>
      </c>
      <c r="C23" s="269">
        <v>0</v>
      </c>
      <c r="D23" s="251"/>
      <c r="E23" s="338">
        <v>0</v>
      </c>
      <c r="F23" s="269">
        <v>0</v>
      </c>
      <c r="G23" s="251"/>
      <c r="H23" s="338">
        <v>0</v>
      </c>
      <c r="I23" s="269">
        <v>0</v>
      </c>
      <c r="J23" s="251"/>
      <c r="K23" s="338">
        <f t="shared" si="10"/>
        <v>0</v>
      </c>
      <c r="L23" s="267">
        <f t="shared" si="11"/>
        <v>0</v>
      </c>
    </row>
    <row r="24" spans="1:12" ht="12.95" customHeight="1" x14ac:dyDescent="0.2">
      <c r="A24" s="146" t="s">
        <v>2176</v>
      </c>
      <c r="B24" s="286">
        <v>0</v>
      </c>
      <c r="C24" s="269">
        <v>0</v>
      </c>
      <c r="D24" s="251"/>
      <c r="E24" s="338">
        <v>0</v>
      </c>
      <c r="F24" s="269">
        <v>0</v>
      </c>
      <c r="G24" s="251"/>
      <c r="H24" s="338">
        <v>0</v>
      </c>
      <c r="I24" s="269">
        <v>0</v>
      </c>
      <c r="J24" s="251"/>
      <c r="K24" s="338">
        <f t="shared" si="10"/>
        <v>0</v>
      </c>
      <c r="L24" s="267">
        <f t="shared" si="11"/>
        <v>0</v>
      </c>
    </row>
    <row r="25" spans="1:12" ht="12.95" customHeight="1" x14ac:dyDescent="0.2">
      <c r="A25" s="146" t="s">
        <v>2172</v>
      </c>
      <c r="B25" s="286">
        <v>0</v>
      </c>
      <c r="C25" s="269">
        <v>0</v>
      </c>
      <c r="D25" s="251"/>
      <c r="E25" s="338">
        <v>0</v>
      </c>
      <c r="F25" s="269">
        <v>0</v>
      </c>
      <c r="G25" s="251"/>
      <c r="H25" s="338">
        <v>0</v>
      </c>
      <c r="I25" s="269">
        <v>0</v>
      </c>
      <c r="J25" s="251"/>
      <c r="K25" s="338">
        <f t="shared" si="10"/>
        <v>0</v>
      </c>
      <c r="L25" s="267">
        <f t="shared" si="11"/>
        <v>0</v>
      </c>
    </row>
    <row r="26" spans="1:12" ht="12.95" customHeight="1" x14ac:dyDescent="0.2">
      <c r="A26" s="146" t="s">
        <v>1239</v>
      </c>
      <c r="B26" s="286">
        <v>0</v>
      </c>
      <c r="C26" s="269">
        <v>0</v>
      </c>
      <c r="D26" s="251"/>
      <c r="E26" s="338">
        <v>0</v>
      </c>
      <c r="F26" s="269">
        <v>0</v>
      </c>
      <c r="G26" s="251"/>
      <c r="H26" s="338">
        <v>0</v>
      </c>
      <c r="I26" s="269">
        <v>0</v>
      </c>
      <c r="J26" s="251"/>
      <c r="K26" s="338">
        <f t="shared" si="10"/>
        <v>0</v>
      </c>
      <c r="L26" s="267">
        <f t="shared" si="11"/>
        <v>0</v>
      </c>
    </row>
    <row r="27" spans="1:12" ht="12.95" customHeight="1" x14ac:dyDescent="0.2">
      <c r="A27" s="146" t="s">
        <v>1240</v>
      </c>
      <c r="B27" s="286">
        <v>0</v>
      </c>
      <c r="C27" s="269">
        <v>0</v>
      </c>
      <c r="D27" s="251"/>
      <c r="E27" s="338">
        <v>0</v>
      </c>
      <c r="F27" s="269">
        <v>0</v>
      </c>
      <c r="G27" s="251"/>
      <c r="H27" s="338">
        <v>0</v>
      </c>
      <c r="I27" s="269">
        <v>0</v>
      </c>
      <c r="J27" s="251"/>
      <c r="K27" s="338">
        <f t="shared" si="10"/>
        <v>0</v>
      </c>
      <c r="L27" s="267">
        <f t="shared" si="11"/>
        <v>0</v>
      </c>
    </row>
    <row r="28" spans="1:12" ht="12.95" customHeight="1" x14ac:dyDescent="0.2">
      <c r="A28" s="146" t="s">
        <v>1241</v>
      </c>
      <c r="B28" s="286">
        <v>0</v>
      </c>
      <c r="C28" s="269">
        <v>0</v>
      </c>
      <c r="D28" s="251"/>
      <c r="E28" s="338">
        <v>0</v>
      </c>
      <c r="F28" s="269">
        <v>0</v>
      </c>
      <c r="G28" s="251"/>
      <c r="H28" s="338">
        <v>0</v>
      </c>
      <c r="I28" s="269">
        <v>0</v>
      </c>
      <c r="J28" s="251"/>
      <c r="K28" s="338">
        <f t="shared" si="10"/>
        <v>0</v>
      </c>
      <c r="L28" s="267">
        <f t="shared" si="11"/>
        <v>0</v>
      </c>
    </row>
    <row r="29" spans="1:12" ht="12.95" customHeight="1" x14ac:dyDescent="0.2">
      <c r="A29" s="146" t="s">
        <v>2167</v>
      </c>
      <c r="B29" s="286">
        <v>0</v>
      </c>
      <c r="C29" s="269">
        <v>0</v>
      </c>
      <c r="D29" s="251"/>
      <c r="E29" s="338">
        <v>0</v>
      </c>
      <c r="F29" s="269">
        <v>0</v>
      </c>
      <c r="G29" s="251"/>
      <c r="H29" s="338">
        <v>0</v>
      </c>
      <c r="I29" s="269">
        <v>0</v>
      </c>
      <c r="J29" s="251"/>
      <c r="K29" s="338">
        <f t="shared" si="10"/>
        <v>0</v>
      </c>
      <c r="L29" s="267">
        <f t="shared" si="11"/>
        <v>0</v>
      </c>
    </row>
    <row r="30" spans="1:12" ht="12.95" customHeight="1" x14ac:dyDescent="0.2">
      <c r="A30" s="146" t="s">
        <v>1244</v>
      </c>
      <c r="B30" s="286">
        <v>38.31</v>
      </c>
      <c r="C30" s="269">
        <v>50</v>
      </c>
      <c r="D30" s="251"/>
      <c r="E30" s="338">
        <v>866.12</v>
      </c>
      <c r="F30" s="269">
        <v>850</v>
      </c>
      <c r="G30" s="251"/>
      <c r="H30" s="338">
        <f>2642.83+461.06</f>
        <v>3103.89</v>
      </c>
      <c r="I30" s="269">
        <v>500</v>
      </c>
      <c r="J30" s="251"/>
      <c r="K30" s="338">
        <f t="shared" si="10"/>
        <v>4008.3199999999997</v>
      </c>
      <c r="L30" s="267">
        <f t="shared" si="11"/>
        <v>1400</v>
      </c>
    </row>
    <row r="31" spans="1:12" ht="12.95" customHeight="1" x14ac:dyDescent="0.2">
      <c r="A31" s="146" t="s">
        <v>1245</v>
      </c>
      <c r="B31" s="286">
        <v>0</v>
      </c>
      <c r="C31" s="269">
        <v>0</v>
      </c>
      <c r="D31" s="251"/>
      <c r="E31" s="338">
        <v>110.79</v>
      </c>
      <c r="F31" s="269">
        <v>0</v>
      </c>
      <c r="G31" s="251"/>
      <c r="H31" s="338">
        <v>0</v>
      </c>
      <c r="I31" s="269">
        <v>0</v>
      </c>
      <c r="J31" s="251"/>
      <c r="K31" s="338">
        <f t="shared" si="10"/>
        <v>110.79</v>
      </c>
      <c r="L31" s="267">
        <f t="shared" si="11"/>
        <v>0</v>
      </c>
    </row>
    <row r="32" spans="1:12" ht="12.95" customHeight="1" x14ac:dyDescent="0.2">
      <c r="A32" s="146" t="s">
        <v>1246</v>
      </c>
      <c r="B32" s="286">
        <v>0</v>
      </c>
      <c r="C32" s="269">
        <v>0</v>
      </c>
      <c r="D32" s="251"/>
      <c r="E32" s="338">
        <v>0</v>
      </c>
      <c r="F32" s="269">
        <v>0</v>
      </c>
      <c r="G32" s="251"/>
      <c r="H32" s="338">
        <v>0</v>
      </c>
      <c r="I32" s="269">
        <v>0</v>
      </c>
      <c r="J32" s="251"/>
      <c r="K32" s="338">
        <f t="shared" si="10"/>
        <v>0</v>
      </c>
      <c r="L32" s="267">
        <f t="shared" si="11"/>
        <v>0</v>
      </c>
    </row>
    <row r="33" spans="1:12" ht="12.95" customHeight="1" x14ac:dyDescent="0.2">
      <c r="A33" s="146" t="s">
        <v>1247</v>
      </c>
      <c r="B33" s="286">
        <v>0</v>
      </c>
      <c r="C33" s="269">
        <v>0</v>
      </c>
      <c r="D33" s="251"/>
      <c r="E33" s="338">
        <v>169.87</v>
      </c>
      <c r="F33" s="269">
        <v>0</v>
      </c>
      <c r="G33" s="251"/>
      <c r="H33" s="338">
        <v>0</v>
      </c>
      <c r="I33" s="269">
        <v>0</v>
      </c>
      <c r="J33" s="251"/>
      <c r="K33" s="338">
        <f t="shared" si="10"/>
        <v>169.87</v>
      </c>
      <c r="L33" s="267">
        <f t="shared" si="11"/>
        <v>0</v>
      </c>
    </row>
    <row r="34" spans="1:12" ht="12.95" customHeight="1" x14ac:dyDescent="0.2">
      <c r="A34" s="208" t="s">
        <v>2207</v>
      </c>
      <c r="B34" s="286">
        <v>0</v>
      </c>
      <c r="C34" s="269">
        <v>0</v>
      </c>
      <c r="D34" s="251"/>
      <c r="E34" s="338">
        <v>150</v>
      </c>
      <c r="F34" s="269">
        <v>150</v>
      </c>
      <c r="G34" s="251"/>
      <c r="H34" s="338">
        <v>388.14</v>
      </c>
      <c r="I34" s="269">
        <v>0</v>
      </c>
      <c r="J34" s="251"/>
      <c r="K34" s="338">
        <f t="shared" si="10"/>
        <v>538.14</v>
      </c>
      <c r="L34" s="267">
        <f t="shared" si="11"/>
        <v>150</v>
      </c>
    </row>
    <row r="35" spans="1:12" ht="12.95" customHeight="1" x14ac:dyDescent="0.2">
      <c r="A35" s="208" t="s">
        <v>2204</v>
      </c>
      <c r="B35" s="286">
        <v>156.56</v>
      </c>
      <c r="C35" s="269">
        <v>150</v>
      </c>
      <c r="D35" s="251"/>
      <c r="E35" s="338">
        <v>61.81</v>
      </c>
      <c r="F35" s="269">
        <v>350</v>
      </c>
      <c r="G35" s="251"/>
      <c r="H35" s="338">
        <v>0</v>
      </c>
      <c r="I35" s="269">
        <v>0</v>
      </c>
      <c r="J35" s="251"/>
      <c r="K35" s="338">
        <f t="shared" si="10"/>
        <v>218.37</v>
      </c>
      <c r="L35" s="267">
        <f t="shared" si="11"/>
        <v>500</v>
      </c>
    </row>
    <row r="36" spans="1:12" ht="12.95" customHeight="1" x14ac:dyDescent="0.2">
      <c r="A36" s="146" t="s">
        <v>1250</v>
      </c>
      <c r="B36" s="286">
        <v>242.17</v>
      </c>
      <c r="C36" s="269">
        <v>250</v>
      </c>
      <c r="D36" s="251"/>
      <c r="E36" s="338">
        <v>337.63</v>
      </c>
      <c r="F36" s="269">
        <v>0</v>
      </c>
      <c r="G36" s="251"/>
      <c r="H36" s="338">
        <v>11.52</v>
      </c>
      <c r="I36" s="269">
        <v>0</v>
      </c>
      <c r="J36" s="251"/>
      <c r="K36" s="338">
        <f t="shared" si="10"/>
        <v>591.31999999999994</v>
      </c>
      <c r="L36" s="267">
        <f t="shared" si="11"/>
        <v>250</v>
      </c>
    </row>
    <row r="37" spans="1:12" ht="12.95" customHeight="1" x14ac:dyDescent="0.2">
      <c r="A37" s="554" t="s">
        <v>2239</v>
      </c>
      <c r="B37" s="286">
        <v>0</v>
      </c>
      <c r="C37" s="269"/>
      <c r="D37" s="251"/>
      <c r="E37" s="338">
        <v>0</v>
      </c>
      <c r="F37" s="269">
        <v>0</v>
      </c>
      <c r="G37" s="251"/>
      <c r="H37" s="338">
        <v>0</v>
      </c>
      <c r="I37" s="269">
        <v>0</v>
      </c>
      <c r="J37" s="251"/>
      <c r="K37" s="338">
        <f t="shared" si="10"/>
        <v>0</v>
      </c>
      <c r="L37" s="267">
        <f t="shared" si="11"/>
        <v>0</v>
      </c>
    </row>
    <row r="38" spans="1:12" ht="12.95" customHeight="1" x14ac:dyDescent="0.2">
      <c r="A38" s="146" t="s">
        <v>1251</v>
      </c>
      <c r="B38" s="286">
        <v>660</v>
      </c>
      <c r="C38" s="269">
        <v>660</v>
      </c>
      <c r="D38" s="251"/>
      <c r="E38" s="338">
        <v>1788</v>
      </c>
      <c r="F38" s="269">
        <v>1788</v>
      </c>
      <c r="G38" s="251"/>
      <c r="H38" s="338">
        <v>0</v>
      </c>
      <c r="I38" s="269">
        <v>0</v>
      </c>
      <c r="J38" s="251"/>
      <c r="K38" s="338">
        <f t="shared" si="10"/>
        <v>2448</v>
      </c>
      <c r="L38" s="267">
        <f t="shared" si="11"/>
        <v>2448</v>
      </c>
    </row>
    <row r="39" spans="1:12" ht="12.95" customHeight="1" x14ac:dyDescent="0.2">
      <c r="A39" s="146" t="s">
        <v>2178</v>
      </c>
      <c r="B39" s="286">
        <v>0</v>
      </c>
      <c r="C39" s="269">
        <v>0</v>
      </c>
      <c r="D39" s="251"/>
      <c r="E39" s="338">
        <v>0</v>
      </c>
      <c r="F39" s="269">
        <v>0</v>
      </c>
      <c r="G39" s="251"/>
      <c r="H39" s="338">
        <v>0</v>
      </c>
      <c r="I39" s="269">
        <v>0</v>
      </c>
      <c r="J39" s="251"/>
      <c r="K39" s="338">
        <f t="shared" si="10"/>
        <v>0</v>
      </c>
      <c r="L39" s="267">
        <f t="shared" si="11"/>
        <v>0</v>
      </c>
    </row>
    <row r="40" spans="1:12" ht="12.95" customHeight="1" x14ac:dyDescent="0.2">
      <c r="A40" s="146" t="s">
        <v>1308</v>
      </c>
      <c r="B40" s="615"/>
      <c r="C40" s="610"/>
      <c r="D40" s="252"/>
      <c r="E40" s="616"/>
      <c r="F40" s="610"/>
      <c r="G40" s="252"/>
      <c r="H40" s="616"/>
      <c r="I40" s="610"/>
      <c r="J40" s="252"/>
      <c r="K40" s="616"/>
      <c r="L40" s="613">
        <f t="shared" si="11"/>
        <v>0</v>
      </c>
    </row>
    <row r="41" spans="1:12" ht="12.95" customHeight="1" x14ac:dyDescent="0.2">
      <c r="A41" s="146" t="s">
        <v>1844</v>
      </c>
      <c r="B41" s="286">
        <v>6144.91</v>
      </c>
      <c r="C41" s="269">
        <v>10682</v>
      </c>
      <c r="D41" s="251"/>
      <c r="E41" s="338">
        <v>14877.07</v>
      </c>
      <c r="F41" s="269">
        <v>34713</v>
      </c>
      <c r="G41" s="251"/>
      <c r="H41" s="338">
        <v>0</v>
      </c>
      <c r="I41" s="269">
        <v>3500</v>
      </c>
      <c r="J41" s="251"/>
      <c r="K41" s="338">
        <f t="shared" si="10"/>
        <v>21021.98</v>
      </c>
      <c r="L41" s="267">
        <f t="shared" si="11"/>
        <v>48895</v>
      </c>
    </row>
    <row r="42" spans="1:12" ht="12.95" customHeight="1" x14ac:dyDescent="0.2">
      <c r="A42" s="146" t="s">
        <v>2166</v>
      </c>
      <c r="B42" s="286">
        <v>3649.81</v>
      </c>
      <c r="C42" s="269">
        <v>5250</v>
      </c>
      <c r="D42" s="251"/>
      <c r="E42" s="338">
        <v>1080.0999999999999</v>
      </c>
      <c r="F42" s="269">
        <v>3000</v>
      </c>
      <c r="G42" s="251"/>
      <c r="H42" s="338">
        <v>0</v>
      </c>
      <c r="I42" s="269">
        <v>500</v>
      </c>
      <c r="J42" s="251"/>
      <c r="K42" s="338">
        <f t="shared" si="10"/>
        <v>4729.91</v>
      </c>
      <c r="L42" s="267">
        <f t="shared" si="11"/>
        <v>8750</v>
      </c>
    </row>
    <row r="43" spans="1:12" ht="12.95" customHeight="1" x14ac:dyDescent="0.2">
      <c r="A43" s="146" t="s">
        <v>2165</v>
      </c>
      <c r="B43" s="286">
        <v>6750</v>
      </c>
      <c r="C43" s="269">
        <v>10125</v>
      </c>
      <c r="D43" s="251"/>
      <c r="E43" s="338">
        <v>0</v>
      </c>
      <c r="F43" s="269">
        <v>3000</v>
      </c>
      <c r="G43" s="251"/>
      <c r="H43" s="338">
        <v>0</v>
      </c>
      <c r="I43" s="269">
        <f>I67*I61</f>
        <v>0</v>
      </c>
      <c r="J43" s="251"/>
      <c r="K43" s="338">
        <f t="shared" si="10"/>
        <v>6750</v>
      </c>
      <c r="L43" s="267">
        <f t="shared" si="11"/>
        <v>13125</v>
      </c>
    </row>
    <row r="44" spans="1:12" ht="12.95" customHeight="1" x14ac:dyDescent="0.2">
      <c r="A44" s="146" t="s">
        <v>2202</v>
      </c>
      <c r="B44" s="286">
        <v>0</v>
      </c>
      <c r="C44" s="269">
        <v>0</v>
      </c>
      <c r="D44" s="251"/>
      <c r="E44" s="338">
        <v>0</v>
      </c>
      <c r="F44" s="269">
        <v>0</v>
      </c>
      <c r="G44" s="251"/>
      <c r="H44" s="338">
        <v>0</v>
      </c>
      <c r="I44" s="269">
        <v>0</v>
      </c>
      <c r="J44" s="251"/>
      <c r="K44" s="338">
        <f t="shared" si="10"/>
        <v>0</v>
      </c>
      <c r="L44" s="267">
        <f t="shared" si="11"/>
        <v>0</v>
      </c>
    </row>
    <row r="45" spans="1:12" ht="12.95" customHeight="1" x14ac:dyDescent="0.2">
      <c r="A45" s="146" t="s">
        <v>1256</v>
      </c>
      <c r="B45" s="286">
        <v>0</v>
      </c>
      <c r="C45" s="269">
        <v>0</v>
      </c>
      <c r="D45" s="251"/>
      <c r="E45" s="338">
        <v>0</v>
      </c>
      <c r="F45" s="269">
        <v>0</v>
      </c>
      <c r="G45" s="251"/>
      <c r="H45" s="338">
        <v>0</v>
      </c>
      <c r="I45" s="269">
        <v>0</v>
      </c>
      <c r="J45" s="251"/>
      <c r="K45" s="338">
        <f t="shared" si="10"/>
        <v>0</v>
      </c>
      <c r="L45" s="267">
        <f t="shared" si="11"/>
        <v>0</v>
      </c>
    </row>
    <row r="46" spans="1:12" ht="12.95" customHeight="1" x14ac:dyDescent="0.2">
      <c r="A46" s="146" t="s">
        <v>2191</v>
      </c>
      <c r="B46" s="286">
        <v>0</v>
      </c>
      <c r="C46" s="269">
        <v>0</v>
      </c>
      <c r="D46" s="251"/>
      <c r="E46" s="338">
        <v>0</v>
      </c>
      <c r="F46" s="269">
        <v>0</v>
      </c>
      <c r="G46" s="251"/>
      <c r="H46" s="338">
        <v>0</v>
      </c>
      <c r="I46" s="269">
        <v>0</v>
      </c>
      <c r="J46" s="251"/>
      <c r="K46" s="338">
        <f t="shared" si="10"/>
        <v>0</v>
      </c>
      <c r="L46" s="267">
        <f t="shared" si="11"/>
        <v>0</v>
      </c>
    </row>
    <row r="47" spans="1:12" ht="12.95" customHeight="1" x14ac:dyDescent="0.2">
      <c r="A47" s="146" t="s">
        <v>1257</v>
      </c>
      <c r="B47" s="286">
        <v>0</v>
      </c>
      <c r="C47" s="269">
        <v>0</v>
      </c>
      <c r="D47" s="251"/>
      <c r="E47" s="338">
        <v>0</v>
      </c>
      <c r="F47" s="269">
        <v>0</v>
      </c>
      <c r="G47" s="251"/>
      <c r="H47" s="338">
        <v>0</v>
      </c>
      <c r="I47" s="269">
        <v>0</v>
      </c>
      <c r="J47" s="251"/>
      <c r="K47" s="338">
        <f t="shared" si="10"/>
        <v>0</v>
      </c>
      <c r="L47" s="267">
        <f t="shared" si="11"/>
        <v>0</v>
      </c>
    </row>
    <row r="48" spans="1:12" ht="12.95" customHeight="1" x14ac:dyDescent="0.2">
      <c r="A48" s="146" t="s">
        <v>2159</v>
      </c>
      <c r="B48" s="286">
        <v>0</v>
      </c>
      <c r="C48" s="269">
        <v>0</v>
      </c>
      <c r="D48" s="251"/>
      <c r="E48" s="338">
        <v>0</v>
      </c>
      <c r="F48" s="269">
        <v>0</v>
      </c>
      <c r="G48" s="251"/>
      <c r="H48" s="338">
        <v>0</v>
      </c>
      <c r="I48" s="269">
        <v>0</v>
      </c>
      <c r="J48" s="251"/>
      <c r="K48" s="338">
        <f t="shared" si="10"/>
        <v>0</v>
      </c>
      <c r="L48" s="267">
        <f t="shared" si="11"/>
        <v>0</v>
      </c>
    </row>
    <row r="49" spans="1:15" ht="12.95" customHeight="1" x14ac:dyDescent="0.2">
      <c r="A49" s="146" t="s">
        <v>1259</v>
      </c>
      <c r="B49" s="286">
        <v>0</v>
      </c>
      <c r="C49" s="269">
        <v>0</v>
      </c>
      <c r="D49" s="251"/>
      <c r="E49" s="338">
        <v>0</v>
      </c>
      <c r="F49" s="269">
        <v>0</v>
      </c>
      <c r="G49" s="251"/>
      <c r="H49" s="338">
        <v>0</v>
      </c>
      <c r="I49" s="269">
        <v>0</v>
      </c>
      <c r="J49" s="251"/>
      <c r="K49" s="338">
        <f t="shared" si="10"/>
        <v>0</v>
      </c>
      <c r="L49" s="267">
        <f t="shared" si="11"/>
        <v>0</v>
      </c>
    </row>
    <row r="50" spans="1:15" ht="12.95" customHeight="1" x14ac:dyDescent="0.2">
      <c r="A50" s="146" t="s">
        <v>1260</v>
      </c>
      <c r="B50" s="286">
        <v>0</v>
      </c>
      <c r="C50" s="308">
        <v>0</v>
      </c>
      <c r="D50" s="252"/>
      <c r="E50" s="339">
        <v>0</v>
      </c>
      <c r="F50" s="308">
        <v>0</v>
      </c>
      <c r="G50" s="252"/>
      <c r="H50" s="339">
        <v>0</v>
      </c>
      <c r="I50" s="308">
        <v>0</v>
      </c>
      <c r="J50" s="252"/>
      <c r="K50" s="338">
        <f t="shared" si="10"/>
        <v>0</v>
      </c>
      <c r="L50" s="309">
        <f t="shared" si="11"/>
        <v>0</v>
      </c>
    </row>
    <row r="51" spans="1:15" ht="12.95" customHeight="1" x14ac:dyDescent="0.2">
      <c r="A51" s="146" t="s">
        <v>2158</v>
      </c>
      <c r="B51" s="286">
        <v>0</v>
      </c>
      <c r="C51" s="308">
        <v>0</v>
      </c>
      <c r="D51" s="252"/>
      <c r="E51" s="339">
        <v>0</v>
      </c>
      <c r="F51" s="308">
        <v>0</v>
      </c>
      <c r="G51" s="252"/>
      <c r="H51" s="339">
        <v>0</v>
      </c>
      <c r="I51" s="308">
        <v>0</v>
      </c>
      <c r="J51" s="252"/>
      <c r="K51" s="338">
        <f t="shared" si="10"/>
        <v>0</v>
      </c>
      <c r="L51" s="309">
        <f t="shared" si="11"/>
        <v>0</v>
      </c>
    </row>
    <row r="52" spans="1:15" ht="12.95" customHeight="1" x14ac:dyDescent="0.2">
      <c r="A52" s="82" t="s">
        <v>2250</v>
      </c>
      <c r="B52" s="286">
        <v>0</v>
      </c>
      <c r="C52" s="308">
        <v>0</v>
      </c>
      <c r="D52" s="252"/>
      <c r="E52" s="339">
        <v>0</v>
      </c>
      <c r="F52" s="308">
        <v>0</v>
      </c>
      <c r="G52" s="252"/>
      <c r="H52" s="339">
        <v>0</v>
      </c>
      <c r="I52" s="308">
        <v>0</v>
      </c>
      <c r="J52" s="252"/>
      <c r="K52" s="338">
        <f t="shared" si="10"/>
        <v>0</v>
      </c>
      <c r="L52" s="309">
        <f t="shared" si="11"/>
        <v>0</v>
      </c>
    </row>
    <row r="53" spans="1:15" ht="12.95" customHeight="1" x14ac:dyDescent="0.2">
      <c r="A53" s="146" t="s">
        <v>1262</v>
      </c>
      <c r="B53" s="286">
        <v>0</v>
      </c>
      <c r="C53" s="308">
        <v>0</v>
      </c>
      <c r="D53" s="252"/>
      <c r="E53" s="339">
        <v>0</v>
      </c>
      <c r="F53" s="308">
        <v>0</v>
      </c>
      <c r="G53" s="252"/>
      <c r="H53" s="339">
        <v>1463.62</v>
      </c>
      <c r="I53" s="308">
        <v>0</v>
      </c>
      <c r="J53" s="252"/>
      <c r="K53" s="338">
        <f t="shared" si="10"/>
        <v>1463.62</v>
      </c>
      <c r="L53" s="309">
        <f t="shared" si="11"/>
        <v>0</v>
      </c>
    </row>
    <row r="54" spans="1:15" ht="12.95" customHeight="1" x14ac:dyDescent="0.2">
      <c r="A54" s="146" t="s">
        <v>1263</v>
      </c>
      <c r="B54" s="286">
        <v>0</v>
      </c>
      <c r="C54" s="308">
        <v>0</v>
      </c>
      <c r="D54" s="252"/>
      <c r="E54" s="339">
        <v>0</v>
      </c>
      <c r="F54" s="308">
        <v>638</v>
      </c>
      <c r="G54" s="252"/>
      <c r="H54" s="339">
        <v>0</v>
      </c>
      <c r="I54" s="308">
        <v>0</v>
      </c>
      <c r="J54" s="252"/>
      <c r="K54" s="338">
        <f t="shared" si="10"/>
        <v>0</v>
      </c>
      <c r="L54" s="309">
        <f t="shared" si="11"/>
        <v>638</v>
      </c>
    </row>
    <row r="55" spans="1:15" ht="12.95" customHeight="1" x14ac:dyDescent="0.2">
      <c r="A55" s="146" t="s">
        <v>2177</v>
      </c>
      <c r="B55" s="286">
        <v>0</v>
      </c>
      <c r="C55" s="308">
        <v>0</v>
      </c>
      <c r="D55" s="252"/>
      <c r="E55" s="339">
        <v>0</v>
      </c>
      <c r="F55" s="308">
        <v>612</v>
      </c>
      <c r="G55" s="252"/>
      <c r="H55" s="339">
        <v>414.79</v>
      </c>
      <c r="I55" s="308">
        <v>0</v>
      </c>
      <c r="J55" s="252"/>
      <c r="K55" s="338">
        <f t="shared" si="10"/>
        <v>414.79</v>
      </c>
      <c r="L55" s="309">
        <f t="shared" si="11"/>
        <v>612</v>
      </c>
      <c r="O55" s="245"/>
    </row>
    <row r="56" spans="1:15" ht="12.95" customHeight="1" x14ac:dyDescent="0.2">
      <c r="A56" s="146" t="s">
        <v>2203</v>
      </c>
      <c r="B56" s="286">
        <v>0</v>
      </c>
      <c r="C56" s="308">
        <v>0</v>
      </c>
      <c r="D56" s="252"/>
      <c r="E56" s="339">
        <v>0</v>
      </c>
      <c r="F56" s="308">
        <v>8000</v>
      </c>
      <c r="G56" s="252"/>
      <c r="H56" s="339">
        <v>12000</v>
      </c>
      <c r="I56" s="574">
        <v>0</v>
      </c>
      <c r="J56" s="252"/>
      <c r="K56" s="338">
        <f t="shared" si="10"/>
        <v>12000</v>
      </c>
      <c r="L56" s="309">
        <f t="shared" si="11"/>
        <v>8000</v>
      </c>
    </row>
    <row r="57" spans="1:15" ht="12.95" customHeight="1" thickBot="1" x14ac:dyDescent="0.25">
      <c r="A57" s="102" t="s">
        <v>1269</v>
      </c>
      <c r="B57" s="290">
        <v>0</v>
      </c>
      <c r="C57" s="275">
        <v>0</v>
      </c>
      <c r="D57" s="265"/>
      <c r="E57" s="340">
        <v>0</v>
      </c>
      <c r="F57" s="275">
        <v>0</v>
      </c>
      <c r="G57" s="265"/>
      <c r="H57" s="340">
        <v>0</v>
      </c>
      <c r="I57" s="275">
        <v>0</v>
      </c>
      <c r="J57" s="265"/>
      <c r="K57" s="338">
        <f t="shared" si="10"/>
        <v>0</v>
      </c>
      <c r="L57" s="266">
        <f t="shared" si="11"/>
        <v>0</v>
      </c>
    </row>
    <row r="58" spans="1:15" s="244" customFormat="1" ht="12.95" customHeight="1" x14ac:dyDescent="0.2">
      <c r="A58" s="198" t="s">
        <v>1278</v>
      </c>
      <c r="B58" s="291">
        <f>SUM(B19:B57)</f>
        <v>17641.760000000002</v>
      </c>
      <c r="C58" s="292">
        <f>SUM(C19:C57)</f>
        <v>27167</v>
      </c>
      <c r="D58" s="253"/>
      <c r="E58" s="291">
        <f t="shared" ref="E58:L58" si="12">SUM(E19:E57)</f>
        <v>19441.39</v>
      </c>
      <c r="F58" s="292">
        <f t="shared" si="12"/>
        <v>53101</v>
      </c>
      <c r="G58" s="253"/>
      <c r="H58" s="289">
        <f t="shared" si="12"/>
        <v>17381.96</v>
      </c>
      <c r="I58" s="272">
        <f t="shared" si="12"/>
        <v>4500</v>
      </c>
      <c r="J58" s="253"/>
      <c r="K58" s="291">
        <f t="shared" si="12"/>
        <v>54465.11</v>
      </c>
      <c r="L58" s="292">
        <f t="shared" si="12"/>
        <v>84768</v>
      </c>
    </row>
    <row r="59" spans="1:15" s="244" customFormat="1" ht="15.6" customHeight="1" x14ac:dyDescent="0.2">
      <c r="A59" s="198" t="s">
        <v>1276</v>
      </c>
      <c r="B59" s="293">
        <f>B17-B58</f>
        <v>-4662.3900000000031</v>
      </c>
      <c r="C59" s="294">
        <f>C17-C58</f>
        <v>2233</v>
      </c>
      <c r="D59" s="256"/>
      <c r="E59" s="293">
        <f t="shared" ref="E59:L59" si="13">E17-E58</f>
        <v>-4930.8300000000036</v>
      </c>
      <c r="F59" s="294">
        <f t="shared" si="13"/>
        <v>-10551</v>
      </c>
      <c r="G59" s="256"/>
      <c r="H59" s="381">
        <f t="shared" si="13"/>
        <v>-14364.25</v>
      </c>
      <c r="I59" s="382">
        <f t="shared" si="13"/>
        <v>-4500</v>
      </c>
      <c r="J59" s="256"/>
      <c r="K59" s="293">
        <f t="shared" si="13"/>
        <v>-23957.470000000008</v>
      </c>
      <c r="L59" s="382">
        <f t="shared" si="13"/>
        <v>-12818</v>
      </c>
    </row>
    <row r="60" spans="1:15" ht="12.95" customHeight="1" thickBot="1" x14ac:dyDescent="0.25">
      <c r="A60" s="177"/>
      <c r="B60" s="297"/>
      <c r="C60" s="298"/>
      <c r="D60" s="257"/>
      <c r="E60" s="332"/>
      <c r="F60" s="333"/>
      <c r="G60" s="257"/>
      <c r="H60" s="332"/>
      <c r="I60" s="333"/>
      <c r="J60" s="257"/>
      <c r="K60" s="332"/>
      <c r="L60" s="333"/>
    </row>
    <row r="61" spans="1:15" s="246" customFormat="1" ht="12.95" customHeight="1" x14ac:dyDescent="0.2">
      <c r="A61" s="199" t="s">
        <v>2155</v>
      </c>
      <c r="B61" s="295">
        <v>4</v>
      </c>
      <c r="C61" s="278">
        <v>7</v>
      </c>
      <c r="D61" s="258"/>
      <c r="E61" s="337">
        <v>2</v>
      </c>
      <c r="F61" s="278">
        <v>7</v>
      </c>
      <c r="G61" s="258"/>
      <c r="H61" s="337">
        <v>0</v>
      </c>
      <c r="I61" s="278">
        <v>1</v>
      </c>
      <c r="J61" s="258"/>
      <c r="K61" s="337">
        <f>B61+E61+H61</f>
        <v>6</v>
      </c>
      <c r="L61" s="278">
        <f>C61+F61+I61</f>
        <v>15</v>
      </c>
    </row>
    <row r="62" spans="1:15" s="248" customFormat="1" ht="12.95" customHeight="1" thickBot="1" x14ac:dyDescent="0.25">
      <c r="A62" s="195"/>
      <c r="B62" s="299">
        <f>B61/$K$61</f>
        <v>0.66666666666666663</v>
      </c>
      <c r="C62" s="296">
        <f>C61/$L$61</f>
        <v>0.46666666666666667</v>
      </c>
      <c r="D62" s="184"/>
      <c r="E62" s="299">
        <f>E61/$K$61</f>
        <v>0.33333333333333331</v>
      </c>
      <c r="F62" s="296">
        <f>F61/$L$61</f>
        <v>0.46666666666666667</v>
      </c>
      <c r="G62" s="184"/>
      <c r="H62" s="299">
        <f>H61/$K$61</f>
        <v>0</v>
      </c>
      <c r="I62" s="296">
        <f>I61/$L$61</f>
        <v>6.6666666666666666E-2</v>
      </c>
      <c r="J62" s="184"/>
      <c r="K62" s="299">
        <f>B62+E62+H62</f>
        <v>1</v>
      </c>
      <c r="L62" s="296">
        <f>C62+F62+I62</f>
        <v>1</v>
      </c>
    </row>
    <row r="63" spans="1:15" ht="12.95" customHeight="1" thickBot="1" x14ac:dyDescent="0.25">
      <c r="A63" s="146"/>
      <c r="B63" s="146"/>
    </row>
    <row r="64" spans="1:15" ht="12.95" customHeight="1" thickBot="1" x14ac:dyDescent="0.25">
      <c r="A64" s="497" t="s">
        <v>2215</v>
      </c>
      <c r="B64" s="568">
        <v>2020</v>
      </c>
      <c r="C64" s="569">
        <v>2021</v>
      </c>
      <c r="D64" s="508"/>
      <c r="E64" s="568">
        <v>2020</v>
      </c>
      <c r="F64" s="569">
        <v>2021</v>
      </c>
      <c r="G64" s="508"/>
      <c r="H64" s="568">
        <v>2020</v>
      </c>
      <c r="I64" s="569">
        <v>2021</v>
      </c>
      <c r="J64" s="508"/>
      <c r="K64" s="558">
        <v>2020</v>
      </c>
      <c r="L64" s="559">
        <v>2021</v>
      </c>
    </row>
    <row r="65" spans="1:13" s="150" customFormat="1" ht="12.95" customHeight="1" x14ac:dyDescent="0.2">
      <c r="A65" s="485" t="s">
        <v>2216</v>
      </c>
      <c r="B65" s="488">
        <f>B41/B61</f>
        <v>1536.2275</v>
      </c>
      <c r="C65" s="573">
        <f>C41/C61</f>
        <v>1526</v>
      </c>
      <c r="D65" s="486"/>
      <c r="E65" s="578">
        <f>E41/E61</f>
        <v>7438.5349999999999</v>
      </c>
      <c r="F65" s="487">
        <f>F41/F61</f>
        <v>4959</v>
      </c>
      <c r="G65" s="486"/>
      <c r="H65" s="578" t="e">
        <f>H41/H61</f>
        <v>#DIV/0!</v>
      </c>
      <c r="I65" s="487">
        <f>I41/I61</f>
        <v>3500</v>
      </c>
      <c r="J65" s="486"/>
      <c r="K65" s="492" t="e">
        <f>B65+E65+H65</f>
        <v>#DIV/0!</v>
      </c>
      <c r="L65" s="493">
        <f>C65+F65+I65</f>
        <v>9985</v>
      </c>
    </row>
    <row r="66" spans="1:13" ht="12.95" customHeight="1" x14ac:dyDescent="0.2">
      <c r="A66" s="151" t="s">
        <v>2217</v>
      </c>
      <c r="B66" s="286">
        <f>B42/B61</f>
        <v>912.45249999999999</v>
      </c>
      <c r="C66" s="491">
        <f>C42/C61</f>
        <v>750</v>
      </c>
      <c r="D66" s="260"/>
      <c r="E66" s="335">
        <f>E42/E61</f>
        <v>540.04999999999995</v>
      </c>
      <c r="F66" s="307">
        <f>F42/F61</f>
        <v>428.57142857142856</v>
      </c>
      <c r="G66" s="260"/>
      <c r="H66" s="335" t="e">
        <f>H42/H61</f>
        <v>#DIV/0!</v>
      </c>
      <c r="I66" s="307">
        <f>I42/I61</f>
        <v>500</v>
      </c>
      <c r="J66" s="260"/>
      <c r="K66" s="492" t="e">
        <f t="shared" ref="K66:K67" si="14">B66+E66+H66</f>
        <v>#DIV/0!</v>
      </c>
      <c r="L66" s="493">
        <f t="shared" ref="L66:L67" si="15">C66+F66+I66</f>
        <v>1678.5714285714284</v>
      </c>
    </row>
    <row r="67" spans="1:13" ht="12.95" customHeight="1" x14ac:dyDescent="0.2">
      <c r="A67" s="151" t="s">
        <v>2218</v>
      </c>
      <c r="B67" s="286">
        <f>B43/B61</f>
        <v>1687.5</v>
      </c>
      <c r="C67" s="491">
        <f>C43/C61</f>
        <v>1446.4285714285713</v>
      </c>
      <c r="D67" s="260"/>
      <c r="E67" s="335">
        <f>E43/E61</f>
        <v>0</v>
      </c>
      <c r="F67" s="307">
        <f>F43/F61</f>
        <v>428.57142857142856</v>
      </c>
      <c r="G67" s="260"/>
      <c r="H67" s="335" t="e">
        <f>H43/H61</f>
        <v>#DIV/0!</v>
      </c>
      <c r="I67" s="307">
        <v>0</v>
      </c>
      <c r="J67" s="260"/>
      <c r="K67" s="492" t="e">
        <f t="shared" si="14"/>
        <v>#DIV/0!</v>
      </c>
      <c r="L67" s="493">
        <f t="shared" si="15"/>
        <v>1875</v>
      </c>
    </row>
    <row r="68" spans="1:13" ht="12.95" customHeight="1" x14ac:dyDescent="0.2">
      <c r="A68" s="196" t="s">
        <v>2219</v>
      </c>
      <c r="B68" s="287">
        <f>SUM(B65:B67)</f>
        <v>4136.18</v>
      </c>
      <c r="C68" s="511">
        <f t="shared" ref="C68:L68" si="16">SUM(C65:C67)</f>
        <v>3722.4285714285716</v>
      </c>
      <c r="D68" s="327"/>
      <c r="E68" s="287">
        <f t="shared" si="16"/>
        <v>7978.585</v>
      </c>
      <c r="F68" s="511">
        <f t="shared" si="16"/>
        <v>5816.1428571428569</v>
      </c>
      <c r="G68" s="327"/>
      <c r="H68" s="287" t="e">
        <f t="shared" si="16"/>
        <v>#DIV/0!</v>
      </c>
      <c r="I68" s="511">
        <f t="shared" si="16"/>
        <v>4000</v>
      </c>
      <c r="J68" s="327"/>
      <c r="K68" s="287" t="e">
        <f t="shared" si="16"/>
        <v>#DIV/0!</v>
      </c>
      <c r="L68" s="511">
        <f t="shared" si="16"/>
        <v>13538.571428571428</v>
      </c>
    </row>
    <row r="69" spans="1:13" ht="12.95" customHeight="1" x14ac:dyDescent="0.2">
      <c r="A69" s="151" t="s">
        <v>2220</v>
      </c>
      <c r="B69" s="286">
        <f>-B16/B61</f>
        <v>83.86</v>
      </c>
      <c r="C69" s="307">
        <f>-C16/C61</f>
        <v>353.57142857142856</v>
      </c>
      <c r="D69" s="260"/>
      <c r="E69" s="335">
        <f>-E16/E61</f>
        <v>1273.4949999999999</v>
      </c>
      <c r="F69" s="307">
        <f>-F16/F61</f>
        <v>921.42857142857144</v>
      </c>
      <c r="G69" s="260"/>
      <c r="H69" s="335" t="e">
        <f>-H16/H61</f>
        <v>#DIV/0!</v>
      </c>
      <c r="I69" s="307">
        <f>-I16/I61</f>
        <v>0</v>
      </c>
      <c r="J69" s="260"/>
      <c r="K69" s="335">
        <f>-K16/K61</f>
        <v>569.12</v>
      </c>
      <c r="L69" s="307">
        <f>-L16/L61</f>
        <v>595</v>
      </c>
    </row>
    <row r="70" spans="1:13" ht="12.95" customHeight="1" x14ac:dyDescent="0.2">
      <c r="A70" s="485"/>
      <c r="B70" s="286"/>
      <c r="C70" s="307"/>
      <c r="D70" s="260"/>
      <c r="E70" s="335"/>
      <c r="F70" s="307"/>
      <c r="G70" s="260"/>
      <c r="H70" s="335"/>
      <c r="I70" s="307"/>
      <c r="J70" s="260"/>
      <c r="K70" s="335"/>
      <c r="L70" s="307"/>
    </row>
    <row r="71" spans="1:13" s="150" customFormat="1" ht="12.95" customHeight="1" thickBot="1" x14ac:dyDescent="0.25">
      <c r="A71" s="148" t="s">
        <v>2221</v>
      </c>
      <c r="B71" s="331">
        <f>B58/B61</f>
        <v>4410.4400000000005</v>
      </c>
      <c r="C71" s="494">
        <f t="shared" ref="C71:L71" si="17">C58/C61</f>
        <v>3881</v>
      </c>
      <c r="D71" s="327"/>
      <c r="E71" s="331">
        <f t="shared" si="17"/>
        <v>9720.6949999999997</v>
      </c>
      <c r="F71" s="494">
        <f t="shared" si="17"/>
        <v>7585.8571428571431</v>
      </c>
      <c r="G71" s="327"/>
      <c r="H71" s="331" t="e">
        <f t="shared" si="17"/>
        <v>#DIV/0!</v>
      </c>
      <c r="I71" s="494">
        <f t="shared" si="17"/>
        <v>4500</v>
      </c>
      <c r="J71" s="327"/>
      <c r="K71" s="331">
        <f t="shared" si="17"/>
        <v>9077.5183333333334</v>
      </c>
      <c r="L71" s="494">
        <f t="shared" si="17"/>
        <v>5651.2</v>
      </c>
    </row>
    <row r="72" spans="1:13" ht="12.95" customHeight="1" x14ac:dyDescent="0.2">
      <c r="A72" s="146"/>
      <c r="B72" s="146"/>
      <c r="C72" s="152"/>
      <c r="D72" s="152"/>
      <c r="E72" s="152"/>
      <c r="F72" s="152"/>
      <c r="G72" s="152"/>
      <c r="H72" s="152"/>
      <c r="I72" s="152"/>
      <c r="J72" s="152"/>
      <c r="K72" s="152"/>
      <c r="L72" s="152"/>
    </row>
    <row r="73" spans="1:13" ht="28.5" customHeight="1" x14ac:dyDescent="0.2">
      <c r="A73" s="482" t="s">
        <v>2211</v>
      </c>
      <c r="B73" s="253">
        <v>12000</v>
      </c>
      <c r="C73" s="645" t="s">
        <v>2214</v>
      </c>
      <c r="D73" s="645"/>
      <c r="E73" s="645"/>
      <c r="F73" s="645"/>
      <c r="G73" s="645"/>
      <c r="H73" s="645"/>
      <c r="I73" s="645"/>
      <c r="J73" s="645"/>
      <c r="K73" s="645"/>
      <c r="L73" s="645"/>
      <c r="M73" s="645"/>
    </row>
    <row r="74" spans="1:13" ht="12.95" customHeight="1" x14ac:dyDescent="0.2">
      <c r="A74" s="146"/>
      <c r="B74" s="146"/>
      <c r="C74" s="152"/>
      <c r="D74" s="152"/>
      <c r="E74" s="152"/>
      <c r="F74" s="152"/>
      <c r="G74" s="152"/>
      <c r="H74" s="152"/>
      <c r="I74" s="152"/>
      <c r="J74" s="152"/>
      <c r="K74" s="152"/>
      <c r="L74" s="152"/>
    </row>
    <row r="75" spans="1:13" ht="12.95" customHeight="1" x14ac:dyDescent="0.2">
      <c r="A75" s="146"/>
      <c r="B75" s="146"/>
      <c r="C75" s="152"/>
      <c r="D75" s="152"/>
      <c r="E75" s="152"/>
      <c r="F75" s="152"/>
      <c r="G75" s="152"/>
      <c r="H75" s="152"/>
      <c r="I75" s="152"/>
      <c r="J75" s="152"/>
      <c r="K75" s="152"/>
      <c r="L75" s="152"/>
    </row>
    <row r="76" spans="1:13" ht="12.95" customHeight="1" x14ac:dyDescent="0.2">
      <c r="A76" s="146"/>
      <c r="B76" s="146"/>
      <c r="C76" s="152"/>
      <c r="D76" s="152"/>
      <c r="E76" s="152"/>
      <c r="F76" s="152"/>
      <c r="G76" s="152"/>
      <c r="H76" s="152"/>
      <c r="I76" s="152"/>
      <c r="J76" s="152"/>
      <c r="K76" s="152"/>
      <c r="L76" s="152"/>
    </row>
    <row r="77" spans="1:13" ht="12.95" customHeight="1" x14ac:dyDescent="0.2">
      <c r="A77" s="146"/>
      <c r="B77" s="146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1:13" ht="12.95" customHeight="1" x14ac:dyDescent="0.2">
      <c r="A78" s="146"/>
      <c r="B78" s="146"/>
    </row>
    <row r="79" spans="1:13" ht="12.95" customHeight="1" x14ac:dyDescent="0.2"/>
    <row r="80" spans="1:13" ht="12.95" customHeight="1" x14ac:dyDescent="0.2"/>
  </sheetData>
  <mergeCells count="1">
    <mergeCell ref="C73:M73"/>
  </mergeCells>
  <printOptions gridLines="1"/>
  <pageMargins left="0.7" right="0.7" top="0.75" bottom="0.75" header="0.3" footer="0.3"/>
  <pageSetup scale="67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4AC7-75F0-4271-A64C-C1F8909391BA}">
  <sheetPr>
    <pageSetUpPr fitToPage="1"/>
  </sheetPr>
  <dimension ref="A1:L84"/>
  <sheetViews>
    <sheetView workbookViewId="0">
      <pane xSplit="1" ySplit="4" topLeftCell="B64" activePane="bottomRight" state="frozen"/>
      <selection pane="topRight" activeCell="B1" sqref="B1"/>
      <selection pane="bottomLeft" activeCell="A5" sqref="A5"/>
      <selection pane="bottomRight" sqref="A1:I71"/>
    </sheetView>
  </sheetViews>
  <sheetFormatPr defaultColWidth="8.85546875" defaultRowHeight="12.75" x14ac:dyDescent="0.2"/>
  <cols>
    <col min="1" max="1" width="34.28515625" style="26" bestFit="1" customWidth="1"/>
    <col min="2" max="2" width="9.7109375" style="207" bestFit="1" customWidth="1"/>
    <col min="3" max="3" width="10.5703125" style="26" customWidth="1"/>
    <col min="4" max="4" width="6" style="26" hidden="1" customWidth="1"/>
    <col min="5" max="6" width="10.5703125" style="26" hidden="1" customWidth="1"/>
    <col min="7" max="7" width="5" style="26" customWidth="1"/>
    <col min="8" max="9" width="9.28515625" style="26" customWidth="1"/>
    <col min="10" max="11" width="8.85546875" style="26"/>
    <col min="12" max="12" width="9.28515625" style="26" bestFit="1" customWidth="1"/>
    <col min="13" max="16384" width="8.85546875" style="26"/>
  </cols>
  <sheetData>
    <row r="1" spans="1:9" ht="21.75" customHeight="1" x14ac:dyDescent="0.25">
      <c r="A1" s="534" t="s">
        <v>177</v>
      </c>
      <c r="B1" s="534"/>
      <c r="C1" s="534"/>
      <c r="D1" s="534"/>
      <c r="E1" s="534"/>
      <c r="F1" s="534"/>
      <c r="G1" s="534"/>
      <c r="H1" s="534"/>
      <c r="I1" s="534"/>
    </row>
    <row r="2" spans="1:9" ht="18.75" customHeight="1" thickBot="1" x14ac:dyDescent="0.3">
      <c r="A2" s="534" t="s">
        <v>2229</v>
      </c>
      <c r="B2" s="534"/>
      <c r="C2" s="534"/>
      <c r="D2" s="534"/>
      <c r="E2" s="534"/>
      <c r="F2" s="534"/>
      <c r="G2" s="534"/>
      <c r="H2" s="534"/>
      <c r="I2" s="534"/>
    </row>
    <row r="3" spans="1:9" ht="12.75" customHeight="1" x14ac:dyDescent="0.2">
      <c r="A3" s="87"/>
      <c r="B3" s="550">
        <v>2020</v>
      </c>
      <c r="C3" s="551">
        <v>2021</v>
      </c>
      <c r="D3" s="235"/>
      <c r="E3" s="550">
        <v>2020</v>
      </c>
      <c r="F3" s="551">
        <v>2021</v>
      </c>
      <c r="G3" s="193"/>
      <c r="H3" s="550">
        <v>2020</v>
      </c>
      <c r="I3" s="551">
        <v>2021</v>
      </c>
    </row>
    <row r="4" spans="1:9" s="27" customFormat="1" ht="25.5" customHeight="1" x14ac:dyDescent="0.2">
      <c r="A4" s="96" t="s">
        <v>2169</v>
      </c>
      <c r="B4" s="556" t="s">
        <v>2209</v>
      </c>
      <c r="C4" s="104" t="s">
        <v>2183</v>
      </c>
      <c r="D4" s="165"/>
      <c r="E4" s="556" t="s">
        <v>2226</v>
      </c>
      <c r="F4" s="104" t="s">
        <v>2184</v>
      </c>
      <c r="G4" s="165"/>
      <c r="H4" s="557" t="s">
        <v>2209</v>
      </c>
      <c r="I4" s="104" t="s">
        <v>2185</v>
      </c>
    </row>
    <row r="5" spans="1:9" s="27" customFormat="1" ht="12.95" customHeight="1" x14ac:dyDescent="0.2">
      <c r="A5" s="85" t="s">
        <v>2151</v>
      </c>
      <c r="B5" s="214">
        <f>SUM(B6:B8)</f>
        <v>32652.95</v>
      </c>
      <c r="C5" s="91">
        <f>SUM(C6:C8)</f>
        <v>20000</v>
      </c>
      <c r="D5" s="158"/>
      <c r="E5" s="90">
        <f t="shared" ref="E5:I5" si="0">SUM(E6:E8)</f>
        <v>0</v>
      </c>
      <c r="F5" s="91">
        <f t="shared" si="0"/>
        <v>0</v>
      </c>
      <c r="G5" s="158"/>
      <c r="H5" s="90">
        <f t="shared" si="0"/>
        <v>32652.95</v>
      </c>
      <c r="I5" s="91">
        <f t="shared" si="0"/>
        <v>20000</v>
      </c>
    </row>
    <row r="6" spans="1:9" ht="12.95" customHeight="1" x14ac:dyDescent="0.2">
      <c r="A6" s="81" t="s">
        <v>2162</v>
      </c>
      <c r="B6" s="215">
        <v>20000</v>
      </c>
      <c r="C6" s="89">
        <v>20000</v>
      </c>
      <c r="D6" s="143"/>
      <c r="E6" s="88"/>
      <c r="F6" s="89"/>
      <c r="G6" s="143"/>
      <c r="H6" s="88">
        <f>B6+E6</f>
        <v>20000</v>
      </c>
      <c r="I6" s="89">
        <f>C6+F6</f>
        <v>20000</v>
      </c>
    </row>
    <row r="7" spans="1:9" ht="12.95" customHeight="1" x14ac:dyDescent="0.2">
      <c r="A7" s="81" t="s">
        <v>2163</v>
      </c>
      <c r="B7" s="215">
        <v>0</v>
      </c>
      <c r="C7" s="89">
        <v>0</v>
      </c>
      <c r="D7" s="143"/>
      <c r="E7" s="88"/>
      <c r="F7" s="89"/>
      <c r="G7" s="143"/>
      <c r="H7" s="88">
        <f t="shared" ref="H7:H9" si="1">B7+E7</f>
        <v>0</v>
      </c>
      <c r="I7" s="89">
        <f t="shared" ref="I7:I9" si="2">C7+F7</f>
        <v>0</v>
      </c>
    </row>
    <row r="8" spans="1:9" ht="12.95" customHeight="1" x14ac:dyDescent="0.2">
      <c r="A8" s="81" t="s">
        <v>2164</v>
      </c>
      <c r="B8" s="215">
        <v>12652.95</v>
      </c>
      <c r="C8" s="89">
        <v>0</v>
      </c>
      <c r="D8" s="143"/>
      <c r="E8" s="88"/>
      <c r="F8" s="89"/>
      <c r="G8" s="143"/>
      <c r="H8" s="88">
        <f t="shared" si="1"/>
        <v>12652.95</v>
      </c>
      <c r="I8" s="89">
        <f t="shared" si="2"/>
        <v>0</v>
      </c>
    </row>
    <row r="9" spans="1:9" s="27" customFormat="1" ht="12.95" customHeight="1" x14ac:dyDescent="0.2">
      <c r="A9" s="85" t="s">
        <v>1359</v>
      </c>
      <c r="B9" s="213">
        <v>0</v>
      </c>
      <c r="C9" s="91">
        <v>10000</v>
      </c>
      <c r="D9" s="158"/>
      <c r="E9" s="90"/>
      <c r="F9" s="91"/>
      <c r="G9" s="158"/>
      <c r="H9" s="88">
        <f t="shared" si="1"/>
        <v>0</v>
      </c>
      <c r="I9" s="89">
        <f t="shared" si="2"/>
        <v>10000</v>
      </c>
    </row>
    <row r="10" spans="1:9" s="27" customFormat="1" ht="12.95" customHeight="1" x14ac:dyDescent="0.2">
      <c r="A10" s="85" t="s">
        <v>2149</v>
      </c>
      <c r="B10" s="216">
        <f t="shared" ref="B10:C10" si="3">SUM(B11:B12)</f>
        <v>2500</v>
      </c>
      <c r="C10" s="91">
        <f t="shared" si="3"/>
        <v>10000</v>
      </c>
      <c r="D10" s="158"/>
      <c r="E10" s="90"/>
      <c r="F10" s="91"/>
      <c r="G10" s="158"/>
      <c r="H10" s="90">
        <f t="shared" ref="H10:I10" si="4">SUM(H11:H12)</f>
        <v>2500</v>
      </c>
      <c r="I10" s="91">
        <f t="shared" si="4"/>
        <v>10000</v>
      </c>
    </row>
    <row r="11" spans="1:9" ht="12.95" customHeight="1" x14ac:dyDescent="0.2">
      <c r="A11" s="81" t="s">
        <v>2162</v>
      </c>
      <c r="B11" s="215">
        <v>2500</v>
      </c>
      <c r="C11" s="89">
        <v>10000</v>
      </c>
      <c r="D11" s="143"/>
      <c r="E11" s="88"/>
      <c r="F11" s="89"/>
      <c r="G11" s="143"/>
      <c r="H11" s="88">
        <f t="shared" ref="H11:H14" si="5">B11+E11</f>
        <v>2500</v>
      </c>
      <c r="I11" s="89">
        <f t="shared" ref="I11:I14" si="6">C11+F11</f>
        <v>10000</v>
      </c>
    </row>
    <row r="12" spans="1:9" ht="12.95" customHeight="1" x14ac:dyDescent="0.2">
      <c r="A12" s="81" t="s">
        <v>2170</v>
      </c>
      <c r="B12" s="215">
        <v>0</v>
      </c>
      <c r="C12" s="89">
        <v>0</v>
      </c>
      <c r="D12" s="143"/>
      <c r="E12" s="88"/>
      <c r="F12" s="89"/>
      <c r="G12" s="143"/>
      <c r="H12" s="88">
        <f t="shared" si="5"/>
        <v>0</v>
      </c>
      <c r="I12" s="89">
        <f t="shared" si="6"/>
        <v>0</v>
      </c>
    </row>
    <row r="13" spans="1:9" s="27" customFormat="1" ht="12.95" customHeight="1" x14ac:dyDescent="0.2">
      <c r="A13" s="85" t="s">
        <v>2168</v>
      </c>
      <c r="B13" s="213">
        <f>1850+7237.75</f>
        <v>9087.75</v>
      </c>
      <c r="C13" s="91"/>
      <c r="D13" s="158"/>
      <c r="E13" s="90"/>
      <c r="F13" s="91"/>
      <c r="G13" s="158"/>
      <c r="H13" s="90">
        <f t="shared" si="5"/>
        <v>9087.75</v>
      </c>
      <c r="I13" s="91">
        <f t="shared" si="6"/>
        <v>0</v>
      </c>
    </row>
    <row r="14" spans="1:9" s="389" customFormat="1" ht="12.95" customHeight="1" x14ac:dyDescent="0.2">
      <c r="A14" s="418" t="s">
        <v>2152</v>
      </c>
      <c r="B14" s="242">
        <v>-300</v>
      </c>
      <c r="C14" s="155">
        <v>-2000</v>
      </c>
      <c r="D14" s="166"/>
      <c r="E14" s="156"/>
      <c r="F14" s="155"/>
      <c r="G14" s="166"/>
      <c r="H14" s="156">
        <f t="shared" si="5"/>
        <v>-300</v>
      </c>
      <c r="I14" s="155">
        <f t="shared" si="6"/>
        <v>-2000</v>
      </c>
    </row>
    <row r="15" spans="1:9" s="169" customFormat="1" ht="12.95" customHeight="1" x14ac:dyDescent="0.2">
      <c r="A15" s="172" t="s">
        <v>2153</v>
      </c>
      <c r="B15" s="217">
        <f>B5+B9+B10+B13+B14</f>
        <v>43940.7</v>
      </c>
      <c r="C15" s="173">
        <f>C5+C9+C10+C13+C14</f>
        <v>38000</v>
      </c>
      <c r="D15" s="181"/>
      <c r="E15" s="174">
        <f t="shared" ref="E15:I15" si="7">E5+E9+E10+E13+E14</f>
        <v>0</v>
      </c>
      <c r="F15" s="173">
        <f t="shared" si="7"/>
        <v>0</v>
      </c>
      <c r="G15" s="181"/>
      <c r="H15" s="174">
        <f t="shared" si="7"/>
        <v>43940.7</v>
      </c>
      <c r="I15" s="173">
        <f t="shared" si="7"/>
        <v>38000</v>
      </c>
    </row>
    <row r="16" spans="1:9" s="375" customFormat="1" ht="12.95" customHeight="1" x14ac:dyDescent="0.2">
      <c r="A16" s="350" t="s">
        <v>2171</v>
      </c>
      <c r="B16" s="385">
        <f>3819.47</f>
        <v>3819.47</v>
      </c>
      <c r="C16" s="386">
        <f>(C15-C13)*-0.15</f>
        <v>-5700</v>
      </c>
      <c r="D16" s="388"/>
      <c r="E16" s="385">
        <f t="shared" ref="E16:F16" si="8">(E15-E13)*-0.15</f>
        <v>0</v>
      </c>
      <c r="F16" s="386">
        <f t="shared" si="8"/>
        <v>0</v>
      </c>
      <c r="G16" s="388"/>
      <c r="H16" s="385">
        <f>B16+E16</f>
        <v>3819.47</v>
      </c>
      <c r="I16" s="386">
        <f>C16+F16</f>
        <v>-5700</v>
      </c>
    </row>
    <row r="17" spans="1:9" s="169" customFormat="1" ht="12.95" customHeight="1" x14ac:dyDescent="0.2">
      <c r="A17" s="172" t="s">
        <v>2154</v>
      </c>
      <c r="B17" s="217">
        <f t="shared" ref="B17:I17" si="9">B15+B16</f>
        <v>47760.17</v>
      </c>
      <c r="C17" s="173">
        <f t="shared" si="9"/>
        <v>32300</v>
      </c>
      <c r="D17" s="181"/>
      <c r="E17" s="174">
        <f t="shared" si="9"/>
        <v>0</v>
      </c>
      <c r="F17" s="173">
        <f t="shared" si="9"/>
        <v>0</v>
      </c>
      <c r="G17" s="181"/>
      <c r="H17" s="174">
        <f t="shared" si="9"/>
        <v>47760.17</v>
      </c>
      <c r="I17" s="173">
        <f t="shared" si="9"/>
        <v>32300</v>
      </c>
    </row>
    <row r="18" spans="1:9" ht="12.95" customHeight="1" x14ac:dyDescent="0.2">
      <c r="A18" s="81"/>
      <c r="B18" s="215"/>
      <c r="C18" s="89"/>
      <c r="D18" s="143"/>
      <c r="E18" s="88"/>
      <c r="F18" s="89"/>
      <c r="G18" s="180"/>
      <c r="H18" s="88"/>
      <c r="I18" s="89"/>
    </row>
    <row r="19" spans="1:9" ht="12.95" customHeight="1" x14ac:dyDescent="0.2">
      <c r="A19" s="81" t="s">
        <v>1536</v>
      </c>
      <c r="B19" s="215">
        <v>460</v>
      </c>
      <c r="C19" s="89">
        <v>460</v>
      </c>
      <c r="D19" s="143"/>
      <c r="E19" s="88">
        <v>0</v>
      </c>
      <c r="F19" s="89">
        <v>0</v>
      </c>
      <c r="G19" s="143"/>
      <c r="H19" s="88">
        <f t="shared" ref="H19:H57" si="10">B19+E19</f>
        <v>460</v>
      </c>
      <c r="I19" s="89">
        <f t="shared" ref="I19:I59" si="11">C19+F19</f>
        <v>460</v>
      </c>
    </row>
    <row r="20" spans="1:9" ht="12.95" customHeight="1" x14ac:dyDescent="0.2">
      <c r="A20" s="81" t="s">
        <v>2157</v>
      </c>
      <c r="B20" s="215">
        <v>0</v>
      </c>
      <c r="C20" s="89">
        <v>0</v>
      </c>
      <c r="D20" s="143"/>
      <c r="E20" s="88">
        <v>0</v>
      </c>
      <c r="F20" s="89">
        <v>0</v>
      </c>
      <c r="G20" s="143"/>
      <c r="H20" s="88">
        <f t="shared" si="10"/>
        <v>0</v>
      </c>
      <c r="I20" s="89">
        <f t="shared" si="11"/>
        <v>0</v>
      </c>
    </row>
    <row r="21" spans="1:9" ht="12.95" customHeight="1" x14ac:dyDescent="0.2">
      <c r="A21" s="81" t="s">
        <v>1537</v>
      </c>
      <c r="B21" s="215">
        <v>0</v>
      </c>
      <c r="C21" s="89">
        <v>0</v>
      </c>
      <c r="D21" s="143"/>
      <c r="E21" s="88">
        <v>0</v>
      </c>
      <c r="F21" s="89">
        <v>0</v>
      </c>
      <c r="G21" s="143"/>
      <c r="H21" s="88">
        <f t="shared" si="10"/>
        <v>0</v>
      </c>
      <c r="I21" s="89">
        <f t="shared" si="11"/>
        <v>0</v>
      </c>
    </row>
    <row r="22" spans="1:9" ht="12.95" customHeight="1" x14ac:dyDescent="0.2">
      <c r="A22" s="81" t="s">
        <v>1236</v>
      </c>
      <c r="B22" s="215">
        <v>0</v>
      </c>
      <c r="C22" s="89">
        <v>0</v>
      </c>
      <c r="D22" s="143"/>
      <c r="E22" s="88">
        <v>0</v>
      </c>
      <c r="F22" s="89">
        <v>0</v>
      </c>
      <c r="G22" s="143"/>
      <c r="H22" s="88">
        <f t="shared" si="10"/>
        <v>0</v>
      </c>
      <c r="I22" s="89">
        <f t="shared" si="11"/>
        <v>0</v>
      </c>
    </row>
    <row r="23" spans="1:9" ht="12.95" customHeight="1" x14ac:dyDescent="0.2">
      <c r="A23" s="82" t="s">
        <v>2156</v>
      </c>
      <c r="B23" s="215">
        <v>0</v>
      </c>
      <c r="C23" s="89">
        <v>0</v>
      </c>
      <c r="D23" s="143"/>
      <c r="E23" s="88">
        <v>0</v>
      </c>
      <c r="F23" s="89">
        <v>0</v>
      </c>
      <c r="G23" s="143"/>
      <c r="H23" s="88">
        <f t="shared" si="10"/>
        <v>0</v>
      </c>
      <c r="I23" s="89">
        <f t="shared" si="11"/>
        <v>0</v>
      </c>
    </row>
    <row r="24" spans="1:9" ht="12.95" customHeight="1" x14ac:dyDescent="0.2">
      <c r="A24" s="82" t="s">
        <v>2176</v>
      </c>
      <c r="B24" s="215">
        <v>0</v>
      </c>
      <c r="C24" s="89">
        <v>0</v>
      </c>
      <c r="D24" s="143"/>
      <c r="E24" s="88">
        <v>0</v>
      </c>
      <c r="F24" s="89">
        <v>0</v>
      </c>
      <c r="G24" s="143"/>
      <c r="H24" s="88">
        <f t="shared" si="10"/>
        <v>0</v>
      </c>
      <c r="I24" s="89">
        <f t="shared" si="11"/>
        <v>0</v>
      </c>
    </row>
    <row r="25" spans="1:9" ht="12.95" customHeight="1" x14ac:dyDescent="0.2">
      <c r="A25" s="82" t="s">
        <v>2172</v>
      </c>
      <c r="B25" s="215">
        <v>0</v>
      </c>
      <c r="C25" s="89">
        <v>0</v>
      </c>
      <c r="D25" s="143"/>
      <c r="E25" s="88">
        <v>0</v>
      </c>
      <c r="F25" s="89">
        <v>0</v>
      </c>
      <c r="G25" s="143"/>
      <c r="H25" s="88">
        <f t="shared" si="10"/>
        <v>0</v>
      </c>
      <c r="I25" s="89">
        <f t="shared" si="11"/>
        <v>0</v>
      </c>
    </row>
    <row r="26" spans="1:9" ht="12.95" customHeight="1" x14ac:dyDescent="0.2">
      <c r="A26" s="82" t="s">
        <v>1239</v>
      </c>
      <c r="B26" s="215">
        <v>0</v>
      </c>
      <c r="C26" s="89">
        <v>0</v>
      </c>
      <c r="D26" s="143"/>
      <c r="E26" s="88">
        <v>0</v>
      </c>
      <c r="F26" s="89">
        <v>0</v>
      </c>
      <c r="G26" s="143"/>
      <c r="H26" s="88">
        <f t="shared" si="10"/>
        <v>0</v>
      </c>
      <c r="I26" s="89">
        <f t="shared" si="11"/>
        <v>0</v>
      </c>
    </row>
    <row r="27" spans="1:9" ht="12.95" customHeight="1" x14ac:dyDescent="0.2">
      <c r="A27" s="82" t="s">
        <v>1240</v>
      </c>
      <c r="B27" s="215">
        <v>0</v>
      </c>
      <c r="C27" s="89">
        <v>0</v>
      </c>
      <c r="D27" s="143"/>
      <c r="E27" s="88">
        <v>0</v>
      </c>
      <c r="F27" s="89">
        <v>0</v>
      </c>
      <c r="G27" s="143"/>
      <c r="H27" s="88">
        <f t="shared" si="10"/>
        <v>0</v>
      </c>
      <c r="I27" s="89">
        <f t="shared" si="11"/>
        <v>0</v>
      </c>
    </row>
    <row r="28" spans="1:9" ht="12.95" customHeight="1" x14ac:dyDescent="0.2">
      <c r="A28" s="82" t="s">
        <v>1241</v>
      </c>
      <c r="B28" s="215">
        <v>0</v>
      </c>
      <c r="C28" s="89">
        <v>0</v>
      </c>
      <c r="D28" s="143"/>
      <c r="E28" s="88">
        <v>0</v>
      </c>
      <c r="F28" s="89">
        <v>0</v>
      </c>
      <c r="G28" s="143"/>
      <c r="H28" s="88">
        <f t="shared" si="10"/>
        <v>0</v>
      </c>
      <c r="I28" s="89">
        <f t="shared" si="11"/>
        <v>0</v>
      </c>
    </row>
    <row r="29" spans="1:9" ht="12.95" customHeight="1" x14ac:dyDescent="0.2">
      <c r="A29" s="82" t="s">
        <v>2167</v>
      </c>
      <c r="B29" s="215">
        <v>0</v>
      </c>
      <c r="C29" s="89">
        <v>0</v>
      </c>
      <c r="D29" s="143"/>
      <c r="E29" s="88">
        <v>0</v>
      </c>
      <c r="F29" s="89">
        <v>0</v>
      </c>
      <c r="G29" s="143"/>
      <c r="H29" s="88">
        <f t="shared" si="10"/>
        <v>0</v>
      </c>
      <c r="I29" s="89">
        <f t="shared" si="11"/>
        <v>0</v>
      </c>
    </row>
    <row r="30" spans="1:9" ht="12.95" customHeight="1" x14ac:dyDescent="0.2">
      <c r="A30" s="82" t="s">
        <v>1244</v>
      </c>
      <c r="B30" s="215">
        <v>564.9</v>
      </c>
      <c r="C30" s="89">
        <v>750</v>
      </c>
      <c r="D30" s="143"/>
      <c r="E30" s="88"/>
      <c r="F30" s="89"/>
      <c r="G30" s="143"/>
      <c r="H30" s="88">
        <f t="shared" si="10"/>
        <v>564.9</v>
      </c>
      <c r="I30" s="89">
        <f t="shared" si="11"/>
        <v>750</v>
      </c>
    </row>
    <row r="31" spans="1:9" ht="12.95" customHeight="1" x14ac:dyDescent="0.2">
      <c r="A31" s="82" t="s">
        <v>1245</v>
      </c>
      <c r="B31" s="215">
        <v>29.75</v>
      </c>
      <c r="C31" s="89">
        <v>30</v>
      </c>
      <c r="D31" s="143"/>
      <c r="E31" s="88"/>
      <c r="F31" s="89"/>
      <c r="G31" s="143"/>
      <c r="H31" s="88">
        <f t="shared" si="10"/>
        <v>29.75</v>
      </c>
      <c r="I31" s="89">
        <f t="shared" si="11"/>
        <v>30</v>
      </c>
    </row>
    <row r="32" spans="1:9" ht="12.95" customHeight="1" x14ac:dyDescent="0.2">
      <c r="A32" s="82" t="s">
        <v>1246</v>
      </c>
      <c r="B32" s="215">
        <v>0</v>
      </c>
      <c r="C32" s="89">
        <v>0</v>
      </c>
      <c r="D32" s="143"/>
      <c r="E32" s="88"/>
      <c r="F32" s="89"/>
      <c r="G32" s="143"/>
      <c r="H32" s="88">
        <f t="shared" si="10"/>
        <v>0</v>
      </c>
      <c r="I32" s="89">
        <f t="shared" si="11"/>
        <v>0</v>
      </c>
    </row>
    <row r="33" spans="1:9" ht="12.95" customHeight="1" x14ac:dyDescent="0.2">
      <c r="A33" s="82" t="s">
        <v>1247</v>
      </c>
      <c r="B33" s="215">
        <v>0</v>
      </c>
      <c r="C33" s="89">
        <v>0</v>
      </c>
      <c r="D33" s="143"/>
      <c r="E33" s="88"/>
      <c r="F33" s="89"/>
      <c r="G33" s="143"/>
      <c r="H33" s="88">
        <f t="shared" si="10"/>
        <v>0</v>
      </c>
      <c r="I33" s="89">
        <f t="shared" si="11"/>
        <v>0</v>
      </c>
    </row>
    <row r="34" spans="1:9" ht="12.95" customHeight="1" x14ac:dyDescent="0.2">
      <c r="A34" s="208" t="s">
        <v>2207</v>
      </c>
      <c r="B34" s="218">
        <v>326.82</v>
      </c>
      <c r="C34" s="89">
        <v>400</v>
      </c>
      <c r="D34" s="143"/>
      <c r="E34" s="88"/>
      <c r="F34" s="89"/>
      <c r="G34" s="143"/>
      <c r="H34" s="88">
        <f t="shared" si="10"/>
        <v>326.82</v>
      </c>
      <c r="I34" s="89">
        <f t="shared" si="11"/>
        <v>400</v>
      </c>
    </row>
    <row r="35" spans="1:9" ht="12.95" customHeight="1" x14ac:dyDescent="0.2">
      <c r="A35" s="208" t="s">
        <v>2204</v>
      </c>
      <c r="B35" s="218">
        <v>223.53</v>
      </c>
      <c r="C35" s="89">
        <v>500</v>
      </c>
      <c r="D35" s="143"/>
      <c r="E35" s="88"/>
      <c r="F35" s="89"/>
      <c r="G35" s="143"/>
      <c r="H35" s="88">
        <f t="shared" si="10"/>
        <v>223.53</v>
      </c>
      <c r="I35" s="89">
        <f t="shared" si="11"/>
        <v>500</v>
      </c>
    </row>
    <row r="36" spans="1:9" ht="12.95" customHeight="1" x14ac:dyDescent="0.2">
      <c r="A36" s="82" t="s">
        <v>1250</v>
      </c>
      <c r="B36" s="215">
        <v>554.42999999999995</v>
      </c>
      <c r="C36" s="89">
        <v>250</v>
      </c>
      <c r="D36" s="143"/>
      <c r="E36" s="88"/>
      <c r="F36" s="89"/>
      <c r="G36" s="143"/>
      <c r="H36" s="88">
        <f t="shared" si="10"/>
        <v>554.42999999999995</v>
      </c>
      <c r="I36" s="89">
        <f t="shared" si="11"/>
        <v>250</v>
      </c>
    </row>
    <row r="37" spans="1:9" ht="12.95" customHeight="1" x14ac:dyDescent="0.2">
      <c r="A37" s="82" t="s">
        <v>2239</v>
      </c>
      <c r="B37" s="215">
        <v>0</v>
      </c>
      <c r="C37" s="89">
        <v>0</v>
      </c>
      <c r="D37" s="143"/>
      <c r="E37" s="88"/>
      <c r="F37" s="89"/>
      <c r="G37" s="143"/>
      <c r="H37" s="88">
        <f t="shared" si="10"/>
        <v>0</v>
      </c>
      <c r="I37" s="89">
        <f t="shared" si="11"/>
        <v>0</v>
      </c>
    </row>
    <row r="38" spans="1:9" ht="12.95" customHeight="1" x14ac:dyDescent="0.2">
      <c r="A38" s="82" t="s">
        <v>1251</v>
      </c>
      <c r="B38" s="215">
        <v>2222</v>
      </c>
      <c r="C38" s="89">
        <v>2424</v>
      </c>
      <c r="D38" s="143"/>
      <c r="E38" s="88"/>
      <c r="F38" s="89"/>
      <c r="G38" s="143"/>
      <c r="H38" s="88">
        <f t="shared" si="10"/>
        <v>2222</v>
      </c>
      <c r="I38" s="89">
        <f t="shared" si="11"/>
        <v>2424</v>
      </c>
    </row>
    <row r="39" spans="1:9" ht="12.95" customHeight="1" x14ac:dyDescent="0.2">
      <c r="A39" s="82" t="s">
        <v>2178</v>
      </c>
      <c r="B39" s="215">
        <v>0</v>
      </c>
      <c r="C39" s="89">
        <v>0</v>
      </c>
      <c r="D39" s="143"/>
      <c r="E39" s="88"/>
      <c r="F39" s="89"/>
      <c r="G39" s="180"/>
      <c r="H39" s="88">
        <f t="shared" si="10"/>
        <v>0</v>
      </c>
      <c r="I39" s="89">
        <f t="shared" si="11"/>
        <v>0</v>
      </c>
    </row>
    <row r="40" spans="1:9" ht="12.95" customHeight="1" x14ac:dyDescent="0.2">
      <c r="A40" s="82" t="s">
        <v>1308</v>
      </c>
      <c r="B40" s="470"/>
      <c r="C40" s="618"/>
      <c r="D40" s="180"/>
      <c r="E40" s="121"/>
      <c r="F40" s="219"/>
      <c r="G40" s="180"/>
      <c r="H40" s="470"/>
      <c r="I40" s="618">
        <f t="shared" si="11"/>
        <v>0</v>
      </c>
    </row>
    <row r="41" spans="1:9" ht="12.95" customHeight="1" x14ac:dyDescent="0.2">
      <c r="A41" s="82" t="s">
        <v>1844</v>
      </c>
      <c r="B41" s="215">
        <v>21836.53</v>
      </c>
      <c r="C41" s="89">
        <v>26576</v>
      </c>
      <c r="D41" s="143"/>
      <c r="E41" s="88"/>
      <c r="F41" s="89">
        <f>F65*F61</f>
        <v>0</v>
      </c>
      <c r="G41" s="143"/>
      <c r="H41" s="88">
        <f t="shared" si="10"/>
        <v>21836.53</v>
      </c>
      <c r="I41" s="89">
        <f t="shared" si="11"/>
        <v>26576</v>
      </c>
    </row>
    <row r="42" spans="1:9" ht="12.95" customHeight="1" x14ac:dyDescent="0.2">
      <c r="A42" s="82" t="s">
        <v>2166</v>
      </c>
      <c r="B42" s="215">
        <v>7237.75</v>
      </c>
      <c r="C42" s="89">
        <v>7500</v>
      </c>
      <c r="D42" s="143"/>
      <c r="E42" s="88"/>
      <c r="F42" s="89">
        <f>F66*F61</f>
        <v>0</v>
      </c>
      <c r="G42" s="143"/>
      <c r="H42" s="88">
        <f t="shared" si="10"/>
        <v>7237.75</v>
      </c>
      <c r="I42" s="89">
        <f t="shared" si="11"/>
        <v>7500</v>
      </c>
    </row>
    <row r="43" spans="1:9" ht="12.95" customHeight="1" x14ac:dyDescent="0.2">
      <c r="A43" s="82" t="s">
        <v>2165</v>
      </c>
      <c r="B43" s="215">
        <v>1850</v>
      </c>
      <c r="C43" s="89">
        <v>2500</v>
      </c>
      <c r="D43" s="143"/>
      <c r="E43" s="88"/>
      <c r="F43" s="89">
        <f>F67*F61</f>
        <v>0</v>
      </c>
      <c r="G43" s="143"/>
      <c r="H43" s="88">
        <f t="shared" si="10"/>
        <v>1850</v>
      </c>
      <c r="I43" s="89">
        <f t="shared" si="11"/>
        <v>2500</v>
      </c>
    </row>
    <row r="44" spans="1:9" ht="12.95" customHeight="1" x14ac:dyDescent="0.2">
      <c r="A44" s="82" t="s">
        <v>2202</v>
      </c>
      <c r="B44" s="215">
        <v>0</v>
      </c>
      <c r="C44" s="89">
        <v>0</v>
      </c>
      <c r="D44" s="143"/>
      <c r="E44" s="88">
        <v>0</v>
      </c>
      <c r="F44" s="89">
        <v>0</v>
      </c>
      <c r="G44" s="143"/>
      <c r="H44" s="88">
        <f t="shared" si="10"/>
        <v>0</v>
      </c>
      <c r="I44" s="89">
        <f t="shared" si="11"/>
        <v>0</v>
      </c>
    </row>
    <row r="45" spans="1:9" ht="12.95" customHeight="1" x14ac:dyDescent="0.2">
      <c r="A45" s="82" t="s">
        <v>1256</v>
      </c>
      <c r="B45" s="215">
        <v>0</v>
      </c>
      <c r="C45" s="89">
        <v>0</v>
      </c>
      <c r="D45" s="143"/>
      <c r="E45" s="88">
        <v>0</v>
      </c>
      <c r="F45" s="89">
        <v>0</v>
      </c>
      <c r="G45" s="143"/>
      <c r="H45" s="88">
        <f t="shared" si="10"/>
        <v>0</v>
      </c>
      <c r="I45" s="89">
        <f t="shared" si="11"/>
        <v>0</v>
      </c>
    </row>
    <row r="46" spans="1:9" ht="12.95" customHeight="1" x14ac:dyDescent="0.2">
      <c r="A46" s="82" t="s">
        <v>2191</v>
      </c>
      <c r="B46" s="215">
        <v>0</v>
      </c>
      <c r="C46" s="89">
        <v>0</v>
      </c>
      <c r="D46" s="143"/>
      <c r="E46" s="88">
        <v>0</v>
      </c>
      <c r="F46" s="89">
        <v>0</v>
      </c>
      <c r="G46" s="143"/>
      <c r="H46" s="88">
        <f t="shared" si="10"/>
        <v>0</v>
      </c>
      <c r="I46" s="89">
        <f t="shared" si="11"/>
        <v>0</v>
      </c>
    </row>
    <row r="47" spans="1:9" ht="12.95" customHeight="1" x14ac:dyDescent="0.2">
      <c r="A47" s="82" t="s">
        <v>1257</v>
      </c>
      <c r="B47" s="215">
        <v>0</v>
      </c>
      <c r="C47" s="89">
        <v>0</v>
      </c>
      <c r="D47" s="143"/>
      <c r="E47" s="88">
        <v>0</v>
      </c>
      <c r="F47" s="89">
        <v>0</v>
      </c>
      <c r="G47" s="143"/>
      <c r="H47" s="88">
        <f t="shared" si="10"/>
        <v>0</v>
      </c>
      <c r="I47" s="89">
        <f t="shared" si="11"/>
        <v>0</v>
      </c>
    </row>
    <row r="48" spans="1:9" ht="12.95" customHeight="1" x14ac:dyDescent="0.2">
      <c r="A48" s="82" t="s">
        <v>2159</v>
      </c>
      <c r="B48" s="215">
        <v>0</v>
      </c>
      <c r="C48" s="89">
        <v>0</v>
      </c>
      <c r="D48" s="143"/>
      <c r="E48" s="88">
        <v>0</v>
      </c>
      <c r="F48" s="89">
        <v>0</v>
      </c>
      <c r="G48" s="143"/>
      <c r="H48" s="88">
        <f t="shared" si="10"/>
        <v>0</v>
      </c>
      <c r="I48" s="89">
        <f t="shared" si="11"/>
        <v>0</v>
      </c>
    </row>
    <row r="49" spans="1:12" ht="12.95" customHeight="1" x14ac:dyDescent="0.2">
      <c r="A49" s="82" t="s">
        <v>1259</v>
      </c>
      <c r="B49" s="215">
        <v>0</v>
      </c>
      <c r="C49" s="89">
        <v>0</v>
      </c>
      <c r="D49" s="143"/>
      <c r="E49" s="88"/>
      <c r="F49" s="89"/>
      <c r="G49" s="143"/>
      <c r="H49" s="88">
        <f t="shared" si="10"/>
        <v>0</v>
      </c>
      <c r="I49" s="89">
        <f t="shared" si="11"/>
        <v>0</v>
      </c>
    </row>
    <row r="50" spans="1:12" ht="12.95" customHeight="1" x14ac:dyDescent="0.2">
      <c r="A50" s="82" t="s">
        <v>1260</v>
      </c>
      <c r="B50" s="215">
        <v>0</v>
      </c>
      <c r="C50" s="220">
        <v>0</v>
      </c>
      <c r="D50" s="180"/>
      <c r="E50" s="168"/>
      <c r="F50" s="220"/>
      <c r="G50" s="180"/>
      <c r="H50" s="88">
        <f t="shared" si="10"/>
        <v>0</v>
      </c>
      <c r="I50" s="89">
        <f t="shared" si="11"/>
        <v>0</v>
      </c>
    </row>
    <row r="51" spans="1:12" ht="12.95" customHeight="1" x14ac:dyDescent="0.2">
      <c r="A51" s="82" t="s">
        <v>2158</v>
      </c>
      <c r="B51" s="215">
        <v>0</v>
      </c>
      <c r="C51" s="220">
        <v>0</v>
      </c>
      <c r="D51" s="180"/>
      <c r="E51" s="168">
        <v>0</v>
      </c>
      <c r="F51" s="220">
        <v>0</v>
      </c>
      <c r="G51" s="180"/>
      <c r="H51" s="88">
        <f t="shared" si="10"/>
        <v>0</v>
      </c>
      <c r="I51" s="89">
        <f t="shared" si="11"/>
        <v>0</v>
      </c>
    </row>
    <row r="52" spans="1:12" ht="12.95" customHeight="1" x14ac:dyDescent="0.2">
      <c r="A52" s="82" t="s">
        <v>2250</v>
      </c>
      <c r="B52" s="215">
        <v>0</v>
      </c>
      <c r="C52" s="220">
        <v>0</v>
      </c>
      <c r="D52" s="180"/>
      <c r="E52" s="168"/>
      <c r="F52" s="220"/>
      <c r="G52" s="180"/>
      <c r="H52" s="88">
        <f t="shared" si="10"/>
        <v>0</v>
      </c>
      <c r="I52" s="89">
        <f t="shared" si="11"/>
        <v>0</v>
      </c>
    </row>
    <row r="53" spans="1:12" ht="12.95" customHeight="1" x14ac:dyDescent="0.2">
      <c r="A53" s="82" t="s">
        <v>1262</v>
      </c>
      <c r="B53" s="215">
        <v>0</v>
      </c>
      <c r="C53" s="220">
        <v>0</v>
      </c>
      <c r="D53" s="180"/>
      <c r="E53" s="168">
        <v>0</v>
      </c>
      <c r="F53" s="220">
        <v>0</v>
      </c>
      <c r="G53" s="180"/>
      <c r="H53" s="88">
        <f t="shared" si="10"/>
        <v>0</v>
      </c>
      <c r="I53" s="89">
        <f t="shared" si="11"/>
        <v>0</v>
      </c>
    </row>
    <row r="54" spans="1:12" ht="12.95" customHeight="1" x14ac:dyDescent="0.2">
      <c r="A54" s="82" t="s">
        <v>1263</v>
      </c>
      <c r="B54" s="215">
        <v>0</v>
      </c>
      <c r="C54" s="220">
        <v>0</v>
      </c>
      <c r="D54" s="180"/>
      <c r="E54" s="168">
        <v>0</v>
      </c>
      <c r="F54" s="220">
        <v>0</v>
      </c>
      <c r="G54" s="180"/>
      <c r="H54" s="88">
        <f t="shared" si="10"/>
        <v>0</v>
      </c>
      <c r="I54" s="89">
        <f t="shared" si="11"/>
        <v>0</v>
      </c>
    </row>
    <row r="55" spans="1:12" ht="12.95" customHeight="1" x14ac:dyDescent="0.2">
      <c r="A55" s="82" t="s">
        <v>2177</v>
      </c>
      <c r="B55" s="215">
        <v>0</v>
      </c>
      <c r="C55" s="220">
        <v>0</v>
      </c>
      <c r="D55" s="180"/>
      <c r="E55" s="168">
        <v>0</v>
      </c>
      <c r="F55" s="220">
        <v>0</v>
      </c>
      <c r="G55" s="180"/>
      <c r="H55" s="88">
        <f t="shared" si="10"/>
        <v>0</v>
      </c>
      <c r="I55" s="89">
        <f t="shared" si="11"/>
        <v>0</v>
      </c>
      <c r="L55" s="83"/>
    </row>
    <row r="56" spans="1:12" ht="12.95" customHeight="1" x14ac:dyDescent="0.2">
      <c r="A56" s="82" t="s">
        <v>2203</v>
      </c>
      <c r="B56" s="215">
        <v>0</v>
      </c>
      <c r="C56" s="220">
        <v>0</v>
      </c>
      <c r="D56" s="180"/>
      <c r="E56" s="168">
        <v>0</v>
      </c>
      <c r="F56" s="220">
        <v>0</v>
      </c>
      <c r="G56" s="180"/>
      <c r="H56" s="88">
        <f t="shared" si="10"/>
        <v>0</v>
      </c>
      <c r="I56" s="89">
        <f t="shared" si="11"/>
        <v>0</v>
      </c>
    </row>
    <row r="57" spans="1:12" ht="12.95" customHeight="1" thickBot="1" x14ac:dyDescent="0.25">
      <c r="A57" s="102" t="s">
        <v>1269</v>
      </c>
      <c r="B57" s="221">
        <v>0</v>
      </c>
      <c r="C57" s="222">
        <v>0</v>
      </c>
      <c r="D57" s="103"/>
      <c r="E57" s="124">
        <v>0</v>
      </c>
      <c r="F57" s="222">
        <v>0</v>
      </c>
      <c r="G57" s="103"/>
      <c r="H57" s="88">
        <f t="shared" si="10"/>
        <v>0</v>
      </c>
      <c r="I57" s="89">
        <f t="shared" si="11"/>
        <v>0</v>
      </c>
    </row>
    <row r="58" spans="1:12" s="169" customFormat="1" ht="12.95" customHeight="1" x14ac:dyDescent="0.2">
      <c r="A58" s="171" t="s">
        <v>1278</v>
      </c>
      <c r="B58" s="223">
        <f>SUM(B19:B57)</f>
        <v>35305.71</v>
      </c>
      <c r="C58" s="224">
        <f>SUM(C19:C57)</f>
        <v>41390</v>
      </c>
      <c r="D58" s="233"/>
      <c r="E58" s="223">
        <f t="shared" ref="E58:F58" si="12">SUM(E19:E57)</f>
        <v>0</v>
      </c>
      <c r="F58" s="224">
        <f t="shared" si="12"/>
        <v>0</v>
      </c>
      <c r="G58" s="233"/>
      <c r="H58" s="239">
        <f>B58+E58</f>
        <v>35305.71</v>
      </c>
      <c r="I58" s="237">
        <f t="shared" si="11"/>
        <v>41390</v>
      </c>
    </row>
    <row r="59" spans="1:12" s="169" customFormat="1" ht="15.6" customHeight="1" x14ac:dyDescent="0.2">
      <c r="A59" s="171" t="s">
        <v>1276</v>
      </c>
      <c r="B59" s="383">
        <f>B17-B58</f>
        <v>12454.46</v>
      </c>
      <c r="C59" s="384">
        <f>C17-C58</f>
        <v>-9090</v>
      </c>
      <c r="D59" s="234"/>
      <c r="E59" s="178">
        <f t="shared" ref="E59:F59" si="13">E17-E58</f>
        <v>0</v>
      </c>
      <c r="F59" s="384">
        <f t="shared" si="13"/>
        <v>0</v>
      </c>
      <c r="G59" s="234"/>
      <c r="H59" s="385">
        <f>B59+E59</f>
        <v>12454.46</v>
      </c>
      <c r="I59" s="386">
        <f t="shared" si="11"/>
        <v>-9090</v>
      </c>
    </row>
    <row r="60" spans="1:12" s="170" customFormat="1" ht="12.95" customHeight="1" thickBot="1" x14ac:dyDescent="0.25">
      <c r="A60" s="175"/>
      <c r="B60" s="225"/>
      <c r="C60" s="179"/>
      <c r="D60" s="186"/>
      <c r="E60" s="176"/>
      <c r="F60" s="179"/>
      <c r="G60" s="186"/>
      <c r="H60" s="176"/>
      <c r="I60" s="238"/>
    </row>
    <row r="61" spans="1:12" s="119" customFormat="1" ht="12.95" customHeight="1" thickBot="1" x14ac:dyDescent="0.25">
      <c r="A61" s="118" t="s">
        <v>2155</v>
      </c>
      <c r="B61" s="226">
        <v>7</v>
      </c>
      <c r="C61" s="115">
        <v>8</v>
      </c>
      <c r="D61" s="481"/>
      <c r="E61" s="113"/>
      <c r="F61" s="115"/>
      <c r="G61" s="114"/>
      <c r="H61" s="240">
        <f>B61+E61</f>
        <v>7</v>
      </c>
      <c r="I61" s="241">
        <f>C61+F61</f>
        <v>8</v>
      </c>
    </row>
    <row r="62" spans="1:12" s="117" customFormat="1" ht="12.95" customHeight="1" thickBot="1" x14ac:dyDescent="0.25">
      <c r="A62" s="116"/>
      <c r="B62" s="227">
        <f>B61/$I$61</f>
        <v>0.875</v>
      </c>
      <c r="C62" s="228">
        <f>C61/$I$61</f>
        <v>1</v>
      </c>
      <c r="D62" s="184"/>
      <c r="E62" s="227">
        <f>E61/$I$61</f>
        <v>0</v>
      </c>
      <c r="F62" s="228">
        <f>F61/$I$61</f>
        <v>0</v>
      </c>
      <c r="G62" s="184"/>
      <c r="H62" s="236">
        <f>B62+E62</f>
        <v>0.875</v>
      </c>
      <c r="I62" s="228">
        <f>C62+F62</f>
        <v>1</v>
      </c>
    </row>
    <row r="63" spans="1:12" ht="12.95" customHeight="1" thickBot="1" x14ac:dyDescent="0.25">
      <c r="A63" s="146"/>
      <c r="B63" s="206"/>
      <c r="C63" s="147"/>
      <c r="D63" s="147"/>
      <c r="E63" s="147"/>
      <c r="F63" s="147"/>
      <c r="G63" s="147"/>
      <c r="H63" s="147"/>
      <c r="I63" s="147"/>
    </row>
    <row r="64" spans="1:12" s="27" customFormat="1" ht="12.95" customHeight="1" thickBot="1" x14ac:dyDescent="0.25">
      <c r="A64" s="497" t="s">
        <v>2215</v>
      </c>
      <c r="B64" s="550">
        <v>2020</v>
      </c>
      <c r="C64" s="551">
        <v>2021</v>
      </c>
      <c r="D64" s="502"/>
      <c r="E64" s="550">
        <v>2020</v>
      </c>
      <c r="F64" s="551">
        <v>2021</v>
      </c>
      <c r="G64" s="502"/>
      <c r="H64" s="550">
        <v>2020</v>
      </c>
      <c r="I64" s="551">
        <v>2021</v>
      </c>
    </row>
    <row r="65" spans="1:9" ht="12.95" customHeight="1" x14ac:dyDescent="0.2">
      <c r="A65" s="485" t="s">
        <v>2216</v>
      </c>
      <c r="B65" s="506">
        <f>B41/B61</f>
        <v>3119.5042857142857</v>
      </c>
      <c r="C65" s="576">
        <f>C41/C61</f>
        <v>3322</v>
      </c>
      <c r="D65" s="211"/>
      <c r="E65" s="232" t="e">
        <f>E41/E61</f>
        <v>#DIV/0!</v>
      </c>
      <c r="F65" s="229"/>
      <c r="G65" s="211"/>
      <c r="H65" s="505" t="e">
        <f>B65+E65</f>
        <v>#DIV/0!</v>
      </c>
      <c r="I65" s="229">
        <f>C65+F65</f>
        <v>3322</v>
      </c>
    </row>
    <row r="66" spans="1:9" ht="12.95" customHeight="1" x14ac:dyDescent="0.2">
      <c r="A66" s="151" t="s">
        <v>2217</v>
      </c>
      <c r="B66" s="215">
        <f>B42/B61</f>
        <v>1033.9642857142858</v>
      </c>
      <c r="C66" s="577">
        <f>C42/C61</f>
        <v>937.5</v>
      </c>
      <c r="D66" s="211"/>
      <c r="E66" s="232" t="e">
        <f>E42/E61</f>
        <v>#DIV/0!</v>
      </c>
      <c r="F66" s="229"/>
      <c r="G66" s="211"/>
      <c r="H66" s="505" t="e">
        <f t="shared" ref="H66:H67" si="14">B66+E66</f>
        <v>#DIV/0!</v>
      </c>
      <c r="I66" s="229">
        <f t="shared" ref="I66:I67" si="15">C66+F66</f>
        <v>937.5</v>
      </c>
    </row>
    <row r="67" spans="1:9" ht="12.95" customHeight="1" x14ac:dyDescent="0.2">
      <c r="A67" s="151" t="s">
        <v>2218</v>
      </c>
      <c r="B67" s="215">
        <f>B43/B61</f>
        <v>264.28571428571428</v>
      </c>
      <c r="C67" s="577">
        <f>C43/C61</f>
        <v>312.5</v>
      </c>
      <c r="D67" s="211"/>
      <c r="E67" s="232" t="e">
        <f>E43/E61</f>
        <v>#DIV/0!</v>
      </c>
      <c r="F67" s="229"/>
      <c r="G67" s="211"/>
      <c r="H67" s="505" t="e">
        <f t="shared" si="14"/>
        <v>#DIV/0!</v>
      </c>
      <c r="I67" s="229">
        <f t="shared" si="15"/>
        <v>312.5</v>
      </c>
    </row>
    <row r="68" spans="1:9" ht="12.95" customHeight="1" x14ac:dyDescent="0.2">
      <c r="A68" s="196" t="s">
        <v>2219</v>
      </c>
      <c r="B68" s="213">
        <f>SUM(B65:B67)</f>
        <v>4417.7542857142862</v>
      </c>
      <c r="C68" s="512">
        <f>SUM(C65:C67)</f>
        <v>4572</v>
      </c>
      <c r="D68" s="210"/>
      <c r="E68" s="504" t="e">
        <f>SUM(E65:E67)</f>
        <v>#DIV/0!</v>
      </c>
      <c r="F68" s="513">
        <f>SUM(F65:F67)</f>
        <v>0</v>
      </c>
      <c r="G68" s="210"/>
      <c r="H68" s="504" t="e">
        <f>SUM(H65:H67)</f>
        <v>#DIV/0!</v>
      </c>
      <c r="I68" s="513">
        <f>SUM(I65:I67)</f>
        <v>4572</v>
      </c>
    </row>
    <row r="69" spans="1:9" ht="12.95" customHeight="1" x14ac:dyDescent="0.2">
      <c r="A69" s="151" t="s">
        <v>2220</v>
      </c>
      <c r="B69" s="215">
        <f>-B16/B61</f>
        <v>-545.63857142857137</v>
      </c>
      <c r="C69" s="490">
        <f>-C16/C61</f>
        <v>712.5</v>
      </c>
      <c r="D69" s="211"/>
      <c r="E69" s="232" t="e">
        <f>-E16/E61</f>
        <v>#DIV/0!</v>
      </c>
      <c r="F69" s="490" t="e">
        <f>-F16/F61</f>
        <v>#DIV/0!</v>
      </c>
      <c r="G69" s="211"/>
      <c r="H69" s="505" t="e">
        <f>-B69+E69</f>
        <v>#DIV/0!</v>
      </c>
      <c r="I69" s="229" t="e">
        <f>-C69+F69</f>
        <v>#DIV/0!</v>
      </c>
    </row>
    <row r="70" spans="1:9" ht="12.95" customHeight="1" x14ac:dyDescent="0.2">
      <c r="A70" s="485"/>
      <c r="B70" s="215"/>
      <c r="C70" s="229"/>
      <c r="D70" s="211"/>
      <c r="E70" s="232"/>
      <c r="F70" s="229"/>
      <c r="G70" s="211"/>
      <c r="H70" s="505"/>
      <c r="I70" s="229"/>
    </row>
    <row r="71" spans="1:9" s="27" customFormat="1" ht="12.95" customHeight="1" thickBot="1" x14ac:dyDescent="0.25">
      <c r="A71" s="148" t="s">
        <v>2221</v>
      </c>
      <c r="B71" s="230">
        <f>B58/B61</f>
        <v>5043.6728571428566</v>
      </c>
      <c r="C71" s="544">
        <f t="shared" ref="C71:I71" si="16">C58/C61</f>
        <v>5173.75</v>
      </c>
      <c r="D71" s="496"/>
      <c r="E71" s="320" t="e">
        <f t="shared" si="16"/>
        <v>#DIV/0!</v>
      </c>
      <c r="F71" s="544" t="e">
        <f t="shared" si="16"/>
        <v>#DIV/0!</v>
      </c>
      <c r="G71" s="496"/>
      <c r="H71" s="320">
        <f t="shared" si="16"/>
        <v>5043.6728571428566</v>
      </c>
      <c r="I71" s="544">
        <f t="shared" si="16"/>
        <v>5173.75</v>
      </c>
    </row>
    <row r="72" spans="1:9" ht="12.95" customHeight="1" x14ac:dyDescent="0.2">
      <c r="A72" s="200"/>
      <c r="B72" s="206"/>
      <c r="C72" s="211"/>
      <c r="D72" s="211"/>
      <c r="E72" s="212"/>
      <c r="F72" s="211"/>
      <c r="G72" s="211"/>
      <c r="H72" s="211"/>
      <c r="I72" s="211"/>
    </row>
    <row r="73" spans="1:9" ht="12.95" customHeight="1" x14ac:dyDescent="0.2">
      <c r="A73" s="200"/>
      <c r="B73" s="206"/>
      <c r="C73" s="211"/>
      <c r="D73" s="211"/>
      <c r="E73" s="212"/>
      <c r="F73" s="211"/>
      <c r="G73" s="211"/>
      <c r="H73" s="211"/>
      <c r="I73" s="211"/>
    </row>
    <row r="74" spans="1:9" ht="12.95" customHeight="1" x14ac:dyDescent="0.2">
      <c r="A74" s="201"/>
      <c r="B74" s="501"/>
      <c r="C74" s="211"/>
      <c r="D74" s="211"/>
      <c r="E74" s="210"/>
      <c r="F74" s="211"/>
      <c r="G74" s="211"/>
      <c r="H74" s="211"/>
      <c r="I74" s="211"/>
    </row>
    <row r="75" spans="1:9" ht="12.95" customHeight="1" x14ac:dyDescent="0.2">
      <c r="A75" s="146"/>
      <c r="B75" s="206"/>
      <c r="C75" s="152"/>
      <c r="D75" s="152"/>
      <c r="E75" s="152"/>
      <c r="F75" s="152"/>
      <c r="G75" s="152"/>
      <c r="H75" s="152"/>
      <c r="I75" s="152"/>
    </row>
    <row r="76" spans="1:9" ht="12.95" customHeight="1" x14ac:dyDescent="0.2">
      <c r="A76" s="146"/>
      <c r="B76" s="206"/>
      <c r="C76" s="152"/>
      <c r="D76" s="152"/>
      <c r="E76" s="152"/>
      <c r="F76" s="152"/>
      <c r="G76" s="152"/>
      <c r="H76" s="152"/>
      <c r="I76" s="152"/>
    </row>
    <row r="77" spans="1:9" ht="12.95" customHeight="1" x14ac:dyDescent="0.2">
      <c r="A77" s="146"/>
      <c r="B77" s="206"/>
      <c r="C77" s="152"/>
      <c r="D77" s="152"/>
      <c r="E77" s="152"/>
      <c r="F77" s="152"/>
      <c r="G77" s="152"/>
      <c r="H77" s="152"/>
      <c r="I77" s="152"/>
    </row>
    <row r="78" spans="1:9" ht="12.95" customHeight="1" x14ac:dyDescent="0.2">
      <c r="A78" s="146"/>
      <c r="B78" s="206"/>
      <c r="C78" s="152"/>
      <c r="D78" s="152"/>
      <c r="E78" s="152"/>
      <c r="F78" s="152"/>
      <c r="G78" s="152"/>
      <c r="H78" s="152"/>
      <c r="I78" s="152"/>
    </row>
    <row r="79" spans="1:9" ht="12.95" customHeight="1" x14ac:dyDescent="0.2">
      <c r="A79" s="146"/>
      <c r="B79" s="206"/>
      <c r="C79" s="152"/>
      <c r="D79" s="152"/>
      <c r="E79" s="152"/>
      <c r="F79" s="152"/>
      <c r="G79" s="152"/>
      <c r="H79" s="152"/>
      <c r="I79" s="152"/>
    </row>
    <row r="80" spans="1:9" ht="12.95" customHeight="1" x14ac:dyDescent="0.2">
      <c r="A80" s="146"/>
      <c r="B80" s="206"/>
      <c r="C80" s="152"/>
      <c r="D80" s="152"/>
      <c r="E80" s="152"/>
      <c r="F80" s="152"/>
      <c r="G80" s="152"/>
      <c r="H80" s="152"/>
      <c r="I80" s="152"/>
    </row>
    <row r="81" spans="1:9" ht="12.95" customHeight="1" x14ac:dyDescent="0.2">
      <c r="A81" s="146"/>
      <c r="B81" s="206"/>
      <c r="C81" s="153"/>
      <c r="D81" s="153"/>
      <c r="E81" s="153"/>
      <c r="F81" s="153"/>
      <c r="G81" s="153"/>
      <c r="H81" s="153"/>
      <c r="I81" s="153"/>
    </row>
    <row r="82" spans="1:9" ht="12.95" customHeight="1" x14ac:dyDescent="0.2">
      <c r="A82" s="146"/>
      <c r="B82" s="206"/>
      <c r="C82" s="147"/>
      <c r="D82" s="147"/>
      <c r="E82" s="147"/>
      <c r="F82" s="147"/>
      <c r="G82" s="147"/>
      <c r="H82" s="147"/>
      <c r="I82" s="147"/>
    </row>
    <row r="83" spans="1:9" ht="12.95" customHeight="1" x14ac:dyDescent="0.2"/>
    <row r="84" spans="1:9" ht="12.95" customHeight="1" x14ac:dyDescent="0.2"/>
  </sheetData>
  <phoneticPr fontId="22" type="noConversion"/>
  <printOptions gridLines="1"/>
  <pageMargins left="0.7" right="0.7" top="0.75" bottom="0.75" header="0.3" footer="0.3"/>
  <pageSetup scale="74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C8D4-2153-4B21-9CF6-27D84FB313A3}">
  <sheetPr>
    <pageSetUpPr fitToPage="1"/>
  </sheetPr>
  <dimension ref="A1:U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9" sqref="U9"/>
    </sheetView>
  </sheetViews>
  <sheetFormatPr defaultColWidth="8.85546875" defaultRowHeight="12.75" x14ac:dyDescent="0.2"/>
  <cols>
    <col min="1" max="1" width="32.7109375" style="147" customWidth="1"/>
    <col min="2" max="2" width="10.42578125" style="259" customWidth="1"/>
    <col min="3" max="3" width="10.5703125" style="259" customWidth="1"/>
    <col min="4" max="4" width="2.5703125" style="259" customWidth="1"/>
    <col min="5" max="5" width="10.5703125" style="205" customWidth="1"/>
    <col min="6" max="6" width="8.7109375" style="259" customWidth="1"/>
    <col min="7" max="7" width="2.42578125" style="259" customWidth="1"/>
    <col min="8" max="8" width="8.7109375" style="205" customWidth="1"/>
    <col min="9" max="9" width="9.28515625" style="259" customWidth="1"/>
    <col min="10" max="10" width="2.140625" style="259" customWidth="1"/>
    <col min="11" max="11" width="9.28515625" style="205" customWidth="1"/>
    <col min="12" max="12" width="8.42578125" style="259" customWidth="1"/>
    <col min="13" max="13" width="1.85546875" style="259" customWidth="1"/>
    <col min="14" max="14" width="8.42578125" style="205" customWidth="1"/>
    <col min="15" max="15" width="9.28515625" style="259" customWidth="1"/>
    <col min="16" max="16" width="2" style="259" customWidth="1"/>
    <col min="17" max="17" width="9.28515625" style="316" customWidth="1"/>
    <col min="18" max="18" width="9.28515625" style="259" customWidth="1"/>
    <col min="19" max="20" width="8.85546875" style="147"/>
    <col min="21" max="21" width="9.28515625" style="147" bestFit="1" customWidth="1"/>
    <col min="22" max="16384" width="8.85546875" style="147"/>
  </cols>
  <sheetData>
    <row r="1" spans="1:18" ht="21.75" customHeight="1" x14ac:dyDescent="0.25">
      <c r="A1" s="646" t="s">
        <v>177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</row>
    <row r="2" spans="1:18" ht="18.75" customHeight="1" thickBot="1" x14ac:dyDescent="0.3">
      <c r="A2" s="646" t="s">
        <v>2228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</row>
    <row r="3" spans="1:18" ht="12.75" customHeight="1" x14ac:dyDescent="0.2">
      <c r="A3" s="193"/>
      <c r="B3" s="300">
        <v>2020</v>
      </c>
      <c r="C3" s="301">
        <v>2021</v>
      </c>
      <c r="D3" s="302"/>
      <c r="E3" s="300">
        <v>2020</v>
      </c>
      <c r="F3" s="301">
        <v>2020</v>
      </c>
      <c r="G3" s="302"/>
      <c r="H3" s="300">
        <v>2020</v>
      </c>
      <c r="I3" s="551">
        <v>2021</v>
      </c>
      <c r="J3" s="302"/>
      <c r="K3" s="300">
        <v>2020</v>
      </c>
      <c r="L3" s="551">
        <v>2021</v>
      </c>
      <c r="M3" s="302"/>
      <c r="N3" s="300">
        <v>2020</v>
      </c>
      <c r="O3" s="551">
        <v>2021</v>
      </c>
      <c r="P3" s="302"/>
      <c r="Q3" s="300">
        <v>2020</v>
      </c>
      <c r="R3" s="551">
        <v>2021</v>
      </c>
    </row>
    <row r="4" spans="1:18" s="150" customFormat="1" x14ac:dyDescent="0.2">
      <c r="A4" s="194" t="s">
        <v>2169</v>
      </c>
      <c r="B4" s="555" t="s">
        <v>2227</v>
      </c>
      <c r="C4" s="283" t="s">
        <v>2187</v>
      </c>
      <c r="D4" s="249"/>
      <c r="E4" s="555" t="s">
        <v>2227</v>
      </c>
      <c r="F4" s="283" t="s">
        <v>2190</v>
      </c>
      <c r="G4" s="249"/>
      <c r="H4" s="555" t="s">
        <v>2227</v>
      </c>
      <c r="I4" s="283" t="s">
        <v>2194</v>
      </c>
      <c r="J4" s="249"/>
      <c r="K4" s="555" t="s">
        <v>2227</v>
      </c>
      <c r="L4" s="283" t="s">
        <v>2195</v>
      </c>
      <c r="M4" s="249"/>
      <c r="N4" s="555" t="s">
        <v>2227</v>
      </c>
      <c r="O4" s="311" t="s">
        <v>2249</v>
      </c>
      <c r="P4" s="250"/>
      <c r="Q4" s="555" t="s">
        <v>2227</v>
      </c>
      <c r="R4" s="283" t="s">
        <v>2193</v>
      </c>
    </row>
    <row r="5" spans="1:18" s="150" customFormat="1" ht="12.95" customHeight="1" x14ac:dyDescent="0.2">
      <c r="A5" s="196" t="s">
        <v>2151</v>
      </c>
      <c r="B5" s="285">
        <f t="shared" ref="B5:Q5" si="0">SUM(B6:B8)</f>
        <v>20373</v>
      </c>
      <c r="C5" s="267">
        <f t="shared" si="0"/>
        <v>120</v>
      </c>
      <c r="D5" s="202"/>
      <c r="E5" s="214">
        <f t="shared" si="0"/>
        <v>3525</v>
      </c>
      <c r="F5" s="267">
        <f t="shared" si="0"/>
        <v>1500</v>
      </c>
      <c r="G5" s="202"/>
      <c r="H5" s="214">
        <f t="shared" si="0"/>
        <v>2430.31</v>
      </c>
      <c r="I5" s="267">
        <f t="shared" si="0"/>
        <v>5000</v>
      </c>
      <c r="J5" s="202"/>
      <c r="K5" s="214">
        <f t="shared" si="0"/>
        <v>75</v>
      </c>
      <c r="L5" s="267">
        <f t="shared" si="0"/>
        <v>0</v>
      </c>
      <c r="M5" s="202"/>
      <c r="N5" s="214">
        <f t="shared" si="0"/>
        <v>1525.82</v>
      </c>
      <c r="O5" s="267">
        <f t="shared" si="0"/>
        <v>0</v>
      </c>
      <c r="P5" s="202"/>
      <c r="Q5" s="214">
        <f t="shared" si="0"/>
        <v>27929.13</v>
      </c>
      <c r="R5" s="267">
        <f>SUM(R6:R8)</f>
        <v>6620</v>
      </c>
    </row>
    <row r="6" spans="1:18" ht="12.95" customHeight="1" x14ac:dyDescent="0.2">
      <c r="A6" s="151" t="s">
        <v>2162</v>
      </c>
      <c r="B6" s="286">
        <v>0</v>
      </c>
      <c r="C6" s="269">
        <v>0</v>
      </c>
      <c r="D6" s="251"/>
      <c r="E6" s="268">
        <v>0</v>
      </c>
      <c r="F6" s="269">
        <v>0</v>
      </c>
      <c r="G6" s="251"/>
      <c r="H6" s="268">
        <v>0</v>
      </c>
      <c r="I6" s="269"/>
      <c r="J6" s="251"/>
      <c r="K6" s="268">
        <v>0</v>
      </c>
      <c r="L6" s="269">
        <v>0</v>
      </c>
      <c r="M6" s="251"/>
      <c r="N6" s="268">
        <v>0</v>
      </c>
      <c r="O6" s="269"/>
      <c r="P6" s="251"/>
      <c r="Q6" s="314">
        <f>B6+E6+H6+K6+N6</f>
        <v>0</v>
      </c>
      <c r="R6" s="269">
        <f>C6+F6+I6+L6+O6</f>
        <v>0</v>
      </c>
    </row>
    <row r="7" spans="1:18" ht="12.95" customHeight="1" x14ac:dyDescent="0.2">
      <c r="A7" s="151" t="s">
        <v>2163</v>
      </c>
      <c r="B7" s="286">
        <v>0</v>
      </c>
      <c r="C7" s="269">
        <v>0</v>
      </c>
      <c r="D7" s="251"/>
      <c r="E7" s="268"/>
      <c r="F7" s="269">
        <v>0</v>
      </c>
      <c r="G7" s="251"/>
      <c r="H7" s="268">
        <v>0</v>
      </c>
      <c r="I7" s="269"/>
      <c r="J7" s="251"/>
      <c r="K7" s="268">
        <v>0</v>
      </c>
      <c r="L7" s="269">
        <v>0</v>
      </c>
      <c r="M7" s="251"/>
      <c r="N7" s="268"/>
      <c r="O7" s="269"/>
      <c r="P7" s="251"/>
      <c r="Q7" s="314">
        <f t="shared" ref="Q7:Q14" si="1">B7+E7+H7+K7+N7</f>
        <v>0</v>
      </c>
      <c r="R7" s="269">
        <f>C7+F7+I7+L7+O7</f>
        <v>0</v>
      </c>
    </row>
    <row r="8" spans="1:18" ht="12.95" customHeight="1" x14ac:dyDescent="0.2">
      <c r="A8" s="151" t="s">
        <v>2164</v>
      </c>
      <c r="B8" s="286">
        <v>20373</v>
      </c>
      <c r="C8" s="269">
        <v>120</v>
      </c>
      <c r="D8" s="251"/>
      <c r="E8" s="268">
        <v>3525</v>
      </c>
      <c r="F8" s="269">
        <v>1500</v>
      </c>
      <c r="G8" s="251"/>
      <c r="H8" s="268">
        <v>2430.31</v>
      </c>
      <c r="I8" s="269">
        <v>5000</v>
      </c>
      <c r="J8" s="251"/>
      <c r="K8" s="268">
        <v>75</v>
      </c>
      <c r="L8" s="308">
        <v>0</v>
      </c>
      <c r="M8" s="252"/>
      <c r="N8" s="314">
        <v>1525.82</v>
      </c>
      <c r="O8" s="269">
        <v>0</v>
      </c>
      <c r="P8" s="251"/>
      <c r="Q8" s="314">
        <f t="shared" si="1"/>
        <v>27929.13</v>
      </c>
      <c r="R8" s="269">
        <f>C8+F8+I8+L8+O8</f>
        <v>6620</v>
      </c>
    </row>
    <row r="9" spans="1:18" s="150" customFormat="1" ht="12.95" customHeight="1" x14ac:dyDescent="0.2">
      <c r="A9" s="196" t="s">
        <v>1359</v>
      </c>
      <c r="B9" s="287">
        <v>12850</v>
      </c>
      <c r="C9" s="267">
        <v>0</v>
      </c>
      <c r="D9" s="202"/>
      <c r="E9" s="214">
        <v>0</v>
      </c>
      <c r="F9" s="267">
        <v>2000</v>
      </c>
      <c r="G9" s="202"/>
      <c r="H9" s="214">
        <v>0</v>
      </c>
      <c r="I9" s="267">
        <v>5000</v>
      </c>
      <c r="J9" s="202"/>
      <c r="K9" s="214">
        <v>0</v>
      </c>
      <c r="L9" s="309">
        <v>0</v>
      </c>
      <c r="M9" s="253"/>
      <c r="N9" s="319"/>
      <c r="O9" s="309"/>
      <c r="P9" s="253"/>
      <c r="Q9" s="314">
        <f t="shared" si="1"/>
        <v>12850</v>
      </c>
      <c r="R9" s="269">
        <f>C9+F9+I9+L9+O9</f>
        <v>7000</v>
      </c>
    </row>
    <row r="10" spans="1:18" s="150" customFormat="1" ht="12.95" customHeight="1" x14ac:dyDescent="0.2">
      <c r="A10" s="196" t="s">
        <v>2149</v>
      </c>
      <c r="B10" s="285">
        <f>SUM(B11:B12)</f>
        <v>0</v>
      </c>
      <c r="C10" s="267">
        <f>SUM(C11:C12)</f>
        <v>0</v>
      </c>
      <c r="D10" s="202"/>
      <c r="E10" s="214">
        <f t="shared" ref="E10:O10" si="2">SUM(E11:E12)</f>
        <v>0</v>
      </c>
      <c r="F10" s="267">
        <f t="shared" si="2"/>
        <v>8500</v>
      </c>
      <c r="G10" s="202">
        <f t="shared" si="2"/>
        <v>0</v>
      </c>
      <c r="H10" s="214">
        <f t="shared" si="2"/>
        <v>0</v>
      </c>
      <c r="I10" s="267">
        <f t="shared" si="2"/>
        <v>5000</v>
      </c>
      <c r="J10" s="202"/>
      <c r="K10" s="214">
        <f t="shared" si="2"/>
        <v>0</v>
      </c>
      <c r="L10" s="309">
        <f t="shared" si="2"/>
        <v>0</v>
      </c>
      <c r="M10" s="253">
        <f t="shared" si="2"/>
        <v>0</v>
      </c>
      <c r="N10" s="319">
        <f t="shared" si="2"/>
        <v>0</v>
      </c>
      <c r="O10" s="267">
        <f t="shared" si="2"/>
        <v>0</v>
      </c>
      <c r="P10" s="202"/>
      <c r="Q10" s="314">
        <f t="shared" si="1"/>
        <v>0</v>
      </c>
      <c r="R10" s="267">
        <f>SUM(R11:R12)</f>
        <v>13500</v>
      </c>
    </row>
    <row r="11" spans="1:18" ht="12.95" customHeight="1" x14ac:dyDescent="0.2">
      <c r="A11" s="151" t="s">
        <v>2162</v>
      </c>
      <c r="B11" s="286">
        <v>0</v>
      </c>
      <c r="C11" s="269">
        <v>0</v>
      </c>
      <c r="D11" s="251"/>
      <c r="E11" s="268">
        <v>0</v>
      </c>
      <c r="F11" s="269">
        <v>8500</v>
      </c>
      <c r="G11" s="251"/>
      <c r="H11" s="268">
        <v>0</v>
      </c>
      <c r="I11" s="269">
        <v>0</v>
      </c>
      <c r="J11" s="251"/>
      <c r="K11" s="268">
        <v>0</v>
      </c>
      <c r="L11" s="308">
        <v>0</v>
      </c>
      <c r="M11" s="252"/>
      <c r="N11" s="314"/>
      <c r="O11" s="269"/>
      <c r="P11" s="251"/>
      <c r="Q11" s="314">
        <f t="shared" si="1"/>
        <v>0</v>
      </c>
      <c r="R11" s="269">
        <f>C11+F11+I11+L11+O11</f>
        <v>8500</v>
      </c>
    </row>
    <row r="12" spans="1:18" ht="12.95" customHeight="1" x14ac:dyDescent="0.2">
      <c r="A12" s="151" t="s">
        <v>2170</v>
      </c>
      <c r="B12" s="286">
        <v>0</v>
      </c>
      <c r="C12" s="269">
        <v>0</v>
      </c>
      <c r="D12" s="251"/>
      <c r="E12" s="268">
        <v>0</v>
      </c>
      <c r="F12" s="269">
        <v>0</v>
      </c>
      <c r="G12" s="251"/>
      <c r="H12" s="268">
        <v>0</v>
      </c>
      <c r="I12" s="269">
        <v>5000</v>
      </c>
      <c r="J12" s="251"/>
      <c r="K12" s="268">
        <v>0</v>
      </c>
      <c r="L12" s="269">
        <v>0</v>
      </c>
      <c r="M12" s="251"/>
      <c r="N12" s="268"/>
      <c r="O12" s="269"/>
      <c r="P12" s="251"/>
      <c r="Q12" s="314">
        <f t="shared" si="1"/>
        <v>0</v>
      </c>
      <c r="R12" s="269">
        <f>C12+F12+I12+L12+O12</f>
        <v>5000</v>
      </c>
    </row>
    <row r="13" spans="1:18" s="150" customFormat="1" ht="12.95" customHeight="1" x14ac:dyDescent="0.2">
      <c r="A13" s="196" t="s">
        <v>2168</v>
      </c>
      <c r="B13" s="287">
        <v>9614</v>
      </c>
      <c r="C13" s="267">
        <v>1000</v>
      </c>
      <c r="D13" s="202"/>
      <c r="E13" s="214">
        <v>0</v>
      </c>
      <c r="F13" s="267">
        <v>1500</v>
      </c>
      <c r="G13" s="202"/>
      <c r="H13" s="214">
        <v>399</v>
      </c>
      <c r="I13" s="267">
        <v>2000</v>
      </c>
      <c r="J13" s="202"/>
      <c r="K13" s="214">
        <v>216</v>
      </c>
      <c r="L13" s="267">
        <v>300</v>
      </c>
      <c r="M13" s="202"/>
      <c r="N13" s="214"/>
      <c r="O13" s="267"/>
      <c r="P13" s="202"/>
      <c r="Q13" s="314">
        <f t="shared" si="1"/>
        <v>10229</v>
      </c>
      <c r="R13" s="267">
        <f>C13+F13+I13+L13+O13</f>
        <v>4800</v>
      </c>
    </row>
    <row r="14" spans="1:18" s="150" customFormat="1" ht="12.95" customHeight="1" x14ac:dyDescent="0.2">
      <c r="A14" s="196" t="s">
        <v>2152</v>
      </c>
      <c r="B14" s="288">
        <v>-1254</v>
      </c>
      <c r="C14" s="342">
        <v>0</v>
      </c>
      <c r="D14" s="254"/>
      <c r="E14" s="270">
        <v>0</v>
      </c>
      <c r="F14" s="271">
        <v>0</v>
      </c>
      <c r="G14" s="254"/>
      <c r="H14" s="270">
        <v>0</v>
      </c>
      <c r="I14" s="271">
        <v>-1000</v>
      </c>
      <c r="J14" s="254"/>
      <c r="K14" s="270">
        <v>0</v>
      </c>
      <c r="L14" s="310">
        <v>0</v>
      </c>
      <c r="M14" s="255"/>
      <c r="N14" s="315"/>
      <c r="O14" s="310"/>
      <c r="P14" s="255"/>
      <c r="Q14" s="314">
        <f t="shared" si="1"/>
        <v>-1254</v>
      </c>
      <c r="R14" s="271">
        <f>C14+F14+I14+L14+O14</f>
        <v>-1000</v>
      </c>
    </row>
    <row r="15" spans="1:18" s="244" customFormat="1" ht="12.95" customHeight="1" x14ac:dyDescent="0.2">
      <c r="A15" s="197" t="s">
        <v>2153</v>
      </c>
      <c r="B15" s="289">
        <f t="shared" ref="B15:Q15" si="3">B5+B9+B10+B13+B14</f>
        <v>41583</v>
      </c>
      <c r="C15" s="272">
        <f t="shared" si="3"/>
        <v>1120</v>
      </c>
      <c r="D15" s="253"/>
      <c r="E15" s="217">
        <f t="shared" si="3"/>
        <v>3525</v>
      </c>
      <c r="F15" s="272">
        <f t="shared" si="3"/>
        <v>13500</v>
      </c>
      <c r="G15" s="253"/>
      <c r="H15" s="217">
        <f t="shared" si="3"/>
        <v>2829.31</v>
      </c>
      <c r="I15" s="272">
        <f t="shared" si="3"/>
        <v>16000</v>
      </c>
      <c r="J15" s="253"/>
      <c r="K15" s="217">
        <f t="shared" si="3"/>
        <v>291</v>
      </c>
      <c r="L15" s="272">
        <f t="shared" si="3"/>
        <v>300</v>
      </c>
      <c r="M15" s="253"/>
      <c r="N15" s="217">
        <f t="shared" si="3"/>
        <v>1525.82</v>
      </c>
      <c r="O15" s="272">
        <f t="shared" si="3"/>
        <v>0</v>
      </c>
      <c r="P15" s="253"/>
      <c r="Q15" s="217">
        <f t="shared" si="3"/>
        <v>49754.130000000005</v>
      </c>
      <c r="R15" s="272">
        <f>C15+F15+I15+L15+O15</f>
        <v>30920</v>
      </c>
    </row>
    <row r="16" spans="1:18" s="322" customFormat="1" ht="12.95" customHeight="1" x14ac:dyDescent="0.2">
      <c r="A16" s="321" t="s">
        <v>2171</v>
      </c>
      <c r="B16" s="303">
        <v>-3680</v>
      </c>
      <c r="C16" s="304">
        <f t="shared" ref="C16:R16" si="4">(C15-C13)*-0.15</f>
        <v>-18</v>
      </c>
      <c r="D16" s="305"/>
      <c r="E16" s="306">
        <v>-550.08000000000004</v>
      </c>
      <c r="F16" s="304">
        <f t="shared" si="4"/>
        <v>-1800</v>
      </c>
      <c r="G16" s="305"/>
      <c r="H16" s="306">
        <v>-356.67</v>
      </c>
      <c r="I16" s="304">
        <f t="shared" si="4"/>
        <v>-2100</v>
      </c>
      <c r="J16" s="305"/>
      <c r="K16" s="306">
        <f t="shared" si="4"/>
        <v>-11.25</v>
      </c>
      <c r="L16" s="304">
        <f t="shared" si="4"/>
        <v>0</v>
      </c>
      <c r="M16" s="305"/>
      <c r="N16" s="306">
        <f t="shared" si="4"/>
        <v>-228.87299999999999</v>
      </c>
      <c r="O16" s="304">
        <f t="shared" si="4"/>
        <v>0</v>
      </c>
      <c r="P16" s="305"/>
      <c r="Q16" s="306">
        <f>B16+E16+H16+K16+N16</f>
        <v>-4826.8729999999996</v>
      </c>
      <c r="R16" s="304">
        <f t="shared" si="4"/>
        <v>-3918</v>
      </c>
    </row>
    <row r="17" spans="1:18" s="244" customFormat="1" ht="12.95" customHeight="1" x14ac:dyDescent="0.2">
      <c r="A17" s="197" t="s">
        <v>2154</v>
      </c>
      <c r="B17" s="289">
        <f t="shared" ref="B17:Q17" si="5">B15+B16</f>
        <v>37903</v>
      </c>
      <c r="C17" s="272">
        <f t="shared" si="5"/>
        <v>1102</v>
      </c>
      <c r="D17" s="253"/>
      <c r="E17" s="217">
        <f t="shared" si="5"/>
        <v>2974.92</v>
      </c>
      <c r="F17" s="272">
        <f t="shared" si="5"/>
        <v>11700</v>
      </c>
      <c r="G17" s="253"/>
      <c r="H17" s="217">
        <f t="shared" si="5"/>
        <v>2472.64</v>
      </c>
      <c r="I17" s="272">
        <f t="shared" si="5"/>
        <v>13900</v>
      </c>
      <c r="J17" s="253"/>
      <c r="K17" s="217">
        <f t="shared" si="5"/>
        <v>279.75</v>
      </c>
      <c r="L17" s="272">
        <f t="shared" si="5"/>
        <v>300</v>
      </c>
      <c r="M17" s="253"/>
      <c r="N17" s="217">
        <f t="shared" si="5"/>
        <v>1296.9469999999999</v>
      </c>
      <c r="O17" s="272">
        <f t="shared" si="5"/>
        <v>0</v>
      </c>
      <c r="P17" s="253"/>
      <c r="Q17" s="217">
        <f t="shared" si="5"/>
        <v>44927.257000000005</v>
      </c>
      <c r="R17" s="272">
        <f>C17+F17+I17+L17+O17</f>
        <v>27002</v>
      </c>
    </row>
    <row r="18" spans="1:18" ht="12.95" customHeight="1" x14ac:dyDescent="0.2">
      <c r="A18" s="151"/>
      <c r="B18" s="286"/>
      <c r="C18" s="269"/>
      <c r="D18" s="251"/>
      <c r="E18" s="268"/>
      <c r="F18" s="269"/>
      <c r="G18" s="251"/>
      <c r="H18" s="268"/>
      <c r="I18" s="269"/>
      <c r="J18" s="251"/>
      <c r="K18" s="268"/>
      <c r="L18" s="269"/>
      <c r="M18" s="251"/>
      <c r="N18" s="268"/>
      <c r="O18" s="269"/>
      <c r="P18" s="251"/>
      <c r="Q18" s="314"/>
      <c r="R18" s="269"/>
    </row>
    <row r="19" spans="1:18" ht="12.95" customHeight="1" x14ac:dyDescent="0.2">
      <c r="A19" s="151" t="s">
        <v>1536</v>
      </c>
      <c r="B19" s="286">
        <v>0</v>
      </c>
      <c r="C19" s="269">
        <v>0</v>
      </c>
      <c r="D19" s="251"/>
      <c r="E19" s="286">
        <v>0</v>
      </c>
      <c r="F19" s="269">
        <v>0</v>
      </c>
      <c r="G19" s="251"/>
      <c r="H19" s="268">
        <v>0</v>
      </c>
      <c r="I19" s="269">
        <v>0</v>
      </c>
      <c r="J19" s="251"/>
      <c r="K19" s="268">
        <v>0</v>
      </c>
      <c r="L19" s="269">
        <v>0</v>
      </c>
      <c r="M19" s="251"/>
      <c r="N19" s="268"/>
      <c r="O19" s="269"/>
      <c r="P19" s="251"/>
      <c r="Q19" s="314">
        <f>E19+H19+K19+N19</f>
        <v>0</v>
      </c>
      <c r="R19" s="267">
        <f t="shared" ref="R19:R39" si="6">C19+F19+I19+L19+O19</f>
        <v>0</v>
      </c>
    </row>
    <row r="20" spans="1:18" ht="12.95" customHeight="1" x14ac:dyDescent="0.2">
      <c r="A20" s="151" t="s">
        <v>2157</v>
      </c>
      <c r="B20" s="286">
        <v>0</v>
      </c>
      <c r="C20" s="269">
        <v>0</v>
      </c>
      <c r="D20" s="251"/>
      <c r="E20" s="286">
        <v>0</v>
      </c>
      <c r="F20" s="269">
        <v>0</v>
      </c>
      <c r="G20" s="251"/>
      <c r="H20" s="268">
        <v>0</v>
      </c>
      <c r="I20" s="269">
        <v>0</v>
      </c>
      <c r="J20" s="251"/>
      <c r="K20" s="268">
        <v>0</v>
      </c>
      <c r="L20" s="269">
        <v>0</v>
      </c>
      <c r="M20" s="251"/>
      <c r="N20" s="268"/>
      <c r="O20" s="269"/>
      <c r="P20" s="251"/>
      <c r="Q20" s="314">
        <f t="shared" ref="Q20:Q57" si="7">E20+H20+K20+N20</f>
        <v>0</v>
      </c>
      <c r="R20" s="267">
        <f t="shared" si="6"/>
        <v>0</v>
      </c>
    </row>
    <row r="21" spans="1:18" ht="12.95" customHeight="1" x14ac:dyDescent="0.2">
      <c r="A21" s="151" t="s">
        <v>1537</v>
      </c>
      <c r="B21" s="286">
        <v>0</v>
      </c>
      <c r="C21" s="269">
        <v>0</v>
      </c>
      <c r="D21" s="251"/>
      <c r="E21" s="286">
        <v>0</v>
      </c>
      <c r="F21" s="269">
        <v>0</v>
      </c>
      <c r="G21" s="251"/>
      <c r="H21" s="268">
        <v>0</v>
      </c>
      <c r="I21" s="269">
        <v>0</v>
      </c>
      <c r="J21" s="251"/>
      <c r="K21" s="268">
        <v>0</v>
      </c>
      <c r="L21" s="269">
        <v>0</v>
      </c>
      <c r="M21" s="251"/>
      <c r="N21" s="268"/>
      <c r="O21" s="269"/>
      <c r="P21" s="251"/>
      <c r="Q21" s="314">
        <f t="shared" si="7"/>
        <v>0</v>
      </c>
      <c r="R21" s="267">
        <f t="shared" si="6"/>
        <v>0</v>
      </c>
    </row>
    <row r="22" spans="1:18" ht="12.95" customHeight="1" x14ac:dyDescent="0.2">
      <c r="A22" s="151" t="s">
        <v>1236</v>
      </c>
      <c r="B22" s="286">
        <v>0</v>
      </c>
      <c r="C22" s="269">
        <v>0</v>
      </c>
      <c r="D22" s="251"/>
      <c r="E22" s="286">
        <v>0</v>
      </c>
      <c r="F22" s="269">
        <v>0</v>
      </c>
      <c r="G22" s="251"/>
      <c r="H22" s="268">
        <v>0</v>
      </c>
      <c r="I22" s="269">
        <v>0</v>
      </c>
      <c r="J22" s="251"/>
      <c r="K22" s="268">
        <v>0</v>
      </c>
      <c r="L22" s="269">
        <v>0</v>
      </c>
      <c r="M22" s="251"/>
      <c r="N22" s="268"/>
      <c r="O22" s="269"/>
      <c r="P22" s="251"/>
      <c r="Q22" s="314">
        <f t="shared" si="7"/>
        <v>0</v>
      </c>
      <c r="R22" s="267">
        <f t="shared" si="6"/>
        <v>0</v>
      </c>
    </row>
    <row r="23" spans="1:18" ht="12.95" customHeight="1" x14ac:dyDescent="0.2">
      <c r="A23" s="146" t="s">
        <v>2156</v>
      </c>
      <c r="B23" s="286">
        <v>0</v>
      </c>
      <c r="C23" s="269">
        <v>0</v>
      </c>
      <c r="D23" s="251"/>
      <c r="E23" s="286">
        <v>0</v>
      </c>
      <c r="F23" s="269">
        <v>0</v>
      </c>
      <c r="G23" s="251"/>
      <c r="H23" s="268">
        <v>0</v>
      </c>
      <c r="I23" s="269">
        <v>0</v>
      </c>
      <c r="J23" s="251"/>
      <c r="K23" s="268">
        <v>0</v>
      </c>
      <c r="L23" s="269">
        <v>0</v>
      </c>
      <c r="M23" s="251"/>
      <c r="N23" s="268"/>
      <c r="O23" s="269"/>
      <c r="P23" s="251"/>
      <c r="Q23" s="314">
        <f t="shared" si="7"/>
        <v>0</v>
      </c>
      <c r="R23" s="267">
        <f t="shared" si="6"/>
        <v>0</v>
      </c>
    </row>
    <row r="24" spans="1:18" ht="12.95" customHeight="1" x14ac:dyDescent="0.2">
      <c r="A24" s="146" t="s">
        <v>2176</v>
      </c>
      <c r="B24" s="622">
        <v>24000</v>
      </c>
      <c r="C24" s="269">
        <v>0</v>
      </c>
      <c r="D24" s="251"/>
      <c r="E24" s="286">
        <v>0</v>
      </c>
      <c r="F24" s="269">
        <v>0</v>
      </c>
      <c r="G24" s="251"/>
      <c r="H24" s="268">
        <v>0</v>
      </c>
      <c r="I24" s="269">
        <v>0</v>
      </c>
      <c r="J24" s="251"/>
      <c r="K24" s="268">
        <v>0</v>
      </c>
      <c r="L24" s="269">
        <v>0</v>
      </c>
      <c r="M24" s="251"/>
      <c r="N24" s="268"/>
      <c r="O24" s="269"/>
      <c r="P24" s="251"/>
      <c r="Q24" s="314">
        <f t="shared" si="7"/>
        <v>0</v>
      </c>
      <c r="R24" s="267">
        <f t="shared" si="6"/>
        <v>0</v>
      </c>
    </row>
    <row r="25" spans="1:18" ht="12.95" customHeight="1" x14ac:dyDescent="0.2">
      <c r="A25" s="146" t="s">
        <v>2172</v>
      </c>
      <c r="B25" s="286">
        <v>0</v>
      </c>
      <c r="C25" s="269">
        <v>0</v>
      </c>
      <c r="D25" s="251"/>
      <c r="E25" s="286">
        <v>0</v>
      </c>
      <c r="F25" s="269">
        <v>0</v>
      </c>
      <c r="G25" s="251"/>
      <c r="H25" s="268">
        <v>0</v>
      </c>
      <c r="I25" s="269">
        <v>0</v>
      </c>
      <c r="J25" s="251"/>
      <c r="K25" s="268">
        <v>0</v>
      </c>
      <c r="L25" s="269">
        <v>0</v>
      </c>
      <c r="M25" s="251"/>
      <c r="N25" s="268"/>
      <c r="O25" s="269"/>
      <c r="P25" s="251"/>
      <c r="Q25" s="314">
        <f t="shared" si="7"/>
        <v>0</v>
      </c>
      <c r="R25" s="267">
        <f t="shared" si="6"/>
        <v>0</v>
      </c>
    </row>
    <row r="26" spans="1:18" ht="12.95" customHeight="1" x14ac:dyDescent="0.2">
      <c r="A26" s="146" t="s">
        <v>1239</v>
      </c>
      <c r="B26" s="286">
        <v>0</v>
      </c>
      <c r="C26" s="269">
        <v>0</v>
      </c>
      <c r="D26" s="251"/>
      <c r="E26" s="286">
        <v>0</v>
      </c>
      <c r="F26" s="269">
        <v>0</v>
      </c>
      <c r="G26" s="251"/>
      <c r="H26" s="268">
        <v>0</v>
      </c>
      <c r="I26" s="269">
        <v>0</v>
      </c>
      <c r="J26" s="251"/>
      <c r="K26" s="268">
        <v>0</v>
      </c>
      <c r="L26" s="269">
        <v>0</v>
      </c>
      <c r="M26" s="251"/>
      <c r="N26" s="268"/>
      <c r="O26" s="269"/>
      <c r="P26" s="251"/>
      <c r="Q26" s="314">
        <f t="shared" si="7"/>
        <v>0</v>
      </c>
      <c r="R26" s="267">
        <f t="shared" si="6"/>
        <v>0</v>
      </c>
    </row>
    <row r="27" spans="1:18" ht="12.95" customHeight="1" x14ac:dyDescent="0.2">
      <c r="A27" s="146" t="s">
        <v>1240</v>
      </c>
      <c r="B27" s="286">
        <v>0</v>
      </c>
      <c r="C27" s="269">
        <v>0</v>
      </c>
      <c r="D27" s="251"/>
      <c r="E27" s="286">
        <v>0</v>
      </c>
      <c r="F27" s="269">
        <v>0</v>
      </c>
      <c r="G27" s="251"/>
      <c r="H27" s="268">
        <v>0</v>
      </c>
      <c r="I27" s="269">
        <v>0</v>
      </c>
      <c r="J27" s="251"/>
      <c r="K27" s="268">
        <v>0</v>
      </c>
      <c r="L27" s="269">
        <v>0</v>
      </c>
      <c r="M27" s="251"/>
      <c r="N27" s="268"/>
      <c r="O27" s="269"/>
      <c r="P27" s="251"/>
      <c r="Q27" s="314">
        <f t="shared" si="7"/>
        <v>0</v>
      </c>
      <c r="R27" s="267">
        <f t="shared" si="6"/>
        <v>0</v>
      </c>
    </row>
    <row r="28" spans="1:18" ht="12.95" customHeight="1" x14ac:dyDescent="0.2">
      <c r="A28" s="146" t="s">
        <v>1241</v>
      </c>
      <c r="B28" s="286">
        <v>0</v>
      </c>
      <c r="C28" s="269">
        <v>0</v>
      </c>
      <c r="D28" s="251"/>
      <c r="E28" s="286">
        <v>0</v>
      </c>
      <c r="F28" s="269">
        <v>0</v>
      </c>
      <c r="G28" s="251"/>
      <c r="H28" s="268">
        <v>0</v>
      </c>
      <c r="I28" s="269">
        <v>0</v>
      </c>
      <c r="J28" s="251"/>
      <c r="K28" s="268">
        <v>0</v>
      </c>
      <c r="L28" s="269">
        <v>0</v>
      </c>
      <c r="M28" s="251"/>
      <c r="N28" s="268"/>
      <c r="O28" s="269"/>
      <c r="P28" s="251"/>
      <c r="Q28" s="314">
        <f t="shared" si="7"/>
        <v>0</v>
      </c>
      <c r="R28" s="267">
        <f t="shared" si="6"/>
        <v>0</v>
      </c>
    </row>
    <row r="29" spans="1:18" ht="12.95" customHeight="1" x14ac:dyDescent="0.2">
      <c r="A29" s="146" t="s">
        <v>2167</v>
      </c>
      <c r="B29" s="286">
        <v>0</v>
      </c>
      <c r="C29" s="269">
        <v>0</v>
      </c>
      <c r="D29" s="251"/>
      <c r="E29" s="286">
        <v>0</v>
      </c>
      <c r="F29" s="269">
        <v>0</v>
      </c>
      <c r="G29" s="251"/>
      <c r="H29" s="268">
        <v>0</v>
      </c>
      <c r="I29" s="269">
        <v>0</v>
      </c>
      <c r="J29" s="251"/>
      <c r="K29" s="268">
        <v>0</v>
      </c>
      <c r="L29" s="269">
        <v>0</v>
      </c>
      <c r="M29" s="251"/>
      <c r="N29" s="268"/>
      <c r="O29" s="269"/>
      <c r="P29" s="251"/>
      <c r="Q29" s="314">
        <f t="shared" si="7"/>
        <v>0</v>
      </c>
      <c r="R29" s="267">
        <f t="shared" si="6"/>
        <v>0</v>
      </c>
    </row>
    <row r="30" spans="1:18" ht="12.95" customHeight="1" x14ac:dyDescent="0.2">
      <c r="A30" s="146" t="s">
        <v>1244</v>
      </c>
      <c r="B30" s="286">
        <v>87</v>
      </c>
      <c r="C30" s="269">
        <v>1000</v>
      </c>
      <c r="D30" s="251"/>
      <c r="E30" s="286">
        <v>0</v>
      </c>
      <c r="F30" s="269">
        <v>0</v>
      </c>
      <c r="G30" s="251"/>
      <c r="H30" s="268">
        <v>0</v>
      </c>
      <c r="I30" s="269">
        <v>0</v>
      </c>
      <c r="J30" s="251"/>
      <c r="K30" s="268">
        <v>0</v>
      </c>
      <c r="L30" s="269">
        <v>0</v>
      </c>
      <c r="M30" s="251"/>
      <c r="N30" s="268"/>
      <c r="O30" s="269"/>
      <c r="P30" s="251"/>
      <c r="Q30" s="314">
        <f t="shared" si="7"/>
        <v>0</v>
      </c>
      <c r="R30" s="267">
        <f t="shared" si="6"/>
        <v>1000</v>
      </c>
    </row>
    <row r="31" spans="1:18" ht="12.95" customHeight="1" x14ac:dyDescent="0.2">
      <c r="A31" s="146" t="s">
        <v>1245</v>
      </c>
      <c r="B31" s="286">
        <v>272</v>
      </c>
      <c r="C31" s="269">
        <v>0</v>
      </c>
      <c r="D31" s="251"/>
      <c r="E31" s="286">
        <v>0</v>
      </c>
      <c r="F31" s="269">
        <v>0</v>
      </c>
      <c r="G31" s="251"/>
      <c r="H31" s="268">
        <v>0</v>
      </c>
      <c r="I31" s="269">
        <v>0</v>
      </c>
      <c r="J31" s="251"/>
      <c r="K31" s="268">
        <v>6.77</v>
      </c>
      <c r="L31" s="269">
        <v>0</v>
      </c>
      <c r="M31" s="251"/>
      <c r="N31" s="268"/>
      <c r="O31" s="269"/>
      <c r="P31" s="251"/>
      <c r="Q31" s="314">
        <f t="shared" si="7"/>
        <v>6.77</v>
      </c>
      <c r="R31" s="267">
        <f t="shared" si="6"/>
        <v>0</v>
      </c>
    </row>
    <row r="32" spans="1:18" ht="12.95" customHeight="1" x14ac:dyDescent="0.2">
      <c r="A32" s="146" t="s">
        <v>1246</v>
      </c>
      <c r="B32" s="286">
        <v>0</v>
      </c>
      <c r="C32" s="269">
        <v>0</v>
      </c>
      <c r="D32" s="251"/>
      <c r="E32" s="286">
        <v>0</v>
      </c>
      <c r="F32" s="269">
        <v>0</v>
      </c>
      <c r="G32" s="251"/>
      <c r="H32" s="268">
        <v>0</v>
      </c>
      <c r="I32" s="269">
        <v>0</v>
      </c>
      <c r="J32" s="251"/>
      <c r="K32" s="268">
        <v>0</v>
      </c>
      <c r="L32" s="269">
        <v>0</v>
      </c>
      <c r="M32" s="251"/>
      <c r="N32" s="268"/>
      <c r="O32" s="269"/>
      <c r="P32" s="251"/>
      <c r="Q32" s="314">
        <f t="shared" si="7"/>
        <v>0</v>
      </c>
      <c r="R32" s="267">
        <f t="shared" si="6"/>
        <v>0</v>
      </c>
    </row>
    <row r="33" spans="1:18" ht="12.95" customHeight="1" x14ac:dyDescent="0.2">
      <c r="A33" s="146" t="s">
        <v>1247</v>
      </c>
      <c r="B33" s="286">
        <v>0</v>
      </c>
      <c r="C33" s="269">
        <v>0</v>
      </c>
      <c r="D33" s="251"/>
      <c r="E33" s="286">
        <v>0</v>
      </c>
      <c r="F33" s="269">
        <v>0</v>
      </c>
      <c r="G33" s="251"/>
      <c r="H33" s="268">
        <v>0</v>
      </c>
      <c r="I33" s="269">
        <v>0</v>
      </c>
      <c r="J33" s="251"/>
      <c r="K33" s="268">
        <v>0</v>
      </c>
      <c r="L33" s="269">
        <v>0</v>
      </c>
      <c r="M33" s="251"/>
      <c r="N33" s="268"/>
      <c r="O33" s="269"/>
      <c r="P33" s="251"/>
      <c r="Q33" s="314">
        <f t="shared" si="7"/>
        <v>0</v>
      </c>
      <c r="R33" s="267">
        <f t="shared" si="6"/>
        <v>0</v>
      </c>
    </row>
    <row r="34" spans="1:18" ht="12.95" customHeight="1" x14ac:dyDescent="0.2">
      <c r="A34" s="208" t="s">
        <v>2207</v>
      </c>
      <c r="B34" s="286">
        <v>113</v>
      </c>
      <c r="C34" s="269">
        <v>0</v>
      </c>
      <c r="D34" s="251"/>
      <c r="E34" s="286">
        <v>0</v>
      </c>
      <c r="F34" s="269">
        <v>0</v>
      </c>
      <c r="G34" s="251"/>
      <c r="H34" s="268">
        <v>0</v>
      </c>
      <c r="I34" s="269">
        <v>100</v>
      </c>
      <c r="J34" s="251"/>
      <c r="K34" s="268">
        <v>0</v>
      </c>
      <c r="L34" s="269">
        <v>0</v>
      </c>
      <c r="M34" s="251"/>
      <c r="N34" s="268"/>
      <c r="O34" s="269"/>
      <c r="P34" s="251"/>
      <c r="Q34" s="314">
        <f t="shared" si="7"/>
        <v>0</v>
      </c>
      <c r="R34" s="267">
        <f t="shared" si="6"/>
        <v>100</v>
      </c>
    </row>
    <row r="35" spans="1:18" ht="12.95" customHeight="1" x14ac:dyDescent="0.2">
      <c r="A35" s="208" t="s">
        <v>2204</v>
      </c>
      <c r="B35" s="286">
        <v>0</v>
      </c>
      <c r="C35" s="269">
        <v>0</v>
      </c>
      <c r="D35" s="251"/>
      <c r="E35" s="286">
        <v>0</v>
      </c>
      <c r="F35" s="269">
        <v>0</v>
      </c>
      <c r="G35" s="251"/>
      <c r="H35" s="268">
        <v>70.61</v>
      </c>
      <c r="I35" s="269">
        <v>250</v>
      </c>
      <c r="J35" s="251"/>
      <c r="K35" s="268">
        <v>0</v>
      </c>
      <c r="L35" s="269">
        <v>0</v>
      </c>
      <c r="M35" s="251"/>
      <c r="N35" s="268"/>
      <c r="O35" s="269"/>
      <c r="P35" s="251"/>
      <c r="Q35" s="314">
        <f t="shared" si="7"/>
        <v>70.61</v>
      </c>
      <c r="R35" s="267">
        <f t="shared" si="6"/>
        <v>250</v>
      </c>
    </row>
    <row r="36" spans="1:18" ht="12.95" customHeight="1" x14ac:dyDescent="0.2">
      <c r="A36" s="146" t="s">
        <v>1250</v>
      </c>
      <c r="B36" s="286">
        <v>0</v>
      </c>
      <c r="C36" s="269">
        <v>0</v>
      </c>
      <c r="D36" s="251"/>
      <c r="E36" s="286">
        <v>0</v>
      </c>
      <c r="F36" s="269">
        <v>0</v>
      </c>
      <c r="G36" s="251"/>
      <c r="H36" s="268">
        <v>43.24</v>
      </c>
      <c r="I36" s="269">
        <v>50</v>
      </c>
      <c r="J36" s="251"/>
      <c r="K36" s="268">
        <v>0</v>
      </c>
      <c r="L36" s="269">
        <v>0</v>
      </c>
      <c r="M36" s="251"/>
      <c r="N36" s="268"/>
      <c r="O36" s="269"/>
      <c r="P36" s="251"/>
      <c r="Q36" s="314">
        <f t="shared" si="7"/>
        <v>43.24</v>
      </c>
      <c r="R36" s="267">
        <f t="shared" si="6"/>
        <v>50</v>
      </c>
    </row>
    <row r="37" spans="1:18" ht="12.95" customHeight="1" x14ac:dyDescent="0.2">
      <c r="A37" s="554" t="s">
        <v>2239</v>
      </c>
      <c r="B37" s="286">
        <v>0</v>
      </c>
      <c r="C37" s="269">
        <v>0</v>
      </c>
      <c r="D37" s="251"/>
      <c r="E37" s="286">
        <v>0</v>
      </c>
      <c r="F37" s="269">
        <v>0</v>
      </c>
      <c r="G37" s="251"/>
      <c r="H37" s="268">
        <v>0</v>
      </c>
      <c r="I37" s="269">
        <v>0</v>
      </c>
      <c r="J37" s="251"/>
      <c r="K37" s="268">
        <v>0</v>
      </c>
      <c r="L37" s="269">
        <v>0</v>
      </c>
      <c r="M37" s="251"/>
      <c r="N37" s="268"/>
      <c r="O37" s="269"/>
      <c r="P37" s="251"/>
      <c r="Q37" s="314">
        <f t="shared" si="7"/>
        <v>0</v>
      </c>
      <c r="R37" s="267">
        <f t="shared" si="6"/>
        <v>0</v>
      </c>
    </row>
    <row r="38" spans="1:18" ht="12.95" customHeight="1" x14ac:dyDescent="0.2">
      <c r="A38" s="146" t="s">
        <v>1251</v>
      </c>
      <c r="B38" s="286">
        <v>910</v>
      </c>
      <c r="C38" s="269">
        <v>900</v>
      </c>
      <c r="D38" s="251"/>
      <c r="E38" s="286">
        <v>0</v>
      </c>
      <c r="F38" s="269">
        <v>0</v>
      </c>
      <c r="G38" s="251"/>
      <c r="H38" s="268">
        <v>0</v>
      </c>
      <c r="I38" s="269">
        <v>0</v>
      </c>
      <c r="J38" s="251"/>
      <c r="K38" s="268">
        <v>1200</v>
      </c>
      <c r="L38" s="269">
        <v>1200</v>
      </c>
      <c r="M38" s="251"/>
      <c r="N38" s="268"/>
      <c r="O38" s="269"/>
      <c r="P38" s="251"/>
      <c r="Q38" s="314">
        <f t="shared" si="7"/>
        <v>1200</v>
      </c>
      <c r="R38" s="267">
        <f t="shared" si="6"/>
        <v>2100</v>
      </c>
    </row>
    <row r="39" spans="1:18" ht="12.95" customHeight="1" x14ac:dyDescent="0.2">
      <c r="A39" s="146" t="s">
        <v>2178</v>
      </c>
      <c r="B39" s="286">
        <v>0</v>
      </c>
      <c r="C39" s="269">
        <v>0</v>
      </c>
      <c r="D39" s="251"/>
      <c r="E39" s="286">
        <v>0</v>
      </c>
      <c r="F39" s="269">
        <v>0</v>
      </c>
      <c r="G39" s="251"/>
      <c r="H39" s="268">
        <v>0</v>
      </c>
      <c r="I39" s="269">
        <v>0</v>
      </c>
      <c r="J39" s="251"/>
      <c r="K39" s="268">
        <v>0</v>
      </c>
      <c r="L39" s="269">
        <v>0</v>
      </c>
      <c r="M39" s="251"/>
      <c r="N39" s="268"/>
      <c r="O39" s="269"/>
      <c r="P39" s="251"/>
      <c r="Q39" s="314">
        <f t="shared" si="7"/>
        <v>0</v>
      </c>
      <c r="R39" s="267">
        <f t="shared" si="6"/>
        <v>0</v>
      </c>
    </row>
    <row r="40" spans="1:18" ht="12.95" customHeight="1" x14ac:dyDescent="0.2">
      <c r="A40" s="146" t="s">
        <v>1308</v>
      </c>
      <c r="B40" s="615"/>
      <c r="C40" s="610"/>
      <c r="D40" s="252"/>
      <c r="E40" s="614"/>
      <c r="F40" s="610"/>
      <c r="G40" s="252"/>
      <c r="H40" s="614"/>
      <c r="I40" s="610"/>
      <c r="J40" s="252"/>
      <c r="K40" s="614"/>
      <c r="L40" s="610"/>
      <c r="M40" s="252"/>
      <c r="N40" s="614"/>
      <c r="O40" s="610"/>
      <c r="P40" s="252"/>
      <c r="Q40" s="612"/>
      <c r="R40" s="619"/>
    </row>
    <row r="41" spans="1:18" ht="12.95" customHeight="1" x14ac:dyDescent="0.2">
      <c r="A41" s="146" t="s">
        <v>1844</v>
      </c>
      <c r="B41" s="286">
        <v>7674</v>
      </c>
      <c r="C41" s="269">
        <v>6000</v>
      </c>
      <c r="D41" s="251"/>
      <c r="E41" s="268">
        <v>1816.28</v>
      </c>
      <c r="F41" s="269">
        <v>12000</v>
      </c>
      <c r="G41" s="251"/>
      <c r="H41" s="268">
        <v>499.16</v>
      </c>
      <c r="I41" s="269">
        <v>18000</v>
      </c>
      <c r="J41" s="251"/>
      <c r="K41" s="268">
        <v>2132.02</v>
      </c>
      <c r="L41" s="269">
        <v>3000</v>
      </c>
      <c r="M41" s="251"/>
      <c r="N41" s="268">
        <v>700</v>
      </c>
      <c r="O41" s="269"/>
      <c r="P41" s="251"/>
      <c r="Q41" s="314">
        <f t="shared" si="7"/>
        <v>5147.46</v>
      </c>
      <c r="R41" s="267">
        <f t="shared" ref="R41:R59" si="8">C41+F41+I41+L41+O41</f>
        <v>39000</v>
      </c>
    </row>
    <row r="42" spans="1:18" ht="12.95" customHeight="1" x14ac:dyDescent="0.2">
      <c r="A42" s="146" t="s">
        <v>2166</v>
      </c>
      <c r="B42" s="286">
        <v>9614</v>
      </c>
      <c r="C42" s="269">
        <v>1000</v>
      </c>
      <c r="D42" s="251"/>
      <c r="E42" s="268">
        <v>0</v>
      </c>
      <c r="F42" s="269">
        <v>1000</v>
      </c>
      <c r="G42" s="251"/>
      <c r="H42" s="268">
        <v>399</v>
      </c>
      <c r="I42" s="269">
        <v>2000</v>
      </c>
      <c r="J42" s="251"/>
      <c r="K42" s="268">
        <v>215.97</v>
      </c>
      <c r="L42" s="269">
        <v>300</v>
      </c>
      <c r="M42" s="251"/>
      <c r="N42" s="268">
        <v>0</v>
      </c>
      <c r="O42" s="269">
        <f>O66*O61</f>
        <v>0</v>
      </c>
      <c r="P42" s="251"/>
      <c r="Q42" s="314">
        <f t="shared" si="7"/>
        <v>614.97</v>
      </c>
      <c r="R42" s="267">
        <f t="shared" si="8"/>
        <v>4300</v>
      </c>
    </row>
    <row r="43" spans="1:18" ht="12.95" customHeight="1" x14ac:dyDescent="0.2">
      <c r="A43" s="146" t="s">
        <v>2165</v>
      </c>
      <c r="B43" s="286">
        <v>0</v>
      </c>
      <c r="C43" s="269">
        <v>0</v>
      </c>
      <c r="D43" s="251"/>
      <c r="E43" s="268">
        <v>0</v>
      </c>
      <c r="F43" s="269">
        <v>500</v>
      </c>
      <c r="G43" s="251"/>
      <c r="H43" s="268">
        <v>0</v>
      </c>
      <c r="I43" s="269">
        <f>I67*I61</f>
        <v>0</v>
      </c>
      <c r="J43" s="251"/>
      <c r="K43" s="268">
        <v>0</v>
      </c>
      <c r="L43" s="269">
        <v>0</v>
      </c>
      <c r="M43" s="251"/>
      <c r="N43" s="268">
        <v>0</v>
      </c>
      <c r="O43" s="269">
        <f>O67*O61</f>
        <v>0</v>
      </c>
      <c r="P43" s="251"/>
      <c r="Q43" s="314">
        <f t="shared" si="7"/>
        <v>0</v>
      </c>
      <c r="R43" s="267">
        <f t="shared" si="8"/>
        <v>500</v>
      </c>
    </row>
    <row r="44" spans="1:18" ht="12.95" customHeight="1" x14ac:dyDescent="0.2">
      <c r="A44" s="146" t="s">
        <v>2202</v>
      </c>
      <c r="B44" s="286">
        <v>0</v>
      </c>
      <c r="C44" s="269">
        <v>0</v>
      </c>
      <c r="D44" s="251"/>
      <c r="E44" s="286">
        <v>0</v>
      </c>
      <c r="F44" s="269">
        <v>0</v>
      </c>
      <c r="G44" s="251"/>
      <c r="H44" s="268">
        <v>0</v>
      </c>
      <c r="I44" s="269">
        <v>0</v>
      </c>
      <c r="J44" s="251"/>
      <c r="K44" s="268">
        <v>0</v>
      </c>
      <c r="L44" s="269">
        <v>0</v>
      </c>
      <c r="M44" s="251"/>
      <c r="N44" s="268"/>
      <c r="O44" s="269"/>
      <c r="P44" s="251"/>
      <c r="Q44" s="314">
        <f t="shared" si="7"/>
        <v>0</v>
      </c>
      <c r="R44" s="267">
        <f t="shared" si="8"/>
        <v>0</v>
      </c>
    </row>
    <row r="45" spans="1:18" ht="12.95" customHeight="1" x14ac:dyDescent="0.2">
      <c r="A45" s="146" t="s">
        <v>1256</v>
      </c>
      <c r="B45" s="286">
        <v>0</v>
      </c>
      <c r="C45" s="269">
        <v>0</v>
      </c>
      <c r="D45" s="251"/>
      <c r="E45" s="286">
        <v>0</v>
      </c>
      <c r="F45" s="269">
        <v>0</v>
      </c>
      <c r="G45" s="251"/>
      <c r="H45" s="268">
        <v>0</v>
      </c>
      <c r="I45" s="269">
        <v>0</v>
      </c>
      <c r="J45" s="251"/>
      <c r="K45" s="268">
        <v>0</v>
      </c>
      <c r="L45" s="269">
        <v>0</v>
      </c>
      <c r="M45" s="251"/>
      <c r="N45" s="268"/>
      <c r="O45" s="269"/>
      <c r="P45" s="251"/>
      <c r="Q45" s="314">
        <f t="shared" si="7"/>
        <v>0</v>
      </c>
      <c r="R45" s="267">
        <f t="shared" si="8"/>
        <v>0</v>
      </c>
    </row>
    <row r="46" spans="1:18" ht="12.95" customHeight="1" x14ac:dyDescent="0.2">
      <c r="A46" s="146" t="s">
        <v>2191</v>
      </c>
      <c r="B46" s="286">
        <v>0</v>
      </c>
      <c r="C46" s="269">
        <v>0</v>
      </c>
      <c r="D46" s="251"/>
      <c r="E46" s="286">
        <v>0</v>
      </c>
      <c r="F46" s="269">
        <v>0</v>
      </c>
      <c r="G46" s="251"/>
      <c r="H46" s="268">
        <v>0</v>
      </c>
      <c r="I46" s="269">
        <v>0</v>
      </c>
      <c r="J46" s="251"/>
      <c r="K46" s="268">
        <v>0</v>
      </c>
      <c r="L46" s="269">
        <v>0</v>
      </c>
      <c r="M46" s="251"/>
      <c r="N46" s="268"/>
      <c r="O46" s="269"/>
      <c r="P46" s="251"/>
      <c r="Q46" s="314">
        <f t="shared" si="7"/>
        <v>0</v>
      </c>
      <c r="R46" s="267">
        <f t="shared" si="8"/>
        <v>0</v>
      </c>
    </row>
    <row r="47" spans="1:18" ht="12.95" customHeight="1" x14ac:dyDescent="0.2">
      <c r="A47" s="146" t="s">
        <v>1257</v>
      </c>
      <c r="B47" s="286">
        <v>0</v>
      </c>
      <c r="C47" s="269">
        <v>0</v>
      </c>
      <c r="D47" s="251"/>
      <c r="E47" s="286">
        <v>0</v>
      </c>
      <c r="F47" s="269">
        <v>0</v>
      </c>
      <c r="G47" s="251"/>
      <c r="H47" s="268">
        <v>0</v>
      </c>
      <c r="I47" s="269">
        <v>0</v>
      </c>
      <c r="J47" s="251"/>
      <c r="K47" s="268">
        <v>0</v>
      </c>
      <c r="L47" s="269">
        <v>0</v>
      </c>
      <c r="M47" s="251"/>
      <c r="N47" s="268"/>
      <c r="O47" s="269"/>
      <c r="P47" s="251"/>
      <c r="Q47" s="314">
        <f t="shared" si="7"/>
        <v>0</v>
      </c>
      <c r="R47" s="267">
        <f t="shared" si="8"/>
        <v>0</v>
      </c>
    </row>
    <row r="48" spans="1:18" ht="12.95" customHeight="1" x14ac:dyDescent="0.2">
      <c r="A48" s="146" t="s">
        <v>2159</v>
      </c>
      <c r="B48" s="286">
        <v>0</v>
      </c>
      <c r="C48" s="269">
        <v>0</v>
      </c>
      <c r="D48" s="251"/>
      <c r="E48" s="286">
        <v>0</v>
      </c>
      <c r="F48" s="269">
        <v>0</v>
      </c>
      <c r="G48" s="251"/>
      <c r="H48" s="268">
        <v>0</v>
      </c>
      <c r="I48" s="269">
        <v>0</v>
      </c>
      <c r="J48" s="251"/>
      <c r="K48" s="268">
        <v>0</v>
      </c>
      <c r="L48" s="269">
        <v>0</v>
      </c>
      <c r="M48" s="251"/>
      <c r="N48" s="268"/>
      <c r="O48" s="269"/>
      <c r="P48" s="251"/>
      <c r="Q48" s="314">
        <f t="shared" si="7"/>
        <v>0</v>
      </c>
      <c r="R48" s="267">
        <f t="shared" si="8"/>
        <v>0</v>
      </c>
    </row>
    <row r="49" spans="1:21" ht="12.95" customHeight="1" x14ac:dyDescent="0.2">
      <c r="A49" s="146" t="s">
        <v>1259</v>
      </c>
      <c r="B49" s="286">
        <v>0</v>
      </c>
      <c r="C49" s="269">
        <v>0</v>
      </c>
      <c r="D49" s="251"/>
      <c r="E49" s="286">
        <v>0</v>
      </c>
      <c r="F49" s="269">
        <v>0</v>
      </c>
      <c r="G49" s="251"/>
      <c r="H49" s="268">
        <v>0</v>
      </c>
      <c r="I49" s="269">
        <v>0</v>
      </c>
      <c r="J49" s="251"/>
      <c r="K49" s="268">
        <v>0</v>
      </c>
      <c r="L49" s="269">
        <v>0</v>
      </c>
      <c r="M49" s="251"/>
      <c r="N49" s="268"/>
      <c r="O49" s="269"/>
      <c r="P49" s="251"/>
      <c r="Q49" s="314">
        <f t="shared" si="7"/>
        <v>0</v>
      </c>
      <c r="R49" s="267">
        <f t="shared" si="8"/>
        <v>0</v>
      </c>
    </row>
    <row r="50" spans="1:21" ht="12.95" customHeight="1" x14ac:dyDescent="0.2">
      <c r="A50" s="146" t="s">
        <v>1260</v>
      </c>
      <c r="B50" s="286">
        <v>0</v>
      </c>
      <c r="C50" s="269">
        <v>0</v>
      </c>
      <c r="D50" s="251"/>
      <c r="E50" s="286">
        <v>0</v>
      </c>
      <c r="F50" s="269">
        <v>0</v>
      </c>
      <c r="G50" s="251"/>
      <c r="H50" s="268">
        <v>0</v>
      </c>
      <c r="I50" s="269">
        <v>0</v>
      </c>
      <c r="J50" s="251"/>
      <c r="K50" s="268">
        <v>0</v>
      </c>
      <c r="L50" s="269">
        <v>0</v>
      </c>
      <c r="M50" s="251"/>
      <c r="N50" s="268"/>
      <c r="O50" s="269"/>
      <c r="P50" s="251"/>
      <c r="Q50" s="314">
        <f t="shared" si="7"/>
        <v>0</v>
      </c>
      <c r="R50" s="267">
        <f t="shared" si="8"/>
        <v>0</v>
      </c>
    </row>
    <row r="51" spans="1:21" ht="12.95" customHeight="1" x14ac:dyDescent="0.2">
      <c r="A51" s="146" t="s">
        <v>2158</v>
      </c>
      <c r="B51" s="286">
        <v>0</v>
      </c>
      <c r="C51" s="269">
        <v>0</v>
      </c>
      <c r="D51" s="251"/>
      <c r="E51" s="286">
        <v>0</v>
      </c>
      <c r="F51" s="269">
        <v>0</v>
      </c>
      <c r="G51" s="251"/>
      <c r="H51" s="268">
        <v>0</v>
      </c>
      <c r="I51" s="269">
        <v>0</v>
      </c>
      <c r="J51" s="251"/>
      <c r="K51" s="268">
        <v>0</v>
      </c>
      <c r="L51" s="269">
        <v>0</v>
      </c>
      <c r="M51" s="251"/>
      <c r="N51" s="268"/>
      <c r="O51" s="269"/>
      <c r="P51" s="251"/>
      <c r="Q51" s="314">
        <f t="shared" si="7"/>
        <v>0</v>
      </c>
      <c r="R51" s="267">
        <f t="shared" si="8"/>
        <v>0</v>
      </c>
    </row>
    <row r="52" spans="1:21" ht="12.95" customHeight="1" x14ac:dyDescent="0.2">
      <c r="A52" s="82" t="s">
        <v>2250</v>
      </c>
      <c r="B52" s="286">
        <v>0</v>
      </c>
      <c r="C52" s="269">
        <v>0</v>
      </c>
      <c r="D52" s="251"/>
      <c r="E52" s="286">
        <v>0</v>
      </c>
      <c r="F52" s="269">
        <v>0</v>
      </c>
      <c r="G52" s="251"/>
      <c r="H52" s="268">
        <v>0</v>
      </c>
      <c r="I52" s="269">
        <v>0</v>
      </c>
      <c r="J52" s="251"/>
      <c r="K52" s="268">
        <v>0</v>
      </c>
      <c r="L52" s="269">
        <v>0</v>
      </c>
      <c r="M52" s="251"/>
      <c r="N52" s="268"/>
      <c r="O52" s="269"/>
      <c r="P52" s="251"/>
      <c r="Q52" s="314">
        <f t="shared" si="7"/>
        <v>0</v>
      </c>
      <c r="R52" s="267">
        <f t="shared" si="8"/>
        <v>0</v>
      </c>
    </row>
    <row r="53" spans="1:21" ht="12.95" customHeight="1" x14ac:dyDescent="0.2">
      <c r="A53" s="146" t="s">
        <v>1262</v>
      </c>
      <c r="B53" s="286">
        <v>0</v>
      </c>
      <c r="C53" s="269">
        <v>0</v>
      </c>
      <c r="D53" s="251"/>
      <c r="E53" s="286">
        <v>0</v>
      </c>
      <c r="F53" s="269">
        <v>0</v>
      </c>
      <c r="G53" s="251"/>
      <c r="H53" s="268">
        <v>0</v>
      </c>
      <c r="I53" s="269">
        <v>0</v>
      </c>
      <c r="J53" s="251"/>
      <c r="K53" s="268">
        <v>0</v>
      </c>
      <c r="L53" s="269">
        <v>0</v>
      </c>
      <c r="M53" s="251"/>
      <c r="N53" s="268"/>
      <c r="O53" s="269"/>
      <c r="P53" s="251"/>
      <c r="Q53" s="314">
        <f t="shared" si="7"/>
        <v>0</v>
      </c>
      <c r="R53" s="267">
        <f t="shared" si="8"/>
        <v>0</v>
      </c>
    </row>
    <row r="54" spans="1:21" ht="12.95" customHeight="1" x14ac:dyDescent="0.2">
      <c r="A54" s="146" t="s">
        <v>1263</v>
      </c>
      <c r="B54" s="286">
        <v>0</v>
      </c>
      <c r="C54" s="269">
        <v>0</v>
      </c>
      <c r="D54" s="251"/>
      <c r="E54" s="286">
        <v>0</v>
      </c>
      <c r="F54" s="269">
        <v>0</v>
      </c>
      <c r="G54" s="251"/>
      <c r="H54" s="268">
        <v>0</v>
      </c>
      <c r="I54" s="269">
        <v>0</v>
      </c>
      <c r="J54" s="251"/>
      <c r="K54" s="268">
        <v>0</v>
      </c>
      <c r="L54" s="269">
        <v>0</v>
      </c>
      <c r="M54" s="251"/>
      <c r="N54" s="268"/>
      <c r="O54" s="269"/>
      <c r="P54" s="251"/>
      <c r="Q54" s="314">
        <f t="shared" si="7"/>
        <v>0</v>
      </c>
      <c r="R54" s="267">
        <f t="shared" si="8"/>
        <v>0</v>
      </c>
    </row>
    <row r="55" spans="1:21" ht="12.95" customHeight="1" x14ac:dyDescent="0.2">
      <c r="A55" s="146" t="s">
        <v>2177</v>
      </c>
      <c r="B55" s="286">
        <v>0</v>
      </c>
      <c r="C55" s="269">
        <v>0</v>
      </c>
      <c r="D55" s="251"/>
      <c r="E55" s="286">
        <v>0</v>
      </c>
      <c r="F55" s="269">
        <v>0</v>
      </c>
      <c r="G55" s="251"/>
      <c r="H55" s="268">
        <v>0</v>
      </c>
      <c r="I55" s="269">
        <v>0</v>
      </c>
      <c r="J55" s="251"/>
      <c r="K55" s="268">
        <v>0</v>
      </c>
      <c r="L55" s="269">
        <v>0</v>
      </c>
      <c r="M55" s="251"/>
      <c r="N55" s="268"/>
      <c r="O55" s="269"/>
      <c r="P55" s="251"/>
      <c r="Q55" s="314">
        <f t="shared" si="7"/>
        <v>0</v>
      </c>
      <c r="R55" s="267">
        <f t="shared" si="8"/>
        <v>0</v>
      </c>
      <c r="U55" s="245"/>
    </row>
    <row r="56" spans="1:21" ht="12.95" customHeight="1" x14ac:dyDescent="0.2">
      <c r="A56" s="146" t="s">
        <v>2203</v>
      </c>
      <c r="B56" s="286">
        <v>0</v>
      </c>
      <c r="C56" s="269">
        <v>0</v>
      </c>
      <c r="D56" s="251"/>
      <c r="E56" s="286">
        <v>0</v>
      </c>
      <c r="F56" s="269">
        <v>0</v>
      </c>
      <c r="G56" s="251"/>
      <c r="H56" s="268">
        <v>0</v>
      </c>
      <c r="I56" s="269">
        <v>0</v>
      </c>
      <c r="J56" s="251"/>
      <c r="K56" s="268">
        <v>0</v>
      </c>
      <c r="L56" s="269">
        <v>0</v>
      </c>
      <c r="M56" s="251"/>
      <c r="N56" s="268"/>
      <c r="O56" s="269"/>
      <c r="P56" s="251"/>
      <c r="Q56" s="314">
        <f t="shared" si="7"/>
        <v>0</v>
      </c>
      <c r="R56" s="267">
        <f t="shared" si="8"/>
        <v>0</v>
      </c>
    </row>
    <row r="57" spans="1:21" ht="12.95" customHeight="1" thickBot="1" x14ac:dyDescent="0.25">
      <c r="A57" s="264" t="s">
        <v>1269</v>
      </c>
      <c r="B57" s="290">
        <v>0</v>
      </c>
      <c r="C57" s="275">
        <v>0</v>
      </c>
      <c r="D57" s="265"/>
      <c r="E57" s="290">
        <v>0</v>
      </c>
      <c r="F57" s="275">
        <v>0</v>
      </c>
      <c r="G57" s="265"/>
      <c r="H57" s="274">
        <v>0</v>
      </c>
      <c r="I57" s="275">
        <v>0</v>
      </c>
      <c r="J57" s="265"/>
      <c r="K57" s="274">
        <v>0</v>
      </c>
      <c r="L57" s="275">
        <v>0</v>
      </c>
      <c r="M57" s="265"/>
      <c r="N57" s="274"/>
      <c r="O57" s="275"/>
      <c r="P57" s="265"/>
      <c r="Q57" s="314">
        <f t="shared" si="7"/>
        <v>0</v>
      </c>
      <c r="R57" s="266">
        <f t="shared" si="8"/>
        <v>0</v>
      </c>
    </row>
    <row r="58" spans="1:21" s="244" customFormat="1" ht="12.95" customHeight="1" x14ac:dyDescent="0.2">
      <c r="A58" s="198" t="s">
        <v>1278</v>
      </c>
      <c r="B58" s="291">
        <f t="shared" ref="B58:O58" si="9">SUM(B19:B57)</f>
        <v>42670</v>
      </c>
      <c r="C58" s="292">
        <f t="shared" si="9"/>
        <v>8900</v>
      </c>
      <c r="D58" s="253"/>
      <c r="E58" s="401">
        <f t="shared" si="9"/>
        <v>1816.28</v>
      </c>
      <c r="F58" s="292">
        <f t="shared" si="9"/>
        <v>13500</v>
      </c>
      <c r="G58" s="253"/>
      <c r="H58" s="401">
        <f t="shared" si="9"/>
        <v>1012.01</v>
      </c>
      <c r="I58" s="292">
        <f t="shared" si="9"/>
        <v>20400</v>
      </c>
      <c r="J58" s="253"/>
      <c r="K58" s="401">
        <f t="shared" si="9"/>
        <v>3554.7599999999998</v>
      </c>
      <c r="L58" s="292">
        <f t="shared" si="9"/>
        <v>4500</v>
      </c>
      <c r="M58" s="253"/>
      <c r="N58" s="401">
        <f t="shared" si="9"/>
        <v>700</v>
      </c>
      <c r="O58" s="292">
        <f t="shared" si="9"/>
        <v>0</v>
      </c>
      <c r="P58" s="253"/>
      <c r="Q58" s="478">
        <f>E58+H58+K58+N58</f>
        <v>7083.0499999999993</v>
      </c>
      <c r="R58" s="292">
        <f t="shared" si="8"/>
        <v>47300</v>
      </c>
    </row>
    <row r="59" spans="1:21" s="244" customFormat="1" ht="15.6" customHeight="1" x14ac:dyDescent="0.2">
      <c r="A59" s="198" t="s">
        <v>1276</v>
      </c>
      <c r="B59" s="293">
        <f t="shared" ref="B59:O59" si="10">B17-B58</f>
        <v>-4767</v>
      </c>
      <c r="C59" s="294">
        <f t="shared" si="10"/>
        <v>-7798</v>
      </c>
      <c r="D59" s="256"/>
      <c r="E59" s="417">
        <f t="shared" si="10"/>
        <v>1158.6400000000001</v>
      </c>
      <c r="F59" s="382">
        <f t="shared" si="10"/>
        <v>-1800</v>
      </c>
      <c r="G59" s="256"/>
      <c r="H59" s="363">
        <f t="shared" si="10"/>
        <v>1460.6299999999999</v>
      </c>
      <c r="I59" s="382">
        <f t="shared" si="10"/>
        <v>-6500</v>
      </c>
      <c r="J59" s="256"/>
      <c r="K59" s="417">
        <f t="shared" si="10"/>
        <v>-3275.0099999999998</v>
      </c>
      <c r="L59" s="382">
        <f t="shared" si="10"/>
        <v>-4200</v>
      </c>
      <c r="M59" s="256"/>
      <c r="N59" s="363">
        <f t="shared" si="10"/>
        <v>596.94699999999989</v>
      </c>
      <c r="O59" s="382">
        <f t="shared" si="10"/>
        <v>0</v>
      </c>
      <c r="P59" s="439"/>
      <c r="Q59" s="306">
        <f>E59+H59+K59+N59</f>
        <v>-58.792999999999893</v>
      </c>
      <c r="R59" s="304">
        <f t="shared" si="8"/>
        <v>-20298</v>
      </c>
    </row>
    <row r="60" spans="1:21" s="188" customFormat="1" ht="12.95" customHeight="1" thickBot="1" x14ac:dyDescent="0.25">
      <c r="A60" s="177"/>
      <c r="B60" s="297"/>
      <c r="C60" s="298"/>
      <c r="D60" s="257"/>
      <c r="E60" s="364"/>
      <c r="F60" s="333"/>
      <c r="G60" s="257"/>
      <c r="H60" s="364"/>
      <c r="I60" s="333"/>
      <c r="J60" s="257"/>
      <c r="K60" s="364"/>
      <c r="L60" s="333"/>
      <c r="M60" s="257"/>
      <c r="N60" s="364"/>
      <c r="O60" s="333"/>
      <c r="P60" s="257"/>
      <c r="Q60" s="479">
        <f>E60+H60+K60+N60</f>
        <v>0</v>
      </c>
      <c r="R60" s="480"/>
    </row>
    <row r="61" spans="1:21" s="246" customFormat="1" ht="12.95" customHeight="1" x14ac:dyDescent="0.2">
      <c r="A61" s="199" t="s">
        <v>2155</v>
      </c>
      <c r="B61" s="295">
        <v>1</v>
      </c>
      <c r="C61" s="278">
        <v>1</v>
      </c>
      <c r="D61" s="258"/>
      <c r="E61" s="277">
        <v>0</v>
      </c>
      <c r="F61" s="278">
        <v>4</v>
      </c>
      <c r="G61" s="377"/>
      <c r="H61" s="277">
        <v>0</v>
      </c>
      <c r="I61" s="278">
        <v>6</v>
      </c>
      <c r="J61" s="258"/>
      <c r="K61" s="277">
        <v>1</v>
      </c>
      <c r="L61" s="278">
        <v>1</v>
      </c>
      <c r="M61" s="258"/>
      <c r="N61" s="277">
        <v>0</v>
      </c>
      <c r="O61" s="278">
        <v>0</v>
      </c>
      <c r="P61" s="258"/>
      <c r="Q61" s="319">
        <f>B61+E61+H61+K61+N61</f>
        <v>2</v>
      </c>
      <c r="R61" s="323">
        <f>C61+F61+I61+L61+O61</f>
        <v>12</v>
      </c>
    </row>
    <row r="62" spans="1:21" s="248" customFormat="1" ht="12.95" customHeight="1" thickBot="1" x14ac:dyDescent="0.25">
      <c r="A62" s="195"/>
      <c r="B62" s="299">
        <f>B61/$Q$61</f>
        <v>0.5</v>
      </c>
      <c r="C62" s="296">
        <f>C61/$R$61</f>
        <v>8.3333333333333329E-2</v>
      </c>
      <c r="D62" s="184"/>
      <c r="E62" s="279">
        <f>E61/$Q$61</f>
        <v>0</v>
      </c>
      <c r="F62" s="280">
        <f>F61/$R$61</f>
        <v>0.33333333333333331</v>
      </c>
      <c r="G62" s="247"/>
      <c r="H62" s="279">
        <f>H61/$Q$61</f>
        <v>0</v>
      </c>
      <c r="I62" s="280">
        <f>I61/$R$61</f>
        <v>0.5</v>
      </c>
      <c r="J62" s="247"/>
      <c r="K62" s="279">
        <f>K61/$Q$61</f>
        <v>0.5</v>
      </c>
      <c r="L62" s="280">
        <f>L61/$R$61</f>
        <v>8.3333333333333329E-2</v>
      </c>
      <c r="M62" s="247"/>
      <c r="N62" s="279">
        <f>N61/$Q$61</f>
        <v>0</v>
      </c>
      <c r="O62" s="280">
        <f>O61/$R$61</f>
        <v>0</v>
      </c>
      <c r="P62" s="247"/>
      <c r="Q62" s="279">
        <f>B62+E62+H62+K62+N62</f>
        <v>1</v>
      </c>
      <c r="R62" s="312">
        <f>C62+F62+I62+L62+O62</f>
        <v>1</v>
      </c>
    </row>
    <row r="63" spans="1:21" ht="12.95" customHeight="1" thickBot="1" x14ac:dyDescent="0.25">
      <c r="A63" s="146"/>
      <c r="B63" s="263"/>
    </row>
    <row r="64" spans="1:21" s="150" customFormat="1" ht="12.95" customHeight="1" thickBot="1" x14ac:dyDescent="0.25">
      <c r="A64" s="497" t="s">
        <v>2215</v>
      </c>
      <c r="B64" s="300">
        <v>2020</v>
      </c>
      <c r="C64" s="301">
        <v>2021</v>
      </c>
      <c r="D64" s="498"/>
      <c r="E64" s="300">
        <v>2020</v>
      </c>
      <c r="F64" s="301">
        <v>2021</v>
      </c>
      <c r="G64" s="498"/>
      <c r="H64" s="300">
        <v>2020</v>
      </c>
      <c r="I64" s="301">
        <v>2021</v>
      </c>
      <c r="J64" s="498"/>
      <c r="K64" s="300">
        <v>2020</v>
      </c>
      <c r="L64" s="301">
        <v>2021</v>
      </c>
      <c r="M64" s="498"/>
      <c r="N64" s="300">
        <v>2020</v>
      </c>
      <c r="O64" s="301">
        <v>2021</v>
      </c>
      <c r="P64" s="498"/>
      <c r="Q64" s="300">
        <v>2020</v>
      </c>
      <c r="R64" s="301">
        <v>2021</v>
      </c>
    </row>
    <row r="65" spans="1:19" ht="12.95" customHeight="1" x14ac:dyDescent="0.2">
      <c r="A65" s="485" t="s">
        <v>2216</v>
      </c>
      <c r="B65" s="286">
        <f>B41/B61</f>
        <v>7674</v>
      </c>
      <c r="C65" s="491">
        <f>C41/C61</f>
        <v>6000</v>
      </c>
      <c r="D65" s="263"/>
      <c r="E65" s="286" t="e">
        <f>E41/E61</f>
        <v>#DIV/0!</v>
      </c>
      <c r="F65" s="491">
        <f>F41/F61</f>
        <v>3000</v>
      </c>
      <c r="G65" s="486"/>
      <c r="H65" s="492" t="e">
        <f>H41/H61</f>
        <v>#DIV/0!</v>
      </c>
      <c r="I65" s="493">
        <f>I41/I61</f>
        <v>3000</v>
      </c>
      <c r="J65" s="486"/>
      <c r="K65" s="492">
        <f>K41/K61</f>
        <v>2132.02</v>
      </c>
      <c r="L65" s="493">
        <f>L41/L61</f>
        <v>3000</v>
      </c>
      <c r="M65" s="486"/>
      <c r="N65" s="492">
        <v>0</v>
      </c>
      <c r="O65" s="493"/>
      <c r="P65" s="486"/>
      <c r="Q65" s="499" t="e">
        <f t="shared" ref="Q65:Q67" si="11">B65+E65+H65+K65+N65</f>
        <v>#DIV/0!</v>
      </c>
      <c r="R65" s="493">
        <f>R41/R61</f>
        <v>3250</v>
      </c>
      <c r="S65" s="259"/>
    </row>
    <row r="66" spans="1:19" ht="12.95" customHeight="1" x14ac:dyDescent="0.2">
      <c r="A66" s="151" t="s">
        <v>2217</v>
      </c>
      <c r="B66" s="286">
        <f>B42/B61</f>
        <v>9614</v>
      </c>
      <c r="C66" s="491">
        <f>C42/C61</f>
        <v>1000</v>
      </c>
      <c r="D66" s="263"/>
      <c r="E66" s="286" t="e">
        <f>E42/E61</f>
        <v>#DIV/0!</v>
      </c>
      <c r="F66" s="491">
        <f>F42/F61</f>
        <v>250</v>
      </c>
      <c r="G66" s="486"/>
      <c r="H66" s="492" t="e">
        <f>H42/H61</f>
        <v>#DIV/0!</v>
      </c>
      <c r="I66" s="493">
        <f>I42/I61</f>
        <v>333.33333333333331</v>
      </c>
      <c r="J66" s="486"/>
      <c r="K66" s="492">
        <f>K42/K61</f>
        <v>215.97</v>
      </c>
      <c r="L66" s="493">
        <f>L42/L61</f>
        <v>300</v>
      </c>
      <c r="M66" s="486"/>
      <c r="N66" s="492">
        <v>0</v>
      </c>
      <c r="O66" s="493"/>
      <c r="P66" s="486"/>
      <c r="Q66" s="499" t="e">
        <f t="shared" si="11"/>
        <v>#DIV/0!</v>
      </c>
      <c r="R66" s="493">
        <f>R42/R61</f>
        <v>358.33333333333331</v>
      </c>
      <c r="S66" s="259"/>
    </row>
    <row r="67" spans="1:19" ht="12.95" customHeight="1" x14ac:dyDescent="0.2">
      <c r="A67" s="151" t="s">
        <v>2218</v>
      </c>
      <c r="B67" s="286">
        <f>B43/B61</f>
        <v>0</v>
      </c>
      <c r="C67" s="491">
        <f>C43/C61</f>
        <v>0</v>
      </c>
      <c r="D67" s="263"/>
      <c r="E67" s="286" t="e">
        <f>E43/E61</f>
        <v>#DIV/0!</v>
      </c>
      <c r="F67" s="491">
        <f>F43/F61</f>
        <v>125</v>
      </c>
      <c r="G67" s="486"/>
      <c r="H67" s="492" t="e">
        <f>H43/H61</f>
        <v>#DIV/0!</v>
      </c>
      <c r="I67" s="493">
        <v>0</v>
      </c>
      <c r="J67" s="486"/>
      <c r="K67" s="492">
        <f>K43/K61</f>
        <v>0</v>
      </c>
      <c r="L67" s="493">
        <f>L43/L61</f>
        <v>0</v>
      </c>
      <c r="M67" s="486"/>
      <c r="N67" s="492">
        <v>0</v>
      </c>
      <c r="O67" s="493"/>
      <c r="P67" s="486"/>
      <c r="Q67" s="499" t="e">
        <f t="shared" si="11"/>
        <v>#DIV/0!</v>
      </c>
      <c r="R67" s="493">
        <f>R43/R61</f>
        <v>41.666666666666664</v>
      </c>
      <c r="S67" s="259"/>
    </row>
    <row r="68" spans="1:19" ht="12.95" customHeight="1" x14ac:dyDescent="0.2">
      <c r="A68" s="196" t="s">
        <v>2219</v>
      </c>
      <c r="B68" s="287">
        <f>SUM(B65:B67)</f>
        <v>17288</v>
      </c>
      <c r="C68" s="511">
        <f>SUM(C65:C67)</f>
        <v>7000</v>
      </c>
      <c r="D68" s="327"/>
      <c r="E68" s="287" t="e">
        <f>SUM(E65:E67)</f>
        <v>#DIV/0!</v>
      </c>
      <c r="F68" s="511">
        <f>SUM(F65:F67)</f>
        <v>3375</v>
      </c>
      <c r="G68" s="209"/>
      <c r="H68" s="510" t="e">
        <f>SUM(H65:H67)</f>
        <v>#DIV/0!</v>
      </c>
      <c r="I68" s="509">
        <f>SUM(I65:I67)</f>
        <v>3333.3333333333335</v>
      </c>
      <c r="J68" s="209"/>
      <c r="K68" s="510">
        <f>SUM(K65:K67)</f>
        <v>2347.9899999999998</v>
      </c>
      <c r="L68" s="509">
        <f>SUM(L65:L67)</f>
        <v>3300</v>
      </c>
      <c r="M68" s="209"/>
      <c r="N68" s="510">
        <f>SUM(N65:N67)</f>
        <v>0</v>
      </c>
      <c r="O68" s="509">
        <f>SUM(O65:O67)</f>
        <v>0</v>
      </c>
      <c r="P68" s="209"/>
      <c r="Q68" s="514" t="e">
        <f>SUM(Q65:Q67)</f>
        <v>#DIV/0!</v>
      </c>
      <c r="R68" s="509">
        <f>SUM(R65:R67)</f>
        <v>3650</v>
      </c>
      <c r="S68" s="259"/>
    </row>
    <row r="69" spans="1:19" ht="12.95" customHeight="1" x14ac:dyDescent="0.2">
      <c r="A69" s="151" t="s">
        <v>2220</v>
      </c>
      <c r="B69" s="286">
        <f>-B16/B61</f>
        <v>3680</v>
      </c>
      <c r="C69" s="491">
        <f>-C16/C61</f>
        <v>18</v>
      </c>
      <c r="D69" s="263"/>
      <c r="E69" s="286" t="e">
        <f>-E16/E61</f>
        <v>#DIV/0!</v>
      </c>
      <c r="F69" s="491">
        <f>-F16/F61</f>
        <v>450</v>
      </c>
      <c r="G69" s="486"/>
      <c r="H69" s="492" t="e">
        <f>-H16/H61</f>
        <v>#DIV/0!</v>
      </c>
      <c r="I69" s="493">
        <f>-I16/I61</f>
        <v>350</v>
      </c>
      <c r="J69" s="486"/>
      <c r="K69" s="492">
        <f>-K16/K61</f>
        <v>11.25</v>
      </c>
      <c r="L69" s="493">
        <f>-L16/L61</f>
        <v>0</v>
      </c>
      <c r="M69" s="486"/>
      <c r="N69" s="535" t="e">
        <f>-N16/N61</f>
        <v>#DIV/0!</v>
      </c>
      <c r="O69" s="493" t="e">
        <f>-O16/O61</f>
        <v>#DIV/0!</v>
      </c>
      <c r="P69" s="486"/>
      <c r="Q69" s="499">
        <f>-Q16/Q61</f>
        <v>2413.4364999999998</v>
      </c>
      <c r="R69" s="493">
        <f>-R16/R61</f>
        <v>326.5</v>
      </c>
      <c r="S69" s="259"/>
    </row>
    <row r="70" spans="1:19" ht="12.95" customHeight="1" x14ac:dyDescent="0.2">
      <c r="A70" s="485"/>
      <c r="B70" s="286"/>
      <c r="C70" s="491"/>
      <c r="D70" s="263"/>
      <c r="E70" s="286"/>
      <c r="F70" s="491"/>
      <c r="G70" s="486"/>
      <c r="H70" s="492"/>
      <c r="I70" s="493"/>
      <c r="J70" s="486"/>
      <c r="K70" s="492"/>
      <c r="L70" s="493"/>
      <c r="M70" s="486"/>
      <c r="N70" s="492"/>
      <c r="O70" s="493"/>
      <c r="P70" s="486"/>
      <c r="Q70" s="499"/>
      <c r="R70" s="493"/>
      <c r="S70" s="259"/>
    </row>
    <row r="71" spans="1:19" s="150" customFormat="1" ht="12.95" customHeight="1" thickBot="1" x14ac:dyDescent="0.25">
      <c r="A71" s="148" t="s">
        <v>2221</v>
      </c>
      <c r="B71" s="331">
        <f>B58/B61</f>
        <v>42670</v>
      </c>
      <c r="C71" s="495">
        <f>C58/C61</f>
        <v>8900</v>
      </c>
      <c r="D71" s="209"/>
      <c r="E71" s="320" t="e">
        <f>E58/E61</f>
        <v>#DIV/0!</v>
      </c>
      <c r="F71" s="495">
        <f>F58/F61</f>
        <v>3375</v>
      </c>
      <c r="G71" s="209"/>
      <c r="H71" s="320" t="e">
        <f t="shared" ref="H71:O71" si="12">H58/H61</f>
        <v>#DIV/0!</v>
      </c>
      <c r="I71" s="495">
        <f t="shared" si="12"/>
        <v>3400</v>
      </c>
      <c r="J71" s="209"/>
      <c r="K71" s="320">
        <f t="shared" si="12"/>
        <v>3554.7599999999998</v>
      </c>
      <c r="L71" s="495">
        <f t="shared" si="12"/>
        <v>4500</v>
      </c>
      <c r="M71" s="209"/>
      <c r="N71" s="320" t="e">
        <f t="shared" si="12"/>
        <v>#DIV/0!</v>
      </c>
      <c r="O71" s="495" t="e">
        <f t="shared" si="12"/>
        <v>#DIV/0!</v>
      </c>
      <c r="P71" s="209"/>
      <c r="Q71" s="500">
        <f t="shared" ref="Q71:R71" si="13">Q58/Q61</f>
        <v>3541.5249999999996</v>
      </c>
      <c r="R71" s="495">
        <f t="shared" si="13"/>
        <v>3941.6666666666665</v>
      </c>
      <c r="S71" s="262"/>
    </row>
    <row r="72" spans="1:19" ht="12.95" customHeight="1" x14ac:dyDescent="0.2">
      <c r="A72" s="146"/>
      <c r="B72" s="263"/>
      <c r="C72" s="260"/>
      <c r="D72" s="260"/>
      <c r="E72" s="212"/>
      <c r="F72" s="260"/>
      <c r="G72" s="260"/>
      <c r="H72" s="212"/>
      <c r="I72" s="260"/>
      <c r="J72" s="260"/>
      <c r="K72" s="212"/>
      <c r="L72" s="260"/>
      <c r="M72" s="260"/>
      <c r="N72" s="212"/>
      <c r="O72" s="260"/>
      <c r="P72" s="260"/>
      <c r="Q72" s="317"/>
      <c r="R72" s="260"/>
    </row>
    <row r="73" spans="1:19" ht="12.95" customHeight="1" x14ac:dyDescent="0.2">
      <c r="A73" s="146"/>
      <c r="B73" s="263"/>
      <c r="C73" s="260"/>
      <c r="D73" s="260"/>
      <c r="E73" s="212"/>
      <c r="F73" s="260"/>
      <c r="G73" s="260"/>
      <c r="H73" s="212"/>
      <c r="I73" s="260"/>
      <c r="J73" s="260"/>
      <c r="K73" s="212"/>
      <c r="L73" s="260"/>
      <c r="M73" s="260"/>
      <c r="N73" s="212"/>
      <c r="O73" s="260"/>
      <c r="P73" s="260"/>
      <c r="Q73" s="317"/>
      <c r="R73" s="260"/>
    </row>
    <row r="74" spans="1:19" ht="12.95" customHeight="1" x14ac:dyDescent="0.2">
      <c r="A74" s="146"/>
      <c r="B74" s="263"/>
      <c r="C74" s="260"/>
      <c r="D74" s="260"/>
      <c r="E74" s="212"/>
      <c r="F74" s="260"/>
      <c r="G74" s="260"/>
      <c r="H74" s="212"/>
      <c r="I74" s="260"/>
      <c r="J74" s="260"/>
      <c r="K74" s="212"/>
      <c r="L74" s="260"/>
      <c r="M74" s="260"/>
      <c r="N74" s="212"/>
      <c r="O74" s="260"/>
      <c r="P74" s="260"/>
      <c r="Q74" s="317"/>
      <c r="R74" s="260"/>
    </row>
    <row r="75" spans="1:19" ht="12.95" customHeight="1" x14ac:dyDescent="0.2">
      <c r="A75" s="146"/>
      <c r="B75" s="263"/>
      <c r="C75" s="260"/>
      <c r="D75" s="260"/>
      <c r="E75" s="212"/>
      <c r="F75" s="260"/>
      <c r="G75" s="260"/>
      <c r="H75" s="212"/>
      <c r="I75" s="260"/>
      <c r="J75" s="260"/>
      <c r="K75" s="212"/>
      <c r="L75" s="260"/>
      <c r="M75" s="260"/>
      <c r="N75" s="212"/>
      <c r="O75" s="260"/>
      <c r="P75" s="260"/>
      <c r="Q75" s="317"/>
      <c r="R75" s="260"/>
    </row>
    <row r="76" spans="1:19" ht="12.95" customHeight="1" x14ac:dyDescent="0.2">
      <c r="A76" s="146"/>
      <c r="B76" s="263"/>
      <c r="C76" s="260"/>
      <c r="D76" s="260"/>
      <c r="E76" s="212"/>
      <c r="F76" s="260"/>
      <c r="G76" s="260"/>
      <c r="H76" s="212"/>
      <c r="I76" s="260"/>
      <c r="J76" s="260"/>
      <c r="K76" s="212"/>
      <c r="L76" s="260"/>
      <c r="M76" s="260"/>
      <c r="N76" s="212"/>
      <c r="O76" s="260"/>
      <c r="P76" s="260"/>
      <c r="Q76" s="317"/>
      <c r="R76" s="260"/>
    </row>
    <row r="77" spans="1:19" ht="12.95" customHeight="1" x14ac:dyDescent="0.2">
      <c r="A77" s="146"/>
      <c r="B77" s="263"/>
      <c r="C77" s="261"/>
      <c r="D77" s="261"/>
      <c r="E77" s="284"/>
      <c r="F77" s="261"/>
      <c r="G77" s="261"/>
      <c r="H77" s="284"/>
      <c r="I77" s="261"/>
      <c r="J77" s="261"/>
      <c r="K77" s="284"/>
      <c r="L77" s="261"/>
      <c r="M77" s="261"/>
      <c r="N77" s="284"/>
      <c r="O77" s="261"/>
      <c r="P77" s="261"/>
      <c r="Q77" s="318"/>
      <c r="R77" s="261"/>
    </row>
    <row r="78" spans="1:19" ht="12.95" customHeight="1" x14ac:dyDescent="0.2">
      <c r="A78" s="146"/>
      <c r="B78" s="263"/>
    </row>
    <row r="79" spans="1:19" ht="12.95" customHeight="1" x14ac:dyDescent="0.2"/>
  </sheetData>
  <mergeCells count="2">
    <mergeCell ref="A1:R1"/>
    <mergeCell ref="A2:R2"/>
  </mergeCells>
  <printOptions gridLines="1"/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4"/>
  <sheetViews>
    <sheetView workbookViewId="0">
      <selection activeCell="D28" sqref="D28"/>
    </sheetView>
  </sheetViews>
  <sheetFormatPr defaultRowHeight="12.75" x14ac:dyDescent="0.2"/>
  <cols>
    <col min="1" max="1" width="40.7109375" bestFit="1" customWidth="1"/>
    <col min="2" max="2" width="7.5703125" customWidth="1"/>
    <col min="3" max="3" width="14" customWidth="1"/>
    <col min="4" max="4" width="16.85546875" customWidth="1"/>
    <col min="5" max="5" width="12.85546875" customWidth="1"/>
    <col min="6" max="6" width="11.140625" customWidth="1"/>
  </cols>
  <sheetData>
    <row r="1" spans="1:6" x14ac:dyDescent="0.2">
      <c r="A1" s="27" t="s">
        <v>1513</v>
      </c>
    </row>
    <row r="2" spans="1:6" x14ac:dyDescent="0.2">
      <c r="A2" s="27" t="s">
        <v>1532</v>
      </c>
    </row>
    <row r="3" spans="1:6" x14ac:dyDescent="0.2">
      <c r="A3" s="27" t="s">
        <v>2126</v>
      </c>
    </row>
    <row r="4" spans="1:6" x14ac:dyDescent="0.2">
      <c r="C4" s="16" t="s">
        <v>1362</v>
      </c>
      <c r="D4" s="16" t="s">
        <v>1533</v>
      </c>
      <c r="E4" s="16"/>
      <c r="F4" s="16"/>
    </row>
    <row r="5" spans="1:6" x14ac:dyDescent="0.2">
      <c r="C5" s="36" t="s">
        <v>1535</v>
      </c>
      <c r="D5" s="36" t="s">
        <v>1534</v>
      </c>
      <c r="E5" s="36" t="s">
        <v>1359</v>
      </c>
      <c r="F5" s="36" t="s">
        <v>0</v>
      </c>
    </row>
    <row r="6" spans="1:6" x14ac:dyDescent="0.2">
      <c r="C6" s="31"/>
      <c r="D6" s="31"/>
      <c r="E6" s="31"/>
      <c r="F6" s="31"/>
    </row>
    <row r="7" spans="1:6" x14ac:dyDescent="0.2">
      <c r="A7" t="s">
        <v>1253</v>
      </c>
      <c r="B7" s="12"/>
      <c r="C7" s="35">
        <v>307017</v>
      </c>
      <c r="D7" s="35">
        <v>0</v>
      </c>
      <c r="E7" s="35">
        <v>0</v>
      </c>
      <c r="F7" s="35">
        <f t="shared" ref="F7:F9" si="0">SUM(C7:E7)</f>
        <v>307017</v>
      </c>
    </row>
    <row r="8" spans="1:6" x14ac:dyDescent="0.2">
      <c r="A8" t="s">
        <v>1254</v>
      </c>
      <c r="B8" s="12"/>
      <c r="C8" s="30">
        <v>61041</v>
      </c>
      <c r="D8" s="30">
        <v>0</v>
      </c>
      <c r="E8" s="30">
        <v>0</v>
      </c>
      <c r="F8" s="30">
        <f t="shared" si="0"/>
        <v>61041</v>
      </c>
    </row>
    <row r="9" spans="1:6" x14ac:dyDescent="0.2">
      <c r="A9" t="s">
        <v>1255</v>
      </c>
      <c r="B9" s="12"/>
      <c r="C9" s="30">
        <v>19450</v>
      </c>
      <c r="D9" s="30">
        <v>0</v>
      </c>
      <c r="E9" s="30">
        <v>0</v>
      </c>
      <c r="F9" s="30">
        <f t="shared" si="0"/>
        <v>19450</v>
      </c>
    </row>
    <row r="10" spans="1:6" x14ac:dyDescent="0.2">
      <c r="A10" s="26" t="s">
        <v>1538</v>
      </c>
      <c r="B10" s="12"/>
      <c r="C10" s="30">
        <v>25463</v>
      </c>
      <c r="D10" s="30">
        <v>40434</v>
      </c>
      <c r="E10" s="30">
        <v>25784</v>
      </c>
      <c r="F10" s="30">
        <f t="shared" ref="F10:F41" si="1">SUM(C10:E10)</f>
        <v>91681</v>
      </c>
    </row>
    <row r="11" spans="1:6" x14ac:dyDescent="0.2">
      <c r="A11" t="s">
        <v>1251</v>
      </c>
      <c r="B11" s="12"/>
      <c r="C11" s="30">
        <f>4000+4079+2700</f>
        <v>10779</v>
      </c>
      <c r="D11" s="30">
        <v>3000</v>
      </c>
      <c r="E11" s="30">
        <v>3000</v>
      </c>
      <c r="F11" s="30">
        <f t="shared" si="1"/>
        <v>16779</v>
      </c>
    </row>
    <row r="12" spans="1:6" x14ac:dyDescent="0.2">
      <c r="A12" t="s">
        <v>1244</v>
      </c>
      <c r="B12" s="12"/>
      <c r="C12" s="30">
        <v>12040</v>
      </c>
      <c r="D12" s="30">
        <v>35</v>
      </c>
      <c r="E12" s="30">
        <f>906+76</f>
        <v>982</v>
      </c>
      <c r="F12" s="30">
        <f t="shared" si="1"/>
        <v>13057</v>
      </c>
    </row>
    <row r="13" spans="1:6" x14ac:dyDescent="0.2">
      <c r="A13" t="s">
        <v>1247</v>
      </c>
      <c r="B13" s="12"/>
      <c r="C13" s="30">
        <v>9751</v>
      </c>
      <c r="D13" s="30">
        <v>0</v>
      </c>
      <c r="E13" s="30">
        <v>2500</v>
      </c>
      <c r="F13" s="30">
        <f t="shared" si="1"/>
        <v>12251</v>
      </c>
    </row>
    <row r="14" spans="1:6" x14ac:dyDescent="0.2">
      <c r="A14" t="s">
        <v>1234</v>
      </c>
      <c r="B14" s="12"/>
      <c r="C14" s="30">
        <v>0</v>
      </c>
      <c r="D14" s="30">
        <v>9023</v>
      </c>
      <c r="E14" s="30">
        <v>0</v>
      </c>
      <c r="F14" s="30">
        <f t="shared" si="1"/>
        <v>9023</v>
      </c>
    </row>
    <row r="15" spans="1:6" x14ac:dyDescent="0.2">
      <c r="A15" t="s">
        <v>1260</v>
      </c>
      <c r="B15" s="12"/>
      <c r="C15" s="30">
        <v>3282</v>
      </c>
      <c r="D15" s="30">
        <v>2586</v>
      </c>
      <c r="E15" s="30">
        <v>1812</v>
      </c>
      <c r="F15" s="30">
        <f t="shared" si="1"/>
        <v>7680</v>
      </c>
    </row>
    <row r="16" spans="1:6" x14ac:dyDescent="0.2">
      <c r="A16" t="s">
        <v>1249</v>
      </c>
      <c r="B16" s="12"/>
      <c r="C16" s="30">
        <v>4533</v>
      </c>
      <c r="D16" s="30"/>
      <c r="E16" s="30">
        <v>2527</v>
      </c>
      <c r="F16" s="30">
        <f t="shared" si="1"/>
        <v>7060</v>
      </c>
    </row>
    <row r="17" spans="1:6" x14ac:dyDescent="0.2">
      <c r="A17" t="s">
        <v>1262</v>
      </c>
      <c r="B17" s="12"/>
      <c r="C17" s="30">
        <v>1419</v>
      </c>
      <c r="D17" s="30">
        <v>1551</v>
      </c>
      <c r="E17" s="30">
        <v>1453</v>
      </c>
      <c r="F17" s="30">
        <f t="shared" si="1"/>
        <v>4423</v>
      </c>
    </row>
    <row r="18" spans="1:6" x14ac:dyDescent="0.2">
      <c r="A18" t="s">
        <v>1241</v>
      </c>
      <c r="B18" s="12"/>
      <c r="C18" s="30">
        <v>1678</v>
      </c>
      <c r="D18" s="30">
        <v>1325</v>
      </c>
      <c r="E18" s="30">
        <v>1311</v>
      </c>
      <c r="F18" s="30">
        <f t="shared" si="1"/>
        <v>4314</v>
      </c>
    </row>
    <row r="19" spans="1:6" x14ac:dyDescent="0.2">
      <c r="A19" t="s">
        <v>1245</v>
      </c>
      <c r="B19" s="12"/>
      <c r="C19" s="30">
        <v>2059</v>
      </c>
      <c r="D19" s="30">
        <v>0</v>
      </c>
      <c r="E19" s="30">
        <v>1552</v>
      </c>
      <c r="F19" s="30">
        <f t="shared" si="1"/>
        <v>3611</v>
      </c>
    </row>
    <row r="20" spans="1:6" x14ac:dyDescent="0.2">
      <c r="A20" s="26" t="s">
        <v>1536</v>
      </c>
      <c r="B20" s="12"/>
      <c r="C20" s="30">
        <v>0</v>
      </c>
      <c r="D20" s="30">
        <f>2418+827</f>
        <v>3245</v>
      </c>
      <c r="E20" s="30">
        <v>0</v>
      </c>
      <c r="F20" s="30">
        <f t="shared" si="1"/>
        <v>3245</v>
      </c>
    </row>
    <row r="21" spans="1:6" x14ac:dyDescent="0.2">
      <c r="A21" t="s">
        <v>1250</v>
      </c>
      <c r="B21" s="12"/>
      <c r="C21" s="30">
        <f>846+158</f>
        <v>1004</v>
      </c>
      <c r="D21" s="30">
        <f>1223+854</f>
        <v>2077</v>
      </c>
      <c r="E21" s="30">
        <v>105</v>
      </c>
      <c r="F21" s="30">
        <f t="shared" si="1"/>
        <v>3186</v>
      </c>
    </row>
    <row r="22" spans="1:6" x14ac:dyDescent="0.2">
      <c r="A22" t="s">
        <v>1246</v>
      </c>
      <c r="B22" s="12"/>
      <c r="C22" s="30">
        <v>2457</v>
      </c>
      <c r="D22" s="30">
        <v>313</v>
      </c>
      <c r="E22" s="30">
        <v>0</v>
      </c>
      <c r="F22" s="30">
        <f t="shared" si="1"/>
        <v>2770</v>
      </c>
    </row>
    <row r="23" spans="1:6" x14ac:dyDescent="0.2">
      <c r="A23" t="s">
        <v>1237</v>
      </c>
      <c r="B23" s="12"/>
      <c r="C23" s="30">
        <v>2553</v>
      </c>
      <c r="D23" s="30">
        <v>61</v>
      </c>
      <c r="E23" s="30">
        <v>0</v>
      </c>
      <c r="F23" s="30">
        <f t="shared" si="1"/>
        <v>2614</v>
      </c>
    </row>
    <row r="24" spans="1:6" x14ac:dyDescent="0.2">
      <c r="A24" t="s">
        <v>1261</v>
      </c>
      <c r="B24" s="12"/>
      <c r="C24" s="30">
        <v>1901</v>
      </c>
      <c r="D24" s="30">
        <v>225</v>
      </c>
      <c r="E24" s="30">
        <v>413</v>
      </c>
      <c r="F24" s="30">
        <f t="shared" si="1"/>
        <v>2539</v>
      </c>
    </row>
    <row r="25" spans="1:6" x14ac:dyDescent="0.2">
      <c r="A25" t="s">
        <v>1236</v>
      </c>
      <c r="B25" s="12"/>
      <c r="C25" s="30">
        <v>0</v>
      </c>
      <c r="D25" s="30">
        <v>0</v>
      </c>
      <c r="E25" s="30">
        <v>2260</v>
      </c>
      <c r="F25" s="30">
        <f t="shared" si="1"/>
        <v>2260</v>
      </c>
    </row>
    <row r="26" spans="1:6" x14ac:dyDescent="0.2">
      <c r="A26" t="s">
        <v>1263</v>
      </c>
      <c r="B26" s="12"/>
      <c r="C26" s="30">
        <v>159</v>
      </c>
      <c r="D26" s="30">
        <v>637</v>
      </c>
      <c r="E26" s="30">
        <v>955</v>
      </c>
      <c r="F26" s="30">
        <f t="shared" si="1"/>
        <v>1751</v>
      </c>
    </row>
    <row r="27" spans="1:6" x14ac:dyDescent="0.2">
      <c r="A27" s="26" t="s">
        <v>1766</v>
      </c>
      <c r="B27" s="12"/>
      <c r="C27" s="30">
        <v>0</v>
      </c>
      <c r="D27" s="30">
        <v>1560</v>
      </c>
      <c r="E27" s="30">
        <v>0</v>
      </c>
      <c r="F27" s="30">
        <f t="shared" si="1"/>
        <v>1560</v>
      </c>
    </row>
    <row r="28" spans="1:6" x14ac:dyDescent="0.2">
      <c r="A28" t="s">
        <v>1259</v>
      </c>
      <c r="B28" s="12"/>
      <c r="C28" s="30">
        <v>0</v>
      </c>
      <c r="D28" s="30">
        <v>1217</v>
      </c>
      <c r="E28" s="30">
        <v>0</v>
      </c>
      <c r="F28" s="30">
        <f t="shared" si="1"/>
        <v>1217</v>
      </c>
    </row>
    <row r="29" spans="1:6" x14ac:dyDescent="0.2">
      <c r="A29" t="s">
        <v>1364</v>
      </c>
      <c r="B29" s="12"/>
      <c r="C29" s="30">
        <v>1146</v>
      </c>
      <c r="D29" s="30">
        <v>0</v>
      </c>
      <c r="E29" s="30">
        <v>0</v>
      </c>
      <c r="F29" s="30">
        <f t="shared" si="1"/>
        <v>1146</v>
      </c>
    </row>
    <row r="30" spans="1:6" x14ac:dyDescent="0.2">
      <c r="A30" t="s">
        <v>1252</v>
      </c>
      <c r="B30" s="12"/>
      <c r="C30" s="30">
        <v>684</v>
      </c>
      <c r="D30" s="30">
        <v>106</v>
      </c>
      <c r="E30" s="30">
        <v>0</v>
      </c>
      <c r="F30" s="30">
        <f t="shared" si="1"/>
        <v>790</v>
      </c>
    </row>
    <row r="31" spans="1:6" x14ac:dyDescent="0.2">
      <c r="A31" t="s">
        <v>1240</v>
      </c>
      <c r="B31" s="12"/>
      <c r="C31" s="30">
        <v>0</v>
      </c>
      <c r="D31" s="30">
        <v>674</v>
      </c>
      <c r="E31" s="30">
        <v>0</v>
      </c>
      <c r="F31" s="30">
        <f t="shared" si="1"/>
        <v>674</v>
      </c>
    </row>
    <row r="32" spans="1:6" x14ac:dyDescent="0.2">
      <c r="A32" s="26" t="s">
        <v>1537</v>
      </c>
      <c r="B32" s="12"/>
      <c r="C32" s="30">
        <v>0</v>
      </c>
      <c r="D32" s="30">
        <f>285+120</f>
        <v>405</v>
      </c>
      <c r="E32" s="30">
        <v>0</v>
      </c>
      <c r="F32" s="30">
        <f t="shared" si="1"/>
        <v>405</v>
      </c>
    </row>
    <row r="33" spans="1:6" x14ac:dyDescent="0.2">
      <c r="A33" t="s">
        <v>1269</v>
      </c>
      <c r="B33" s="12"/>
      <c r="C33" s="30">
        <v>0</v>
      </c>
      <c r="D33" s="30">
        <v>0</v>
      </c>
      <c r="E33" s="30">
        <v>144</v>
      </c>
      <c r="F33" s="30">
        <f t="shared" si="1"/>
        <v>144</v>
      </c>
    </row>
    <row r="34" spans="1:6" x14ac:dyDescent="0.2">
      <c r="A34" t="s">
        <v>1238</v>
      </c>
      <c r="B34" s="12"/>
      <c r="C34" s="30">
        <v>0</v>
      </c>
      <c r="D34" s="30">
        <v>81</v>
      </c>
      <c r="E34" s="30">
        <v>0</v>
      </c>
      <c r="F34" s="30">
        <f t="shared" si="1"/>
        <v>81</v>
      </c>
    </row>
    <row r="35" spans="1:6" x14ac:dyDescent="0.2">
      <c r="A35" t="s">
        <v>1243</v>
      </c>
      <c r="B35" s="12"/>
      <c r="C35" s="30">
        <v>33</v>
      </c>
      <c r="D35" s="30">
        <v>0</v>
      </c>
      <c r="E35" s="30">
        <v>0</v>
      </c>
      <c r="F35" s="30">
        <f t="shared" si="1"/>
        <v>33</v>
      </c>
    </row>
    <row r="36" spans="1:6" x14ac:dyDescent="0.2">
      <c r="A36" t="s">
        <v>1242</v>
      </c>
      <c r="B36" s="12"/>
      <c r="C36" s="30">
        <v>0</v>
      </c>
      <c r="D36" s="30">
        <v>12</v>
      </c>
      <c r="E36" s="30">
        <v>0</v>
      </c>
      <c r="F36" s="30">
        <f t="shared" si="1"/>
        <v>12</v>
      </c>
    </row>
    <row r="37" spans="1:6" x14ac:dyDescent="0.2">
      <c r="A37" t="s">
        <v>1248</v>
      </c>
      <c r="B37" s="12"/>
      <c r="C37" s="32">
        <v>0</v>
      </c>
      <c r="D37" s="32">
        <v>0</v>
      </c>
      <c r="E37" s="32">
        <v>12</v>
      </c>
      <c r="F37" s="32">
        <f t="shared" si="1"/>
        <v>12</v>
      </c>
    </row>
    <row r="38" spans="1:6" hidden="1" x14ac:dyDescent="0.2">
      <c r="A38" t="s">
        <v>1239</v>
      </c>
      <c r="B38" s="12"/>
      <c r="C38" s="30">
        <v>0</v>
      </c>
      <c r="D38" s="30">
        <v>0</v>
      </c>
      <c r="E38" s="30">
        <v>0</v>
      </c>
      <c r="F38" s="30">
        <f t="shared" si="1"/>
        <v>0</v>
      </c>
    </row>
    <row r="39" spans="1:6" hidden="1" x14ac:dyDescent="0.2">
      <c r="A39" t="s">
        <v>1267</v>
      </c>
      <c r="B39" s="12"/>
      <c r="C39" s="30"/>
      <c r="D39" s="30"/>
      <c r="E39" s="30"/>
      <c r="F39" s="30">
        <f t="shared" si="1"/>
        <v>0</v>
      </c>
    </row>
    <row r="40" spans="1:6" hidden="1" x14ac:dyDescent="0.2">
      <c r="A40" t="s">
        <v>1258</v>
      </c>
      <c r="B40" s="12"/>
      <c r="C40" s="30"/>
      <c r="D40" s="30"/>
      <c r="E40" s="30"/>
      <c r="F40" s="30">
        <f t="shared" si="1"/>
        <v>0</v>
      </c>
    </row>
    <row r="41" spans="1:6" hidden="1" x14ac:dyDescent="0.2">
      <c r="A41" t="s">
        <v>1257</v>
      </c>
      <c r="B41" s="12"/>
      <c r="C41" s="32">
        <v>0</v>
      </c>
      <c r="D41" s="32">
        <v>0</v>
      </c>
      <c r="E41" s="32"/>
      <c r="F41" s="32">
        <f t="shared" si="1"/>
        <v>0</v>
      </c>
    </row>
    <row r="42" spans="1:6" x14ac:dyDescent="0.2">
      <c r="B42" s="12"/>
      <c r="C42" s="30"/>
      <c r="D42" s="30"/>
      <c r="E42" s="30"/>
      <c r="F42" s="30"/>
    </row>
    <row r="43" spans="1:6" ht="13.5" thickBot="1" x14ac:dyDescent="0.25">
      <c r="A43" s="27" t="s">
        <v>1541</v>
      </c>
      <c r="C43" s="34">
        <f t="shared" ref="C43:E43" si="2">SUM(C7:C41)</f>
        <v>468449</v>
      </c>
      <c r="D43" s="34">
        <f>SUM(D7:D41)</f>
        <v>68567</v>
      </c>
      <c r="E43" s="34">
        <f t="shared" si="2"/>
        <v>44810</v>
      </c>
      <c r="F43" s="34">
        <f>SUM(C43:E43)</f>
        <v>581826</v>
      </c>
    </row>
    <row r="44" spans="1:6" ht="13.5" thickTop="1" x14ac:dyDescent="0.2"/>
  </sheetData>
  <sortState xmlns:xlrd2="http://schemas.microsoft.com/office/spreadsheetml/2017/richdata2" ref="A10:F41">
    <sortCondition descending="1" ref="F10:F41"/>
  </sortState>
  <pageMargins left="0.75" right="0.25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4"/>
  <sheetViews>
    <sheetView workbookViewId="0">
      <selection activeCell="D28" sqref="D28"/>
    </sheetView>
  </sheetViews>
  <sheetFormatPr defaultRowHeight="12.75" x14ac:dyDescent="0.2"/>
  <cols>
    <col min="1" max="1" width="27.5703125" customWidth="1"/>
    <col min="2" max="2" width="12.28515625" bestFit="1" customWidth="1"/>
    <col min="3" max="3" width="11.28515625" bestFit="1" customWidth="1"/>
    <col min="4" max="4" width="10.28515625" bestFit="1" customWidth="1"/>
    <col min="5" max="5" width="12" bestFit="1" customWidth="1"/>
    <col min="6" max="6" width="14.42578125" bestFit="1" customWidth="1"/>
    <col min="7" max="7" width="11.28515625" bestFit="1" customWidth="1"/>
    <col min="8" max="8" width="14.7109375" style="10" bestFit="1" customWidth="1"/>
    <col min="9" max="9" width="9.7109375" bestFit="1" customWidth="1"/>
    <col min="10" max="10" width="10.85546875" bestFit="1" customWidth="1"/>
    <col min="11" max="11" width="8" bestFit="1" customWidth="1"/>
    <col min="12" max="12" width="5.5703125" bestFit="1" customWidth="1"/>
    <col min="13" max="13" width="10.28515625" bestFit="1" customWidth="1"/>
    <col min="14" max="14" width="13.7109375" bestFit="1" customWidth="1"/>
    <col min="15" max="15" width="11.5703125" bestFit="1" customWidth="1"/>
    <col min="18" max="19" width="12.85546875" bestFit="1" customWidth="1"/>
  </cols>
  <sheetData>
    <row r="1" spans="1:19" ht="18" x14ac:dyDescent="0.25">
      <c r="A1" s="29" t="s">
        <v>1513</v>
      </c>
    </row>
    <row r="2" spans="1:19" ht="18" x14ac:dyDescent="0.25">
      <c r="A2" s="29" t="s">
        <v>1514</v>
      </c>
    </row>
    <row r="3" spans="1:19" ht="18" x14ac:dyDescent="0.25">
      <c r="A3" s="29" t="s">
        <v>2128</v>
      </c>
    </row>
    <row r="4" spans="1:19" x14ac:dyDescent="0.2">
      <c r="A4" s="27"/>
      <c r="I4" s="25"/>
    </row>
    <row r="5" spans="1:19" ht="13.5" thickBot="1" x14ac:dyDescent="0.25">
      <c r="A5" s="27"/>
      <c r="I5" s="25"/>
      <c r="M5" s="16"/>
      <c r="N5" s="16"/>
    </row>
    <row r="6" spans="1:19" ht="13.5" thickBot="1" x14ac:dyDescent="0.25">
      <c r="A6" s="19"/>
      <c r="B6" s="625" t="s">
        <v>1509</v>
      </c>
      <c r="C6" s="626"/>
      <c r="D6" s="627" t="s">
        <v>1335</v>
      </c>
      <c r="E6" s="628"/>
      <c r="F6" s="628"/>
      <c r="G6" s="629"/>
      <c r="H6" s="23"/>
      <c r="I6" s="25"/>
      <c r="J6" s="16"/>
      <c r="K6" s="16"/>
      <c r="L6" s="16"/>
      <c r="M6" s="16"/>
      <c r="N6" s="16"/>
      <c r="O6" s="16"/>
    </row>
    <row r="7" spans="1:19" ht="51" x14ac:dyDescent="0.2">
      <c r="A7" s="20" t="s">
        <v>1508</v>
      </c>
      <c r="B7" s="21" t="s">
        <v>1359</v>
      </c>
      <c r="C7" s="21" t="s">
        <v>1507</v>
      </c>
      <c r="D7" s="71" t="s">
        <v>2134</v>
      </c>
      <c r="E7" s="71" t="s">
        <v>2135</v>
      </c>
      <c r="F7" s="21" t="s">
        <v>1361</v>
      </c>
      <c r="G7" s="21" t="s">
        <v>1362</v>
      </c>
      <c r="H7" s="74" t="s">
        <v>2141</v>
      </c>
      <c r="I7" s="73" t="s">
        <v>2140</v>
      </c>
      <c r="J7" s="73" t="s">
        <v>2142</v>
      </c>
      <c r="K7" s="73" t="s">
        <v>2143</v>
      </c>
      <c r="L7" s="73" t="s">
        <v>0</v>
      </c>
      <c r="M7" s="73" t="s">
        <v>2144</v>
      </c>
      <c r="N7" s="73" t="s">
        <v>2145</v>
      </c>
      <c r="O7" s="73" t="s">
        <v>2146</v>
      </c>
    </row>
    <row r="8" spans="1:19" ht="12.75" customHeight="1" x14ac:dyDescent="0.2">
      <c r="A8" s="14" t="s">
        <v>182</v>
      </c>
      <c r="B8" s="72">
        <v>72194</v>
      </c>
      <c r="C8" s="72">
        <v>14257</v>
      </c>
      <c r="D8" s="72">
        <v>2967.0699999999997</v>
      </c>
      <c r="E8" s="72">
        <v>30791.859999999993</v>
      </c>
      <c r="F8" s="72">
        <v>68236.340000000055</v>
      </c>
      <c r="G8" s="72">
        <v>37558.94</v>
      </c>
      <c r="H8" s="35">
        <f>+B8+C8-D8-E8-F8-G8</f>
        <v>-53103.210000000057</v>
      </c>
      <c r="I8" s="35">
        <f>19135-9</f>
        <v>19126</v>
      </c>
      <c r="J8" s="24"/>
      <c r="K8" s="24">
        <v>0</v>
      </c>
      <c r="L8" s="30">
        <f t="shared" ref="L8:L51" si="0">+J8+K8</f>
        <v>0</v>
      </c>
      <c r="M8" s="75">
        <f>IF(J8=0,0,(G8-C8)/J8)</f>
        <v>0</v>
      </c>
      <c r="N8" s="24">
        <v>0</v>
      </c>
      <c r="O8" s="24">
        <f t="shared" ref="O8:O51" si="1">ROUND(+N8-K8,0)</f>
        <v>0</v>
      </c>
      <c r="P8" s="12"/>
      <c r="R8" s="12">
        <v>-74993.930000000008</v>
      </c>
      <c r="S8" s="12">
        <f>+B8+R8</f>
        <v>-2799.9300000000076</v>
      </c>
    </row>
    <row r="9" spans="1:19" ht="12.75" customHeight="1" x14ac:dyDescent="0.2">
      <c r="A9" s="14" t="s">
        <v>1801</v>
      </c>
      <c r="B9" s="24">
        <v>1000</v>
      </c>
      <c r="C9" s="24">
        <v>5077</v>
      </c>
      <c r="D9" s="24">
        <v>0</v>
      </c>
      <c r="E9" s="24">
        <v>0</v>
      </c>
      <c r="F9" s="24">
        <v>0</v>
      </c>
      <c r="G9" s="24">
        <v>7750.1</v>
      </c>
      <c r="H9" s="24">
        <f t="shared" ref="H9:H51" si="2">+B9+C9-D9-E9-F9-G9</f>
        <v>-1673.1000000000004</v>
      </c>
      <c r="I9" s="24">
        <v>1004</v>
      </c>
      <c r="J9" s="24">
        <v>1</v>
      </c>
      <c r="K9" s="24">
        <v>0</v>
      </c>
      <c r="L9" s="30">
        <f t="shared" si="0"/>
        <v>1</v>
      </c>
      <c r="M9" s="30">
        <f t="shared" ref="M9:M53" si="3">IF(J9=0,0,(G9-C9)/J9)</f>
        <v>2673.1000000000004</v>
      </c>
      <c r="N9" s="24">
        <f t="shared" ref="N9:N51" si="4">ROUND(+I9/3000,0)</f>
        <v>0</v>
      </c>
      <c r="O9" s="24">
        <f t="shared" si="1"/>
        <v>0</v>
      </c>
      <c r="P9" s="12"/>
      <c r="R9" s="12">
        <v>-1000</v>
      </c>
      <c r="S9" s="12">
        <f t="shared" ref="S9:S48" si="5">+B9+R9</f>
        <v>0</v>
      </c>
    </row>
    <row r="10" spans="1:19" ht="12.75" customHeight="1" x14ac:dyDescent="0.2">
      <c r="A10" s="14" t="s">
        <v>1605</v>
      </c>
      <c r="B10" s="24">
        <v>7910</v>
      </c>
      <c r="C10" s="24">
        <v>0</v>
      </c>
      <c r="D10" s="24">
        <v>0</v>
      </c>
      <c r="E10" s="24">
        <v>0</v>
      </c>
      <c r="F10" s="24">
        <v>0</v>
      </c>
      <c r="G10" s="24">
        <v>4135.78</v>
      </c>
      <c r="H10" s="24">
        <f t="shared" si="2"/>
        <v>3774.2200000000003</v>
      </c>
      <c r="I10" s="24">
        <v>2615</v>
      </c>
      <c r="J10" s="24">
        <v>1</v>
      </c>
      <c r="K10" s="24">
        <v>0</v>
      </c>
      <c r="L10" s="30">
        <f t="shared" si="0"/>
        <v>1</v>
      </c>
      <c r="M10" s="30">
        <f t="shared" si="3"/>
        <v>4135.78</v>
      </c>
      <c r="N10" s="24">
        <f t="shared" si="4"/>
        <v>1</v>
      </c>
      <c r="O10" s="24">
        <f t="shared" si="1"/>
        <v>1</v>
      </c>
      <c r="P10" s="12"/>
      <c r="R10" s="12">
        <v>-7910.27</v>
      </c>
      <c r="S10" s="12">
        <f t="shared" si="5"/>
        <v>-0.27000000000043656</v>
      </c>
    </row>
    <row r="11" spans="1:19" ht="12.75" customHeight="1" x14ac:dyDescent="0.2">
      <c r="A11" s="14" t="s">
        <v>1568</v>
      </c>
      <c r="B11" s="24">
        <v>19276</v>
      </c>
      <c r="C11" s="24">
        <v>2461</v>
      </c>
      <c r="D11" s="24">
        <v>3669.4900000000002</v>
      </c>
      <c r="E11" s="24">
        <v>5732.5</v>
      </c>
      <c r="F11" s="24">
        <v>0</v>
      </c>
      <c r="G11" s="24">
        <v>50899.87000000001</v>
      </c>
      <c r="H11" s="24">
        <f t="shared" si="2"/>
        <v>-38564.860000000015</v>
      </c>
      <c r="I11" s="24">
        <v>4922</v>
      </c>
      <c r="J11" s="24">
        <v>9</v>
      </c>
      <c r="K11" s="24">
        <v>0</v>
      </c>
      <c r="L11" s="30">
        <f t="shared" si="0"/>
        <v>9</v>
      </c>
      <c r="M11" s="30">
        <f t="shared" si="3"/>
        <v>5382.0966666666682</v>
      </c>
      <c r="N11" s="24">
        <f t="shared" si="4"/>
        <v>2</v>
      </c>
      <c r="O11" s="24">
        <f t="shared" si="1"/>
        <v>2</v>
      </c>
      <c r="P11" s="12"/>
      <c r="R11" s="12">
        <v>-19275.739999999994</v>
      </c>
      <c r="S11" s="12">
        <f t="shared" si="5"/>
        <v>0.26000000000567525</v>
      </c>
    </row>
    <row r="12" spans="1:19" ht="12.75" customHeight="1" x14ac:dyDescent="0.2">
      <c r="A12" s="14" t="s">
        <v>2136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f t="shared" si="2"/>
        <v>0</v>
      </c>
      <c r="I12" s="24">
        <v>2458</v>
      </c>
      <c r="J12" s="24">
        <v>0</v>
      </c>
      <c r="K12" s="24"/>
      <c r="L12" s="30"/>
      <c r="M12" s="30">
        <f t="shared" si="3"/>
        <v>0</v>
      </c>
      <c r="N12" s="24"/>
      <c r="O12" s="24"/>
      <c r="P12" s="12"/>
      <c r="R12" s="12"/>
      <c r="S12" s="12"/>
    </row>
    <row r="13" spans="1:19" ht="12.75" customHeight="1" x14ac:dyDescent="0.2">
      <c r="A13" s="14" t="s">
        <v>2137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f t="shared" ref="H13" si="6">+B13+C13-D13-E13-F13-G13</f>
        <v>0</v>
      </c>
      <c r="I13" s="24">
        <v>100</v>
      </c>
      <c r="J13" s="24">
        <v>0</v>
      </c>
      <c r="K13" s="24"/>
      <c r="L13" s="30"/>
      <c r="M13" s="30">
        <f t="shared" si="3"/>
        <v>0</v>
      </c>
      <c r="N13" s="24"/>
      <c r="O13" s="24"/>
      <c r="P13" s="12"/>
      <c r="R13" s="12"/>
      <c r="S13" s="12"/>
    </row>
    <row r="14" spans="1:19" x14ac:dyDescent="0.2">
      <c r="A14" s="14" t="s">
        <v>1573</v>
      </c>
      <c r="B14" s="24">
        <v>52771</v>
      </c>
      <c r="C14" s="24">
        <v>8069</v>
      </c>
      <c r="D14" s="24">
        <v>9838.2800000000007</v>
      </c>
      <c r="E14" s="24"/>
      <c r="F14" s="24">
        <v>152.15999999999997</v>
      </c>
      <c r="G14" s="24">
        <v>20301.640000000003</v>
      </c>
      <c r="H14" s="24">
        <f t="shared" si="2"/>
        <v>30547.919999999995</v>
      </c>
      <c r="I14" s="24">
        <v>23999</v>
      </c>
      <c r="J14" s="24">
        <v>3</v>
      </c>
      <c r="K14" s="24">
        <v>2</v>
      </c>
      <c r="L14" s="30">
        <f t="shared" si="0"/>
        <v>5</v>
      </c>
      <c r="M14" s="30">
        <f t="shared" si="3"/>
        <v>4077.5466666666675</v>
      </c>
      <c r="N14" s="24">
        <f t="shared" si="4"/>
        <v>8</v>
      </c>
      <c r="O14" s="24">
        <f t="shared" si="1"/>
        <v>6</v>
      </c>
      <c r="P14" s="12"/>
      <c r="R14" s="12">
        <v>-52771.11</v>
      </c>
      <c r="S14" s="12">
        <f t="shared" si="5"/>
        <v>-0.11000000000058208</v>
      </c>
    </row>
    <row r="15" spans="1:19" x14ac:dyDescent="0.2">
      <c r="A15" s="14" t="s">
        <v>2130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17</v>
      </c>
      <c r="H15" s="24">
        <f t="shared" si="2"/>
        <v>-17</v>
      </c>
      <c r="I15" s="24">
        <v>0</v>
      </c>
      <c r="J15" s="24">
        <v>0</v>
      </c>
      <c r="K15" s="24">
        <v>0</v>
      </c>
      <c r="L15" s="30">
        <f t="shared" si="0"/>
        <v>0</v>
      </c>
      <c r="M15" s="30">
        <f t="shared" si="3"/>
        <v>0</v>
      </c>
      <c r="N15" s="24">
        <f t="shared" si="4"/>
        <v>0</v>
      </c>
      <c r="O15" s="24">
        <f t="shared" si="1"/>
        <v>0</v>
      </c>
      <c r="P15" s="12"/>
      <c r="R15" s="12"/>
      <c r="S15" s="12">
        <f t="shared" si="5"/>
        <v>0</v>
      </c>
    </row>
    <row r="16" spans="1:19" x14ac:dyDescent="0.2">
      <c r="A16" s="14" t="s">
        <v>1586</v>
      </c>
      <c r="B16" s="24">
        <v>568</v>
      </c>
      <c r="C16" s="24">
        <v>0</v>
      </c>
      <c r="D16" s="24">
        <v>67.36</v>
      </c>
      <c r="E16" s="24">
        <v>0</v>
      </c>
      <c r="F16" s="24">
        <v>0</v>
      </c>
      <c r="G16" s="24">
        <v>30</v>
      </c>
      <c r="H16" s="24">
        <f t="shared" si="2"/>
        <v>470.64</v>
      </c>
      <c r="I16" s="24">
        <v>432</v>
      </c>
      <c r="J16" s="24">
        <v>0</v>
      </c>
      <c r="K16" s="24">
        <v>0</v>
      </c>
      <c r="L16" s="30">
        <f t="shared" si="0"/>
        <v>0</v>
      </c>
      <c r="M16" s="30">
        <f t="shared" si="3"/>
        <v>0</v>
      </c>
      <c r="N16" s="24">
        <f t="shared" si="4"/>
        <v>0</v>
      </c>
      <c r="O16" s="24">
        <f t="shared" si="1"/>
        <v>0</v>
      </c>
      <c r="P16" s="12"/>
      <c r="R16" s="12">
        <v>-568</v>
      </c>
      <c r="S16" s="12">
        <f t="shared" si="5"/>
        <v>0</v>
      </c>
    </row>
    <row r="17" spans="1:19" x14ac:dyDescent="0.2">
      <c r="A17" s="14" t="s">
        <v>1552</v>
      </c>
      <c r="B17" s="24">
        <v>15352</v>
      </c>
      <c r="C17" s="24">
        <v>877</v>
      </c>
      <c r="D17" s="24">
        <v>4100.6500000000005</v>
      </c>
      <c r="E17" s="24">
        <v>0</v>
      </c>
      <c r="F17" s="24">
        <v>39.840000000000003</v>
      </c>
      <c r="G17" s="24">
        <v>8972.52</v>
      </c>
      <c r="H17" s="24">
        <f t="shared" si="2"/>
        <v>3115.989999999998</v>
      </c>
      <c r="I17" s="24">
        <v>10862</v>
      </c>
      <c r="J17" s="24">
        <v>3</v>
      </c>
      <c r="K17" s="24">
        <v>0</v>
      </c>
      <c r="L17" s="30">
        <f t="shared" si="0"/>
        <v>3</v>
      </c>
      <c r="M17" s="30">
        <f t="shared" si="3"/>
        <v>2698.5066666666667</v>
      </c>
      <c r="N17" s="24">
        <f t="shared" si="4"/>
        <v>4</v>
      </c>
      <c r="O17" s="24">
        <f t="shared" si="1"/>
        <v>4</v>
      </c>
      <c r="P17" s="12"/>
      <c r="R17" s="12">
        <v>-15352</v>
      </c>
      <c r="S17" s="12">
        <f t="shared" si="5"/>
        <v>0</v>
      </c>
    </row>
    <row r="18" spans="1:19" x14ac:dyDescent="0.2">
      <c r="A18" s="14" t="s">
        <v>1594</v>
      </c>
      <c r="B18" s="24">
        <v>200</v>
      </c>
      <c r="C18" s="24">
        <v>0</v>
      </c>
      <c r="D18" s="24">
        <v>0</v>
      </c>
      <c r="E18" s="24">
        <v>0</v>
      </c>
      <c r="F18" s="24">
        <v>4.7</v>
      </c>
      <c r="G18" s="24"/>
      <c r="H18" s="24">
        <f t="shared" si="2"/>
        <v>195.3</v>
      </c>
      <c r="I18" s="24">
        <v>166</v>
      </c>
      <c r="J18" s="24">
        <v>0</v>
      </c>
      <c r="K18" s="24">
        <v>0</v>
      </c>
      <c r="L18" s="30">
        <f t="shared" si="0"/>
        <v>0</v>
      </c>
      <c r="M18" s="30">
        <f t="shared" si="3"/>
        <v>0</v>
      </c>
      <c r="N18" s="24">
        <f t="shared" si="4"/>
        <v>0</v>
      </c>
      <c r="O18" s="24">
        <f t="shared" si="1"/>
        <v>0</v>
      </c>
      <c r="P18" s="12"/>
      <c r="R18" s="12">
        <v>-200</v>
      </c>
      <c r="S18" s="12">
        <f t="shared" si="5"/>
        <v>0</v>
      </c>
    </row>
    <row r="19" spans="1:19" x14ac:dyDescent="0.2">
      <c r="A19" s="14" t="s">
        <v>1545</v>
      </c>
      <c r="B19" s="24">
        <v>54483</v>
      </c>
      <c r="C19" s="24">
        <v>6996</v>
      </c>
      <c r="D19" s="24">
        <v>4007.93</v>
      </c>
      <c r="E19" s="24">
        <v>0</v>
      </c>
      <c r="F19" s="24">
        <v>6.06</v>
      </c>
      <c r="G19" s="24">
        <v>52796.16000000004</v>
      </c>
      <c r="H19" s="24">
        <f t="shared" si="2"/>
        <v>4668.8499999999622</v>
      </c>
      <c r="I19" s="24">
        <v>16445</v>
      </c>
      <c r="J19" s="24">
        <v>14</v>
      </c>
      <c r="K19" s="24">
        <v>4</v>
      </c>
      <c r="L19" s="30">
        <f t="shared" si="0"/>
        <v>18</v>
      </c>
      <c r="M19" s="30">
        <f t="shared" si="3"/>
        <v>3271.4400000000028</v>
      </c>
      <c r="N19" s="24">
        <f t="shared" si="4"/>
        <v>5</v>
      </c>
      <c r="O19" s="24">
        <f t="shared" si="1"/>
        <v>1</v>
      </c>
      <c r="P19" s="12"/>
      <c r="R19" s="12">
        <v>-54482.67</v>
      </c>
      <c r="S19" s="12">
        <f t="shared" si="5"/>
        <v>0.33000000000174623</v>
      </c>
    </row>
    <row r="20" spans="1:19" x14ac:dyDescent="0.2">
      <c r="A20" s="14" t="s">
        <v>1598</v>
      </c>
      <c r="B20" s="24">
        <v>1000</v>
      </c>
      <c r="C20" s="24">
        <v>543</v>
      </c>
      <c r="D20" s="24">
        <v>0</v>
      </c>
      <c r="E20" s="24">
        <v>0</v>
      </c>
      <c r="F20" s="24">
        <v>0</v>
      </c>
      <c r="G20" s="24">
        <v>10209.530000000004</v>
      </c>
      <c r="H20" s="24">
        <f t="shared" si="2"/>
        <v>-8666.5300000000043</v>
      </c>
      <c r="I20" s="24">
        <v>4875</v>
      </c>
      <c r="J20" s="24">
        <v>3</v>
      </c>
      <c r="K20" s="24">
        <v>1</v>
      </c>
      <c r="L20" s="30">
        <f t="shared" si="0"/>
        <v>4</v>
      </c>
      <c r="M20" s="30">
        <f t="shared" si="3"/>
        <v>3222.1766666666681</v>
      </c>
      <c r="N20" s="24">
        <f t="shared" si="4"/>
        <v>2</v>
      </c>
      <c r="O20" s="24">
        <f t="shared" si="1"/>
        <v>1</v>
      </c>
      <c r="P20" s="12"/>
      <c r="R20" s="12">
        <v>-1000</v>
      </c>
      <c r="S20" s="12">
        <f t="shared" si="5"/>
        <v>0</v>
      </c>
    </row>
    <row r="21" spans="1:19" x14ac:dyDescent="0.2">
      <c r="A21" s="14" t="s">
        <v>1563</v>
      </c>
      <c r="B21" s="24">
        <v>4420</v>
      </c>
      <c r="C21" s="24">
        <v>31390</v>
      </c>
      <c r="D21" s="24">
        <v>0</v>
      </c>
      <c r="E21" s="24">
        <v>0</v>
      </c>
      <c r="F21" s="24">
        <v>0</v>
      </c>
      <c r="G21" s="24">
        <v>37278.760000000009</v>
      </c>
      <c r="H21" s="24">
        <f t="shared" si="2"/>
        <v>-1468.7600000000093</v>
      </c>
      <c r="I21" s="24">
        <v>3920</v>
      </c>
      <c r="J21" s="24">
        <v>2</v>
      </c>
      <c r="K21" s="24">
        <v>0</v>
      </c>
      <c r="L21" s="30">
        <f t="shared" si="0"/>
        <v>2</v>
      </c>
      <c r="M21" s="30">
        <f t="shared" si="3"/>
        <v>2944.3800000000047</v>
      </c>
      <c r="N21" s="24">
        <f t="shared" si="4"/>
        <v>1</v>
      </c>
      <c r="O21" s="24">
        <f t="shared" si="1"/>
        <v>1</v>
      </c>
      <c r="P21" s="12"/>
      <c r="R21" s="12">
        <v>-4420</v>
      </c>
      <c r="S21" s="12">
        <f t="shared" si="5"/>
        <v>0</v>
      </c>
    </row>
    <row r="22" spans="1:19" x14ac:dyDescent="0.2">
      <c r="A22" s="14" t="s">
        <v>1584</v>
      </c>
      <c r="B22" s="24">
        <v>1620</v>
      </c>
      <c r="C22" s="24">
        <v>980</v>
      </c>
      <c r="D22" s="24">
        <v>0</v>
      </c>
      <c r="E22" s="24">
        <v>0</v>
      </c>
      <c r="F22" s="24">
        <v>0</v>
      </c>
      <c r="G22" s="24">
        <v>4700.1299999999992</v>
      </c>
      <c r="H22" s="24">
        <f t="shared" si="2"/>
        <v>-2100.1299999999992</v>
      </c>
      <c r="I22" s="24">
        <v>1292</v>
      </c>
      <c r="J22" s="24">
        <v>1</v>
      </c>
      <c r="K22" s="24">
        <v>1</v>
      </c>
      <c r="L22" s="30">
        <f t="shared" si="0"/>
        <v>2</v>
      </c>
      <c r="M22" s="30">
        <f t="shared" si="3"/>
        <v>3720.1299999999992</v>
      </c>
      <c r="N22" s="24">
        <f t="shared" si="4"/>
        <v>0</v>
      </c>
      <c r="O22" s="24">
        <f t="shared" si="1"/>
        <v>-1</v>
      </c>
      <c r="P22" s="12"/>
      <c r="R22" s="12">
        <v>-1620</v>
      </c>
      <c r="S22" s="12">
        <f t="shared" si="5"/>
        <v>0</v>
      </c>
    </row>
    <row r="23" spans="1:19" x14ac:dyDescent="0.2">
      <c r="A23" s="14" t="s">
        <v>1554</v>
      </c>
      <c r="B23" s="24">
        <v>13175</v>
      </c>
      <c r="C23" s="24">
        <v>2378</v>
      </c>
      <c r="D23" s="24">
        <v>0</v>
      </c>
      <c r="E23" s="24">
        <v>0</v>
      </c>
      <c r="F23" s="24">
        <v>0</v>
      </c>
      <c r="G23" s="24">
        <v>13292.46</v>
      </c>
      <c r="H23" s="24">
        <f t="shared" si="2"/>
        <v>2260.5400000000009</v>
      </c>
      <c r="I23" s="24">
        <v>4475</v>
      </c>
      <c r="J23" s="24">
        <v>3</v>
      </c>
      <c r="K23" s="24">
        <v>1</v>
      </c>
      <c r="L23" s="30">
        <f t="shared" si="0"/>
        <v>4</v>
      </c>
      <c r="M23" s="30">
        <f t="shared" si="3"/>
        <v>3638.1533333333332</v>
      </c>
      <c r="N23" s="24">
        <f t="shared" si="4"/>
        <v>1</v>
      </c>
      <c r="O23" s="24">
        <f t="shared" si="1"/>
        <v>0</v>
      </c>
      <c r="P23" s="12"/>
      <c r="R23" s="12">
        <v>-13175.25</v>
      </c>
      <c r="S23" s="12">
        <f t="shared" si="5"/>
        <v>-0.25</v>
      </c>
    </row>
    <row r="24" spans="1:19" x14ac:dyDescent="0.2">
      <c r="A24" s="14" t="s">
        <v>1566</v>
      </c>
      <c r="B24" s="24">
        <v>24247</v>
      </c>
      <c r="C24" s="24">
        <v>0</v>
      </c>
      <c r="D24" s="24">
        <v>150</v>
      </c>
      <c r="E24" s="24">
        <v>0</v>
      </c>
      <c r="F24" s="24">
        <v>0</v>
      </c>
      <c r="G24" s="24">
        <v>30517.329999999991</v>
      </c>
      <c r="H24" s="24">
        <f t="shared" si="2"/>
        <v>-6420.3299999999908</v>
      </c>
      <c r="I24" s="24">
        <v>4426</v>
      </c>
      <c r="J24" s="24">
        <v>11</v>
      </c>
      <c r="K24" s="24">
        <v>2</v>
      </c>
      <c r="L24" s="30">
        <f t="shared" si="0"/>
        <v>13</v>
      </c>
      <c r="M24" s="30">
        <f t="shared" si="3"/>
        <v>2774.3027272727263</v>
      </c>
      <c r="N24" s="24">
        <f t="shared" si="4"/>
        <v>1</v>
      </c>
      <c r="O24" s="24">
        <f t="shared" si="1"/>
        <v>-1</v>
      </c>
      <c r="P24" s="12"/>
      <c r="R24" s="12">
        <v>-24247.32</v>
      </c>
      <c r="S24" s="12">
        <f t="shared" si="5"/>
        <v>-0.31999999999970896</v>
      </c>
    </row>
    <row r="25" spans="1:19" x14ac:dyDescent="0.2">
      <c r="A25" s="14" t="s">
        <v>1606</v>
      </c>
      <c r="B25" s="24">
        <v>440</v>
      </c>
      <c r="C25" s="24">
        <v>835</v>
      </c>
      <c r="D25" s="24">
        <v>0</v>
      </c>
      <c r="E25" s="24">
        <v>0</v>
      </c>
      <c r="F25" s="24">
        <v>0</v>
      </c>
      <c r="G25" s="24">
        <v>1087.42</v>
      </c>
      <c r="H25" s="24">
        <f t="shared" si="2"/>
        <v>187.57999999999993</v>
      </c>
      <c r="I25" s="24">
        <v>211</v>
      </c>
      <c r="J25" s="24">
        <v>1</v>
      </c>
      <c r="K25" s="24">
        <v>0</v>
      </c>
      <c r="L25" s="30">
        <f t="shared" si="0"/>
        <v>1</v>
      </c>
      <c r="M25" s="30">
        <f t="shared" si="3"/>
        <v>252.42000000000007</v>
      </c>
      <c r="N25" s="24">
        <f t="shared" si="4"/>
        <v>0</v>
      </c>
      <c r="O25" s="24">
        <f t="shared" si="1"/>
        <v>0</v>
      </c>
      <c r="P25" s="12"/>
      <c r="R25" s="12">
        <v>-440</v>
      </c>
      <c r="S25" s="12">
        <f t="shared" si="5"/>
        <v>0</v>
      </c>
    </row>
    <row r="26" spans="1:19" x14ac:dyDescent="0.2">
      <c r="A26" s="14" t="s">
        <v>1572</v>
      </c>
      <c r="B26" s="24">
        <v>16754</v>
      </c>
      <c r="C26" s="24">
        <v>0</v>
      </c>
      <c r="D26" s="24">
        <v>7459.91</v>
      </c>
      <c r="E26" s="24">
        <v>55.51</v>
      </c>
      <c r="F26" s="24">
        <v>0.63</v>
      </c>
      <c r="G26" s="24">
        <v>8137.420000000001</v>
      </c>
      <c r="H26" s="24">
        <f t="shared" si="2"/>
        <v>1100.5299999999997</v>
      </c>
      <c r="I26" s="24">
        <v>893</v>
      </c>
      <c r="J26" s="24">
        <v>2</v>
      </c>
      <c r="K26" s="24">
        <v>1</v>
      </c>
      <c r="L26" s="30">
        <f t="shared" si="0"/>
        <v>3</v>
      </c>
      <c r="M26" s="30">
        <f t="shared" si="3"/>
        <v>4068.7100000000005</v>
      </c>
      <c r="N26" s="24">
        <f t="shared" si="4"/>
        <v>0</v>
      </c>
      <c r="O26" s="24">
        <f t="shared" si="1"/>
        <v>-1</v>
      </c>
      <c r="P26" s="12"/>
      <c r="R26" s="12">
        <v>-16754.21</v>
      </c>
      <c r="S26" s="12">
        <f t="shared" si="5"/>
        <v>-0.20999999999912689</v>
      </c>
    </row>
    <row r="27" spans="1:19" x14ac:dyDescent="0.2">
      <c r="A27" s="14" t="s">
        <v>1557</v>
      </c>
      <c r="B27" s="24">
        <v>4975</v>
      </c>
      <c r="C27" s="24">
        <v>0</v>
      </c>
      <c r="D27" s="24">
        <v>0</v>
      </c>
      <c r="E27" s="24">
        <v>0</v>
      </c>
      <c r="F27" s="24">
        <v>0</v>
      </c>
      <c r="G27" s="24">
        <v>1570.22</v>
      </c>
      <c r="H27" s="24">
        <f t="shared" si="2"/>
        <v>3404.7799999999997</v>
      </c>
      <c r="I27" s="24">
        <v>3080</v>
      </c>
      <c r="J27" s="24">
        <v>3</v>
      </c>
      <c r="K27" s="24">
        <v>0</v>
      </c>
      <c r="L27" s="30">
        <f t="shared" si="0"/>
        <v>3</v>
      </c>
      <c r="M27" s="30">
        <f t="shared" si="3"/>
        <v>523.40666666666664</v>
      </c>
      <c r="N27" s="24">
        <f t="shared" si="4"/>
        <v>1</v>
      </c>
      <c r="O27" s="24">
        <f t="shared" si="1"/>
        <v>1</v>
      </c>
      <c r="R27" s="12">
        <v>-4975</v>
      </c>
      <c r="S27" s="12">
        <f t="shared" si="5"/>
        <v>0</v>
      </c>
    </row>
    <row r="28" spans="1:19" x14ac:dyDescent="0.2">
      <c r="A28" s="14" t="s">
        <v>1577</v>
      </c>
      <c r="B28" s="24">
        <v>33610</v>
      </c>
      <c r="C28" s="24">
        <v>6298</v>
      </c>
      <c r="D28" s="24">
        <v>3949.9</v>
      </c>
      <c r="E28" s="24"/>
      <c r="F28" s="24">
        <v>8.49</v>
      </c>
      <c r="G28" s="24">
        <v>30153.730000000018</v>
      </c>
      <c r="H28" s="24">
        <f t="shared" si="2"/>
        <v>5795.8799999999828</v>
      </c>
      <c r="I28" s="24">
        <v>25879</v>
      </c>
      <c r="J28" s="24">
        <v>11</v>
      </c>
      <c r="K28" s="24">
        <v>2</v>
      </c>
      <c r="L28" s="30">
        <f t="shared" si="0"/>
        <v>13</v>
      </c>
      <c r="M28" s="30">
        <f t="shared" si="3"/>
        <v>2168.7027272727287</v>
      </c>
      <c r="N28" s="24">
        <f t="shared" si="4"/>
        <v>9</v>
      </c>
      <c r="O28" s="24">
        <f t="shared" si="1"/>
        <v>7</v>
      </c>
      <c r="P28" s="12"/>
      <c r="R28" s="12">
        <v>-33610.44</v>
      </c>
      <c r="S28" s="12">
        <f t="shared" si="5"/>
        <v>-0.44000000000232831</v>
      </c>
    </row>
    <row r="29" spans="1:19" x14ac:dyDescent="0.2">
      <c r="A29" s="14" t="s">
        <v>1561</v>
      </c>
      <c r="B29" s="24">
        <v>15975</v>
      </c>
      <c r="C29" s="24">
        <v>0</v>
      </c>
      <c r="D29" s="24">
        <v>0</v>
      </c>
      <c r="E29" s="24">
        <v>0</v>
      </c>
      <c r="F29" s="24">
        <v>66.510000000000005</v>
      </c>
      <c r="G29" s="24">
        <v>10584.92</v>
      </c>
      <c r="H29" s="24">
        <f t="shared" si="2"/>
        <v>5323.57</v>
      </c>
      <c r="I29" s="24">
        <v>5822</v>
      </c>
      <c r="J29" s="24">
        <v>4</v>
      </c>
      <c r="K29" s="24">
        <v>0</v>
      </c>
      <c r="L29" s="30">
        <f t="shared" si="0"/>
        <v>4</v>
      </c>
      <c r="M29" s="30">
        <f t="shared" si="3"/>
        <v>2646.23</v>
      </c>
      <c r="N29" s="24">
        <f t="shared" si="4"/>
        <v>2</v>
      </c>
      <c r="O29" s="24">
        <f t="shared" si="1"/>
        <v>2</v>
      </c>
      <c r="P29" s="12"/>
      <c r="R29" s="12">
        <v>-15975.47</v>
      </c>
      <c r="S29" s="12">
        <f t="shared" si="5"/>
        <v>-0.46999999999934516</v>
      </c>
    </row>
    <row r="30" spans="1:19" x14ac:dyDescent="0.2">
      <c r="A30" s="14" t="s">
        <v>1579</v>
      </c>
      <c r="B30" s="24">
        <v>2411</v>
      </c>
      <c r="C30" s="24">
        <v>2960</v>
      </c>
      <c r="D30" s="24">
        <v>0</v>
      </c>
      <c r="E30" s="24">
        <v>0</v>
      </c>
      <c r="F30" s="24">
        <v>0</v>
      </c>
      <c r="G30" s="24">
        <v>9420.3499999999967</v>
      </c>
      <c r="H30" s="24">
        <f t="shared" si="2"/>
        <v>-4049.3499999999967</v>
      </c>
      <c r="I30" s="24">
        <v>415</v>
      </c>
      <c r="J30" s="24">
        <v>4</v>
      </c>
      <c r="K30" s="24">
        <v>2</v>
      </c>
      <c r="L30" s="30">
        <f t="shared" si="0"/>
        <v>6</v>
      </c>
      <c r="M30" s="30">
        <f t="shared" si="3"/>
        <v>1615.0874999999992</v>
      </c>
      <c r="N30" s="24">
        <f t="shared" si="4"/>
        <v>0</v>
      </c>
      <c r="O30" s="24">
        <f t="shared" si="1"/>
        <v>-2</v>
      </c>
      <c r="P30" s="12"/>
      <c r="R30" s="12">
        <v>-2411.4899999999998</v>
      </c>
      <c r="S30" s="12">
        <f t="shared" si="5"/>
        <v>-0.48999999999978172</v>
      </c>
    </row>
    <row r="31" spans="1:19" x14ac:dyDescent="0.2">
      <c r="A31" s="14" t="s">
        <v>2139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 t="shared" ref="H31" si="7">+B31+C31-D31-E31-F31-G31</f>
        <v>0</v>
      </c>
      <c r="I31" s="24">
        <v>332</v>
      </c>
      <c r="J31" s="24">
        <v>0</v>
      </c>
      <c r="K31" s="24">
        <v>0</v>
      </c>
      <c r="L31" s="30">
        <f t="shared" si="0"/>
        <v>0</v>
      </c>
      <c r="M31" s="30">
        <f t="shared" si="3"/>
        <v>0</v>
      </c>
      <c r="N31" s="24"/>
      <c r="O31" s="24"/>
      <c r="P31" s="12"/>
      <c r="R31" s="12"/>
      <c r="S31" s="12"/>
    </row>
    <row r="32" spans="1:19" x14ac:dyDescent="0.2">
      <c r="A32" s="14" t="s">
        <v>1560</v>
      </c>
      <c r="B32" s="24">
        <v>2052</v>
      </c>
      <c r="C32" s="24">
        <v>0</v>
      </c>
      <c r="D32" s="24"/>
      <c r="E32" s="24"/>
      <c r="F32" s="24"/>
      <c r="G32" s="24">
        <v>300.62</v>
      </c>
      <c r="H32" s="24">
        <f t="shared" si="2"/>
        <v>1751.38</v>
      </c>
      <c r="I32" s="24">
        <v>2495</v>
      </c>
      <c r="J32" s="24">
        <v>0</v>
      </c>
      <c r="K32" s="24">
        <v>0</v>
      </c>
      <c r="L32" s="30">
        <f t="shared" si="0"/>
        <v>0</v>
      </c>
      <c r="M32" s="30">
        <f t="shared" si="3"/>
        <v>0</v>
      </c>
      <c r="N32" s="24">
        <f t="shared" si="4"/>
        <v>1</v>
      </c>
      <c r="O32" s="24">
        <f t="shared" si="1"/>
        <v>1</v>
      </c>
      <c r="P32" s="12"/>
      <c r="R32" s="12">
        <v>-2052</v>
      </c>
      <c r="S32" s="12">
        <f t="shared" si="5"/>
        <v>0</v>
      </c>
    </row>
    <row r="33" spans="1:19" x14ac:dyDescent="0.2">
      <c r="A33" s="14" t="s">
        <v>1637</v>
      </c>
      <c r="B33" s="24">
        <v>5354</v>
      </c>
      <c r="C33" s="24">
        <v>0</v>
      </c>
      <c r="D33" s="24"/>
      <c r="E33" s="24"/>
      <c r="F33" s="24">
        <v>2.37</v>
      </c>
      <c r="G33" s="24">
        <v>2334.5700000000002</v>
      </c>
      <c r="H33" s="24">
        <f t="shared" si="2"/>
        <v>3017.06</v>
      </c>
      <c r="I33" s="24">
        <v>4817</v>
      </c>
      <c r="J33" s="24">
        <v>2</v>
      </c>
      <c r="K33" s="24">
        <v>1</v>
      </c>
      <c r="L33" s="30">
        <f t="shared" si="0"/>
        <v>3</v>
      </c>
      <c r="M33" s="30">
        <f t="shared" si="3"/>
        <v>1167.2850000000001</v>
      </c>
      <c r="N33" s="24">
        <f t="shared" si="4"/>
        <v>2</v>
      </c>
      <c r="O33" s="24">
        <f t="shared" si="1"/>
        <v>1</v>
      </c>
      <c r="P33" s="12"/>
      <c r="R33" s="12">
        <v>-5353.67</v>
      </c>
      <c r="S33" s="12">
        <f t="shared" si="5"/>
        <v>0.32999999999992724</v>
      </c>
    </row>
    <row r="34" spans="1:19" x14ac:dyDescent="0.2">
      <c r="A34" s="14" t="s">
        <v>1620</v>
      </c>
      <c r="B34" s="24">
        <v>2410</v>
      </c>
      <c r="C34" s="24">
        <v>0</v>
      </c>
      <c r="D34" s="24"/>
      <c r="E34" s="24"/>
      <c r="F34" s="24"/>
      <c r="G34" s="24">
        <v>1890.25</v>
      </c>
      <c r="H34" s="24">
        <f t="shared" si="2"/>
        <v>519.75</v>
      </c>
      <c r="I34" s="24">
        <v>0</v>
      </c>
      <c r="J34" s="24">
        <v>0</v>
      </c>
      <c r="K34" s="24">
        <v>0</v>
      </c>
      <c r="L34" s="30">
        <f t="shared" si="0"/>
        <v>0</v>
      </c>
      <c r="M34" s="30">
        <f t="shared" si="3"/>
        <v>0</v>
      </c>
      <c r="N34" s="24">
        <f t="shared" si="4"/>
        <v>0</v>
      </c>
      <c r="O34" s="24">
        <f t="shared" si="1"/>
        <v>0</v>
      </c>
      <c r="P34" s="12"/>
      <c r="R34" s="12">
        <v>-2410</v>
      </c>
      <c r="S34" s="12">
        <f t="shared" si="5"/>
        <v>0</v>
      </c>
    </row>
    <row r="35" spans="1:19" x14ac:dyDescent="0.2">
      <c r="A35" s="14" t="s">
        <v>1802</v>
      </c>
      <c r="B35" s="24">
        <v>1673</v>
      </c>
      <c r="C35" s="24">
        <v>0</v>
      </c>
      <c r="D35" s="24">
        <v>27</v>
      </c>
      <c r="E35" s="24"/>
      <c r="F35" s="24"/>
      <c r="G35" s="24">
        <v>1113.05</v>
      </c>
      <c r="H35" s="24">
        <f t="shared" si="2"/>
        <v>532.95000000000005</v>
      </c>
      <c r="I35" s="24">
        <v>1371</v>
      </c>
      <c r="J35" s="24">
        <v>0</v>
      </c>
      <c r="K35" s="24">
        <v>0</v>
      </c>
      <c r="L35" s="30">
        <f t="shared" si="0"/>
        <v>0</v>
      </c>
      <c r="M35" s="30">
        <f t="shared" si="3"/>
        <v>0</v>
      </c>
      <c r="N35" s="24">
        <f t="shared" si="4"/>
        <v>0</v>
      </c>
      <c r="O35" s="24">
        <f t="shared" si="1"/>
        <v>0</v>
      </c>
      <c r="P35" s="12"/>
      <c r="R35" s="12">
        <v>-1673</v>
      </c>
      <c r="S35" s="12">
        <f t="shared" si="5"/>
        <v>0</v>
      </c>
    </row>
    <row r="36" spans="1:19" x14ac:dyDescent="0.2">
      <c r="A36" s="14" t="s">
        <v>2133</v>
      </c>
      <c r="B36" s="24">
        <v>6000</v>
      </c>
      <c r="C36" s="24">
        <v>0</v>
      </c>
      <c r="D36" s="24"/>
      <c r="E36" s="24">
        <v>621.01</v>
      </c>
      <c r="F36" s="24"/>
      <c r="G36" s="24"/>
      <c r="H36" s="24">
        <f t="shared" si="2"/>
        <v>5378.99</v>
      </c>
      <c r="I36" s="24">
        <v>0</v>
      </c>
      <c r="J36" s="24">
        <v>0</v>
      </c>
      <c r="K36" s="24">
        <v>0</v>
      </c>
      <c r="L36" s="30">
        <f t="shared" si="0"/>
        <v>0</v>
      </c>
      <c r="M36" s="30">
        <f t="shared" si="3"/>
        <v>0</v>
      </c>
      <c r="N36" s="24">
        <f t="shared" si="4"/>
        <v>0</v>
      </c>
      <c r="O36" s="24">
        <f t="shared" si="1"/>
        <v>0</v>
      </c>
      <c r="P36" s="12"/>
      <c r="R36" s="12">
        <v>-6000</v>
      </c>
      <c r="S36" s="12">
        <f t="shared" si="5"/>
        <v>0</v>
      </c>
    </row>
    <row r="37" spans="1:19" x14ac:dyDescent="0.2">
      <c r="A37" s="14" t="s">
        <v>1564</v>
      </c>
      <c r="B37" s="24">
        <v>2265</v>
      </c>
      <c r="C37" s="24">
        <v>950</v>
      </c>
      <c r="D37" s="24"/>
      <c r="E37" s="24"/>
      <c r="F37" s="24">
        <v>2.8</v>
      </c>
      <c r="G37" s="24">
        <v>11042.580000000002</v>
      </c>
      <c r="H37" s="24">
        <f t="shared" si="2"/>
        <v>-7830.3800000000019</v>
      </c>
      <c r="I37" s="24">
        <v>1964</v>
      </c>
      <c r="J37" s="24">
        <v>4</v>
      </c>
      <c r="K37" s="24">
        <v>2</v>
      </c>
      <c r="L37" s="30">
        <f t="shared" si="0"/>
        <v>6</v>
      </c>
      <c r="M37" s="30">
        <f t="shared" si="3"/>
        <v>2523.1450000000004</v>
      </c>
      <c r="N37" s="24">
        <f t="shared" si="4"/>
        <v>1</v>
      </c>
      <c r="O37" s="24">
        <f t="shared" si="1"/>
        <v>-1</v>
      </c>
      <c r="P37" s="12"/>
      <c r="R37" s="12">
        <v>-2265</v>
      </c>
      <c r="S37" s="12">
        <f t="shared" si="5"/>
        <v>0</v>
      </c>
    </row>
    <row r="38" spans="1:19" x14ac:dyDescent="0.2">
      <c r="A38" s="14" t="s">
        <v>1601</v>
      </c>
      <c r="B38" s="24">
        <v>3062</v>
      </c>
      <c r="C38" s="24">
        <v>0</v>
      </c>
      <c r="D38" s="24"/>
      <c r="E38" s="24"/>
      <c r="F38" s="24"/>
      <c r="G38" s="24">
        <v>93.81</v>
      </c>
      <c r="H38" s="24">
        <f t="shared" si="2"/>
        <v>2968.19</v>
      </c>
      <c r="I38" s="24">
        <v>3130</v>
      </c>
      <c r="J38" s="24">
        <v>0</v>
      </c>
      <c r="K38" s="24">
        <v>0</v>
      </c>
      <c r="L38" s="30">
        <f t="shared" si="0"/>
        <v>0</v>
      </c>
      <c r="M38" s="30">
        <f t="shared" si="3"/>
        <v>0</v>
      </c>
      <c r="N38" s="24">
        <f t="shared" si="4"/>
        <v>1</v>
      </c>
      <c r="O38" s="24">
        <f t="shared" si="1"/>
        <v>1</v>
      </c>
      <c r="P38" s="12"/>
      <c r="R38" s="12">
        <v>-3061.95</v>
      </c>
      <c r="S38" s="12">
        <f t="shared" si="5"/>
        <v>5.0000000000181899E-2</v>
      </c>
    </row>
    <row r="39" spans="1:19" x14ac:dyDescent="0.2">
      <c r="A39" s="14" t="s">
        <v>1621</v>
      </c>
      <c r="B39" s="24">
        <v>19004</v>
      </c>
      <c r="C39" s="24">
        <v>2526</v>
      </c>
      <c r="D39" s="24">
        <v>150.94999999999999</v>
      </c>
      <c r="E39" s="24">
        <v>75.7</v>
      </c>
      <c r="F39" s="24">
        <v>12.2</v>
      </c>
      <c r="G39" s="24">
        <v>14203.150000000001</v>
      </c>
      <c r="H39" s="24">
        <f t="shared" si="2"/>
        <v>7087.9999999999964</v>
      </c>
      <c r="I39" s="24">
        <v>7714</v>
      </c>
      <c r="J39" s="24">
        <v>9</v>
      </c>
      <c r="K39" s="24">
        <v>3</v>
      </c>
      <c r="L39" s="30">
        <f t="shared" si="0"/>
        <v>12</v>
      </c>
      <c r="M39" s="30">
        <f t="shared" si="3"/>
        <v>1297.4611111111112</v>
      </c>
      <c r="N39" s="24">
        <f t="shared" si="4"/>
        <v>3</v>
      </c>
      <c r="O39" s="24">
        <f t="shared" si="1"/>
        <v>0</v>
      </c>
      <c r="P39" s="12"/>
      <c r="R39" s="12">
        <v>-19003.75</v>
      </c>
      <c r="S39" s="12">
        <f t="shared" si="5"/>
        <v>0.25</v>
      </c>
    </row>
    <row r="40" spans="1:19" x14ac:dyDescent="0.2">
      <c r="A40" s="14" t="s">
        <v>1627</v>
      </c>
      <c r="B40" s="24">
        <v>0</v>
      </c>
      <c r="C40" s="24">
        <v>0</v>
      </c>
      <c r="D40" s="24"/>
      <c r="E40" s="24"/>
      <c r="F40" s="24"/>
      <c r="G40" s="24">
        <v>1314.82</v>
      </c>
      <c r="H40" s="24">
        <f t="shared" si="2"/>
        <v>-1314.82</v>
      </c>
      <c r="I40" s="24">
        <v>5394</v>
      </c>
      <c r="J40" s="24">
        <v>1</v>
      </c>
      <c r="K40" s="24">
        <v>0</v>
      </c>
      <c r="L40" s="30">
        <f t="shared" si="0"/>
        <v>1</v>
      </c>
      <c r="M40" s="30">
        <f t="shared" si="3"/>
        <v>1314.82</v>
      </c>
      <c r="N40" s="24">
        <f t="shared" si="4"/>
        <v>2</v>
      </c>
      <c r="O40" s="24">
        <f t="shared" si="1"/>
        <v>2</v>
      </c>
      <c r="P40" s="12"/>
      <c r="R40" s="12"/>
      <c r="S40" s="12">
        <f t="shared" si="5"/>
        <v>0</v>
      </c>
    </row>
    <row r="41" spans="1:19" x14ac:dyDescent="0.2">
      <c r="A41" s="14" t="s">
        <v>1592</v>
      </c>
      <c r="B41" s="24">
        <v>24276</v>
      </c>
      <c r="C41" s="24">
        <v>750</v>
      </c>
      <c r="D41" s="24"/>
      <c r="E41" s="24"/>
      <c r="F41" s="24"/>
      <c r="G41" s="24">
        <v>25234.949999999997</v>
      </c>
      <c r="H41" s="24">
        <f t="shared" si="2"/>
        <v>-208.94999999999709</v>
      </c>
      <c r="I41" s="24">
        <v>8929</v>
      </c>
      <c r="J41" s="24">
        <v>4</v>
      </c>
      <c r="K41" s="24">
        <v>5</v>
      </c>
      <c r="L41" s="30">
        <f t="shared" si="0"/>
        <v>9</v>
      </c>
      <c r="M41" s="30">
        <f t="shared" si="3"/>
        <v>6121.2374999999993</v>
      </c>
      <c r="N41" s="24">
        <f t="shared" si="4"/>
        <v>3</v>
      </c>
      <c r="O41" s="24">
        <f t="shared" si="1"/>
        <v>-2</v>
      </c>
      <c r="P41" s="12"/>
      <c r="R41" s="12">
        <v>-24276.090000000004</v>
      </c>
      <c r="S41" s="12">
        <f t="shared" si="5"/>
        <v>-9.0000000003783498E-2</v>
      </c>
    </row>
    <row r="42" spans="1:19" x14ac:dyDescent="0.2">
      <c r="A42" s="14" t="s">
        <v>2120</v>
      </c>
      <c r="B42" s="24">
        <v>7927</v>
      </c>
      <c r="C42" s="24">
        <v>0</v>
      </c>
      <c r="D42" s="24">
        <v>0.49</v>
      </c>
      <c r="E42" s="24">
        <v>3615.23</v>
      </c>
      <c r="F42" s="24">
        <v>9.93</v>
      </c>
      <c r="G42" s="24">
        <v>5029.99</v>
      </c>
      <c r="H42" s="24">
        <f t="shared" si="2"/>
        <v>-728.63999999999942</v>
      </c>
      <c r="I42" s="24">
        <v>8887</v>
      </c>
      <c r="J42" s="24">
        <v>0</v>
      </c>
      <c r="K42" s="24">
        <v>0</v>
      </c>
      <c r="L42" s="30">
        <f t="shared" si="0"/>
        <v>0</v>
      </c>
      <c r="M42" s="30">
        <f t="shared" si="3"/>
        <v>0</v>
      </c>
      <c r="N42" s="24">
        <f t="shared" si="4"/>
        <v>3</v>
      </c>
      <c r="O42" s="24">
        <f t="shared" si="1"/>
        <v>3</v>
      </c>
      <c r="P42" s="12"/>
      <c r="R42" s="12">
        <v>-7927.17</v>
      </c>
      <c r="S42" s="12">
        <f t="shared" si="5"/>
        <v>-0.17000000000007276</v>
      </c>
    </row>
    <row r="43" spans="1:19" x14ac:dyDescent="0.2">
      <c r="A43" s="14" t="s">
        <v>2138</v>
      </c>
      <c r="B43" s="24">
        <v>0</v>
      </c>
      <c r="C43" s="24">
        <v>0</v>
      </c>
      <c r="D43" s="24"/>
      <c r="E43" s="24"/>
      <c r="F43" s="24"/>
      <c r="G43" s="24">
        <v>0</v>
      </c>
      <c r="H43" s="24">
        <f t="shared" ref="H43" si="8">+B43+C43-D43-E43-F43-G43</f>
        <v>0</v>
      </c>
      <c r="I43" s="24">
        <v>126</v>
      </c>
      <c r="J43" s="24">
        <v>0</v>
      </c>
      <c r="K43" s="24">
        <v>1</v>
      </c>
      <c r="L43" s="30">
        <f t="shared" si="0"/>
        <v>1</v>
      </c>
      <c r="M43" s="30">
        <f t="shared" si="3"/>
        <v>0</v>
      </c>
      <c r="N43" s="24"/>
      <c r="O43" s="24"/>
      <c r="P43" s="12"/>
      <c r="R43" s="12"/>
      <c r="S43" s="12"/>
    </row>
    <row r="44" spans="1:19" x14ac:dyDescent="0.2">
      <c r="A44" s="14" t="s">
        <v>2131</v>
      </c>
      <c r="B44" s="24">
        <v>0</v>
      </c>
      <c r="C44" s="24">
        <v>0</v>
      </c>
      <c r="D44" s="24"/>
      <c r="E44" s="24"/>
      <c r="F44" s="24"/>
      <c r="G44" s="24">
        <v>48</v>
      </c>
      <c r="H44" s="24">
        <f t="shared" si="2"/>
        <v>-48</v>
      </c>
      <c r="I44" s="24">
        <v>0</v>
      </c>
      <c r="J44" s="24">
        <v>0</v>
      </c>
      <c r="K44" s="24">
        <v>0</v>
      </c>
      <c r="L44" s="30">
        <f t="shared" si="0"/>
        <v>0</v>
      </c>
      <c r="M44" s="30">
        <f t="shared" si="3"/>
        <v>0</v>
      </c>
      <c r="N44" s="24">
        <f t="shared" si="4"/>
        <v>0</v>
      </c>
      <c r="O44" s="24">
        <f t="shared" si="1"/>
        <v>0</v>
      </c>
      <c r="P44" s="12"/>
      <c r="R44" s="12"/>
      <c r="S44" s="12">
        <f t="shared" si="5"/>
        <v>0</v>
      </c>
    </row>
    <row r="45" spans="1:19" x14ac:dyDescent="0.2">
      <c r="A45" s="14" t="s">
        <v>1548</v>
      </c>
      <c r="B45" s="24">
        <v>8545</v>
      </c>
      <c r="C45" s="24">
        <v>2342</v>
      </c>
      <c r="D45" s="24">
        <v>237.31</v>
      </c>
      <c r="E45" s="24"/>
      <c r="F45" s="24">
        <v>13.8</v>
      </c>
      <c r="G45" s="24">
        <v>7450.2700000000023</v>
      </c>
      <c r="H45" s="24">
        <f t="shared" si="2"/>
        <v>3185.619999999999</v>
      </c>
      <c r="I45" s="24">
        <v>2333</v>
      </c>
      <c r="J45" s="24">
        <v>4</v>
      </c>
      <c r="K45" s="24">
        <v>1</v>
      </c>
      <c r="L45" s="30">
        <f t="shared" si="0"/>
        <v>5</v>
      </c>
      <c r="M45" s="30">
        <f t="shared" si="3"/>
        <v>1277.0675000000006</v>
      </c>
      <c r="N45" s="24">
        <f t="shared" si="4"/>
        <v>1</v>
      </c>
      <c r="O45" s="24">
        <f t="shared" si="1"/>
        <v>0</v>
      </c>
      <c r="P45" s="12"/>
      <c r="R45" s="12">
        <v>-8544.82</v>
      </c>
      <c r="S45" s="12">
        <f t="shared" si="5"/>
        <v>0.18000000000029104</v>
      </c>
    </row>
    <row r="46" spans="1:19" x14ac:dyDescent="0.2">
      <c r="A46" s="14" t="s">
        <v>1581</v>
      </c>
      <c r="B46" s="24">
        <v>7816</v>
      </c>
      <c r="C46" s="24">
        <v>0</v>
      </c>
      <c r="D46" s="24"/>
      <c r="E46" s="24"/>
      <c r="F46" s="24">
        <v>8.77</v>
      </c>
      <c r="G46" s="24">
        <v>7231.1200000000026</v>
      </c>
      <c r="H46" s="24">
        <f t="shared" si="2"/>
        <v>576.10999999999694</v>
      </c>
      <c r="I46" s="24">
        <v>84106</v>
      </c>
      <c r="J46" s="24">
        <v>2</v>
      </c>
      <c r="K46" s="24">
        <v>0</v>
      </c>
      <c r="L46" s="30">
        <f t="shared" si="0"/>
        <v>2</v>
      </c>
      <c r="M46" s="30">
        <f t="shared" si="3"/>
        <v>3615.5600000000013</v>
      </c>
      <c r="N46" s="24">
        <f t="shared" si="4"/>
        <v>28</v>
      </c>
      <c r="O46" s="24">
        <f t="shared" si="1"/>
        <v>28</v>
      </c>
      <c r="P46" s="12"/>
      <c r="R46" s="12">
        <v>-7816.15</v>
      </c>
      <c r="S46" s="12">
        <f t="shared" si="5"/>
        <v>-0.1499999999996362</v>
      </c>
    </row>
    <row r="47" spans="1:19" x14ac:dyDescent="0.2">
      <c r="A47" s="14" t="s">
        <v>1641</v>
      </c>
      <c r="B47" s="24">
        <f>-1805+2800</f>
        <v>995</v>
      </c>
      <c r="C47" s="24">
        <v>0</v>
      </c>
      <c r="D47" s="24"/>
      <c r="E47" s="24"/>
      <c r="F47" s="24"/>
      <c r="G47" s="24">
        <v>451.1</v>
      </c>
      <c r="H47" s="24">
        <f t="shared" si="2"/>
        <v>543.9</v>
      </c>
      <c r="I47" s="24">
        <v>3242</v>
      </c>
      <c r="J47" s="24">
        <v>1</v>
      </c>
      <c r="K47" s="24">
        <v>1</v>
      </c>
      <c r="L47" s="30">
        <f t="shared" si="0"/>
        <v>2</v>
      </c>
      <c r="M47" s="30">
        <f t="shared" si="3"/>
        <v>451.1</v>
      </c>
      <c r="N47" s="24">
        <f t="shared" si="4"/>
        <v>1</v>
      </c>
      <c r="O47" s="24">
        <f t="shared" si="1"/>
        <v>0</v>
      </c>
      <c r="R47" s="12">
        <v>1805</v>
      </c>
      <c r="S47" s="12">
        <f t="shared" si="5"/>
        <v>2800</v>
      </c>
    </row>
    <row r="48" spans="1:19" x14ac:dyDescent="0.2">
      <c r="A48" s="14" t="s">
        <v>2132</v>
      </c>
      <c r="B48" s="24">
        <v>0</v>
      </c>
      <c r="C48" s="24">
        <v>0</v>
      </c>
      <c r="D48" s="24"/>
      <c r="E48" s="24">
        <v>1390.62</v>
      </c>
      <c r="F48" s="24"/>
      <c r="G48" s="24">
        <v>1390.63</v>
      </c>
      <c r="H48" s="24">
        <f t="shared" si="2"/>
        <v>-2781.25</v>
      </c>
      <c r="I48" s="24">
        <v>93488</v>
      </c>
      <c r="J48" s="24">
        <v>0</v>
      </c>
      <c r="K48" s="24">
        <v>0</v>
      </c>
      <c r="L48" s="30">
        <f t="shared" si="0"/>
        <v>0</v>
      </c>
      <c r="M48" s="30">
        <f t="shared" si="3"/>
        <v>0</v>
      </c>
      <c r="N48" s="24">
        <f t="shared" si="4"/>
        <v>31</v>
      </c>
      <c r="O48" s="24">
        <f t="shared" si="1"/>
        <v>31</v>
      </c>
      <c r="R48" s="12"/>
      <c r="S48" s="12">
        <f t="shared" si="5"/>
        <v>0</v>
      </c>
    </row>
    <row r="49" spans="1:19" x14ac:dyDescent="0.2">
      <c r="A49" s="14" t="s">
        <v>1630</v>
      </c>
      <c r="B49" s="24">
        <v>8084</v>
      </c>
      <c r="C49" s="24">
        <v>119</v>
      </c>
      <c r="D49" s="24"/>
      <c r="E49" s="24"/>
      <c r="F49" s="24">
        <v>0.41</v>
      </c>
      <c r="G49" s="24">
        <v>12653.879999999997</v>
      </c>
      <c r="H49" s="24">
        <f t="shared" si="2"/>
        <v>-4451.2899999999972</v>
      </c>
      <c r="I49" s="24">
        <v>9569</v>
      </c>
      <c r="J49" s="24">
        <v>5</v>
      </c>
      <c r="K49" s="24">
        <v>0</v>
      </c>
      <c r="L49" s="30">
        <f t="shared" si="0"/>
        <v>5</v>
      </c>
      <c r="M49" s="30">
        <f t="shared" si="3"/>
        <v>2506.9759999999997</v>
      </c>
      <c r="N49" s="24">
        <f t="shared" si="4"/>
        <v>3</v>
      </c>
      <c r="O49" s="24">
        <f t="shared" si="1"/>
        <v>3</v>
      </c>
      <c r="R49" s="12">
        <v>-8084.1</v>
      </c>
      <c r="S49" s="12">
        <f t="shared" ref="S49:S51" si="9">+B49+R49</f>
        <v>-0.1000000000003638</v>
      </c>
    </row>
    <row r="50" spans="1:19" x14ac:dyDescent="0.2">
      <c r="A50" s="14" t="s">
        <v>1610</v>
      </c>
      <c r="B50" s="24">
        <f>140024+2652</f>
        <v>142676</v>
      </c>
      <c r="C50" s="24">
        <v>134</v>
      </c>
      <c r="D50" s="24">
        <v>44760.04</v>
      </c>
      <c r="E50" s="24">
        <v>2527.36</v>
      </c>
      <c r="F50" s="24">
        <v>2</v>
      </c>
      <c r="G50" s="24">
        <f>26160.15+6</f>
        <v>26166.15</v>
      </c>
      <c r="H50" s="24">
        <f t="shared" si="2"/>
        <v>69354.449999999983</v>
      </c>
      <c r="I50" s="24">
        <v>10212</v>
      </c>
      <c r="J50" s="24">
        <v>7</v>
      </c>
      <c r="K50" s="24">
        <v>0</v>
      </c>
      <c r="L50" s="30">
        <f t="shared" si="0"/>
        <v>7</v>
      </c>
      <c r="M50" s="30">
        <f t="shared" si="3"/>
        <v>3718.8785714285718</v>
      </c>
      <c r="N50" s="24">
        <f t="shared" si="4"/>
        <v>3</v>
      </c>
      <c r="O50" s="24">
        <f t="shared" si="1"/>
        <v>3</v>
      </c>
      <c r="R50" s="12">
        <v>-140023.69999999998</v>
      </c>
      <c r="S50" s="12">
        <f t="shared" si="9"/>
        <v>2652.3000000000175</v>
      </c>
    </row>
    <row r="51" spans="1:19" x14ac:dyDescent="0.2">
      <c r="A51" s="14" t="s">
        <v>1734</v>
      </c>
      <c r="B51" s="28">
        <v>2150</v>
      </c>
      <c r="C51" s="28">
        <v>552</v>
      </c>
      <c r="D51" s="28"/>
      <c r="E51" s="28"/>
      <c r="F51" s="28"/>
      <c r="G51" s="28">
        <v>11086.130000000001</v>
      </c>
      <c r="H51" s="28">
        <f t="shared" si="2"/>
        <v>-8384.130000000001</v>
      </c>
      <c r="I51" s="28">
        <v>22267</v>
      </c>
      <c r="J51" s="28">
        <v>0</v>
      </c>
      <c r="K51" s="28">
        <v>0</v>
      </c>
      <c r="L51" s="32">
        <f t="shared" si="0"/>
        <v>0</v>
      </c>
      <c r="M51" s="32">
        <f t="shared" si="3"/>
        <v>0</v>
      </c>
      <c r="N51" s="28">
        <f t="shared" si="4"/>
        <v>7</v>
      </c>
      <c r="O51" s="28">
        <f t="shared" si="1"/>
        <v>7</v>
      </c>
      <c r="R51" s="12">
        <v>-2149.42</v>
      </c>
      <c r="S51" s="12">
        <f t="shared" si="9"/>
        <v>0.57999999999992724</v>
      </c>
    </row>
    <row r="52" spans="1:19" x14ac:dyDescent="0.2">
      <c r="A52" s="14"/>
      <c r="B52" s="24"/>
      <c r="C52" s="24"/>
      <c r="D52" s="24"/>
      <c r="E52" s="24"/>
      <c r="F52" s="24"/>
      <c r="G52" s="24"/>
      <c r="H52" s="24"/>
      <c r="I52" s="24"/>
      <c r="M52" s="30"/>
    </row>
    <row r="53" spans="1:19" ht="13.5" thickBot="1" x14ac:dyDescent="0.25">
      <c r="B53" s="34">
        <f>SUM(B8:B52)</f>
        <v>586670</v>
      </c>
      <c r="C53" s="34">
        <f>SUM(C8:C51)</f>
        <v>90494</v>
      </c>
      <c r="D53" s="34">
        <f t="shared" ref="D53:I53" si="10">SUM(D8:D52)</f>
        <v>81386.38</v>
      </c>
      <c r="E53" s="34">
        <f t="shared" si="10"/>
        <v>44809.79</v>
      </c>
      <c r="F53" s="34">
        <f t="shared" si="10"/>
        <v>68567.010000000053</v>
      </c>
      <c r="G53" s="34">
        <f t="shared" si="10"/>
        <v>468449.35000000003</v>
      </c>
      <c r="H53" s="34">
        <f t="shared" si="10"/>
        <v>13951.469999999845</v>
      </c>
      <c r="I53" s="34">
        <f t="shared" si="10"/>
        <v>407793</v>
      </c>
      <c r="J53" s="33">
        <f>SUM(J8:J51)</f>
        <v>115</v>
      </c>
      <c r="K53" s="33">
        <f>SUM(K8:K51)</f>
        <v>30</v>
      </c>
      <c r="L53" s="33">
        <f>SUM(L8:L51)</f>
        <v>145</v>
      </c>
      <c r="M53" s="34">
        <f t="shared" si="3"/>
        <v>3286.5682608695656</v>
      </c>
      <c r="N53" s="33">
        <f>SUM(N9:N51)</f>
        <v>127</v>
      </c>
      <c r="O53" s="33">
        <f>SUM(O9:O47)</f>
        <v>54</v>
      </c>
    </row>
    <row r="54" spans="1:19" ht="13.5" thickTop="1" x14ac:dyDescent="0.2">
      <c r="H54" s="18"/>
    </row>
    <row r="59" spans="1:19" x14ac:dyDescent="0.2">
      <c r="A59" s="14" t="s">
        <v>1542</v>
      </c>
      <c r="B59" s="24"/>
      <c r="C59" s="24">
        <v>0</v>
      </c>
      <c r="D59" s="24"/>
      <c r="E59" s="24">
        <v>0</v>
      </c>
      <c r="F59" s="24">
        <v>0</v>
      </c>
      <c r="G59" s="24">
        <v>0</v>
      </c>
      <c r="H59" s="24">
        <v>0</v>
      </c>
      <c r="I59" s="24">
        <v>2816.69</v>
      </c>
      <c r="J59" s="24">
        <v>0</v>
      </c>
      <c r="K59" s="24">
        <v>0</v>
      </c>
      <c r="L59" s="30">
        <f>+J59+K59</f>
        <v>0</v>
      </c>
      <c r="M59" s="30">
        <v>0</v>
      </c>
      <c r="N59" s="24">
        <f>ROUND(+I59/3000,0)</f>
        <v>1</v>
      </c>
      <c r="O59" s="24">
        <f>ROUND(+N59-K59,0)</f>
        <v>1</v>
      </c>
      <c r="P59" s="12"/>
    </row>
    <row r="60" spans="1:19" x14ac:dyDescent="0.2">
      <c r="A60" s="14" t="s">
        <v>1042</v>
      </c>
      <c r="B60" s="24">
        <v>0</v>
      </c>
      <c r="C60" s="24">
        <v>0</v>
      </c>
      <c r="D60" s="24"/>
      <c r="E60" s="24">
        <v>0</v>
      </c>
      <c r="F60" s="24">
        <v>0</v>
      </c>
      <c r="G60" s="24">
        <v>17</v>
      </c>
      <c r="H60" s="24">
        <f>+B60+C60-E60-F60-G60</f>
        <v>-17</v>
      </c>
      <c r="I60" s="24">
        <v>773.37</v>
      </c>
      <c r="J60" s="24">
        <v>0</v>
      </c>
      <c r="K60" s="24">
        <v>0</v>
      </c>
      <c r="L60" s="30">
        <f>+J60+K60</f>
        <v>0</v>
      </c>
      <c r="M60" s="30">
        <v>0</v>
      </c>
      <c r="N60" s="24">
        <f>ROUND(+I60/3000,0)</f>
        <v>0</v>
      </c>
      <c r="O60" s="24">
        <f>ROUND(+N60-K60,0)</f>
        <v>0</v>
      </c>
      <c r="P60" s="12"/>
    </row>
    <row r="61" spans="1:19" x14ac:dyDescent="0.2">
      <c r="A61" s="22" t="s">
        <v>1494</v>
      </c>
      <c r="B61" s="24">
        <v>0</v>
      </c>
      <c r="C61" s="24">
        <v>0</v>
      </c>
      <c r="D61" s="24"/>
      <c r="E61" s="24">
        <v>0</v>
      </c>
      <c r="F61" s="24">
        <v>0</v>
      </c>
      <c r="G61" s="24"/>
      <c r="H61" s="24"/>
      <c r="I61" s="24">
        <v>463.16999999999996</v>
      </c>
      <c r="J61" s="24">
        <v>0</v>
      </c>
      <c r="K61" s="24">
        <v>0</v>
      </c>
      <c r="L61" s="30">
        <f>+J61+K61</f>
        <v>0</v>
      </c>
      <c r="M61" s="30">
        <v>0</v>
      </c>
      <c r="N61" s="24">
        <f>ROUND(+I61/3000,0)</f>
        <v>0</v>
      </c>
      <c r="O61" s="24">
        <f>ROUND(+N61-K61,0)</f>
        <v>0</v>
      </c>
      <c r="P61" s="12"/>
    </row>
    <row r="62" spans="1:19" x14ac:dyDescent="0.2">
      <c r="A62" s="14" t="s">
        <v>1125</v>
      </c>
      <c r="B62" s="24">
        <v>0</v>
      </c>
      <c r="C62" s="24">
        <v>0</v>
      </c>
      <c r="D62" s="24"/>
      <c r="E62" s="24">
        <v>0</v>
      </c>
      <c r="F62" s="24">
        <v>0</v>
      </c>
      <c r="G62" s="24">
        <v>0</v>
      </c>
      <c r="H62" s="24">
        <f>+B62+C62-E62-F62-G62</f>
        <v>0</v>
      </c>
      <c r="I62" s="24">
        <v>102.94</v>
      </c>
      <c r="J62" s="24">
        <v>0</v>
      </c>
      <c r="K62" s="24">
        <v>0</v>
      </c>
      <c r="L62" s="30">
        <f>+J62+K62</f>
        <v>0</v>
      </c>
      <c r="M62" s="30">
        <v>0</v>
      </c>
      <c r="N62" s="24">
        <f>ROUND(+I62/3000,0)</f>
        <v>0</v>
      </c>
      <c r="O62" s="24">
        <f>ROUND(+N62-K62,0)</f>
        <v>0</v>
      </c>
      <c r="P62" s="12"/>
    </row>
    <row r="63" spans="1:19" x14ac:dyDescent="0.2">
      <c r="A63" s="14" t="s">
        <v>1506</v>
      </c>
      <c r="B63" s="24">
        <v>0</v>
      </c>
      <c r="C63" s="24">
        <v>0</v>
      </c>
      <c r="D63" s="24"/>
      <c r="E63" s="24">
        <v>0</v>
      </c>
      <c r="F63" s="24">
        <v>0</v>
      </c>
      <c r="G63" s="24">
        <v>0</v>
      </c>
      <c r="H63" s="24">
        <v>0</v>
      </c>
      <c r="I63" s="24">
        <v>116.25</v>
      </c>
      <c r="J63" s="24">
        <v>0</v>
      </c>
      <c r="K63" s="24">
        <v>0</v>
      </c>
      <c r="L63" s="30">
        <f>+J63+K63</f>
        <v>0</v>
      </c>
      <c r="M63" s="30">
        <v>0</v>
      </c>
      <c r="N63" s="24">
        <f>ROUND(+I63/3000,0)</f>
        <v>0</v>
      </c>
      <c r="O63" s="24">
        <f>ROUND(+N63-K63,0)</f>
        <v>0</v>
      </c>
      <c r="P63" s="12"/>
    </row>
    <row r="64" spans="1:19" x14ac:dyDescent="0.2">
      <c r="B64" s="30">
        <f>SUM(B59:B63)</f>
        <v>0</v>
      </c>
      <c r="C64" s="30">
        <f t="shared" ref="C64:I64" si="11">SUM(C59:C63)</f>
        <v>0</v>
      </c>
      <c r="D64" s="30"/>
      <c r="E64" s="30">
        <f t="shared" si="11"/>
        <v>0</v>
      </c>
      <c r="F64" s="30">
        <f t="shared" si="11"/>
        <v>0</v>
      </c>
      <c r="G64" s="30">
        <f t="shared" si="11"/>
        <v>17</v>
      </c>
      <c r="H64" s="30">
        <f t="shared" si="11"/>
        <v>-17</v>
      </c>
      <c r="I64" s="30">
        <f t="shared" si="11"/>
        <v>4272.42</v>
      </c>
    </row>
  </sheetData>
  <sortState xmlns:xlrd2="http://schemas.microsoft.com/office/spreadsheetml/2017/richdata2" ref="A9:N45">
    <sortCondition ref="A9"/>
  </sortState>
  <mergeCells count="2">
    <mergeCell ref="B6:C6"/>
    <mergeCell ref="D6:G6"/>
  </mergeCells>
  <printOptions gridLines="1"/>
  <pageMargins left="0.5" right="0.25" top="0.5" bottom="0.2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14"/>
  <sheetViews>
    <sheetView workbookViewId="0">
      <selection activeCell="D28" sqref="D28"/>
    </sheetView>
  </sheetViews>
  <sheetFormatPr defaultRowHeight="12.75" x14ac:dyDescent="0.2"/>
  <cols>
    <col min="1" max="1" width="23" customWidth="1"/>
    <col min="2" max="2" width="25" style="10" customWidth="1"/>
    <col min="3" max="5" width="25" customWidth="1"/>
    <col min="6" max="6" width="12.85546875" customWidth="1"/>
    <col min="7" max="8" width="27" customWidth="1"/>
    <col min="9" max="9" width="12.85546875" customWidth="1"/>
    <col min="10" max="32" width="29.7109375" bestFit="1" customWidth="1"/>
    <col min="33" max="33" width="12.28515625" customWidth="1"/>
    <col min="34" max="56" width="29.7109375" bestFit="1" customWidth="1"/>
    <col min="57" max="57" width="12.28515625" bestFit="1" customWidth="1"/>
  </cols>
  <sheetData>
    <row r="1" spans="1:6" x14ac:dyDescent="0.2">
      <c r="B1"/>
    </row>
    <row r="3" spans="1:6" x14ac:dyDescent="0.2">
      <c r="A3" s="44" t="s">
        <v>1274</v>
      </c>
      <c r="B3" s="44" t="s">
        <v>1358</v>
      </c>
      <c r="C3" s="45"/>
      <c r="D3" s="45"/>
      <c r="E3" s="45"/>
      <c r="F3" s="46"/>
    </row>
    <row r="4" spans="1:6" x14ac:dyDescent="0.2">
      <c r="A4" s="44" t="s">
        <v>1218</v>
      </c>
      <c r="B4" s="47" t="s">
        <v>1224</v>
      </c>
      <c r="C4" s="48" t="s">
        <v>1226</v>
      </c>
      <c r="D4" s="48" t="s">
        <v>1225</v>
      </c>
      <c r="E4" s="48" t="s">
        <v>1231</v>
      </c>
      <c r="F4" s="49" t="s">
        <v>1272</v>
      </c>
    </row>
    <row r="5" spans="1:6" x14ac:dyDescent="0.2">
      <c r="A5" s="47" t="s">
        <v>1801</v>
      </c>
      <c r="B5" s="50">
        <v>-1000</v>
      </c>
      <c r="C5" s="51">
        <v>-4600</v>
      </c>
      <c r="D5" s="51"/>
      <c r="E5" s="51"/>
      <c r="F5" s="52">
        <v>-5600</v>
      </c>
    </row>
    <row r="6" spans="1:6" x14ac:dyDescent="0.2">
      <c r="A6" s="53" t="s">
        <v>1605</v>
      </c>
      <c r="B6" s="54">
        <v>-7785.27</v>
      </c>
      <c r="C6" s="12"/>
      <c r="D6" s="12"/>
      <c r="E6" s="12"/>
      <c r="F6" s="55">
        <v>-7785.27</v>
      </c>
    </row>
    <row r="7" spans="1:6" x14ac:dyDescent="0.2">
      <c r="A7" s="53" t="s">
        <v>1568</v>
      </c>
      <c r="B7" s="54">
        <v>-240.40999999999622</v>
      </c>
      <c r="C7" s="12">
        <v>-385</v>
      </c>
      <c r="D7" s="12"/>
      <c r="E7" s="12">
        <v>-5.03</v>
      </c>
      <c r="F7" s="55">
        <v>-630.43999999999619</v>
      </c>
    </row>
    <row r="8" spans="1:6" x14ac:dyDescent="0.2">
      <c r="A8" s="53" t="s">
        <v>1573</v>
      </c>
      <c r="B8" s="54">
        <v>-19817.760000000002</v>
      </c>
      <c r="C8" s="12"/>
      <c r="D8" s="12"/>
      <c r="E8" s="12"/>
      <c r="F8" s="55">
        <v>-19817.760000000002</v>
      </c>
    </row>
    <row r="9" spans="1:6" x14ac:dyDescent="0.2">
      <c r="A9" s="53" t="s">
        <v>1586</v>
      </c>
      <c r="B9" s="54">
        <v>-118</v>
      </c>
      <c r="C9" s="12"/>
      <c r="D9" s="12"/>
      <c r="E9" s="12"/>
      <c r="F9" s="55">
        <v>-118</v>
      </c>
    </row>
    <row r="10" spans="1:6" x14ac:dyDescent="0.2">
      <c r="A10" s="53" t="s">
        <v>1552</v>
      </c>
      <c r="B10" s="54">
        <v>-4182</v>
      </c>
      <c r="C10" s="12">
        <v>-300</v>
      </c>
      <c r="D10" s="12">
        <v>-3000</v>
      </c>
      <c r="E10" s="12"/>
      <c r="F10" s="55">
        <v>-7482</v>
      </c>
    </row>
    <row r="11" spans="1:6" x14ac:dyDescent="0.2">
      <c r="A11" s="53" t="s">
        <v>1594</v>
      </c>
      <c r="B11" s="54">
        <v>-200</v>
      </c>
      <c r="C11" s="12"/>
      <c r="D11" s="12"/>
      <c r="E11" s="12"/>
      <c r="F11" s="55">
        <v>-200</v>
      </c>
    </row>
    <row r="12" spans="1:6" x14ac:dyDescent="0.2">
      <c r="A12" s="53" t="s">
        <v>1545</v>
      </c>
      <c r="B12" s="54">
        <v>-37632.67</v>
      </c>
      <c r="C12" s="12">
        <v>-2450.5</v>
      </c>
      <c r="D12" s="12">
        <v>-7800</v>
      </c>
      <c r="E12" s="12"/>
      <c r="F12" s="55">
        <v>-47883.17</v>
      </c>
    </row>
    <row r="13" spans="1:6" x14ac:dyDescent="0.2">
      <c r="A13" s="53" t="s">
        <v>1598</v>
      </c>
      <c r="B13" s="54">
        <v>-1000</v>
      </c>
      <c r="C13" s="12">
        <v>-400</v>
      </c>
      <c r="D13" s="12"/>
      <c r="E13" s="12"/>
      <c r="F13" s="55">
        <v>-1400</v>
      </c>
    </row>
    <row r="14" spans="1:6" x14ac:dyDescent="0.2">
      <c r="A14" s="53" t="s">
        <v>1563</v>
      </c>
      <c r="B14" s="54">
        <v>-4420</v>
      </c>
      <c r="C14" s="12">
        <v>-20292</v>
      </c>
      <c r="D14" s="12"/>
      <c r="E14" s="12"/>
      <c r="F14" s="55">
        <v>-24712</v>
      </c>
    </row>
    <row r="15" spans="1:6" x14ac:dyDescent="0.2">
      <c r="A15" s="53" t="s">
        <v>1584</v>
      </c>
      <c r="B15" s="54">
        <v>-1620</v>
      </c>
      <c r="C15" s="12">
        <v>-880</v>
      </c>
      <c r="D15" s="12"/>
      <c r="E15" s="12"/>
      <c r="F15" s="55">
        <v>-2500</v>
      </c>
    </row>
    <row r="16" spans="1:6" x14ac:dyDescent="0.2">
      <c r="A16" s="53" t="s">
        <v>1554</v>
      </c>
      <c r="B16" s="54">
        <v>-10320.25</v>
      </c>
      <c r="C16" s="12">
        <v>-928</v>
      </c>
      <c r="D16" s="12">
        <v>-1500</v>
      </c>
      <c r="E16" s="12"/>
      <c r="F16" s="55">
        <v>-12748.25</v>
      </c>
    </row>
    <row r="17" spans="1:6" x14ac:dyDescent="0.2">
      <c r="A17" s="53" t="s">
        <v>1566</v>
      </c>
      <c r="B17" s="54">
        <v>-24247.32</v>
      </c>
      <c r="C17" s="12"/>
      <c r="D17" s="12"/>
      <c r="E17" s="12"/>
      <c r="F17" s="55">
        <v>-24247.32</v>
      </c>
    </row>
    <row r="18" spans="1:6" x14ac:dyDescent="0.2">
      <c r="A18" s="53" t="s">
        <v>182</v>
      </c>
      <c r="B18" s="54">
        <v>-49284.439999999995</v>
      </c>
      <c r="C18" s="12">
        <v>-1757</v>
      </c>
      <c r="D18" s="12">
        <v>-5000</v>
      </c>
      <c r="E18" s="12">
        <v>-0.49</v>
      </c>
      <c r="F18" s="55">
        <v>-56041.929999999993</v>
      </c>
    </row>
    <row r="19" spans="1:6" x14ac:dyDescent="0.2">
      <c r="A19" s="53" t="s">
        <v>1606</v>
      </c>
      <c r="B19" s="54">
        <v>-440</v>
      </c>
      <c r="C19" s="12"/>
      <c r="D19" s="12"/>
      <c r="E19" s="12"/>
      <c r="F19" s="55">
        <v>-440</v>
      </c>
    </row>
    <row r="20" spans="1:6" x14ac:dyDescent="0.2">
      <c r="A20" s="53" t="s">
        <v>1572</v>
      </c>
      <c r="B20" s="54">
        <v>-10147.23</v>
      </c>
      <c r="C20" s="12"/>
      <c r="D20" s="12"/>
      <c r="E20" s="12"/>
      <c r="F20" s="55">
        <v>-10147.23</v>
      </c>
    </row>
    <row r="21" spans="1:6" x14ac:dyDescent="0.2">
      <c r="A21" s="53" t="s">
        <v>1557</v>
      </c>
      <c r="B21" s="54">
        <v>-4975</v>
      </c>
      <c r="C21" s="12"/>
      <c r="D21" s="12"/>
      <c r="E21" s="12"/>
      <c r="F21" s="55">
        <v>-4975</v>
      </c>
    </row>
    <row r="22" spans="1:6" x14ac:dyDescent="0.2">
      <c r="A22" s="53" t="s">
        <v>1577</v>
      </c>
      <c r="B22" s="54">
        <v>-20790.439999999999</v>
      </c>
      <c r="C22" s="12">
        <v>-1895</v>
      </c>
      <c r="D22" s="12">
        <v>-1000</v>
      </c>
      <c r="E22" s="12"/>
      <c r="F22" s="55">
        <v>-23685.439999999999</v>
      </c>
    </row>
    <row r="23" spans="1:6" x14ac:dyDescent="0.2">
      <c r="A23" s="53" t="s">
        <v>1561</v>
      </c>
      <c r="B23" s="54">
        <v>-13564.470000000001</v>
      </c>
      <c r="C23" s="12"/>
      <c r="D23" s="12"/>
      <c r="E23" s="12"/>
      <c r="F23" s="55">
        <v>-13564.470000000001</v>
      </c>
    </row>
    <row r="24" spans="1:6" x14ac:dyDescent="0.2">
      <c r="A24" s="53" t="s">
        <v>1579</v>
      </c>
      <c r="B24" s="54">
        <v>-2410.2000000000003</v>
      </c>
      <c r="C24" s="12"/>
      <c r="D24" s="12"/>
      <c r="E24" s="12">
        <v>-1.2900000000000003</v>
      </c>
      <c r="F24" s="55">
        <v>-2411.4900000000002</v>
      </c>
    </row>
    <row r="25" spans="1:6" x14ac:dyDescent="0.2">
      <c r="A25" s="53" t="s">
        <v>1560</v>
      </c>
      <c r="B25" s="54">
        <v>-2052</v>
      </c>
      <c r="C25" s="12"/>
      <c r="D25" s="12"/>
      <c r="E25" s="12"/>
      <c r="F25" s="55">
        <v>-2052</v>
      </c>
    </row>
    <row r="26" spans="1:6" x14ac:dyDescent="0.2">
      <c r="A26" s="53" t="s">
        <v>1637</v>
      </c>
      <c r="B26" s="54">
        <v>-5353.67</v>
      </c>
      <c r="C26" s="12"/>
      <c r="D26" s="12"/>
      <c r="E26" s="12"/>
      <c r="F26" s="55">
        <v>-5353.67</v>
      </c>
    </row>
    <row r="27" spans="1:6" x14ac:dyDescent="0.2">
      <c r="A27" s="53" t="s">
        <v>1620</v>
      </c>
      <c r="B27" s="54">
        <v>-2410</v>
      </c>
      <c r="C27" s="12"/>
      <c r="D27" s="12"/>
      <c r="E27" s="12"/>
      <c r="F27" s="55">
        <v>-2410</v>
      </c>
    </row>
    <row r="28" spans="1:6" x14ac:dyDescent="0.2">
      <c r="A28" s="53" t="s">
        <v>1802</v>
      </c>
      <c r="B28" s="54">
        <v>-1673</v>
      </c>
      <c r="C28" s="12"/>
      <c r="D28" s="12"/>
      <c r="E28" s="12"/>
      <c r="F28" s="55">
        <v>-1673</v>
      </c>
    </row>
    <row r="29" spans="1:6" x14ac:dyDescent="0.2">
      <c r="A29" s="53" t="s">
        <v>2133</v>
      </c>
      <c r="B29" s="54">
        <v>-6000</v>
      </c>
      <c r="C29" s="12"/>
      <c r="D29" s="12"/>
      <c r="E29" s="12"/>
      <c r="F29" s="55">
        <v>-6000</v>
      </c>
    </row>
    <row r="30" spans="1:6" x14ac:dyDescent="0.2">
      <c r="A30" s="53" t="s">
        <v>1564</v>
      </c>
      <c r="B30" s="54">
        <v>-2165</v>
      </c>
      <c r="C30" s="12">
        <v>-600</v>
      </c>
      <c r="D30" s="12"/>
      <c r="E30" s="12"/>
      <c r="F30" s="55">
        <v>-2765</v>
      </c>
    </row>
    <row r="31" spans="1:6" x14ac:dyDescent="0.2">
      <c r="A31" s="53" t="s">
        <v>1601</v>
      </c>
      <c r="B31" s="54">
        <v>-3061.95</v>
      </c>
      <c r="C31" s="12"/>
      <c r="D31" s="12"/>
      <c r="E31" s="12"/>
      <c r="F31" s="55">
        <v>-3061.95</v>
      </c>
    </row>
    <row r="32" spans="1:6" x14ac:dyDescent="0.2">
      <c r="A32" s="53" t="s">
        <v>1621</v>
      </c>
      <c r="B32" s="54">
        <v>-18503.75</v>
      </c>
      <c r="C32" s="12">
        <v>-2000</v>
      </c>
      <c r="D32" s="12"/>
      <c r="E32" s="12"/>
      <c r="F32" s="55">
        <v>-20503.75</v>
      </c>
    </row>
    <row r="33" spans="1:6" x14ac:dyDescent="0.2">
      <c r="A33" s="53" t="s">
        <v>1592</v>
      </c>
      <c r="B33" s="54">
        <v>-22674</v>
      </c>
      <c r="C33" s="12"/>
      <c r="D33" s="12"/>
      <c r="E33" s="12">
        <v>-2.09</v>
      </c>
      <c r="F33" s="55">
        <v>-22676.09</v>
      </c>
    </row>
    <row r="34" spans="1:6" x14ac:dyDescent="0.2">
      <c r="A34" s="53" t="s">
        <v>2120</v>
      </c>
      <c r="B34" s="54">
        <v>-7737.99</v>
      </c>
      <c r="C34" s="12"/>
      <c r="D34" s="12"/>
      <c r="E34" s="12">
        <v>-4.18</v>
      </c>
      <c r="F34" s="55">
        <v>-7742.17</v>
      </c>
    </row>
    <row r="35" spans="1:6" x14ac:dyDescent="0.2">
      <c r="A35" s="53" t="s">
        <v>1548</v>
      </c>
      <c r="B35" s="54">
        <v>-5083.4699999999993</v>
      </c>
      <c r="C35" s="12">
        <v>-120</v>
      </c>
      <c r="D35" s="12">
        <v>-250</v>
      </c>
      <c r="E35" s="12"/>
      <c r="F35" s="55">
        <v>-5453.4699999999993</v>
      </c>
    </row>
    <row r="36" spans="1:6" x14ac:dyDescent="0.2">
      <c r="A36" s="53" t="s">
        <v>1581</v>
      </c>
      <c r="B36" s="54">
        <v>-7796.49</v>
      </c>
      <c r="C36" s="12"/>
      <c r="D36" s="12"/>
      <c r="E36" s="12">
        <v>-19.659999999999997</v>
      </c>
      <c r="F36" s="55">
        <v>-7816.15</v>
      </c>
    </row>
    <row r="37" spans="1:6" x14ac:dyDescent="0.2">
      <c r="A37" s="53" t="s">
        <v>1641</v>
      </c>
      <c r="B37" s="54">
        <v>-995</v>
      </c>
      <c r="C37" s="12"/>
      <c r="D37" s="12"/>
      <c r="E37" s="12"/>
      <c r="F37" s="55">
        <v>-995</v>
      </c>
    </row>
    <row r="38" spans="1:6" x14ac:dyDescent="0.2">
      <c r="A38" s="53" t="s">
        <v>1039</v>
      </c>
      <c r="B38" s="54">
        <v>-2620</v>
      </c>
      <c r="C38" s="12"/>
      <c r="D38" s="12"/>
      <c r="E38" s="12">
        <v>-32.19</v>
      </c>
      <c r="F38" s="55">
        <v>-2652.19</v>
      </c>
    </row>
    <row r="39" spans="1:6" x14ac:dyDescent="0.2">
      <c r="A39" s="53" t="s">
        <v>1630</v>
      </c>
      <c r="B39" s="54">
        <v>-8084.1</v>
      </c>
      <c r="C39" s="12"/>
      <c r="D39" s="12"/>
      <c r="E39" s="12"/>
      <c r="F39" s="55">
        <v>-8084.1</v>
      </c>
    </row>
    <row r="40" spans="1:6" x14ac:dyDescent="0.2">
      <c r="A40" s="53" t="s">
        <v>1610</v>
      </c>
      <c r="B40" s="54">
        <v>-1140</v>
      </c>
      <c r="C40" s="12"/>
      <c r="D40" s="12"/>
      <c r="E40" s="12">
        <v>-33.700000000000003</v>
      </c>
      <c r="F40" s="55">
        <v>-1173.7</v>
      </c>
    </row>
    <row r="41" spans="1:6" x14ac:dyDescent="0.2">
      <c r="A41" s="53" t="s">
        <v>1734</v>
      </c>
      <c r="B41" s="54">
        <v>-2147.73</v>
      </c>
      <c r="C41" s="12"/>
      <c r="D41" s="12"/>
      <c r="E41" s="12">
        <v>-1.6900000000000002</v>
      </c>
      <c r="F41" s="55">
        <v>-2149.42</v>
      </c>
    </row>
    <row r="42" spans="1:6" x14ac:dyDescent="0.2">
      <c r="A42" s="56" t="s">
        <v>1272</v>
      </c>
      <c r="B42" s="57">
        <v>-313693.61</v>
      </c>
      <c r="C42" s="58">
        <v>-36607.5</v>
      </c>
      <c r="D42" s="58">
        <v>-18550</v>
      </c>
      <c r="E42" s="58">
        <v>-100.32</v>
      </c>
      <c r="F42" s="59">
        <v>-368951.43</v>
      </c>
    </row>
    <row r="43" spans="1:6" x14ac:dyDescent="0.2">
      <c r="B43"/>
    </row>
    <row r="44" spans="1:6" x14ac:dyDescent="0.2">
      <c r="B44"/>
    </row>
    <row r="45" spans="1:6" x14ac:dyDescent="0.2">
      <c r="B45"/>
    </row>
    <row r="46" spans="1:6" x14ac:dyDescent="0.2">
      <c r="B46"/>
    </row>
    <row r="47" spans="1:6" x14ac:dyDescent="0.2">
      <c r="B47"/>
    </row>
    <row r="48" spans="1:6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</sheetData>
  <pageMargins left="0.25" right="0.25" top="0.75" bottom="0.75" header="0.3" footer="0.3"/>
  <pageSetup scale="96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H46"/>
  <sheetViews>
    <sheetView workbookViewId="0">
      <selection activeCell="D28" sqref="D28"/>
    </sheetView>
  </sheetViews>
  <sheetFormatPr defaultRowHeight="12.75" x14ac:dyDescent="0.2"/>
  <cols>
    <col min="1" max="1" width="23" customWidth="1"/>
    <col min="2" max="2" width="17" customWidth="1"/>
    <col min="3" max="3" width="19.28515625" customWidth="1"/>
    <col min="4" max="4" width="28.42578125" customWidth="1"/>
    <col min="5" max="5" width="22.42578125" customWidth="1"/>
    <col min="6" max="6" width="14.140625" customWidth="1"/>
    <col min="7" max="7" width="12.28515625" customWidth="1"/>
    <col min="8" max="8" width="11.85546875" customWidth="1"/>
    <col min="9" max="9" width="27.5703125" bestFit="1" customWidth="1"/>
    <col min="10" max="10" width="19.7109375" bestFit="1" customWidth="1"/>
    <col min="11" max="11" width="21.5703125" bestFit="1" customWidth="1"/>
    <col min="12" max="12" width="24.5703125" bestFit="1" customWidth="1"/>
    <col min="13" max="13" width="30.42578125" bestFit="1" customWidth="1"/>
    <col min="14" max="14" width="33.85546875" bestFit="1" customWidth="1"/>
    <col min="15" max="15" width="24.42578125" bestFit="1" customWidth="1"/>
    <col min="16" max="16" width="19.7109375" bestFit="1" customWidth="1"/>
    <col min="17" max="17" width="32" bestFit="1" customWidth="1"/>
    <col min="18" max="18" width="26.42578125" bestFit="1" customWidth="1"/>
    <col min="19" max="19" width="16.7109375" bestFit="1" customWidth="1"/>
    <col min="20" max="20" width="27.85546875" bestFit="1" customWidth="1"/>
    <col min="21" max="21" width="24" bestFit="1" customWidth="1"/>
    <col min="22" max="22" width="20.42578125" bestFit="1" customWidth="1"/>
    <col min="23" max="23" width="10.28515625" bestFit="1" customWidth="1"/>
    <col min="24" max="24" width="8.85546875" customWidth="1"/>
    <col min="25" max="25" width="15.140625" bestFit="1" customWidth="1"/>
    <col min="26" max="26" width="10.28515625" bestFit="1" customWidth="1"/>
    <col min="27" max="27" width="20.140625" bestFit="1" customWidth="1"/>
    <col min="28" max="28" width="11.28515625" bestFit="1" customWidth="1"/>
    <col min="29" max="29" width="32.140625" bestFit="1" customWidth="1"/>
    <col min="30" max="30" width="27.7109375" bestFit="1" customWidth="1"/>
    <col min="31" max="31" width="16.140625" bestFit="1" customWidth="1"/>
    <col min="32" max="32" width="19.7109375" bestFit="1" customWidth="1"/>
    <col min="33" max="33" width="27" bestFit="1" customWidth="1"/>
    <col min="34" max="34" width="21.42578125" bestFit="1" customWidth="1"/>
    <col min="35" max="35" width="25.7109375" bestFit="1" customWidth="1"/>
    <col min="36" max="36" width="26.42578125" bestFit="1" customWidth="1"/>
    <col min="37" max="37" width="27.85546875" bestFit="1" customWidth="1"/>
    <col min="38" max="38" width="18.85546875" bestFit="1" customWidth="1"/>
    <col min="39" max="39" width="24.7109375" bestFit="1" customWidth="1"/>
    <col min="40" max="40" width="15.7109375" bestFit="1" customWidth="1"/>
    <col min="41" max="41" width="17.28515625" bestFit="1" customWidth="1"/>
    <col min="42" max="42" width="18.28515625" bestFit="1" customWidth="1"/>
    <col min="43" max="44" width="10.28515625" bestFit="1" customWidth="1"/>
    <col min="45" max="45" width="31.42578125" bestFit="1" customWidth="1"/>
    <col min="46" max="46" width="15.140625" bestFit="1" customWidth="1"/>
    <col min="47" max="47" width="10.28515625" bestFit="1" customWidth="1"/>
    <col min="48" max="48" width="11.28515625" bestFit="1" customWidth="1"/>
    <col min="49" max="49" width="15.140625" bestFit="1" customWidth="1"/>
    <col min="50" max="50" width="32.140625" bestFit="1" customWidth="1"/>
    <col min="51" max="51" width="19.42578125" bestFit="1" customWidth="1"/>
    <col min="52" max="52" width="19.7109375" bestFit="1" customWidth="1"/>
    <col min="53" max="53" width="21.42578125" bestFit="1" customWidth="1"/>
    <col min="54" max="54" width="30.85546875" bestFit="1" customWidth="1"/>
    <col min="55" max="55" width="26.42578125" bestFit="1" customWidth="1"/>
    <col min="56" max="56" width="13.85546875" bestFit="1" customWidth="1"/>
    <col min="57" max="57" width="15.85546875" bestFit="1" customWidth="1"/>
    <col min="58" max="58" width="27.85546875" bestFit="1" customWidth="1"/>
    <col min="59" max="59" width="27" bestFit="1" customWidth="1"/>
    <col min="60" max="60" width="24" bestFit="1" customWidth="1"/>
    <col min="61" max="61" width="20.42578125" bestFit="1" customWidth="1"/>
    <col min="62" max="62" width="11.28515625" bestFit="1" customWidth="1"/>
    <col min="63" max="63" width="18" bestFit="1" customWidth="1"/>
    <col min="64" max="64" width="10.28515625" bestFit="1" customWidth="1"/>
    <col min="65" max="65" width="31.42578125" bestFit="1" customWidth="1"/>
    <col min="66" max="66" width="15.140625" bestFit="1" customWidth="1"/>
    <col min="67" max="67" width="10.28515625" bestFit="1" customWidth="1"/>
    <col min="68" max="68" width="20.140625" bestFit="1" customWidth="1"/>
    <col min="69" max="69" width="11.28515625" bestFit="1" customWidth="1"/>
    <col min="70" max="70" width="15.140625" bestFit="1" customWidth="1"/>
    <col min="71" max="71" width="32.140625" bestFit="1" customWidth="1"/>
    <col min="72" max="72" width="14.140625" bestFit="1" customWidth="1"/>
    <col min="73" max="73" width="11.85546875" bestFit="1" customWidth="1"/>
  </cols>
  <sheetData>
    <row r="3" spans="1:8" x14ac:dyDescent="0.2">
      <c r="A3" s="13" t="s">
        <v>1274</v>
      </c>
      <c r="B3" s="13" t="s">
        <v>1368</v>
      </c>
    </row>
    <row r="4" spans="1:8" x14ac:dyDescent="0.2">
      <c r="A4" s="13" t="s">
        <v>1367</v>
      </c>
      <c r="B4" t="s">
        <v>1359</v>
      </c>
      <c r="C4" t="s">
        <v>1360</v>
      </c>
      <c r="D4" t="s">
        <v>2129</v>
      </c>
      <c r="E4" t="s">
        <v>1369</v>
      </c>
      <c r="F4" t="s">
        <v>1361</v>
      </c>
      <c r="G4" t="s">
        <v>1362</v>
      </c>
      <c r="H4" t="s">
        <v>1272</v>
      </c>
    </row>
    <row r="5" spans="1:8" x14ac:dyDescent="0.2">
      <c r="A5" s="14" t="s">
        <v>182</v>
      </c>
      <c r="B5" s="12">
        <v>-72193.930000000008</v>
      </c>
      <c r="C5" s="12">
        <v>-14257</v>
      </c>
      <c r="D5" s="12">
        <v>2967.0699999999997</v>
      </c>
      <c r="E5" s="12">
        <v>30791.859999999993</v>
      </c>
      <c r="F5" s="12">
        <v>68236.340000000055</v>
      </c>
      <c r="G5" s="12">
        <v>37558.94</v>
      </c>
      <c r="H5" s="12">
        <v>53103.280000000035</v>
      </c>
    </row>
    <row r="6" spans="1:8" x14ac:dyDescent="0.2">
      <c r="A6" s="14" t="s">
        <v>1801</v>
      </c>
      <c r="B6" s="12">
        <v>-1000</v>
      </c>
      <c r="C6" s="12">
        <v>-5076.75</v>
      </c>
      <c r="D6" s="12"/>
      <c r="E6" s="12"/>
      <c r="F6" s="12"/>
      <c r="G6" s="12">
        <v>7750.1</v>
      </c>
      <c r="H6" s="12">
        <v>1673.3500000000004</v>
      </c>
    </row>
    <row r="7" spans="1:8" x14ac:dyDescent="0.2">
      <c r="A7" s="14" t="s">
        <v>1605</v>
      </c>
      <c r="B7" s="12">
        <v>-7910.27</v>
      </c>
      <c r="C7" s="12"/>
      <c r="D7" s="12"/>
      <c r="E7" s="12"/>
      <c r="F7" s="12"/>
      <c r="G7" s="12">
        <v>4135.78</v>
      </c>
      <c r="H7" s="12">
        <v>-3774.4900000000007</v>
      </c>
    </row>
    <row r="8" spans="1:8" x14ac:dyDescent="0.2">
      <c r="A8" s="14" t="s">
        <v>1568</v>
      </c>
      <c r="B8" s="12">
        <v>-19275.739999999998</v>
      </c>
      <c r="C8" s="12">
        <v>-2461</v>
      </c>
      <c r="D8" s="12">
        <v>3669.4900000000002</v>
      </c>
      <c r="E8" s="12">
        <v>5732.5</v>
      </c>
      <c r="F8" s="12"/>
      <c r="G8" s="12">
        <v>50899.87000000001</v>
      </c>
      <c r="H8" s="12">
        <v>38565.12000000001</v>
      </c>
    </row>
    <row r="9" spans="1:8" x14ac:dyDescent="0.2">
      <c r="A9" s="14" t="s">
        <v>1573</v>
      </c>
      <c r="B9" s="12">
        <v>-52771.11</v>
      </c>
      <c r="C9" s="12">
        <v>-8069.4399999999987</v>
      </c>
      <c r="D9" s="12">
        <v>9838.2800000000007</v>
      </c>
      <c r="E9" s="12"/>
      <c r="F9" s="12">
        <v>152.15999999999997</v>
      </c>
      <c r="G9" s="12">
        <v>20301.640000000003</v>
      </c>
      <c r="H9" s="12">
        <v>-30548.469999999998</v>
      </c>
    </row>
    <row r="10" spans="1:8" x14ac:dyDescent="0.2">
      <c r="A10" s="14" t="s">
        <v>2130</v>
      </c>
      <c r="B10" s="12"/>
      <c r="C10" s="12"/>
      <c r="D10" s="12"/>
      <c r="E10" s="12"/>
      <c r="F10" s="12"/>
      <c r="G10" s="12">
        <v>17</v>
      </c>
      <c r="H10" s="12">
        <v>17</v>
      </c>
    </row>
    <row r="11" spans="1:8" x14ac:dyDescent="0.2">
      <c r="A11" s="14" t="s">
        <v>1586</v>
      </c>
      <c r="B11" s="12">
        <v>-568</v>
      </c>
      <c r="C11" s="12"/>
      <c r="D11" s="12">
        <v>67.36</v>
      </c>
      <c r="E11" s="12"/>
      <c r="F11" s="12"/>
      <c r="G11" s="12">
        <v>30</v>
      </c>
      <c r="H11" s="12">
        <v>-470.64</v>
      </c>
    </row>
    <row r="12" spans="1:8" x14ac:dyDescent="0.2">
      <c r="A12" s="14" t="s">
        <v>1552</v>
      </c>
      <c r="B12" s="12">
        <v>-15352</v>
      </c>
      <c r="C12" s="12">
        <v>-877.31</v>
      </c>
      <c r="D12" s="12">
        <v>4100.6500000000005</v>
      </c>
      <c r="E12" s="12"/>
      <c r="F12" s="12">
        <v>39.840000000000003</v>
      </c>
      <c r="G12" s="12">
        <v>8972.52</v>
      </c>
      <c r="H12" s="12">
        <v>-3116.2999999999993</v>
      </c>
    </row>
    <row r="13" spans="1:8" x14ac:dyDescent="0.2">
      <c r="A13" s="14" t="s">
        <v>1594</v>
      </c>
      <c r="B13" s="12">
        <v>-200</v>
      </c>
      <c r="C13" s="12"/>
      <c r="D13" s="12"/>
      <c r="E13" s="12"/>
      <c r="F13" s="12">
        <v>4.7</v>
      </c>
      <c r="G13" s="12"/>
      <c r="H13" s="12">
        <v>-195.3</v>
      </c>
    </row>
    <row r="14" spans="1:8" x14ac:dyDescent="0.2">
      <c r="A14" s="14" t="s">
        <v>1545</v>
      </c>
      <c r="B14" s="12">
        <v>-54482.67</v>
      </c>
      <c r="C14" s="12">
        <v>-6995.64</v>
      </c>
      <c r="D14" s="12">
        <v>4007.93</v>
      </c>
      <c r="E14" s="12"/>
      <c r="F14" s="12">
        <v>6.06</v>
      </c>
      <c r="G14" s="12">
        <v>52796.16000000004</v>
      </c>
      <c r="H14" s="12">
        <v>-4668.1599999999598</v>
      </c>
    </row>
    <row r="15" spans="1:8" x14ac:dyDescent="0.2">
      <c r="A15" s="14" t="s">
        <v>1598</v>
      </c>
      <c r="B15" s="12">
        <v>-1000</v>
      </c>
      <c r="C15" s="12">
        <v>-542.89</v>
      </c>
      <c r="D15" s="12"/>
      <c r="E15" s="12"/>
      <c r="F15" s="12"/>
      <c r="G15" s="12">
        <v>10209.530000000004</v>
      </c>
      <c r="H15" s="12">
        <v>8666.6400000000049</v>
      </c>
    </row>
    <row r="16" spans="1:8" x14ac:dyDescent="0.2">
      <c r="A16" s="14" t="s">
        <v>1563</v>
      </c>
      <c r="B16" s="12">
        <v>-4420</v>
      </c>
      <c r="C16" s="12">
        <v>-31390.36</v>
      </c>
      <c r="D16" s="12"/>
      <c r="E16" s="12"/>
      <c r="F16" s="12"/>
      <c r="G16" s="12">
        <v>37278.760000000009</v>
      </c>
      <c r="H16" s="12">
        <v>1468.4000000000087</v>
      </c>
    </row>
    <row r="17" spans="1:8" x14ac:dyDescent="0.2">
      <c r="A17" s="14" t="s">
        <v>1584</v>
      </c>
      <c r="B17" s="12">
        <v>-1620</v>
      </c>
      <c r="C17" s="12">
        <v>-979.99</v>
      </c>
      <c r="D17" s="12"/>
      <c r="E17" s="12"/>
      <c r="F17" s="12"/>
      <c r="G17" s="12">
        <v>4700.1299999999992</v>
      </c>
      <c r="H17" s="12">
        <v>2100.1399999999994</v>
      </c>
    </row>
    <row r="18" spans="1:8" x14ac:dyDescent="0.2">
      <c r="A18" s="14" t="s">
        <v>1554</v>
      </c>
      <c r="B18" s="12">
        <v>-13175.25</v>
      </c>
      <c r="C18" s="12">
        <v>-2377.5700000000002</v>
      </c>
      <c r="D18" s="12"/>
      <c r="E18" s="12"/>
      <c r="F18" s="12"/>
      <c r="G18" s="12">
        <v>13292.46</v>
      </c>
      <c r="H18" s="12">
        <v>-2260.3600000000006</v>
      </c>
    </row>
    <row r="19" spans="1:8" x14ac:dyDescent="0.2">
      <c r="A19" s="14" t="s">
        <v>1566</v>
      </c>
      <c r="B19" s="12">
        <v>-24247.32</v>
      </c>
      <c r="C19" s="12"/>
      <c r="D19" s="12">
        <v>150</v>
      </c>
      <c r="E19" s="12"/>
      <c r="F19" s="12"/>
      <c r="G19" s="12">
        <v>30517.329999999991</v>
      </c>
      <c r="H19" s="12">
        <v>6420.0099999999911</v>
      </c>
    </row>
    <row r="20" spans="1:8" x14ac:dyDescent="0.2">
      <c r="A20" s="14" t="s">
        <v>1606</v>
      </c>
      <c r="B20" s="12">
        <v>-440</v>
      </c>
      <c r="C20" s="12">
        <v>-835.42</v>
      </c>
      <c r="D20" s="12"/>
      <c r="E20" s="12"/>
      <c r="F20" s="12"/>
      <c r="G20" s="12">
        <v>1087.42</v>
      </c>
      <c r="H20" s="12">
        <v>-188</v>
      </c>
    </row>
    <row r="21" spans="1:8" x14ac:dyDescent="0.2">
      <c r="A21" s="14" t="s">
        <v>1572</v>
      </c>
      <c r="B21" s="12">
        <v>-16754.21</v>
      </c>
      <c r="C21" s="12"/>
      <c r="D21" s="12">
        <v>7459.91</v>
      </c>
      <c r="E21" s="12">
        <v>55.51</v>
      </c>
      <c r="F21" s="12">
        <v>0.63</v>
      </c>
      <c r="G21" s="12">
        <v>8137.420000000001</v>
      </c>
      <c r="H21" s="12">
        <v>-1100.7399999999989</v>
      </c>
    </row>
    <row r="22" spans="1:8" x14ac:dyDescent="0.2">
      <c r="A22" s="14" t="s">
        <v>1557</v>
      </c>
      <c r="B22" s="12">
        <v>-4975</v>
      </c>
      <c r="C22" s="12"/>
      <c r="D22" s="12"/>
      <c r="E22" s="12"/>
      <c r="F22" s="12"/>
      <c r="G22" s="12">
        <v>1570.22</v>
      </c>
      <c r="H22" s="12">
        <v>-3404.7799999999997</v>
      </c>
    </row>
    <row r="23" spans="1:8" x14ac:dyDescent="0.2">
      <c r="A23" s="14" t="s">
        <v>1577</v>
      </c>
      <c r="B23" s="12">
        <v>-33610.44</v>
      </c>
      <c r="C23" s="12">
        <v>-6298</v>
      </c>
      <c r="D23" s="12">
        <v>3949.9</v>
      </c>
      <c r="E23" s="12"/>
      <c r="F23" s="12">
        <v>8.49</v>
      </c>
      <c r="G23" s="12">
        <v>30153.730000000018</v>
      </c>
      <c r="H23" s="12">
        <v>-5796.3199999999852</v>
      </c>
    </row>
    <row r="24" spans="1:8" x14ac:dyDescent="0.2">
      <c r="A24" s="14" t="s">
        <v>1561</v>
      </c>
      <c r="B24" s="12">
        <v>-15975.47</v>
      </c>
      <c r="C24" s="12"/>
      <c r="D24" s="12"/>
      <c r="E24" s="12"/>
      <c r="F24" s="12">
        <v>66.510000000000005</v>
      </c>
      <c r="G24" s="12">
        <v>10584.92</v>
      </c>
      <c r="H24" s="12">
        <v>-5324.0399999999991</v>
      </c>
    </row>
    <row r="25" spans="1:8" x14ac:dyDescent="0.2">
      <c r="A25" s="14" t="s">
        <v>1579</v>
      </c>
      <c r="B25" s="12">
        <v>-2411.4899999999998</v>
      </c>
      <c r="C25" s="12">
        <v>-2960.08</v>
      </c>
      <c r="D25" s="12"/>
      <c r="E25" s="12"/>
      <c r="F25" s="12"/>
      <c r="G25" s="12">
        <v>9420.3499999999967</v>
      </c>
      <c r="H25" s="12">
        <v>4048.779999999997</v>
      </c>
    </row>
    <row r="26" spans="1:8" x14ac:dyDescent="0.2">
      <c r="A26" s="14" t="s">
        <v>1560</v>
      </c>
      <c r="B26" s="12">
        <v>-2052</v>
      </c>
      <c r="C26" s="12"/>
      <c r="D26" s="12"/>
      <c r="E26" s="12"/>
      <c r="F26" s="12"/>
      <c r="G26" s="12">
        <v>300.62</v>
      </c>
      <c r="H26" s="12">
        <v>-1751.38</v>
      </c>
    </row>
    <row r="27" spans="1:8" x14ac:dyDescent="0.2">
      <c r="A27" s="14" t="s">
        <v>1637</v>
      </c>
      <c r="B27" s="12">
        <v>-5353.67</v>
      </c>
      <c r="C27" s="12"/>
      <c r="D27" s="12"/>
      <c r="E27" s="12"/>
      <c r="F27" s="12">
        <v>2.37</v>
      </c>
      <c r="G27" s="12">
        <v>2334.5700000000002</v>
      </c>
      <c r="H27" s="12">
        <v>-3016.73</v>
      </c>
    </row>
    <row r="28" spans="1:8" x14ac:dyDescent="0.2">
      <c r="A28" s="14" t="s">
        <v>1620</v>
      </c>
      <c r="B28" s="12">
        <v>-2410</v>
      </c>
      <c r="C28" s="12"/>
      <c r="D28" s="12"/>
      <c r="E28" s="12"/>
      <c r="F28" s="12"/>
      <c r="G28" s="12">
        <v>1890.25</v>
      </c>
      <c r="H28" s="12">
        <v>-519.75</v>
      </c>
    </row>
    <row r="29" spans="1:8" x14ac:dyDescent="0.2">
      <c r="A29" s="14" t="s">
        <v>1802</v>
      </c>
      <c r="B29" s="12">
        <v>-1673</v>
      </c>
      <c r="C29" s="12"/>
      <c r="D29" s="12">
        <v>27</v>
      </c>
      <c r="E29" s="12"/>
      <c r="F29" s="12"/>
      <c r="G29" s="12">
        <v>1113.05</v>
      </c>
      <c r="H29" s="12">
        <v>-532.95000000000005</v>
      </c>
    </row>
    <row r="30" spans="1:8" x14ac:dyDescent="0.2">
      <c r="A30" s="14" t="s">
        <v>2133</v>
      </c>
      <c r="B30" s="12">
        <v>-6000</v>
      </c>
      <c r="C30" s="12"/>
      <c r="D30" s="12"/>
      <c r="E30" s="12">
        <v>621.01</v>
      </c>
      <c r="F30" s="12"/>
      <c r="G30" s="12"/>
      <c r="H30" s="12">
        <v>-5378.99</v>
      </c>
    </row>
    <row r="31" spans="1:8" x14ac:dyDescent="0.2">
      <c r="A31" s="14" t="s">
        <v>1564</v>
      </c>
      <c r="B31" s="12">
        <v>-2265</v>
      </c>
      <c r="C31" s="12">
        <v>-950</v>
      </c>
      <c r="D31" s="12"/>
      <c r="E31" s="12"/>
      <c r="F31" s="12">
        <v>2.8</v>
      </c>
      <c r="G31" s="12">
        <v>11042.580000000002</v>
      </c>
      <c r="H31" s="12">
        <v>7830.3800000000019</v>
      </c>
    </row>
    <row r="32" spans="1:8" x14ac:dyDescent="0.2">
      <c r="A32" s="14" t="s">
        <v>1601</v>
      </c>
      <c r="B32" s="12">
        <v>-3061.95</v>
      </c>
      <c r="C32" s="12"/>
      <c r="D32" s="12"/>
      <c r="E32" s="12"/>
      <c r="F32" s="12"/>
      <c r="G32" s="12">
        <v>93.81</v>
      </c>
      <c r="H32" s="12">
        <v>-2968.14</v>
      </c>
    </row>
    <row r="33" spans="1:8" x14ac:dyDescent="0.2">
      <c r="A33" s="14" t="s">
        <v>1621</v>
      </c>
      <c r="B33" s="12">
        <v>-19003.75</v>
      </c>
      <c r="C33" s="12">
        <v>-2526.4300000000003</v>
      </c>
      <c r="D33" s="12">
        <v>150.94999999999999</v>
      </c>
      <c r="E33" s="12">
        <v>75.7</v>
      </c>
      <c r="F33" s="12">
        <v>12.2</v>
      </c>
      <c r="G33" s="12">
        <v>14203.150000000001</v>
      </c>
      <c r="H33" s="12">
        <v>-7088.1799999999967</v>
      </c>
    </row>
    <row r="34" spans="1:8" x14ac:dyDescent="0.2">
      <c r="A34" s="14" t="s">
        <v>1627</v>
      </c>
      <c r="B34" s="12"/>
      <c r="C34" s="12"/>
      <c r="D34" s="12"/>
      <c r="E34" s="12"/>
      <c r="F34" s="12"/>
      <c r="G34" s="12">
        <v>1314.82</v>
      </c>
      <c r="H34" s="12">
        <v>1314.82</v>
      </c>
    </row>
    <row r="35" spans="1:8" x14ac:dyDescent="0.2">
      <c r="A35" s="14" t="s">
        <v>1592</v>
      </c>
      <c r="B35" s="12">
        <v>-24276.090000000004</v>
      </c>
      <c r="C35" s="12">
        <v>-750</v>
      </c>
      <c r="D35" s="12"/>
      <c r="E35" s="12"/>
      <c r="F35" s="12"/>
      <c r="G35" s="12">
        <v>25234.949999999997</v>
      </c>
      <c r="H35" s="12">
        <v>208.85999999999331</v>
      </c>
    </row>
    <row r="36" spans="1:8" x14ac:dyDescent="0.2">
      <c r="A36" s="14" t="s">
        <v>2120</v>
      </c>
      <c r="B36" s="12">
        <v>-7927.17</v>
      </c>
      <c r="C36" s="12"/>
      <c r="D36" s="12">
        <v>0.49</v>
      </c>
      <c r="E36" s="12">
        <v>3615.23</v>
      </c>
      <c r="F36" s="12">
        <v>9.93</v>
      </c>
      <c r="G36" s="12">
        <v>5029.99</v>
      </c>
      <c r="H36" s="12">
        <v>728.46999999999935</v>
      </c>
    </row>
    <row r="37" spans="1:8" x14ac:dyDescent="0.2">
      <c r="A37" s="14" t="s">
        <v>2131</v>
      </c>
      <c r="B37" s="12"/>
      <c r="C37" s="12"/>
      <c r="D37" s="12"/>
      <c r="E37" s="12"/>
      <c r="F37" s="12"/>
      <c r="G37" s="12">
        <v>48</v>
      </c>
      <c r="H37" s="12">
        <v>48</v>
      </c>
    </row>
    <row r="38" spans="1:8" x14ac:dyDescent="0.2">
      <c r="A38" s="14" t="s">
        <v>1548</v>
      </c>
      <c r="B38" s="12">
        <v>-8544.82</v>
      </c>
      <c r="C38" s="12">
        <v>-2342</v>
      </c>
      <c r="D38" s="12">
        <v>237.31</v>
      </c>
      <c r="E38" s="12"/>
      <c r="F38" s="12">
        <v>13.8</v>
      </c>
      <c r="G38" s="12">
        <v>7450.2700000000023</v>
      </c>
      <c r="H38" s="12">
        <v>-3185.4399999999987</v>
      </c>
    </row>
    <row r="39" spans="1:8" x14ac:dyDescent="0.2">
      <c r="A39" s="14" t="s">
        <v>1581</v>
      </c>
      <c r="B39" s="12">
        <v>-7816.15</v>
      </c>
      <c r="C39" s="12"/>
      <c r="D39" s="12"/>
      <c r="E39" s="12"/>
      <c r="F39" s="12">
        <v>8.77</v>
      </c>
      <c r="G39" s="12">
        <v>7231.1200000000026</v>
      </c>
      <c r="H39" s="12">
        <v>-576.25999999999658</v>
      </c>
    </row>
    <row r="40" spans="1:8" x14ac:dyDescent="0.2">
      <c r="A40" s="14" t="s">
        <v>1641</v>
      </c>
      <c r="B40" s="12">
        <v>-995</v>
      </c>
      <c r="C40" s="12"/>
      <c r="D40" s="12"/>
      <c r="E40" s="12"/>
      <c r="F40" s="12"/>
      <c r="G40" s="12">
        <v>451.1</v>
      </c>
      <c r="H40" s="12">
        <v>-543.9</v>
      </c>
    </row>
    <row r="41" spans="1:8" x14ac:dyDescent="0.2">
      <c r="A41" s="14" t="s">
        <v>2132</v>
      </c>
      <c r="B41" s="12"/>
      <c r="C41" s="12"/>
      <c r="D41" s="12"/>
      <c r="E41" s="12">
        <v>1390.62</v>
      </c>
      <c r="F41" s="12"/>
      <c r="G41" s="12">
        <v>1390.63</v>
      </c>
      <c r="H41" s="12">
        <v>2781.25</v>
      </c>
    </row>
    <row r="42" spans="1:8" x14ac:dyDescent="0.2">
      <c r="A42" s="14" t="s">
        <v>1039</v>
      </c>
      <c r="B42" s="12">
        <v>-2652.1899999999996</v>
      </c>
      <c r="C42" s="12"/>
      <c r="D42" s="12"/>
      <c r="E42" s="12"/>
      <c r="F42" s="12"/>
      <c r="G42" s="12">
        <v>5.65</v>
      </c>
      <c r="H42" s="12">
        <v>-2646.5399999999995</v>
      </c>
    </row>
    <row r="43" spans="1:8" x14ac:dyDescent="0.2">
      <c r="A43" s="14" t="s">
        <v>1630</v>
      </c>
      <c r="B43" s="12">
        <v>-8084.1</v>
      </c>
      <c r="C43" s="12">
        <v>-118.71</v>
      </c>
      <c r="D43" s="12"/>
      <c r="E43" s="12"/>
      <c r="F43" s="12">
        <v>0.41</v>
      </c>
      <c r="G43" s="12">
        <v>12653.879999999997</v>
      </c>
      <c r="H43" s="12">
        <v>4451.4799999999977</v>
      </c>
    </row>
    <row r="44" spans="1:8" x14ac:dyDescent="0.2">
      <c r="A44" s="14" t="s">
        <v>1610</v>
      </c>
      <c r="B44" s="12">
        <v>-140023.70000000001</v>
      </c>
      <c r="C44" s="12">
        <v>-134.04000000000002</v>
      </c>
      <c r="D44" s="12">
        <v>44760.04</v>
      </c>
      <c r="E44" s="12">
        <v>2527.36</v>
      </c>
      <c r="F44" s="12">
        <v>2.5</v>
      </c>
      <c r="G44" s="12">
        <v>26160.149999999994</v>
      </c>
      <c r="H44" s="12">
        <v>-66707.690000000017</v>
      </c>
    </row>
    <row r="45" spans="1:8" x14ac:dyDescent="0.2">
      <c r="A45" s="14" t="s">
        <v>1734</v>
      </c>
      <c r="B45" s="12">
        <v>-2149.42</v>
      </c>
      <c r="C45" s="12">
        <v>-549.33999999999992</v>
      </c>
      <c r="D45" s="12"/>
      <c r="E45" s="12"/>
      <c r="F45" s="12"/>
      <c r="G45" s="12">
        <v>11086.130000000001</v>
      </c>
      <c r="H45" s="12">
        <v>8387.3700000000008</v>
      </c>
    </row>
    <row r="46" spans="1:8" x14ac:dyDescent="0.2">
      <c r="A46" s="14" t="s">
        <v>1272</v>
      </c>
      <c r="B46" s="12">
        <v>-586670.91</v>
      </c>
      <c r="C46" s="12">
        <v>-90491.97</v>
      </c>
      <c r="D46" s="12">
        <v>81386.38</v>
      </c>
      <c r="E46" s="12">
        <v>44809.79</v>
      </c>
      <c r="F46" s="12">
        <v>68567.510000000053</v>
      </c>
      <c r="G46" s="12">
        <v>468449</v>
      </c>
      <c r="H46" s="12">
        <v>-13950.199999999933</v>
      </c>
    </row>
  </sheetData>
  <pageMargins left="0.25" right="0.25" top="0.75" bottom="0.75" header="0.3" footer="0.3"/>
  <pageSetup scale="88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16"/>
  <sheetViews>
    <sheetView topLeftCell="A148" workbookViewId="0">
      <selection activeCell="D28" sqref="D28"/>
    </sheetView>
  </sheetViews>
  <sheetFormatPr defaultRowHeight="12.75" x14ac:dyDescent="0.2"/>
  <cols>
    <col min="1" max="1" width="32.7109375" customWidth="1"/>
    <col min="2" max="3" width="36.5703125" customWidth="1"/>
    <col min="4" max="4" width="10.140625" bestFit="1" customWidth="1"/>
    <col min="16" max="16" width="17" bestFit="1" customWidth="1"/>
    <col min="17" max="17" width="15.5703125" customWidth="1"/>
  </cols>
  <sheetData>
    <row r="1" spans="1:17" ht="12.75" customHeight="1" x14ac:dyDescent="0.2">
      <c r="A1" s="67" t="s">
        <v>1491</v>
      </c>
      <c r="B1" s="3" t="s">
        <v>1358</v>
      </c>
      <c r="C1" s="3" t="s">
        <v>1493</v>
      </c>
      <c r="D1" s="5" t="s">
        <v>1492</v>
      </c>
    </row>
    <row r="2" spans="1:17" ht="12.75" customHeight="1" x14ac:dyDescent="0.2">
      <c r="A2" s="67">
        <v>10352</v>
      </c>
      <c r="B2" s="3" t="s">
        <v>1385</v>
      </c>
      <c r="C2" s="3" t="s">
        <v>533</v>
      </c>
      <c r="D2" s="5">
        <f>467.01</f>
        <v>467.01</v>
      </c>
    </row>
    <row r="3" spans="1:17" ht="12.75" customHeight="1" x14ac:dyDescent="0.2">
      <c r="A3" s="67">
        <v>10522</v>
      </c>
      <c r="B3" s="3" t="s">
        <v>1469</v>
      </c>
      <c r="C3" s="3" t="s">
        <v>247</v>
      </c>
      <c r="D3" s="5">
        <f>113887.89</f>
        <v>113887.89</v>
      </c>
    </row>
    <row r="4" spans="1:17" ht="12.75" customHeight="1" x14ac:dyDescent="0.2">
      <c r="A4" s="67">
        <v>10418</v>
      </c>
      <c r="B4" s="3" t="s">
        <v>1396</v>
      </c>
      <c r="C4" s="3" t="s">
        <v>1494</v>
      </c>
      <c r="D4" s="5">
        <f>332.33</f>
        <v>332.33</v>
      </c>
    </row>
    <row r="5" spans="1:17" ht="12.75" customHeight="1" x14ac:dyDescent="0.2">
      <c r="A5" s="67">
        <v>10417</v>
      </c>
      <c r="B5" s="3" t="s">
        <v>1395</v>
      </c>
      <c r="C5" s="3" t="s">
        <v>440</v>
      </c>
      <c r="D5" s="5">
        <f>2381.72</f>
        <v>2381.7199999999998</v>
      </c>
    </row>
    <row r="6" spans="1:17" ht="12.75" customHeight="1" x14ac:dyDescent="0.2">
      <c r="A6" s="67">
        <v>10355</v>
      </c>
      <c r="B6" s="3" t="s">
        <v>1386</v>
      </c>
      <c r="C6" s="3" t="s">
        <v>462</v>
      </c>
      <c r="D6" s="5">
        <f>531.17</f>
        <v>531.16999999999996</v>
      </c>
      <c r="P6" s="13" t="s">
        <v>1367</v>
      </c>
      <c r="Q6" t="s">
        <v>1512</v>
      </c>
    </row>
    <row r="7" spans="1:17" ht="12.75" customHeight="1" x14ac:dyDescent="0.2">
      <c r="A7" s="67">
        <v>10181</v>
      </c>
      <c r="B7" s="3" t="s">
        <v>1377</v>
      </c>
      <c r="C7" s="3" t="s">
        <v>182</v>
      </c>
      <c r="D7" s="5">
        <f>7220.76</f>
        <v>7220.76</v>
      </c>
      <c r="P7" s="14" t="s">
        <v>1372</v>
      </c>
      <c r="Q7">
        <v>5837.74</v>
      </c>
    </row>
    <row r="8" spans="1:17" ht="12.75" customHeight="1" x14ac:dyDescent="0.2">
      <c r="A8" s="67">
        <v>10903</v>
      </c>
      <c r="B8" s="3" t="s">
        <v>1489</v>
      </c>
      <c r="C8" s="3" t="s">
        <v>499</v>
      </c>
      <c r="D8" s="5">
        <f>4415.02</f>
        <v>4415.0200000000004</v>
      </c>
      <c r="P8" s="14" t="s">
        <v>1371</v>
      </c>
      <c r="Q8">
        <v>125.88</v>
      </c>
    </row>
    <row r="9" spans="1:17" ht="12.75" customHeight="1" x14ac:dyDescent="0.2">
      <c r="A9" s="67">
        <v>10178</v>
      </c>
      <c r="B9" s="3" t="s">
        <v>1373</v>
      </c>
      <c r="C9" s="3" t="s">
        <v>1495</v>
      </c>
      <c r="D9" s="5">
        <f>49.71</f>
        <v>49.71</v>
      </c>
      <c r="P9" s="14" t="s">
        <v>481</v>
      </c>
      <c r="Q9">
        <v>4518.91</v>
      </c>
    </row>
    <row r="10" spans="1:17" ht="12.75" customHeight="1" x14ac:dyDescent="0.2">
      <c r="A10" s="67">
        <v>10103</v>
      </c>
      <c r="B10" s="3" t="s">
        <v>1371</v>
      </c>
      <c r="C10" s="3" t="s">
        <v>1371</v>
      </c>
      <c r="D10" s="5">
        <f>125.88</f>
        <v>125.88</v>
      </c>
      <c r="P10" s="14" t="s">
        <v>278</v>
      </c>
      <c r="Q10">
        <v>30674.85</v>
      </c>
    </row>
    <row r="11" spans="1:17" ht="12.75" customHeight="1" x14ac:dyDescent="0.2">
      <c r="A11" s="67">
        <v>10405</v>
      </c>
      <c r="B11" s="3" t="s">
        <v>1389</v>
      </c>
      <c r="C11" s="3" t="s">
        <v>481</v>
      </c>
      <c r="D11" s="5">
        <f>1930.83</f>
        <v>1930.83</v>
      </c>
      <c r="P11" s="14" t="s">
        <v>469</v>
      </c>
      <c r="Q11">
        <v>4150.9800000000005</v>
      </c>
    </row>
    <row r="12" spans="1:17" ht="12.75" customHeight="1" x14ac:dyDescent="0.2">
      <c r="A12" s="67">
        <v>10414</v>
      </c>
      <c r="B12" s="3" t="s">
        <v>1392</v>
      </c>
      <c r="C12" s="3" t="s">
        <v>261</v>
      </c>
      <c r="D12" s="5">
        <f>3869.32</f>
        <v>3869.32</v>
      </c>
      <c r="P12" s="14" t="s">
        <v>261</v>
      </c>
      <c r="Q12">
        <v>21197.22</v>
      </c>
    </row>
    <row r="13" spans="1:17" ht="12.75" customHeight="1" x14ac:dyDescent="0.2">
      <c r="A13" s="67">
        <v>10310</v>
      </c>
      <c r="B13" s="3" t="s">
        <v>1382</v>
      </c>
      <c r="C13" s="3" t="s">
        <v>251</v>
      </c>
      <c r="D13" s="5">
        <f>1077.08</f>
        <v>1077.08</v>
      </c>
      <c r="P13" s="14" t="s">
        <v>1494</v>
      </c>
      <c r="Q13">
        <v>463.16999999999996</v>
      </c>
    </row>
    <row r="14" spans="1:17" ht="12.75" customHeight="1" x14ac:dyDescent="0.2">
      <c r="A14" s="67">
        <v>10543</v>
      </c>
      <c r="B14" s="3" t="s">
        <v>1479</v>
      </c>
      <c r="C14" s="3" t="s">
        <v>295</v>
      </c>
      <c r="D14" s="5">
        <f>528.63</f>
        <v>528.63</v>
      </c>
      <c r="P14" s="14" t="s">
        <v>251</v>
      </c>
      <c r="Q14">
        <v>1427.1299999999999</v>
      </c>
    </row>
    <row r="15" spans="1:17" ht="12.75" customHeight="1" x14ac:dyDescent="0.2">
      <c r="A15" s="67">
        <v>10340</v>
      </c>
      <c r="B15" s="3" t="s">
        <v>1383</v>
      </c>
      <c r="C15" s="3" t="s">
        <v>212</v>
      </c>
      <c r="D15" s="5">
        <f>1981.52</f>
        <v>1981.52</v>
      </c>
      <c r="P15" s="14" t="s">
        <v>440</v>
      </c>
      <c r="Q15">
        <v>1833.4599999999998</v>
      </c>
    </row>
    <row r="16" spans="1:17" ht="12.75" hidden="1" customHeight="1" x14ac:dyDescent="0.2">
      <c r="A16" s="3">
        <v>10435</v>
      </c>
      <c r="B16" s="3" t="s">
        <v>1402</v>
      </c>
      <c r="C16" s="3"/>
      <c r="D16" s="5">
        <f>0</f>
        <v>0</v>
      </c>
      <c r="P16" s="14" t="s">
        <v>295</v>
      </c>
      <c r="Q16">
        <v>945.25</v>
      </c>
    </row>
    <row r="17" spans="1:17" ht="12.75" customHeight="1" x14ac:dyDescent="0.2">
      <c r="A17" s="67">
        <v>10910</v>
      </c>
      <c r="B17" s="3" t="s">
        <v>1490</v>
      </c>
      <c r="C17" s="3" t="s">
        <v>1499</v>
      </c>
      <c r="D17" s="5">
        <f>623.85</f>
        <v>623.85</v>
      </c>
      <c r="P17" s="14" t="s">
        <v>212</v>
      </c>
      <c r="Q17">
        <v>4335.3500000000004</v>
      </c>
    </row>
    <row r="18" spans="1:17" ht="12.75" customHeight="1" x14ac:dyDescent="0.2">
      <c r="A18" s="67">
        <v>10750</v>
      </c>
      <c r="B18" s="3" t="s">
        <v>1485</v>
      </c>
      <c r="C18" s="3" t="s">
        <v>216</v>
      </c>
      <c r="D18" s="5">
        <f>32.64</f>
        <v>32.64</v>
      </c>
      <c r="P18" s="14" t="s">
        <v>462</v>
      </c>
      <c r="Q18">
        <v>531.16999999999996</v>
      </c>
    </row>
    <row r="19" spans="1:17" ht="12.75" customHeight="1" x14ac:dyDescent="0.2">
      <c r="A19" s="67">
        <v>10850</v>
      </c>
      <c r="B19" s="3" t="s">
        <v>1488</v>
      </c>
      <c r="C19" s="3" t="s">
        <v>1496</v>
      </c>
      <c r="D19" s="5">
        <f>32.19</f>
        <v>32.19</v>
      </c>
      <c r="P19" s="14" t="s">
        <v>533</v>
      </c>
      <c r="Q19">
        <v>3749.3</v>
      </c>
    </row>
    <row r="20" spans="1:17" ht="12.75" customHeight="1" x14ac:dyDescent="0.2">
      <c r="A20" s="67">
        <v>10428</v>
      </c>
      <c r="B20" s="3" t="s">
        <v>1399</v>
      </c>
      <c r="C20" s="3" t="s">
        <v>1497</v>
      </c>
      <c r="D20" s="5">
        <f>174</f>
        <v>174</v>
      </c>
      <c r="P20" s="14" t="s">
        <v>559</v>
      </c>
      <c r="Q20">
        <v>90228.29</v>
      </c>
    </row>
    <row r="21" spans="1:17" ht="12.75" customHeight="1" x14ac:dyDescent="0.2">
      <c r="A21" s="67">
        <v>10536</v>
      </c>
      <c r="B21" s="3" t="s">
        <v>1475</v>
      </c>
      <c r="C21" s="3" t="s">
        <v>937</v>
      </c>
      <c r="D21" s="5">
        <f>163.18</f>
        <v>163.18</v>
      </c>
      <c r="P21" s="14" t="s">
        <v>509</v>
      </c>
      <c r="Q21">
        <v>8655.52</v>
      </c>
    </row>
    <row r="22" spans="1:17" ht="12.75" customHeight="1" x14ac:dyDescent="0.2">
      <c r="A22" s="67">
        <v>10549</v>
      </c>
      <c r="B22" s="3" t="s">
        <v>1482</v>
      </c>
      <c r="C22" s="3" t="s">
        <v>231</v>
      </c>
      <c r="D22" s="5">
        <f>319.93</f>
        <v>319.93</v>
      </c>
      <c r="P22" s="14" t="s">
        <v>1501</v>
      </c>
      <c r="Q22">
        <v>83.64</v>
      </c>
    </row>
    <row r="23" spans="1:17" ht="12.75" hidden="1" customHeight="1" x14ac:dyDescent="0.2">
      <c r="A23" s="3">
        <v>10494</v>
      </c>
      <c r="B23" s="3" t="s">
        <v>1457</v>
      </c>
      <c r="C23" s="3"/>
      <c r="D23" s="5">
        <f>0</f>
        <v>0</v>
      </c>
      <c r="P23" s="14" t="s">
        <v>993</v>
      </c>
      <c r="Q23">
        <v>29.810000000000002</v>
      </c>
    </row>
    <row r="24" spans="1:17" ht="12.75" customHeight="1" x14ac:dyDescent="0.2">
      <c r="A24" s="67">
        <v>10497</v>
      </c>
      <c r="B24" s="3" t="s">
        <v>1460</v>
      </c>
      <c r="C24" s="3" t="s">
        <v>502</v>
      </c>
      <c r="D24" s="5">
        <f>13251.88</f>
        <v>13251.88</v>
      </c>
      <c r="P24" s="14" t="s">
        <v>1042</v>
      </c>
      <c r="Q24">
        <v>773.37</v>
      </c>
    </row>
    <row r="25" spans="1:17" ht="12.75" customHeight="1" x14ac:dyDescent="0.2">
      <c r="A25" s="67">
        <v>10445</v>
      </c>
      <c r="B25" s="3" t="s">
        <v>1405</v>
      </c>
      <c r="C25" s="3" t="s">
        <v>1498</v>
      </c>
      <c r="D25" s="5">
        <f>124.04</f>
        <v>124.04</v>
      </c>
      <c r="P25" s="14" t="s">
        <v>1502</v>
      </c>
      <c r="Q25">
        <v>2816.69</v>
      </c>
    </row>
    <row r="26" spans="1:17" ht="12.75" customHeight="1" x14ac:dyDescent="0.2">
      <c r="A26" s="67">
        <v>10471</v>
      </c>
      <c r="B26" s="3" t="s">
        <v>1449</v>
      </c>
      <c r="C26" s="3" t="s">
        <v>1372</v>
      </c>
      <c r="D26" s="5">
        <f>3881.85</f>
        <v>3881.85</v>
      </c>
      <c r="P26" s="14" t="s">
        <v>247</v>
      </c>
      <c r="Q26">
        <v>177252.31</v>
      </c>
    </row>
    <row r="27" spans="1:17" ht="12.75" customHeight="1" x14ac:dyDescent="0.2">
      <c r="A27" s="67">
        <v>10106</v>
      </c>
      <c r="B27" s="3" t="s">
        <v>1413</v>
      </c>
      <c r="C27" s="3" t="s">
        <v>1372</v>
      </c>
      <c r="D27" s="5">
        <f>1955.89</f>
        <v>1955.89</v>
      </c>
      <c r="P27" s="14" t="s">
        <v>451</v>
      </c>
      <c r="Q27">
        <v>866.23</v>
      </c>
    </row>
    <row r="28" spans="1:17" ht="12.75" customHeight="1" x14ac:dyDescent="0.2">
      <c r="A28" s="67">
        <v>10411</v>
      </c>
      <c r="B28" s="3" t="s">
        <v>1391</v>
      </c>
      <c r="C28" s="3" t="s">
        <v>278</v>
      </c>
      <c r="D28" s="5">
        <f>281.57</f>
        <v>281.57</v>
      </c>
      <c r="P28" s="14" t="s">
        <v>790</v>
      </c>
      <c r="Q28">
        <v>354.32</v>
      </c>
    </row>
    <row r="29" spans="1:17" ht="12.75" hidden="1" customHeight="1" x14ac:dyDescent="0.2">
      <c r="A29" s="3">
        <v>10451</v>
      </c>
      <c r="B29" s="3" t="s">
        <v>1407</v>
      </c>
      <c r="C29" s="3"/>
      <c r="D29" s="5">
        <f>0</f>
        <v>0</v>
      </c>
      <c r="P29" s="14" t="s">
        <v>182</v>
      </c>
      <c r="Q29">
        <v>20957.750000000004</v>
      </c>
    </row>
    <row r="30" spans="1:17" ht="12.75" customHeight="1" x14ac:dyDescent="0.2">
      <c r="A30" s="67">
        <v>10486</v>
      </c>
      <c r="B30" s="3" t="s">
        <v>1453</v>
      </c>
      <c r="C30" s="3" t="s">
        <v>469</v>
      </c>
      <c r="D30" s="5">
        <f>286.47</f>
        <v>286.47000000000003</v>
      </c>
      <c r="P30" s="14" t="s">
        <v>551</v>
      </c>
      <c r="Q30">
        <v>-3.5700000000001637</v>
      </c>
    </row>
    <row r="31" spans="1:17" ht="12.75" hidden="1" customHeight="1" x14ac:dyDescent="0.2">
      <c r="A31" s="3">
        <v>10481</v>
      </c>
      <c r="B31" s="3" t="s">
        <v>1451</v>
      </c>
      <c r="C31" s="3"/>
      <c r="D31" s="5">
        <f>0</f>
        <v>0</v>
      </c>
      <c r="P31" s="14" t="s">
        <v>499</v>
      </c>
      <c r="Q31">
        <v>3616.7500000000005</v>
      </c>
    </row>
    <row r="32" spans="1:17" ht="12.75" hidden="1" customHeight="1" x14ac:dyDescent="0.2">
      <c r="A32" s="3">
        <v>10416</v>
      </c>
      <c r="B32" s="3" t="s">
        <v>1394</v>
      </c>
      <c r="C32" s="3"/>
      <c r="D32" s="5">
        <f>0</f>
        <v>0</v>
      </c>
      <c r="P32" s="14" t="s">
        <v>1495</v>
      </c>
      <c r="Q32">
        <v>102.94</v>
      </c>
    </row>
    <row r="33" spans="1:17" ht="12.75" hidden="1" customHeight="1" x14ac:dyDescent="0.2">
      <c r="A33" s="3">
        <v>10489</v>
      </c>
      <c r="B33" s="3" t="s">
        <v>1455</v>
      </c>
      <c r="C33" s="3"/>
      <c r="D33" s="5">
        <f>0</f>
        <v>0</v>
      </c>
      <c r="P33" s="14" t="s">
        <v>458</v>
      </c>
      <c r="Q33">
        <v>1052.21</v>
      </c>
    </row>
    <row r="34" spans="1:17" ht="12.75" customHeight="1" x14ac:dyDescent="0.2">
      <c r="A34" s="67">
        <v>10511</v>
      </c>
      <c r="B34" s="3" t="s">
        <v>1463</v>
      </c>
      <c r="C34" s="3" t="s">
        <v>559</v>
      </c>
      <c r="D34" s="5">
        <f>6574.62</f>
        <v>6574.62</v>
      </c>
      <c r="P34" s="14" t="s">
        <v>216</v>
      </c>
      <c r="Q34">
        <v>500.14</v>
      </c>
    </row>
    <row r="35" spans="1:17" ht="12.75" customHeight="1" x14ac:dyDescent="0.2">
      <c r="A35" s="67">
        <v>10512</v>
      </c>
      <c r="B35" s="3" t="s">
        <v>1464</v>
      </c>
      <c r="C35" s="3" t="s">
        <v>559</v>
      </c>
      <c r="D35" s="5">
        <f>82801.55</f>
        <v>82801.55</v>
      </c>
      <c r="P35" s="14" t="s">
        <v>1496</v>
      </c>
      <c r="Q35">
        <v>1050.3800000000001</v>
      </c>
    </row>
    <row r="36" spans="1:17" ht="12.75" customHeight="1" x14ac:dyDescent="0.2">
      <c r="A36" s="67">
        <v>10531</v>
      </c>
      <c r="B36" s="3" t="s">
        <v>1473</v>
      </c>
      <c r="C36" s="3" t="s">
        <v>509</v>
      </c>
      <c r="D36" s="5">
        <f>-224.23</f>
        <v>-224.23</v>
      </c>
      <c r="P36" s="14" t="s">
        <v>1504</v>
      </c>
      <c r="Q36">
        <v>823.28</v>
      </c>
    </row>
    <row r="37" spans="1:17" ht="12.75" customHeight="1" x14ac:dyDescent="0.2">
      <c r="A37" s="67">
        <v>10546</v>
      </c>
      <c r="B37" s="3" t="s">
        <v>1481</v>
      </c>
      <c r="C37" s="3" t="s">
        <v>993</v>
      </c>
      <c r="D37" s="5">
        <f>-14.14</f>
        <v>-14.14</v>
      </c>
      <c r="P37" s="14" t="s">
        <v>1497</v>
      </c>
      <c r="Q37">
        <v>174</v>
      </c>
    </row>
    <row r="38" spans="1:17" ht="12.75" hidden="1" customHeight="1" x14ac:dyDescent="0.2">
      <c r="A38" s="3">
        <v>10441</v>
      </c>
      <c r="B38" s="3" t="s">
        <v>1404</v>
      </c>
      <c r="C38" s="3"/>
      <c r="D38" s="5">
        <f>0</f>
        <v>0</v>
      </c>
      <c r="P38" s="14" t="s">
        <v>937</v>
      </c>
      <c r="Q38">
        <v>789.38000000000011</v>
      </c>
    </row>
    <row r="39" spans="1:17" ht="12.75" hidden="1" customHeight="1" x14ac:dyDescent="0.2">
      <c r="A39" s="3">
        <v>10521</v>
      </c>
      <c r="B39" s="3" t="s">
        <v>1468</v>
      </c>
      <c r="C39" s="3"/>
      <c r="D39" s="5">
        <f>0</f>
        <v>0</v>
      </c>
      <c r="P39" s="14" t="s">
        <v>1505</v>
      </c>
      <c r="Q39">
        <v>2457.5700000000002</v>
      </c>
    </row>
    <row r="40" spans="1:17" ht="12.75" customHeight="1" x14ac:dyDescent="0.2">
      <c r="A40" s="67">
        <v>10465</v>
      </c>
      <c r="B40" s="3" t="s">
        <v>1410</v>
      </c>
      <c r="C40" s="3" t="s">
        <v>451</v>
      </c>
      <c r="D40" s="5">
        <f>148.39</f>
        <v>148.38999999999999</v>
      </c>
      <c r="P40" s="14" t="s">
        <v>227</v>
      </c>
      <c r="Q40">
        <v>31193.640000000003</v>
      </c>
    </row>
    <row r="41" spans="1:17" ht="12.75" customHeight="1" x14ac:dyDescent="0.2">
      <c r="A41" s="67">
        <v>10401</v>
      </c>
      <c r="B41" s="3" t="s">
        <v>1388</v>
      </c>
      <c r="C41" s="3" t="s">
        <v>790</v>
      </c>
      <c r="D41" s="5">
        <f>335.32</f>
        <v>335.32</v>
      </c>
      <c r="P41" s="14" t="s">
        <v>1503</v>
      </c>
      <c r="Q41">
        <v>978.54</v>
      </c>
    </row>
    <row r="42" spans="1:17" ht="12.75" customHeight="1" x14ac:dyDescent="0.2">
      <c r="A42" s="67">
        <v>10516</v>
      </c>
      <c r="B42" s="3" t="s">
        <v>1466</v>
      </c>
      <c r="C42" s="3" t="s">
        <v>551</v>
      </c>
      <c r="D42" s="5">
        <f>1304.87</f>
        <v>1304.8699999999999</v>
      </c>
      <c r="P42" s="14" t="s">
        <v>1499</v>
      </c>
      <c r="Q42">
        <v>2751.85</v>
      </c>
    </row>
    <row r="43" spans="1:17" ht="12.75" customHeight="1" x14ac:dyDescent="0.2">
      <c r="A43" s="67">
        <v>10526</v>
      </c>
      <c r="B43" s="3" t="s">
        <v>1471</v>
      </c>
      <c r="C43" s="3" t="s">
        <v>458</v>
      </c>
      <c r="D43" s="5">
        <f>117.28</f>
        <v>117.28</v>
      </c>
      <c r="P43" s="14" t="s">
        <v>1500</v>
      </c>
      <c r="Q43">
        <v>4489.71</v>
      </c>
    </row>
    <row r="44" spans="1:17" ht="12.75" hidden="1" customHeight="1" x14ac:dyDescent="0.2">
      <c r="A44" s="3">
        <v>10421</v>
      </c>
      <c r="B44" s="3" t="s">
        <v>1398</v>
      </c>
      <c r="C44" s="3"/>
      <c r="D44" s="5">
        <f>0</f>
        <v>0</v>
      </c>
      <c r="P44" s="14" t="s">
        <v>231</v>
      </c>
      <c r="Q44">
        <v>3817.3799999999997</v>
      </c>
    </row>
    <row r="45" spans="1:17" ht="12.75" hidden="1" customHeight="1" x14ac:dyDescent="0.2">
      <c r="A45" s="3">
        <v>10801</v>
      </c>
      <c r="B45" s="3" t="s">
        <v>1487</v>
      </c>
      <c r="C45" s="3"/>
      <c r="D45" s="5">
        <f>0</f>
        <v>0</v>
      </c>
      <c r="P45" s="14" t="s">
        <v>1506</v>
      </c>
      <c r="Q45">
        <v>116.25</v>
      </c>
    </row>
    <row r="46" spans="1:17" ht="12.75" hidden="1" customHeight="1" x14ac:dyDescent="0.2">
      <c r="A46" s="3">
        <v>10431</v>
      </c>
      <c r="B46" s="3" t="s">
        <v>1401</v>
      </c>
      <c r="C46" s="3"/>
      <c r="D46" s="5">
        <f>0</f>
        <v>0</v>
      </c>
      <c r="P46" s="14" t="s">
        <v>502</v>
      </c>
      <c r="Q46">
        <v>16878.98</v>
      </c>
    </row>
    <row r="47" spans="1:17" ht="12.75" customHeight="1" x14ac:dyDescent="0.2">
      <c r="A47" s="67">
        <v>10542</v>
      </c>
      <c r="B47" s="3" t="s">
        <v>1478</v>
      </c>
      <c r="C47" s="3" t="s">
        <v>227</v>
      </c>
      <c r="D47" s="5">
        <f>21261.27</f>
        <v>21261.27</v>
      </c>
      <c r="P47" s="14" t="s">
        <v>1498</v>
      </c>
      <c r="Q47">
        <v>251.54000000000002</v>
      </c>
    </row>
    <row r="48" spans="1:17" ht="12.75" customHeight="1" x14ac:dyDescent="0.2">
      <c r="A48" s="67">
        <v>10541</v>
      </c>
      <c r="B48" s="3" t="s">
        <v>1477</v>
      </c>
      <c r="C48" s="3" t="s">
        <v>227</v>
      </c>
      <c r="D48" s="5">
        <f>9580.88</f>
        <v>9580.8799999999992</v>
      </c>
      <c r="P48" s="14" t="s">
        <v>632</v>
      </c>
      <c r="Q48">
        <v>905.59</v>
      </c>
    </row>
    <row r="49" spans="1:17" ht="12.75" customHeight="1" x14ac:dyDescent="0.2">
      <c r="A49" s="67">
        <v>10535</v>
      </c>
      <c r="B49" s="3" t="s">
        <v>1474</v>
      </c>
      <c r="C49" s="3" t="s">
        <v>1499</v>
      </c>
      <c r="D49" s="5">
        <f>-15</f>
        <v>-15</v>
      </c>
      <c r="P49" s="14" t="s">
        <v>1511</v>
      </c>
      <c r="Q49">
        <v>0</v>
      </c>
    </row>
    <row r="50" spans="1:17" ht="12.75" customHeight="1" x14ac:dyDescent="0.2">
      <c r="A50" s="67">
        <v>10180</v>
      </c>
      <c r="B50" s="3" t="s">
        <v>1376</v>
      </c>
      <c r="C50" s="3" t="s">
        <v>182</v>
      </c>
      <c r="D50" s="5">
        <f>1479.01</f>
        <v>1479.01</v>
      </c>
      <c r="P50" s="14" t="s">
        <v>1272</v>
      </c>
      <c r="Q50">
        <v>453754.90000000008</v>
      </c>
    </row>
    <row r="51" spans="1:17" ht="12.75" customHeight="1" x14ac:dyDescent="0.2">
      <c r="A51" s="67">
        <v>10461</v>
      </c>
      <c r="B51" s="3" t="s">
        <v>1409</v>
      </c>
      <c r="C51" s="3" t="s">
        <v>1500</v>
      </c>
      <c r="D51" s="5">
        <f>2031.82</f>
        <v>2031.82</v>
      </c>
    </row>
    <row r="52" spans="1:17" ht="12.75" customHeight="1" x14ac:dyDescent="0.2">
      <c r="A52" s="67">
        <v>10496</v>
      </c>
      <c r="B52" s="3" t="s">
        <v>1459</v>
      </c>
      <c r="C52" s="3" t="s">
        <v>502</v>
      </c>
      <c r="D52" s="5">
        <f>3627.1</f>
        <v>3627.1</v>
      </c>
    </row>
    <row r="53" spans="1:17" ht="12.75" customHeight="1" x14ac:dyDescent="0.2">
      <c r="A53" s="67">
        <v>10550</v>
      </c>
      <c r="B53" s="3" t="s">
        <v>1483</v>
      </c>
      <c r="C53" s="3" t="s">
        <v>632</v>
      </c>
      <c r="D53" s="5">
        <f>49.6</f>
        <v>49.6</v>
      </c>
    </row>
    <row r="54" spans="1:17" ht="12.75" customHeight="1" x14ac:dyDescent="0.2">
      <c r="A54" s="67">
        <v>10109</v>
      </c>
      <c r="B54" s="3" t="s">
        <v>1415</v>
      </c>
      <c r="C54" s="3" t="s">
        <v>481</v>
      </c>
      <c r="D54" s="5">
        <f>2588.08</f>
        <v>2588.08</v>
      </c>
    </row>
    <row r="55" spans="1:17" ht="12.75" customHeight="1" x14ac:dyDescent="0.2">
      <c r="A55" s="67">
        <v>10108</v>
      </c>
      <c r="B55" s="3" t="s">
        <v>1414</v>
      </c>
      <c r="C55" s="3" t="s">
        <v>278</v>
      </c>
      <c r="D55" s="5">
        <f>30393.28</f>
        <v>30393.279999999999</v>
      </c>
    </row>
    <row r="56" spans="1:17" ht="12.75" hidden="1" customHeight="1" x14ac:dyDescent="0.2">
      <c r="A56" s="3">
        <v>10450</v>
      </c>
      <c r="B56" s="3" t="s">
        <v>1406</v>
      </c>
      <c r="C56" s="3"/>
      <c r="D56" s="5">
        <f>0</f>
        <v>0</v>
      </c>
    </row>
    <row r="57" spans="1:17" ht="12.75" customHeight="1" x14ac:dyDescent="0.2">
      <c r="A57" s="67">
        <v>10110</v>
      </c>
      <c r="B57" s="3" t="s">
        <v>1416</v>
      </c>
      <c r="C57" s="3" t="s">
        <v>469</v>
      </c>
      <c r="D57" s="5">
        <f>3864.51</f>
        <v>3864.51</v>
      </c>
    </row>
    <row r="58" spans="1:17" ht="12.75" customHeight="1" x14ac:dyDescent="0.2">
      <c r="A58" s="67">
        <v>10111</v>
      </c>
      <c r="B58" s="3" t="s">
        <v>1417</v>
      </c>
      <c r="C58" s="3" t="s">
        <v>261</v>
      </c>
      <c r="D58" s="5">
        <f>17327.9</f>
        <v>17327.900000000001</v>
      </c>
    </row>
    <row r="59" spans="1:17" ht="12.75" customHeight="1" x14ac:dyDescent="0.2">
      <c r="A59" s="67">
        <v>10112</v>
      </c>
      <c r="B59" s="3" t="s">
        <v>1418</v>
      </c>
      <c r="C59" s="3" t="s">
        <v>1494</v>
      </c>
      <c r="D59" s="5">
        <f>130.84</f>
        <v>130.84</v>
      </c>
    </row>
    <row r="60" spans="1:17" ht="12.75" customHeight="1" x14ac:dyDescent="0.2">
      <c r="A60" s="67">
        <v>10115</v>
      </c>
      <c r="B60" s="3" t="s">
        <v>1420</v>
      </c>
      <c r="C60" s="3" t="s">
        <v>251</v>
      </c>
      <c r="D60" s="5">
        <f>350.05</f>
        <v>350.05</v>
      </c>
    </row>
    <row r="61" spans="1:17" ht="12.75" customHeight="1" x14ac:dyDescent="0.2">
      <c r="A61" s="67">
        <v>10114</v>
      </c>
      <c r="B61" s="3" t="s">
        <v>1419</v>
      </c>
      <c r="C61" s="3" t="s">
        <v>440</v>
      </c>
      <c r="D61" s="5">
        <f>55.71</f>
        <v>55.71</v>
      </c>
    </row>
    <row r="62" spans="1:17" ht="12.75" customHeight="1" x14ac:dyDescent="0.2">
      <c r="A62" s="67">
        <v>10211</v>
      </c>
      <c r="B62" s="3" t="s">
        <v>1375</v>
      </c>
      <c r="C62" s="3" t="s">
        <v>440</v>
      </c>
      <c r="D62" s="5">
        <f>-603.97</f>
        <v>-603.97</v>
      </c>
    </row>
    <row r="63" spans="1:17" ht="12.75" customHeight="1" x14ac:dyDescent="0.2">
      <c r="A63" s="67">
        <v>10145</v>
      </c>
      <c r="B63" s="3" t="s">
        <v>1443</v>
      </c>
      <c r="C63" s="3" t="s">
        <v>295</v>
      </c>
      <c r="D63" s="5">
        <f>416.62</f>
        <v>416.62</v>
      </c>
    </row>
    <row r="64" spans="1:17" ht="12.75" customHeight="1" x14ac:dyDescent="0.2">
      <c r="A64" s="67">
        <v>10117</v>
      </c>
      <c r="B64" s="3" t="s">
        <v>212</v>
      </c>
      <c r="C64" s="3" t="s">
        <v>212</v>
      </c>
      <c r="D64" s="5">
        <f>2353.83</f>
        <v>2353.83</v>
      </c>
    </row>
    <row r="65" spans="1:4" ht="12.75" customHeight="1" x14ac:dyDescent="0.2">
      <c r="A65" s="67">
        <v>10101</v>
      </c>
      <c r="B65" s="3" t="s">
        <v>1411</v>
      </c>
      <c r="C65" s="3" t="s">
        <v>182</v>
      </c>
      <c r="D65" s="5">
        <f>6200</f>
        <v>6200</v>
      </c>
    </row>
    <row r="66" spans="1:4" ht="12.75" hidden="1" customHeight="1" x14ac:dyDescent="0.2">
      <c r="A66" s="3">
        <v>10700</v>
      </c>
      <c r="B66" s="3" t="s">
        <v>1484</v>
      </c>
      <c r="C66" s="3"/>
      <c r="D66" s="5">
        <f>0</f>
        <v>0</v>
      </c>
    </row>
    <row r="67" spans="1:4" ht="12.75" customHeight="1" x14ac:dyDescent="0.2">
      <c r="A67" s="67">
        <v>10202</v>
      </c>
      <c r="B67" s="3" t="s">
        <v>533</v>
      </c>
      <c r="C67" s="3" t="s">
        <v>533</v>
      </c>
      <c r="D67" s="5">
        <f>3282.29</f>
        <v>3282.29</v>
      </c>
    </row>
    <row r="68" spans="1:4" ht="12.75" hidden="1" customHeight="1" x14ac:dyDescent="0.2">
      <c r="A68" s="3">
        <v>10350</v>
      </c>
      <c r="B68" s="3" t="s">
        <v>1384</v>
      </c>
      <c r="C68" s="3"/>
      <c r="D68" s="5">
        <f>0</f>
        <v>0</v>
      </c>
    </row>
    <row r="69" spans="1:4" ht="12.75" customHeight="1" x14ac:dyDescent="0.2">
      <c r="A69" s="67">
        <v>10118</v>
      </c>
      <c r="B69" s="3" t="s">
        <v>1421</v>
      </c>
      <c r="C69" s="3" t="s">
        <v>559</v>
      </c>
      <c r="D69" s="5">
        <f>852.12</f>
        <v>852.12</v>
      </c>
    </row>
    <row r="70" spans="1:4" ht="12.75" customHeight="1" x14ac:dyDescent="0.2">
      <c r="A70" s="67">
        <v>10119</v>
      </c>
      <c r="B70" s="3" t="s">
        <v>1422</v>
      </c>
      <c r="C70" s="3" t="s">
        <v>1501</v>
      </c>
      <c r="D70" s="5">
        <f>83.64</f>
        <v>83.64</v>
      </c>
    </row>
    <row r="71" spans="1:4" ht="12.75" customHeight="1" x14ac:dyDescent="0.2">
      <c r="A71" s="67">
        <v>10120</v>
      </c>
      <c r="B71" s="3" t="s">
        <v>1423</v>
      </c>
      <c r="C71" s="3" t="s">
        <v>509</v>
      </c>
      <c r="D71" s="5">
        <f>8879.75</f>
        <v>8879.75</v>
      </c>
    </row>
    <row r="72" spans="1:4" ht="12.75" hidden="1" customHeight="1" x14ac:dyDescent="0.2">
      <c r="A72" s="3">
        <v>10190</v>
      </c>
      <c r="B72" s="3" t="s">
        <v>1378</v>
      </c>
      <c r="C72" s="3"/>
      <c r="D72" s="5">
        <f>0</f>
        <v>0</v>
      </c>
    </row>
    <row r="73" spans="1:4" ht="12.75" customHeight="1" x14ac:dyDescent="0.2">
      <c r="A73" s="67">
        <v>10122</v>
      </c>
      <c r="B73" s="3" t="s">
        <v>1425</v>
      </c>
      <c r="C73" s="3" t="s">
        <v>993</v>
      </c>
      <c r="D73" s="5">
        <f>43.95</f>
        <v>43.95</v>
      </c>
    </row>
    <row r="74" spans="1:4" ht="12.75" customHeight="1" x14ac:dyDescent="0.2">
      <c r="A74" s="67">
        <v>10127</v>
      </c>
      <c r="B74" s="3" t="s">
        <v>1429</v>
      </c>
      <c r="C74" s="3" t="s">
        <v>1042</v>
      </c>
      <c r="D74" s="5">
        <f>773.37</f>
        <v>773.37</v>
      </c>
    </row>
    <row r="75" spans="1:4" ht="12.75" customHeight="1" x14ac:dyDescent="0.2">
      <c r="A75" s="67">
        <v>10124</v>
      </c>
      <c r="B75" s="3" t="s">
        <v>1427</v>
      </c>
      <c r="C75" s="3" t="s">
        <v>1502</v>
      </c>
      <c r="D75" s="5">
        <f>2816.69</f>
        <v>2816.69</v>
      </c>
    </row>
    <row r="76" spans="1:4" ht="12.75" hidden="1" customHeight="1" x14ac:dyDescent="0.2">
      <c r="A76" s="3">
        <v>10126</v>
      </c>
      <c r="B76" s="3" t="s">
        <v>1428</v>
      </c>
      <c r="C76" s="3"/>
      <c r="D76" s="5">
        <f>0</f>
        <v>0</v>
      </c>
    </row>
    <row r="77" spans="1:4" ht="12.75" customHeight="1" x14ac:dyDescent="0.2">
      <c r="A77" s="67">
        <v>10123</v>
      </c>
      <c r="B77" s="3" t="s">
        <v>1426</v>
      </c>
      <c r="C77" s="3" t="s">
        <v>451</v>
      </c>
      <c r="D77" s="5">
        <f>717.84</f>
        <v>717.84</v>
      </c>
    </row>
    <row r="78" spans="1:4" ht="12.75" customHeight="1" x14ac:dyDescent="0.2">
      <c r="A78" s="67">
        <v>10128</v>
      </c>
      <c r="B78" s="3" t="s">
        <v>1430</v>
      </c>
      <c r="C78" s="3" t="s">
        <v>790</v>
      </c>
      <c r="D78" s="5">
        <f>19</f>
        <v>19</v>
      </c>
    </row>
    <row r="79" spans="1:4" ht="12.75" hidden="1" customHeight="1" x14ac:dyDescent="0.2">
      <c r="A79" s="3">
        <v>10400</v>
      </c>
      <c r="B79" s="3" t="s">
        <v>1387</v>
      </c>
      <c r="C79" s="3"/>
      <c r="D79" s="5">
        <f>0</f>
        <v>0</v>
      </c>
    </row>
    <row r="80" spans="1:4" ht="12.75" customHeight="1" x14ac:dyDescent="0.2">
      <c r="A80" s="67">
        <v>10125</v>
      </c>
      <c r="B80" s="3" t="s">
        <v>182</v>
      </c>
      <c r="C80" s="3" t="s">
        <v>182</v>
      </c>
      <c r="D80" s="5">
        <f>3223.56</f>
        <v>3223.56</v>
      </c>
    </row>
    <row r="81" spans="1:4" ht="12.75" customHeight="1" x14ac:dyDescent="0.2">
      <c r="A81" s="67">
        <v>10210</v>
      </c>
      <c r="B81" s="3" t="s">
        <v>1374</v>
      </c>
      <c r="C81" s="3" t="s">
        <v>182</v>
      </c>
      <c r="D81" s="5">
        <f>2058.58</f>
        <v>2058.58</v>
      </c>
    </row>
    <row r="82" spans="1:4" ht="12.75" customHeight="1" x14ac:dyDescent="0.2">
      <c r="A82" s="67">
        <v>10129</v>
      </c>
      <c r="B82" s="3" t="s">
        <v>1431</v>
      </c>
      <c r="C82" s="3" t="s">
        <v>1499</v>
      </c>
      <c r="D82" s="5">
        <f>2143</f>
        <v>2143</v>
      </c>
    </row>
    <row r="83" spans="1:4" ht="12.75" customHeight="1" x14ac:dyDescent="0.2">
      <c r="A83" s="67">
        <v>10121</v>
      </c>
      <c r="B83" s="3" t="s">
        <v>1424</v>
      </c>
      <c r="C83" s="3" t="s">
        <v>182</v>
      </c>
      <c r="D83" s="5">
        <f>297.99</f>
        <v>297.99</v>
      </c>
    </row>
    <row r="84" spans="1:4" ht="12.75" customHeight="1" x14ac:dyDescent="0.2">
      <c r="A84" s="67">
        <v>10130</v>
      </c>
      <c r="B84" s="3" t="s">
        <v>1432</v>
      </c>
      <c r="C84" s="3" t="s">
        <v>551</v>
      </c>
      <c r="D84" s="5">
        <f>-1308.44</f>
        <v>-1308.44</v>
      </c>
    </row>
    <row r="85" spans="1:4" ht="12.75" customHeight="1" x14ac:dyDescent="0.2">
      <c r="A85" s="67">
        <v>10203</v>
      </c>
      <c r="B85" s="3" t="s">
        <v>499</v>
      </c>
      <c r="C85" s="3" t="s">
        <v>499</v>
      </c>
      <c r="D85" s="5">
        <f>-798.27</f>
        <v>-798.27</v>
      </c>
    </row>
    <row r="86" spans="1:4" ht="12.75" customHeight="1" x14ac:dyDescent="0.2">
      <c r="A86" s="67">
        <v>10131</v>
      </c>
      <c r="B86" s="3" t="s">
        <v>1433</v>
      </c>
      <c r="C86" s="3" t="s">
        <v>1495</v>
      </c>
      <c r="D86" s="5">
        <f>53.23</f>
        <v>53.23</v>
      </c>
    </row>
    <row r="87" spans="1:4" ht="12.75" hidden="1" customHeight="1" x14ac:dyDescent="0.2">
      <c r="A87" s="3">
        <v>10200</v>
      </c>
      <c r="B87" s="3" t="s">
        <v>1379</v>
      </c>
      <c r="C87" s="3"/>
      <c r="D87" s="5">
        <f>0</f>
        <v>0</v>
      </c>
    </row>
    <row r="88" spans="1:4" ht="12.75" customHeight="1" x14ac:dyDescent="0.2">
      <c r="A88" s="67">
        <v>10132</v>
      </c>
      <c r="B88" s="3" t="s">
        <v>1434</v>
      </c>
      <c r="C88" s="3" t="s">
        <v>458</v>
      </c>
      <c r="D88" s="5">
        <f>934.93</f>
        <v>934.93</v>
      </c>
    </row>
    <row r="89" spans="1:4" ht="12.75" customHeight="1" x14ac:dyDescent="0.2">
      <c r="A89" s="67">
        <v>10133</v>
      </c>
      <c r="B89" s="3" t="s">
        <v>216</v>
      </c>
      <c r="C89" s="3" t="s">
        <v>216</v>
      </c>
      <c r="D89" s="5">
        <f>467.5</f>
        <v>467.5</v>
      </c>
    </row>
    <row r="90" spans="1:4" ht="12.75" hidden="1" customHeight="1" x14ac:dyDescent="0.2">
      <c r="A90" s="3">
        <v>10250</v>
      </c>
      <c r="B90" s="3" t="s">
        <v>1380</v>
      </c>
      <c r="C90" s="3"/>
      <c r="D90" s="5">
        <f>0</f>
        <v>0</v>
      </c>
    </row>
    <row r="91" spans="1:4" ht="12.75" customHeight="1" x14ac:dyDescent="0.2">
      <c r="A91" s="67">
        <v>10500</v>
      </c>
      <c r="B91" s="3" t="s">
        <v>1461</v>
      </c>
      <c r="C91" s="3" t="s">
        <v>182</v>
      </c>
      <c r="D91" s="5">
        <f>124.05</f>
        <v>124.05</v>
      </c>
    </row>
    <row r="92" spans="1:4" ht="12.75" customHeight="1" x14ac:dyDescent="0.2">
      <c r="A92" s="67">
        <v>10138</v>
      </c>
      <c r="B92" s="3" t="s">
        <v>1436</v>
      </c>
      <c r="C92" s="3" t="s">
        <v>1496</v>
      </c>
      <c r="D92" s="5">
        <f>1018.19</f>
        <v>1018.19</v>
      </c>
    </row>
    <row r="93" spans="1:4" ht="12.75" customHeight="1" x14ac:dyDescent="0.2">
      <c r="A93" s="67">
        <v>10134</v>
      </c>
      <c r="B93" s="3" t="s">
        <v>1435</v>
      </c>
      <c r="C93" s="3" t="s">
        <v>1504</v>
      </c>
      <c r="D93" s="5">
        <f>823.28</f>
        <v>823.28</v>
      </c>
    </row>
    <row r="94" spans="1:4" ht="12.75" hidden="1" customHeight="1" x14ac:dyDescent="0.2">
      <c r="A94" s="3">
        <v>10800</v>
      </c>
      <c r="B94" s="3" t="s">
        <v>1486</v>
      </c>
      <c r="C94" s="3"/>
      <c r="D94" s="5">
        <f>0</f>
        <v>0</v>
      </c>
    </row>
    <row r="95" spans="1:4" ht="12.75" customHeight="1" x14ac:dyDescent="0.2">
      <c r="A95" s="67">
        <v>10139</v>
      </c>
      <c r="B95" s="3" t="s">
        <v>1437</v>
      </c>
      <c r="C95" s="3" t="s">
        <v>1503</v>
      </c>
      <c r="D95" s="5">
        <f>978.54</f>
        <v>978.54</v>
      </c>
    </row>
    <row r="96" spans="1:4" ht="12.75" customHeight="1" x14ac:dyDescent="0.2">
      <c r="A96" s="67">
        <v>10141</v>
      </c>
      <c r="B96" s="3" t="s">
        <v>1439</v>
      </c>
      <c r="C96" s="3" t="s">
        <v>937</v>
      </c>
      <c r="D96" s="5">
        <f>626.2</f>
        <v>626.20000000000005</v>
      </c>
    </row>
    <row r="97" spans="1:4" ht="12.75" customHeight="1" x14ac:dyDescent="0.2">
      <c r="A97" s="67">
        <v>10142</v>
      </c>
      <c r="B97" s="3" t="s">
        <v>1440</v>
      </c>
      <c r="C97" s="3" t="s">
        <v>1505</v>
      </c>
      <c r="D97" s="5">
        <f>2457.57</f>
        <v>2457.5700000000002</v>
      </c>
    </row>
    <row r="98" spans="1:4" ht="12.75" customHeight="1" x14ac:dyDescent="0.2">
      <c r="A98" s="67">
        <v>10144</v>
      </c>
      <c r="B98" s="3" t="s">
        <v>1442</v>
      </c>
      <c r="C98" s="3" t="s">
        <v>227</v>
      </c>
      <c r="D98" s="5">
        <f>351.49</f>
        <v>351.49</v>
      </c>
    </row>
    <row r="99" spans="1:4" ht="12.75" hidden="1" customHeight="1" x14ac:dyDescent="0.2">
      <c r="A99" s="3">
        <v>10470</v>
      </c>
      <c r="B99" s="3" t="s">
        <v>1448</v>
      </c>
      <c r="C99" s="3"/>
      <c r="D99" s="5">
        <f>0</f>
        <v>0</v>
      </c>
    </row>
    <row r="100" spans="1:4" ht="12.75" hidden="1" customHeight="1" x14ac:dyDescent="0.2">
      <c r="A100" s="3">
        <v>10410</v>
      </c>
      <c r="B100" s="3" t="s">
        <v>1390</v>
      </c>
      <c r="C100" s="3"/>
      <c r="D100" s="5">
        <f>0</f>
        <v>0</v>
      </c>
    </row>
    <row r="101" spans="1:4" ht="12.75" hidden="1" customHeight="1" x14ac:dyDescent="0.2">
      <c r="A101" s="3">
        <v>10485</v>
      </c>
      <c r="B101" s="3" t="s">
        <v>1452</v>
      </c>
      <c r="C101" s="3"/>
      <c r="D101" s="5">
        <f>0</f>
        <v>0</v>
      </c>
    </row>
    <row r="102" spans="1:4" ht="12.75" hidden="1" customHeight="1" x14ac:dyDescent="0.2">
      <c r="A102" s="3">
        <v>10480</v>
      </c>
      <c r="B102" s="3" t="s">
        <v>1450</v>
      </c>
      <c r="C102" s="3"/>
      <c r="D102" s="5">
        <f>0</f>
        <v>0</v>
      </c>
    </row>
    <row r="103" spans="1:4" ht="12.75" hidden="1" customHeight="1" x14ac:dyDescent="0.2">
      <c r="A103" s="3">
        <v>10415</v>
      </c>
      <c r="B103" s="3" t="s">
        <v>1393</v>
      </c>
      <c r="C103" s="3"/>
      <c r="D103" s="5">
        <f>0</f>
        <v>0</v>
      </c>
    </row>
    <row r="104" spans="1:4" ht="12.75" hidden="1" customHeight="1" x14ac:dyDescent="0.2">
      <c r="A104" s="3">
        <v>10488</v>
      </c>
      <c r="B104" s="3" t="s">
        <v>1454</v>
      </c>
      <c r="C104" s="3"/>
      <c r="D104" s="5">
        <f>0</f>
        <v>0</v>
      </c>
    </row>
    <row r="105" spans="1:4" ht="12.75" hidden="1" customHeight="1" x14ac:dyDescent="0.2">
      <c r="A105" s="3">
        <v>10510</v>
      </c>
      <c r="B105" s="3" t="s">
        <v>1462</v>
      </c>
      <c r="C105" s="3"/>
      <c r="D105" s="5">
        <f>0</f>
        <v>0</v>
      </c>
    </row>
    <row r="106" spans="1:4" hidden="1" x14ac:dyDescent="0.2">
      <c r="A106" s="3">
        <v>10530</v>
      </c>
      <c r="B106" s="3" t="s">
        <v>1472</v>
      </c>
      <c r="C106" s="3"/>
      <c r="D106" s="5">
        <f>0</f>
        <v>0</v>
      </c>
    </row>
    <row r="107" spans="1:4" hidden="1" x14ac:dyDescent="0.2">
      <c r="A107" s="3">
        <v>10545</v>
      </c>
      <c r="B107" s="3" t="s">
        <v>1480</v>
      </c>
      <c r="C107" s="3"/>
      <c r="D107" s="5">
        <f>0</f>
        <v>0</v>
      </c>
    </row>
    <row r="108" spans="1:4" hidden="1" x14ac:dyDescent="0.2">
      <c r="A108" s="3">
        <v>10440</v>
      </c>
      <c r="B108" s="3" t="s">
        <v>1403</v>
      </c>
      <c r="C108" s="3"/>
      <c r="D108" s="5">
        <f>0</f>
        <v>0</v>
      </c>
    </row>
    <row r="109" spans="1:4" hidden="1" x14ac:dyDescent="0.2">
      <c r="A109" s="3">
        <v>10520</v>
      </c>
      <c r="B109" s="3" t="s">
        <v>1467</v>
      </c>
      <c r="C109" s="3"/>
      <c r="D109" s="5">
        <f>0</f>
        <v>0</v>
      </c>
    </row>
    <row r="110" spans="1:4" hidden="1" x14ac:dyDescent="0.2">
      <c r="A110" s="3">
        <v>10515</v>
      </c>
      <c r="B110" s="3" t="s">
        <v>1465</v>
      </c>
      <c r="C110" s="3"/>
      <c r="D110" s="5">
        <f>0</f>
        <v>0</v>
      </c>
    </row>
    <row r="111" spans="1:4" hidden="1" x14ac:dyDescent="0.2">
      <c r="A111" s="3">
        <v>10525</v>
      </c>
      <c r="B111" s="3" t="s">
        <v>1470</v>
      </c>
      <c r="C111" s="3"/>
      <c r="D111" s="5">
        <f>0</f>
        <v>0</v>
      </c>
    </row>
    <row r="112" spans="1:4" hidden="1" x14ac:dyDescent="0.2">
      <c r="A112" s="3">
        <v>10490</v>
      </c>
      <c r="B112" s="3" t="s">
        <v>1456</v>
      </c>
      <c r="C112" s="3"/>
      <c r="D112" s="5">
        <f>0</f>
        <v>0</v>
      </c>
    </row>
    <row r="113" spans="1:4" hidden="1" x14ac:dyDescent="0.2">
      <c r="A113" s="3">
        <v>10420</v>
      </c>
      <c r="B113" s="3" t="s">
        <v>1397</v>
      </c>
      <c r="C113" s="3"/>
      <c r="D113" s="5">
        <f>0</f>
        <v>0</v>
      </c>
    </row>
    <row r="114" spans="1:4" hidden="1" x14ac:dyDescent="0.2">
      <c r="A114" s="3">
        <v>10460</v>
      </c>
      <c r="B114" s="3" t="s">
        <v>1408</v>
      </c>
      <c r="C114" s="3"/>
      <c r="D114" s="5">
        <f>0</f>
        <v>0</v>
      </c>
    </row>
    <row r="115" spans="1:4" hidden="1" x14ac:dyDescent="0.2">
      <c r="A115" s="3">
        <v>10430</v>
      </c>
      <c r="B115" s="3" t="s">
        <v>1400</v>
      </c>
      <c r="C115" s="3"/>
      <c r="D115" s="5">
        <f>0</f>
        <v>0</v>
      </c>
    </row>
    <row r="116" spans="1:4" hidden="1" x14ac:dyDescent="0.2">
      <c r="A116" s="3">
        <v>10540</v>
      </c>
      <c r="B116" s="3" t="s">
        <v>1476</v>
      </c>
      <c r="C116" s="3"/>
      <c r="D116" s="5">
        <f>0</f>
        <v>0</v>
      </c>
    </row>
    <row r="117" spans="1:4" hidden="1" x14ac:dyDescent="0.2">
      <c r="A117" s="3">
        <v>10495</v>
      </c>
      <c r="B117" s="3" t="s">
        <v>1458</v>
      </c>
      <c r="C117" s="3"/>
      <c r="D117" s="5">
        <f>0</f>
        <v>0</v>
      </c>
    </row>
    <row r="118" spans="1:4" hidden="1" x14ac:dyDescent="0.2">
      <c r="A118" s="3">
        <v>10300</v>
      </c>
      <c r="B118" s="3" t="s">
        <v>1381</v>
      </c>
      <c r="C118" s="3"/>
      <c r="D118" s="5">
        <f>0</f>
        <v>0</v>
      </c>
    </row>
    <row r="119" spans="1:4" x14ac:dyDescent="0.2">
      <c r="A119" s="67">
        <v>10140</v>
      </c>
      <c r="B119" s="3" t="s">
        <v>1438</v>
      </c>
      <c r="C119" s="3" t="s">
        <v>1500</v>
      </c>
      <c r="D119" s="5">
        <f>2457.89</f>
        <v>2457.89</v>
      </c>
    </row>
    <row r="120" spans="1:4" x14ac:dyDescent="0.2">
      <c r="A120" s="67">
        <v>10102</v>
      </c>
      <c r="B120" s="3" t="s">
        <v>1412</v>
      </c>
      <c r="C120" s="3" t="s">
        <v>182</v>
      </c>
      <c r="D120" s="5">
        <f>353.8</f>
        <v>353.8</v>
      </c>
    </row>
    <row r="121" spans="1:4" x14ac:dyDescent="0.2">
      <c r="A121" s="67">
        <v>10143</v>
      </c>
      <c r="B121" s="3" t="s">
        <v>1441</v>
      </c>
      <c r="C121" s="3" t="s">
        <v>231</v>
      </c>
      <c r="D121" s="5">
        <f>3497.45</f>
        <v>3497.45</v>
      </c>
    </row>
    <row r="122" spans="1:4" x14ac:dyDescent="0.2">
      <c r="A122" s="67">
        <v>10149</v>
      </c>
      <c r="B122" s="3" t="s">
        <v>1447</v>
      </c>
      <c r="C122" s="3" t="s">
        <v>1506</v>
      </c>
      <c r="D122" s="5">
        <f>116.25</f>
        <v>116.25</v>
      </c>
    </row>
    <row r="123" spans="1:4" x14ac:dyDescent="0.2">
      <c r="A123" s="67">
        <v>10146</v>
      </c>
      <c r="B123" s="3" t="s">
        <v>1444</v>
      </c>
      <c r="C123" s="3" t="s">
        <v>632</v>
      </c>
      <c r="D123" s="5">
        <f>855.99</f>
        <v>855.99</v>
      </c>
    </row>
    <row r="124" spans="1:4" hidden="1" x14ac:dyDescent="0.2">
      <c r="A124" s="3">
        <v>10148</v>
      </c>
      <c r="B124" s="3" t="s">
        <v>1446</v>
      </c>
      <c r="C124" s="3"/>
      <c r="D124" s="5">
        <f>0</f>
        <v>0</v>
      </c>
    </row>
    <row r="125" spans="1:4" x14ac:dyDescent="0.2">
      <c r="A125" s="67">
        <v>10147</v>
      </c>
      <c r="B125" s="3" t="s">
        <v>1445</v>
      </c>
      <c r="C125" s="3" t="s">
        <v>1498</v>
      </c>
      <c r="D125" s="5">
        <f>127.5</f>
        <v>127.5</v>
      </c>
    </row>
    <row r="126" spans="1:4" x14ac:dyDescent="0.2">
      <c r="A126" s="67">
        <v>10201</v>
      </c>
      <c r="B126" s="3" t="s">
        <v>1039</v>
      </c>
      <c r="C126" s="3" t="s">
        <v>247</v>
      </c>
      <c r="D126" s="5">
        <f>63364.42</f>
        <v>63364.42</v>
      </c>
    </row>
    <row r="127" spans="1:4" x14ac:dyDescent="0.2">
      <c r="D127" s="17">
        <f>SUM(D2:D126)</f>
        <v>453754.90000000014</v>
      </c>
    </row>
    <row r="132" spans="1:18" x14ac:dyDescent="0.2">
      <c r="A132" s="68"/>
      <c r="D132" s="64"/>
    </row>
    <row r="133" spans="1:18" x14ac:dyDescent="0.2">
      <c r="A133" s="68" t="s">
        <v>1491</v>
      </c>
      <c r="B133" t="s">
        <v>1358</v>
      </c>
      <c r="C133" s="26" t="s">
        <v>1510</v>
      </c>
      <c r="D133" s="64" t="s">
        <v>1214</v>
      </c>
      <c r="P133" s="13" t="s">
        <v>1367</v>
      </c>
      <c r="Q133" t="s">
        <v>2123</v>
      </c>
    </row>
    <row r="134" spans="1:18" x14ac:dyDescent="0.2">
      <c r="A134" s="68">
        <v>10352</v>
      </c>
      <c r="B134" t="s">
        <v>1385</v>
      </c>
      <c r="C134" s="26" t="s">
        <v>2118</v>
      </c>
      <c r="D134" s="64">
        <f>1286.56</f>
        <v>1286.56</v>
      </c>
      <c r="P134" s="14" t="s">
        <v>1372</v>
      </c>
      <c r="Q134" s="10">
        <v>893.17000000000007</v>
      </c>
      <c r="R134" s="10"/>
    </row>
    <row r="135" spans="1:18" x14ac:dyDescent="0.2">
      <c r="A135" s="68">
        <v>10522</v>
      </c>
      <c r="B135" t="s">
        <v>1469</v>
      </c>
      <c r="C135" s="26" t="s">
        <v>247</v>
      </c>
      <c r="D135" s="64">
        <f>10125.29</f>
        <v>10125.290000000001</v>
      </c>
      <c r="P135" s="14" t="s">
        <v>1371</v>
      </c>
      <c r="Q135" s="10">
        <v>125.88</v>
      </c>
      <c r="R135" s="10"/>
    </row>
    <row r="136" spans="1:18" x14ac:dyDescent="0.2">
      <c r="A136" s="68">
        <v>10418</v>
      </c>
      <c r="B136" t="s">
        <v>1396</v>
      </c>
      <c r="C136" s="26" t="s">
        <v>1494</v>
      </c>
      <c r="D136" s="64">
        <f>332.33</f>
        <v>332.33</v>
      </c>
      <c r="P136" s="14" t="s">
        <v>481</v>
      </c>
      <c r="Q136" s="10">
        <v>3919.97</v>
      </c>
      <c r="R136" s="10"/>
    </row>
    <row r="137" spans="1:18" x14ac:dyDescent="0.2">
      <c r="A137" s="68">
        <v>10182</v>
      </c>
      <c r="B137" t="s">
        <v>2112</v>
      </c>
      <c r="C137" s="26" t="s">
        <v>2119</v>
      </c>
      <c r="D137" s="64">
        <f>100</f>
        <v>100</v>
      </c>
      <c r="P137" s="14" t="s">
        <v>2119</v>
      </c>
      <c r="Q137" s="10">
        <v>100</v>
      </c>
      <c r="R137" s="10"/>
    </row>
    <row r="138" spans="1:18" x14ac:dyDescent="0.2">
      <c r="A138" s="68">
        <v>10417</v>
      </c>
      <c r="B138" t="s">
        <v>1395</v>
      </c>
      <c r="C138" s="26" t="s">
        <v>440</v>
      </c>
      <c r="D138" s="64">
        <f>138.29</f>
        <v>138.29</v>
      </c>
      <c r="P138" s="14" t="s">
        <v>278</v>
      </c>
      <c r="Q138" s="10">
        <v>25878.58</v>
      </c>
      <c r="R138" s="10"/>
    </row>
    <row r="139" spans="1:18" x14ac:dyDescent="0.2">
      <c r="A139" s="68">
        <v>10355</v>
      </c>
      <c r="B139" t="s">
        <v>1386</v>
      </c>
      <c r="C139" s="26" t="s">
        <v>462</v>
      </c>
      <c r="D139" s="64">
        <f>753.94</f>
        <v>753.94</v>
      </c>
      <c r="P139" s="14" t="s">
        <v>469</v>
      </c>
      <c r="Q139" s="10">
        <v>1964.38</v>
      </c>
      <c r="R139" s="10"/>
    </row>
    <row r="140" spans="1:18" x14ac:dyDescent="0.2">
      <c r="A140" s="68">
        <v>10181</v>
      </c>
      <c r="B140" t="s">
        <v>1377</v>
      </c>
      <c r="C140" s="26" t="s">
        <v>182</v>
      </c>
      <c r="D140" s="64">
        <f>4997.63</f>
        <v>4997.63</v>
      </c>
      <c r="P140" s="14" t="s">
        <v>261</v>
      </c>
      <c r="Q140" s="10">
        <v>16444.93</v>
      </c>
      <c r="R140" s="10"/>
    </row>
    <row r="141" spans="1:18" x14ac:dyDescent="0.2">
      <c r="A141" s="68">
        <v>10903</v>
      </c>
      <c r="B141" t="s">
        <v>1489</v>
      </c>
      <c r="C141" s="26" t="s">
        <v>499</v>
      </c>
      <c r="D141" s="64">
        <f>8357.25</f>
        <v>8357.25</v>
      </c>
      <c r="P141" s="14" t="s">
        <v>1494</v>
      </c>
      <c r="Q141" s="10">
        <v>332.33</v>
      </c>
      <c r="R141" s="10"/>
    </row>
    <row r="142" spans="1:18" x14ac:dyDescent="0.2">
      <c r="A142" s="68">
        <v>10103</v>
      </c>
      <c r="B142" t="s">
        <v>1371</v>
      </c>
      <c r="C142" s="26" t="s">
        <v>1371</v>
      </c>
      <c r="D142" s="64">
        <f>125.88</f>
        <v>125.88</v>
      </c>
      <c r="P142" s="14" t="s">
        <v>251</v>
      </c>
      <c r="Q142" s="10">
        <v>1371.13</v>
      </c>
      <c r="R142" s="10"/>
    </row>
    <row r="143" spans="1:18" x14ac:dyDescent="0.2">
      <c r="A143" s="68">
        <v>10414</v>
      </c>
      <c r="B143" t="s">
        <v>1392</v>
      </c>
      <c r="C143" s="26" t="s">
        <v>261</v>
      </c>
      <c r="D143" s="64">
        <f>4543.84</f>
        <v>4543.84</v>
      </c>
      <c r="P143" s="14" t="s">
        <v>440</v>
      </c>
      <c r="Q143" s="10">
        <v>415.40999999999997</v>
      </c>
      <c r="R143" s="10"/>
    </row>
    <row r="144" spans="1:18" x14ac:dyDescent="0.2">
      <c r="A144" s="68">
        <v>10310</v>
      </c>
      <c r="B144" t="s">
        <v>1382</v>
      </c>
      <c r="C144" s="26" t="s">
        <v>251</v>
      </c>
      <c r="D144" s="64">
        <f>1021.08</f>
        <v>1021.08</v>
      </c>
      <c r="P144" s="14" t="s">
        <v>295</v>
      </c>
      <c r="Q144" s="10">
        <v>2332.9899999999998</v>
      </c>
      <c r="R144" s="10"/>
    </row>
    <row r="145" spans="1:18" x14ac:dyDescent="0.2">
      <c r="A145" s="68">
        <v>10543</v>
      </c>
      <c r="B145" t="s">
        <v>1479</v>
      </c>
      <c r="C145" s="26" t="s">
        <v>295</v>
      </c>
      <c r="D145" s="64">
        <f>295.96</f>
        <v>295.95999999999998</v>
      </c>
      <c r="P145" s="14" t="s">
        <v>212</v>
      </c>
      <c r="Q145" s="10">
        <v>23988.989999999998</v>
      </c>
      <c r="R145" s="10"/>
    </row>
    <row r="146" spans="1:18" x14ac:dyDescent="0.2">
      <c r="A146" s="68">
        <v>10340</v>
      </c>
      <c r="B146" t="s">
        <v>1383</v>
      </c>
      <c r="C146" s="26" t="s">
        <v>212</v>
      </c>
      <c r="D146" s="64">
        <f>2350.98</f>
        <v>2350.98</v>
      </c>
      <c r="P146" s="14" t="s">
        <v>462</v>
      </c>
      <c r="Q146" s="10">
        <v>4874.5200000000004</v>
      </c>
      <c r="R146" s="10"/>
    </row>
    <row r="147" spans="1:18" x14ac:dyDescent="0.2">
      <c r="A147" s="68">
        <v>10509</v>
      </c>
      <c r="B147" t="s">
        <v>2114</v>
      </c>
      <c r="C147" s="26" t="s">
        <v>559</v>
      </c>
      <c r="D147" s="64">
        <f>79559.37</f>
        <v>79559.37</v>
      </c>
      <c r="P147" s="14" t="s">
        <v>2118</v>
      </c>
      <c r="Q147" s="10">
        <v>9568.85</v>
      </c>
      <c r="R147" s="10"/>
    </row>
    <row r="148" spans="1:18" x14ac:dyDescent="0.2">
      <c r="A148" s="68">
        <v>10910</v>
      </c>
      <c r="B148" t="s">
        <v>1490</v>
      </c>
      <c r="C148" s="26" t="s">
        <v>1499</v>
      </c>
      <c r="D148" s="64">
        <f>1074.63</f>
        <v>1074.6300000000001</v>
      </c>
      <c r="P148" s="14" t="s">
        <v>1594</v>
      </c>
      <c r="Q148" s="10">
        <v>166</v>
      </c>
      <c r="R148" s="10"/>
    </row>
    <row r="149" spans="1:18" x14ac:dyDescent="0.2">
      <c r="A149" s="68">
        <v>10750</v>
      </c>
      <c r="B149" t="s">
        <v>1485</v>
      </c>
      <c r="C149" s="26" t="s">
        <v>216</v>
      </c>
      <c r="D149" s="64">
        <f>102.64</f>
        <v>102.64</v>
      </c>
      <c r="P149" s="14" t="s">
        <v>559</v>
      </c>
      <c r="Q149" s="10">
        <v>84106.099999999991</v>
      </c>
      <c r="R149" s="10"/>
    </row>
    <row r="150" spans="1:18" x14ac:dyDescent="0.2">
      <c r="A150" s="68">
        <v>10850</v>
      </c>
      <c r="B150" t="s">
        <v>1488</v>
      </c>
      <c r="C150" s="26" t="s">
        <v>1496</v>
      </c>
      <c r="D150" s="64">
        <f>2425.47</f>
        <v>2425.4699999999998</v>
      </c>
      <c r="P150" s="14" t="s">
        <v>509</v>
      </c>
      <c r="Q150" s="10">
        <v>7713.9100000000008</v>
      </c>
      <c r="R150" s="10"/>
    </row>
    <row r="151" spans="1:18" x14ac:dyDescent="0.2">
      <c r="A151" s="68">
        <v>10428</v>
      </c>
      <c r="B151" t="s">
        <v>1399</v>
      </c>
      <c r="C151" s="26" t="s">
        <v>1497</v>
      </c>
      <c r="D151" s="64">
        <f>186.22</f>
        <v>186.22</v>
      </c>
      <c r="P151" s="14" t="s">
        <v>1501</v>
      </c>
      <c r="Q151" s="10">
        <v>3129.6</v>
      </c>
      <c r="R151" s="10"/>
    </row>
    <row r="152" spans="1:18" x14ac:dyDescent="0.2">
      <c r="A152" s="68">
        <v>10536</v>
      </c>
      <c r="B152" t="s">
        <v>1475</v>
      </c>
      <c r="C152" s="26" t="s">
        <v>937</v>
      </c>
      <c r="D152" s="64">
        <f>2899.18</f>
        <v>2899.18</v>
      </c>
      <c r="P152" s="14" t="s">
        <v>993</v>
      </c>
      <c r="Q152" s="10">
        <v>211.20999999999998</v>
      </c>
      <c r="R152" s="10"/>
    </row>
    <row r="153" spans="1:18" x14ac:dyDescent="0.2">
      <c r="A153" s="68">
        <v>10549</v>
      </c>
      <c r="B153" t="s">
        <v>1482</v>
      </c>
      <c r="C153" s="26" t="s">
        <v>231</v>
      </c>
      <c r="D153" s="64">
        <f>3257.74</f>
        <v>3257.74</v>
      </c>
      <c r="P153" s="14" t="s">
        <v>2121</v>
      </c>
      <c r="Q153" s="10">
        <v>3080.04</v>
      </c>
      <c r="R153" s="10"/>
    </row>
    <row r="154" spans="1:18" x14ac:dyDescent="0.2">
      <c r="A154" s="68">
        <v>10513</v>
      </c>
      <c r="B154" t="s">
        <v>2116</v>
      </c>
      <c r="C154" s="26" t="s">
        <v>2120</v>
      </c>
      <c r="D154" s="64">
        <f>2604.58</f>
        <v>2604.58</v>
      </c>
      <c r="P154" s="14" t="s">
        <v>247</v>
      </c>
      <c r="Q154" s="10">
        <v>10212.070000000002</v>
      </c>
      <c r="R154" s="10"/>
    </row>
    <row r="155" spans="1:18" x14ac:dyDescent="0.2">
      <c r="A155" s="68">
        <v>10514</v>
      </c>
      <c r="B155" t="s">
        <v>2115</v>
      </c>
      <c r="C155" s="26" t="s">
        <v>2120</v>
      </c>
      <c r="D155" s="64">
        <f>5561.63</f>
        <v>5561.63</v>
      </c>
      <c r="P155" s="14" t="s">
        <v>451</v>
      </c>
      <c r="Q155" s="10">
        <v>4474.6399999999994</v>
      </c>
      <c r="R155" s="10"/>
    </row>
    <row r="156" spans="1:18" x14ac:dyDescent="0.2">
      <c r="A156" s="68">
        <v>10497</v>
      </c>
      <c r="B156" t="s">
        <v>1460</v>
      </c>
      <c r="C156" s="26" t="s">
        <v>502</v>
      </c>
      <c r="D156" s="64">
        <f>8500.29</f>
        <v>8500.2900000000009</v>
      </c>
      <c r="P156" s="14" t="s">
        <v>790</v>
      </c>
      <c r="Q156" s="10">
        <v>5394.32</v>
      </c>
      <c r="R156" s="10"/>
    </row>
    <row r="157" spans="1:18" x14ac:dyDescent="0.2">
      <c r="A157" s="68">
        <v>10445</v>
      </c>
      <c r="B157" t="s">
        <v>1405</v>
      </c>
      <c r="C157" s="26" t="s">
        <v>1498</v>
      </c>
      <c r="D157" s="64">
        <f>42.25</f>
        <v>42.25</v>
      </c>
      <c r="P157" s="14" t="s">
        <v>182</v>
      </c>
      <c r="Q157" s="10">
        <v>19135.399999999998</v>
      </c>
      <c r="R157" s="10"/>
    </row>
    <row r="158" spans="1:18" x14ac:dyDescent="0.2">
      <c r="A158" s="68">
        <v>10471</v>
      </c>
      <c r="B158" t="s">
        <v>1449</v>
      </c>
      <c r="C158" s="26" t="s">
        <v>1372</v>
      </c>
      <c r="D158" s="64">
        <f>320.31</f>
        <v>320.31</v>
      </c>
      <c r="P158" s="14" t="s">
        <v>499</v>
      </c>
      <c r="Q158" s="10">
        <v>22266.91</v>
      </c>
      <c r="R158" s="10"/>
    </row>
    <row r="159" spans="1:18" x14ac:dyDescent="0.2">
      <c r="A159" s="68">
        <v>10106</v>
      </c>
      <c r="B159" t="s">
        <v>1413</v>
      </c>
      <c r="C159" s="26" t="s">
        <v>1372</v>
      </c>
      <c r="D159" s="64">
        <f>572.86</f>
        <v>572.86</v>
      </c>
      <c r="P159" s="14" t="s">
        <v>458</v>
      </c>
      <c r="Q159" s="10">
        <v>1004.2099999999999</v>
      </c>
      <c r="R159" s="10"/>
    </row>
    <row r="160" spans="1:18" x14ac:dyDescent="0.2">
      <c r="A160" s="68">
        <v>10411</v>
      </c>
      <c r="B160" t="s">
        <v>1391</v>
      </c>
      <c r="C160" s="26" t="s">
        <v>278</v>
      </c>
      <c r="D160" s="64">
        <f>2120.72</f>
        <v>2120.7199999999998</v>
      </c>
      <c r="P160" s="14" t="s">
        <v>216</v>
      </c>
      <c r="Q160" s="10">
        <v>432.44</v>
      </c>
      <c r="R160" s="10"/>
    </row>
    <row r="161" spans="1:18" x14ac:dyDescent="0.2">
      <c r="A161" s="68">
        <v>10486</v>
      </c>
      <c r="B161" t="s">
        <v>1453</v>
      </c>
      <c r="C161" s="26" t="s">
        <v>469</v>
      </c>
      <c r="D161" s="64">
        <f>1126</f>
        <v>1126</v>
      </c>
      <c r="P161" s="14" t="s">
        <v>1496</v>
      </c>
      <c r="Q161" s="10">
        <v>4817.32</v>
      </c>
      <c r="R161" s="10"/>
    </row>
    <row r="162" spans="1:18" x14ac:dyDescent="0.2">
      <c r="A162" s="68">
        <v>10511</v>
      </c>
      <c r="B162" t="s">
        <v>1463</v>
      </c>
      <c r="C162" s="26" t="s">
        <v>559</v>
      </c>
      <c r="D162" s="64">
        <f>3374.81</f>
        <v>3374.81</v>
      </c>
      <c r="P162" s="14" t="s">
        <v>1497</v>
      </c>
      <c r="Q162" s="10">
        <v>2615.4599999999996</v>
      </c>
      <c r="R162" s="10"/>
    </row>
    <row r="163" spans="1:18" x14ac:dyDescent="0.2">
      <c r="A163" s="68">
        <v>10531</v>
      </c>
      <c r="B163" t="s">
        <v>1473</v>
      </c>
      <c r="C163" s="26" t="s">
        <v>509</v>
      </c>
      <c r="D163" s="64">
        <f>178.27</f>
        <v>178.27</v>
      </c>
      <c r="P163" s="14" t="s">
        <v>937</v>
      </c>
      <c r="Q163" s="10">
        <v>3242.3799999999997</v>
      </c>
      <c r="R163" s="10"/>
    </row>
    <row r="164" spans="1:18" x14ac:dyDescent="0.2">
      <c r="A164" s="68">
        <v>10546</v>
      </c>
      <c r="B164" t="s">
        <v>1481</v>
      </c>
      <c r="C164" s="26" t="s">
        <v>993</v>
      </c>
      <c r="D164" s="64">
        <f>15.86</f>
        <v>15.86</v>
      </c>
      <c r="P164" s="14" t="s">
        <v>1505</v>
      </c>
      <c r="Q164" s="10">
        <v>2457.5700000000002</v>
      </c>
      <c r="R164" s="10"/>
    </row>
    <row r="165" spans="1:18" x14ac:dyDescent="0.2">
      <c r="A165" s="68">
        <v>10516</v>
      </c>
      <c r="B165" t="s">
        <v>2117</v>
      </c>
      <c r="C165" s="26" t="s">
        <v>2121</v>
      </c>
      <c r="D165" s="64">
        <f>2606.48</f>
        <v>2606.48</v>
      </c>
      <c r="P165" s="14" t="s">
        <v>227</v>
      </c>
      <c r="Q165" s="10">
        <v>4921.7700000000004</v>
      </c>
      <c r="R165" s="10"/>
    </row>
    <row r="166" spans="1:18" x14ac:dyDescent="0.2">
      <c r="A166" s="68">
        <v>10465</v>
      </c>
      <c r="B166" t="s">
        <v>1410</v>
      </c>
      <c r="C166" s="26" t="s">
        <v>451</v>
      </c>
      <c r="D166" s="64">
        <f>2256.33</f>
        <v>2256.33</v>
      </c>
      <c r="P166" s="14" t="s">
        <v>1499</v>
      </c>
      <c r="Q166" s="10">
        <v>2495.4300000000003</v>
      </c>
      <c r="R166" s="10"/>
    </row>
    <row r="167" spans="1:18" x14ac:dyDescent="0.2">
      <c r="A167" s="68">
        <v>10401</v>
      </c>
      <c r="B167" t="s">
        <v>1388</v>
      </c>
      <c r="C167" s="26" t="s">
        <v>790</v>
      </c>
      <c r="D167" s="64">
        <f>275.32</f>
        <v>275.32</v>
      </c>
      <c r="P167" s="14" t="s">
        <v>1500</v>
      </c>
      <c r="Q167" s="10">
        <v>4426.3599999999997</v>
      </c>
      <c r="R167" s="10"/>
    </row>
    <row r="168" spans="1:18" x14ac:dyDescent="0.2">
      <c r="A168" s="68">
        <v>10526</v>
      </c>
      <c r="B168" t="s">
        <v>1471</v>
      </c>
      <c r="C168" s="26" t="s">
        <v>458</v>
      </c>
      <c r="D168" s="64">
        <f>69.28</f>
        <v>69.28</v>
      </c>
      <c r="P168" s="14" t="s">
        <v>231</v>
      </c>
      <c r="Q168" s="10">
        <v>10861.65</v>
      </c>
      <c r="R168" s="10"/>
    </row>
    <row r="169" spans="1:18" x14ac:dyDescent="0.2">
      <c r="A169" s="68">
        <v>10542</v>
      </c>
      <c r="B169" t="s">
        <v>1478</v>
      </c>
      <c r="C169" s="26" t="s">
        <v>227</v>
      </c>
      <c r="D169" s="64">
        <f>4921.77</f>
        <v>4921.7700000000004</v>
      </c>
      <c r="P169" s="14" t="s">
        <v>2120</v>
      </c>
      <c r="Q169" s="10">
        <v>8886.68</v>
      </c>
      <c r="R169" s="10"/>
    </row>
    <row r="170" spans="1:18" x14ac:dyDescent="0.2">
      <c r="A170" s="68">
        <v>10535</v>
      </c>
      <c r="B170" t="s">
        <v>1474</v>
      </c>
      <c r="C170" s="26" t="s">
        <v>1499</v>
      </c>
      <c r="D170" s="64">
        <f>-15</f>
        <v>-15</v>
      </c>
      <c r="P170" s="14" t="s">
        <v>502</v>
      </c>
      <c r="Q170" s="10">
        <v>8929.0400000000009</v>
      </c>
      <c r="R170" s="10"/>
    </row>
    <row r="171" spans="1:18" x14ac:dyDescent="0.2">
      <c r="A171" s="68">
        <v>10180</v>
      </c>
      <c r="B171" t="s">
        <v>1376</v>
      </c>
      <c r="C171" s="26" t="s">
        <v>182</v>
      </c>
      <c r="D171" s="64">
        <f>1556.92</f>
        <v>1556.92</v>
      </c>
      <c r="P171" s="14" t="s">
        <v>1498</v>
      </c>
      <c r="Q171" s="10">
        <v>1291.75</v>
      </c>
      <c r="R171" s="10"/>
    </row>
    <row r="172" spans="1:18" x14ac:dyDescent="0.2">
      <c r="A172" s="68">
        <v>10461</v>
      </c>
      <c r="B172" t="s">
        <v>1409</v>
      </c>
      <c r="C172" s="26" t="s">
        <v>1500</v>
      </c>
      <c r="D172" s="64">
        <f>3462.14</f>
        <v>3462.14</v>
      </c>
      <c r="P172" s="14" t="s">
        <v>632</v>
      </c>
      <c r="Q172" s="10">
        <v>5821.65</v>
      </c>
      <c r="R172" s="10"/>
    </row>
    <row r="173" spans="1:18" x14ac:dyDescent="0.2">
      <c r="A173" s="68">
        <v>10512</v>
      </c>
      <c r="B173" t="s">
        <v>2113</v>
      </c>
      <c r="C173" s="26" t="s">
        <v>2120</v>
      </c>
      <c r="D173" s="64">
        <f>0</f>
        <v>0</v>
      </c>
      <c r="P173" s="14" t="s">
        <v>2122</v>
      </c>
      <c r="Q173" s="10">
        <v>93488.02</v>
      </c>
      <c r="R173" s="10"/>
    </row>
    <row r="174" spans="1:18" x14ac:dyDescent="0.2">
      <c r="A174" s="68">
        <v>10496</v>
      </c>
      <c r="B174" t="s">
        <v>1459</v>
      </c>
      <c r="C174" s="26" t="s">
        <v>502</v>
      </c>
      <c r="D174" s="64">
        <f>428.75</f>
        <v>428.75</v>
      </c>
      <c r="P174" s="14" t="s">
        <v>1272</v>
      </c>
      <c r="Q174" s="10">
        <v>407793.06000000006</v>
      </c>
      <c r="R174" s="10"/>
    </row>
    <row r="175" spans="1:18" x14ac:dyDescent="0.2">
      <c r="A175" s="68">
        <v>10550</v>
      </c>
      <c r="B175" t="s">
        <v>1483</v>
      </c>
      <c r="C175" s="26" t="s">
        <v>632</v>
      </c>
      <c r="D175" s="64">
        <f>820.52</f>
        <v>820.52</v>
      </c>
    </row>
    <row r="176" spans="1:18" x14ac:dyDescent="0.2">
      <c r="A176" s="68">
        <v>10109</v>
      </c>
      <c r="B176" t="s">
        <v>1415</v>
      </c>
      <c r="C176" s="26" t="s">
        <v>481</v>
      </c>
      <c r="D176" s="64">
        <f>3919.97</f>
        <v>3919.97</v>
      </c>
    </row>
    <row r="177" spans="1:4" x14ac:dyDescent="0.2">
      <c r="A177" s="68">
        <v>10108</v>
      </c>
      <c r="B177" t="s">
        <v>1414</v>
      </c>
      <c r="C177" s="26" t="s">
        <v>278</v>
      </c>
      <c r="D177" s="64">
        <f>23757.86</f>
        <v>23757.86</v>
      </c>
    </row>
    <row r="178" spans="1:4" x14ac:dyDescent="0.2">
      <c r="A178" s="68">
        <v>10110</v>
      </c>
      <c r="B178" t="s">
        <v>1416</v>
      </c>
      <c r="C178" s="26" t="s">
        <v>469</v>
      </c>
      <c r="D178" s="64">
        <f>838.38</f>
        <v>838.38</v>
      </c>
    </row>
    <row r="179" spans="1:4" x14ac:dyDescent="0.2">
      <c r="A179" s="68">
        <v>10111</v>
      </c>
      <c r="B179" t="s">
        <v>1417</v>
      </c>
      <c r="C179" s="26" t="s">
        <v>261</v>
      </c>
      <c r="D179" s="64">
        <f>11901.09</f>
        <v>11901.09</v>
      </c>
    </row>
    <row r="180" spans="1:4" x14ac:dyDescent="0.2">
      <c r="A180" s="68">
        <v>10115</v>
      </c>
      <c r="B180" t="s">
        <v>1420</v>
      </c>
      <c r="C180" s="26" t="s">
        <v>251</v>
      </c>
      <c r="D180" s="64">
        <f>350.05</f>
        <v>350.05</v>
      </c>
    </row>
    <row r="181" spans="1:4" x14ac:dyDescent="0.2">
      <c r="A181" s="68">
        <v>10211</v>
      </c>
      <c r="B181" t="s">
        <v>1375</v>
      </c>
      <c r="C181" s="26" t="s">
        <v>440</v>
      </c>
      <c r="D181" s="64">
        <f>277.12</f>
        <v>277.12</v>
      </c>
    </row>
    <row r="182" spans="1:4" x14ac:dyDescent="0.2">
      <c r="A182" s="68">
        <v>10145</v>
      </c>
      <c r="B182" t="s">
        <v>1443</v>
      </c>
      <c r="C182" s="26" t="s">
        <v>295</v>
      </c>
      <c r="D182" s="64">
        <f>2037.03</f>
        <v>2037.03</v>
      </c>
    </row>
    <row r="183" spans="1:4" x14ac:dyDescent="0.2">
      <c r="A183" s="68">
        <v>10117</v>
      </c>
      <c r="B183" t="s">
        <v>212</v>
      </c>
      <c r="C183" s="26" t="s">
        <v>212</v>
      </c>
      <c r="D183" s="64">
        <f>21638.01</f>
        <v>21638.01</v>
      </c>
    </row>
    <row r="184" spans="1:4" x14ac:dyDescent="0.2">
      <c r="A184" s="68">
        <v>10204</v>
      </c>
      <c r="B184" t="s">
        <v>462</v>
      </c>
      <c r="C184" s="26" t="s">
        <v>462</v>
      </c>
      <c r="D184" s="64">
        <f>4120.58</f>
        <v>4120.58</v>
      </c>
    </row>
    <row r="185" spans="1:4" x14ac:dyDescent="0.2">
      <c r="A185" s="68">
        <v>10101</v>
      </c>
      <c r="B185" t="s">
        <v>1411</v>
      </c>
      <c r="C185" s="26" t="s">
        <v>182</v>
      </c>
      <c r="D185" s="64">
        <f>5200</f>
        <v>5200</v>
      </c>
    </row>
    <row r="186" spans="1:4" x14ac:dyDescent="0.2">
      <c r="A186" s="68">
        <v>10202</v>
      </c>
      <c r="B186" t="s">
        <v>533</v>
      </c>
      <c r="C186" s="26" t="s">
        <v>2118</v>
      </c>
      <c r="D186" s="64">
        <f>8282.29</f>
        <v>8282.2900000000009</v>
      </c>
    </row>
    <row r="187" spans="1:4" x14ac:dyDescent="0.2">
      <c r="A187" s="68">
        <v>10107</v>
      </c>
      <c r="B187" t="s">
        <v>1594</v>
      </c>
      <c r="C187" s="26" t="s">
        <v>1594</v>
      </c>
      <c r="D187" s="64">
        <f>166</f>
        <v>166</v>
      </c>
    </row>
    <row r="188" spans="1:4" x14ac:dyDescent="0.2">
      <c r="A188" s="68">
        <v>10118</v>
      </c>
      <c r="B188" t="s">
        <v>1421</v>
      </c>
      <c r="C188" s="26" t="s">
        <v>559</v>
      </c>
      <c r="D188" s="64">
        <f>1171.92</f>
        <v>1171.92</v>
      </c>
    </row>
    <row r="189" spans="1:4" x14ac:dyDescent="0.2">
      <c r="A189" s="68">
        <v>10119</v>
      </c>
      <c r="B189" t="s">
        <v>1422</v>
      </c>
      <c r="C189" s="26" t="s">
        <v>1501</v>
      </c>
      <c r="D189" s="64">
        <f>3129.6</f>
        <v>3129.6</v>
      </c>
    </row>
    <row r="190" spans="1:4" x14ac:dyDescent="0.2">
      <c r="A190" s="68">
        <v>10120</v>
      </c>
      <c r="B190" t="s">
        <v>1423</v>
      </c>
      <c r="C190" s="26" t="s">
        <v>509</v>
      </c>
      <c r="D190" s="64">
        <f>7535.64</f>
        <v>7535.64</v>
      </c>
    </row>
    <row r="191" spans="1:4" x14ac:dyDescent="0.2">
      <c r="A191" s="68">
        <v>10122</v>
      </c>
      <c r="B191" t="s">
        <v>1425</v>
      </c>
      <c r="C191" s="26" t="s">
        <v>993</v>
      </c>
      <c r="D191" s="64">
        <f>195.35</f>
        <v>195.35</v>
      </c>
    </row>
    <row r="192" spans="1:4" x14ac:dyDescent="0.2">
      <c r="A192" s="68">
        <v>10130</v>
      </c>
      <c r="B192" t="s">
        <v>2110</v>
      </c>
      <c r="C192" s="26" t="s">
        <v>2121</v>
      </c>
      <c r="D192" s="64">
        <f>473.56</f>
        <v>473.56</v>
      </c>
    </row>
    <row r="193" spans="1:4" x14ac:dyDescent="0.2">
      <c r="A193" s="68">
        <v>10126</v>
      </c>
      <c r="B193" t="s">
        <v>1428</v>
      </c>
      <c r="C193" s="26" t="s">
        <v>247</v>
      </c>
      <c r="D193" s="64">
        <f>86.78</f>
        <v>86.78</v>
      </c>
    </row>
    <row r="194" spans="1:4" x14ac:dyDescent="0.2">
      <c r="A194" s="68">
        <v>10123</v>
      </c>
      <c r="B194" t="s">
        <v>1426</v>
      </c>
      <c r="C194" s="26" t="s">
        <v>451</v>
      </c>
      <c r="D194" s="64">
        <f>2218.31</f>
        <v>2218.31</v>
      </c>
    </row>
    <row r="195" spans="1:4" x14ac:dyDescent="0.2">
      <c r="A195" s="68">
        <v>10128</v>
      </c>
      <c r="B195" t="s">
        <v>1430</v>
      </c>
      <c r="C195" s="26" t="s">
        <v>790</v>
      </c>
      <c r="D195" s="64">
        <f>5119</f>
        <v>5119</v>
      </c>
    </row>
    <row r="196" spans="1:4" x14ac:dyDescent="0.2">
      <c r="A196" s="68">
        <v>10125</v>
      </c>
      <c r="B196" t="s">
        <v>182</v>
      </c>
      <c r="C196" s="26" t="s">
        <v>182</v>
      </c>
      <c r="D196" s="64">
        <f>4443.26</f>
        <v>4443.26</v>
      </c>
    </row>
    <row r="197" spans="1:4" x14ac:dyDescent="0.2">
      <c r="A197" s="68">
        <v>10210</v>
      </c>
      <c r="B197" t="s">
        <v>1374</v>
      </c>
      <c r="C197" s="26" t="s">
        <v>182</v>
      </c>
      <c r="D197" s="64">
        <f>2161.75</f>
        <v>2161.75</v>
      </c>
    </row>
    <row r="198" spans="1:4" x14ac:dyDescent="0.2">
      <c r="A198" s="68">
        <v>10129</v>
      </c>
      <c r="B198" t="s">
        <v>1431</v>
      </c>
      <c r="C198" s="26" t="s">
        <v>1499</v>
      </c>
      <c r="D198" s="64">
        <f>1435.8</f>
        <v>1435.8</v>
      </c>
    </row>
    <row r="199" spans="1:4" x14ac:dyDescent="0.2">
      <c r="A199" s="68">
        <v>10121</v>
      </c>
      <c r="B199" t="s">
        <v>1424</v>
      </c>
      <c r="C199" s="26" t="s">
        <v>182</v>
      </c>
      <c r="D199" s="64">
        <f>297.99</f>
        <v>297.99</v>
      </c>
    </row>
    <row r="200" spans="1:4" x14ac:dyDescent="0.2">
      <c r="A200" s="68">
        <v>10203</v>
      </c>
      <c r="B200" t="s">
        <v>499</v>
      </c>
      <c r="C200" s="26" t="s">
        <v>499</v>
      </c>
      <c r="D200" s="64">
        <f>13909.66</f>
        <v>13909.66</v>
      </c>
    </row>
    <row r="201" spans="1:4" x14ac:dyDescent="0.2">
      <c r="A201" s="68">
        <v>10132</v>
      </c>
      <c r="B201" t="s">
        <v>1434</v>
      </c>
      <c r="C201" s="26" t="s">
        <v>458</v>
      </c>
      <c r="D201" s="64">
        <f>934.93</f>
        <v>934.93</v>
      </c>
    </row>
    <row r="202" spans="1:4" x14ac:dyDescent="0.2">
      <c r="A202" s="68">
        <v>10133</v>
      </c>
      <c r="B202" t="s">
        <v>216</v>
      </c>
      <c r="C202" s="26" t="s">
        <v>216</v>
      </c>
      <c r="D202" s="64">
        <f>329.8</f>
        <v>329.8</v>
      </c>
    </row>
    <row r="203" spans="1:4" x14ac:dyDescent="0.2">
      <c r="A203" s="68">
        <v>10500</v>
      </c>
      <c r="B203" t="s">
        <v>1461</v>
      </c>
      <c r="C203" s="26" t="s">
        <v>182</v>
      </c>
      <c r="D203" s="64">
        <f>124.05</f>
        <v>124.05</v>
      </c>
    </row>
    <row r="204" spans="1:4" x14ac:dyDescent="0.2">
      <c r="A204" s="68">
        <v>10138</v>
      </c>
      <c r="B204" t="s">
        <v>1436</v>
      </c>
      <c r="C204" s="26" t="s">
        <v>1496</v>
      </c>
      <c r="D204" s="64">
        <f>2293.19</f>
        <v>2293.19</v>
      </c>
    </row>
    <row r="205" spans="1:4" x14ac:dyDescent="0.2">
      <c r="A205" s="68">
        <v>10134</v>
      </c>
      <c r="B205" t="s">
        <v>1435</v>
      </c>
      <c r="C205" s="26" t="s">
        <v>1496</v>
      </c>
      <c r="D205" s="64">
        <f>98.66</f>
        <v>98.66</v>
      </c>
    </row>
    <row r="206" spans="1:4" x14ac:dyDescent="0.2">
      <c r="A206" s="68">
        <v>10139</v>
      </c>
      <c r="B206" t="s">
        <v>1437</v>
      </c>
      <c r="C206" s="26" t="s">
        <v>1497</v>
      </c>
      <c r="D206" s="64">
        <f>2429.24</f>
        <v>2429.2399999999998</v>
      </c>
    </row>
    <row r="207" spans="1:4" x14ac:dyDescent="0.2">
      <c r="A207" s="68">
        <v>10141</v>
      </c>
      <c r="B207" t="s">
        <v>1439</v>
      </c>
      <c r="C207" s="26" t="s">
        <v>937</v>
      </c>
      <c r="D207" s="64">
        <f>343.2</f>
        <v>343.2</v>
      </c>
    </row>
    <row r="208" spans="1:4" x14ac:dyDescent="0.2">
      <c r="A208" s="68">
        <v>10142</v>
      </c>
      <c r="B208" t="s">
        <v>1440</v>
      </c>
      <c r="C208" s="26" t="s">
        <v>1505</v>
      </c>
      <c r="D208" s="64">
        <f>2457.57</f>
        <v>2457.5700000000002</v>
      </c>
    </row>
    <row r="209" spans="1:4" x14ac:dyDescent="0.2">
      <c r="A209" s="68">
        <v>10140</v>
      </c>
      <c r="B209" t="s">
        <v>1438</v>
      </c>
      <c r="C209" s="26" t="s">
        <v>1500</v>
      </c>
      <c r="D209" s="64">
        <f>964.22</f>
        <v>964.22</v>
      </c>
    </row>
    <row r="210" spans="1:4" x14ac:dyDescent="0.2">
      <c r="A210" s="68">
        <v>10102</v>
      </c>
      <c r="B210" t="s">
        <v>1412</v>
      </c>
      <c r="C210" s="26" t="s">
        <v>182</v>
      </c>
      <c r="D210" s="64">
        <f>353.8</f>
        <v>353.8</v>
      </c>
    </row>
    <row r="211" spans="1:4" x14ac:dyDescent="0.2">
      <c r="A211" s="68">
        <v>10143</v>
      </c>
      <c r="B211" t="s">
        <v>1441</v>
      </c>
      <c r="C211" s="26" t="s">
        <v>231</v>
      </c>
      <c r="D211" s="64">
        <f>7603.91</f>
        <v>7603.91</v>
      </c>
    </row>
    <row r="212" spans="1:4" x14ac:dyDescent="0.2">
      <c r="A212" s="68">
        <v>10150</v>
      </c>
      <c r="B212" t="s">
        <v>1614</v>
      </c>
      <c r="C212" s="26" t="s">
        <v>2120</v>
      </c>
      <c r="D212" s="64">
        <f>720.47</f>
        <v>720.47</v>
      </c>
    </row>
    <row r="213" spans="1:4" x14ac:dyDescent="0.2">
      <c r="A213" s="68">
        <v>10146</v>
      </c>
      <c r="B213" t="s">
        <v>1444</v>
      </c>
      <c r="C213" s="26" t="s">
        <v>632</v>
      </c>
      <c r="D213" s="64">
        <f>5001.13</f>
        <v>5001.13</v>
      </c>
    </row>
    <row r="214" spans="1:4" x14ac:dyDescent="0.2">
      <c r="A214" s="68">
        <v>10147</v>
      </c>
      <c r="B214" t="s">
        <v>1445</v>
      </c>
      <c r="C214" s="26" t="s">
        <v>1498</v>
      </c>
      <c r="D214" s="64">
        <f>1249.5</f>
        <v>1249.5</v>
      </c>
    </row>
    <row r="215" spans="1:4" x14ac:dyDescent="0.2">
      <c r="A215" s="68">
        <v>10179</v>
      </c>
      <c r="B215" t="s">
        <v>2111</v>
      </c>
      <c r="C215" s="26" t="s">
        <v>2122</v>
      </c>
      <c r="D215" s="64">
        <f>0</f>
        <v>0</v>
      </c>
    </row>
    <row r="216" spans="1:4" x14ac:dyDescent="0.2">
      <c r="A216" s="68">
        <v>10201</v>
      </c>
      <c r="B216" t="s">
        <v>1039</v>
      </c>
      <c r="C216" s="26" t="s">
        <v>2122</v>
      </c>
      <c r="D216" s="64">
        <f>93488.02</f>
        <v>93488.02</v>
      </c>
    </row>
  </sheetData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4"/>
  <sheetViews>
    <sheetView topLeftCell="A19" workbookViewId="0">
      <selection activeCell="D28" sqref="D28"/>
    </sheetView>
  </sheetViews>
  <sheetFormatPr defaultRowHeight="12.75" x14ac:dyDescent="0.2"/>
  <cols>
    <col min="1" max="1" width="50" customWidth="1"/>
    <col min="2" max="2" width="9.5703125" bestFit="1" customWidth="1"/>
  </cols>
  <sheetData>
    <row r="1" spans="1:2" ht="12.75" customHeight="1" x14ac:dyDescent="0.25">
      <c r="A1" s="632" t="s">
        <v>177</v>
      </c>
      <c r="B1" s="631"/>
    </row>
    <row r="2" spans="1:2" ht="12.75" customHeight="1" x14ac:dyDescent="0.25">
      <c r="A2" s="632" t="s">
        <v>178</v>
      </c>
      <c r="B2" s="631"/>
    </row>
    <row r="3" spans="1:2" ht="12.75" customHeight="1" x14ac:dyDescent="0.2">
      <c r="A3" s="633" t="s">
        <v>179</v>
      </c>
      <c r="B3" s="631"/>
    </row>
    <row r="4" spans="1:2" ht="12.75" customHeight="1" x14ac:dyDescent="0.2"/>
    <row r="5" spans="1:2" ht="12.75" customHeight="1" x14ac:dyDescent="0.2">
      <c r="A5" s="1"/>
      <c r="B5" s="2" t="s">
        <v>0</v>
      </c>
    </row>
    <row r="6" spans="1:2" ht="12.75" customHeight="1" x14ac:dyDescent="0.2">
      <c r="A6" s="3" t="s">
        <v>1</v>
      </c>
      <c r="B6" s="4"/>
    </row>
    <row r="7" spans="1:2" ht="12.75" customHeight="1" x14ac:dyDescent="0.2">
      <c r="A7" s="3" t="s">
        <v>2</v>
      </c>
      <c r="B7" s="4"/>
    </row>
    <row r="8" spans="1:2" ht="12.75" customHeight="1" x14ac:dyDescent="0.2">
      <c r="A8" s="3" t="s">
        <v>3</v>
      </c>
      <c r="B8" s="4"/>
    </row>
    <row r="9" spans="1:2" ht="12.75" customHeight="1" x14ac:dyDescent="0.2">
      <c r="A9" s="3" t="s">
        <v>4</v>
      </c>
      <c r="B9" s="5">
        <f>0</f>
        <v>0</v>
      </c>
    </row>
    <row r="10" spans="1:2" ht="12.75" customHeight="1" x14ac:dyDescent="0.2">
      <c r="A10" s="3" t="s">
        <v>5</v>
      </c>
      <c r="B10" s="5">
        <f>0</f>
        <v>0</v>
      </c>
    </row>
    <row r="11" spans="1:2" ht="12.75" customHeight="1" x14ac:dyDescent="0.2">
      <c r="A11" s="3" t="s">
        <v>6</v>
      </c>
      <c r="B11" s="5">
        <f>0</f>
        <v>0</v>
      </c>
    </row>
    <row r="12" spans="1:2" ht="12.75" customHeight="1" x14ac:dyDescent="0.2">
      <c r="A12" s="3" t="s">
        <v>7</v>
      </c>
      <c r="B12" s="5">
        <f>6200</f>
        <v>6200</v>
      </c>
    </row>
    <row r="13" spans="1:2" ht="12.75" customHeight="1" x14ac:dyDescent="0.2">
      <c r="A13" s="3" t="s">
        <v>8</v>
      </c>
      <c r="B13" s="5">
        <f>353.8</f>
        <v>353.8</v>
      </c>
    </row>
    <row r="14" spans="1:2" ht="12.75" customHeight="1" x14ac:dyDescent="0.2">
      <c r="A14" s="3" t="s">
        <v>9</v>
      </c>
      <c r="B14" s="5">
        <f>125.88</f>
        <v>125.88</v>
      </c>
    </row>
    <row r="15" spans="1:2" ht="12.75" customHeight="1" x14ac:dyDescent="0.2">
      <c r="A15" s="3" t="s">
        <v>10</v>
      </c>
      <c r="B15" s="5">
        <f>1955.89</f>
        <v>1955.89</v>
      </c>
    </row>
    <row r="16" spans="1:2" ht="12.75" customHeight="1" x14ac:dyDescent="0.2">
      <c r="A16" s="3" t="s">
        <v>11</v>
      </c>
      <c r="B16" s="5">
        <f>30393.28</f>
        <v>30393.279999999999</v>
      </c>
    </row>
    <row r="17" spans="1:2" ht="12.75" customHeight="1" x14ac:dyDescent="0.2">
      <c r="A17" s="3" t="s">
        <v>12</v>
      </c>
      <c r="B17" s="5">
        <f>2588.08</f>
        <v>2588.08</v>
      </c>
    </row>
    <row r="18" spans="1:2" ht="12.75" customHeight="1" x14ac:dyDescent="0.2">
      <c r="A18" s="3" t="s">
        <v>13</v>
      </c>
      <c r="B18" s="5">
        <f>3864.51</f>
        <v>3864.51</v>
      </c>
    </row>
    <row r="19" spans="1:2" ht="12.75" customHeight="1" x14ac:dyDescent="0.2">
      <c r="A19" s="3" t="s">
        <v>14</v>
      </c>
      <c r="B19" s="5">
        <f>17327.9</f>
        <v>17327.900000000001</v>
      </c>
    </row>
    <row r="20" spans="1:2" ht="12.75" customHeight="1" x14ac:dyDescent="0.2">
      <c r="A20" s="3" t="s">
        <v>15</v>
      </c>
      <c r="B20" s="5">
        <f>130.84</f>
        <v>130.84</v>
      </c>
    </row>
    <row r="21" spans="1:2" ht="12.75" customHeight="1" x14ac:dyDescent="0.2">
      <c r="A21" s="3" t="s">
        <v>16</v>
      </c>
      <c r="B21" s="5">
        <f>55.71</f>
        <v>55.71</v>
      </c>
    </row>
    <row r="22" spans="1:2" ht="12.75" customHeight="1" x14ac:dyDescent="0.2">
      <c r="A22" s="3" t="s">
        <v>17</v>
      </c>
      <c r="B22" s="5">
        <f>350.05</f>
        <v>350.05</v>
      </c>
    </row>
    <row r="23" spans="1:2" ht="12.75" customHeight="1" x14ac:dyDescent="0.2">
      <c r="A23" s="3" t="s">
        <v>18</v>
      </c>
      <c r="B23" s="5">
        <f>2353.83</f>
        <v>2353.83</v>
      </c>
    </row>
    <row r="24" spans="1:2" ht="12.75" customHeight="1" x14ac:dyDescent="0.2">
      <c r="A24" s="3" t="s">
        <v>19</v>
      </c>
      <c r="B24" s="5">
        <f>852.12</f>
        <v>852.12</v>
      </c>
    </row>
    <row r="25" spans="1:2" ht="12.75" customHeight="1" x14ac:dyDescent="0.2">
      <c r="A25" s="3" t="s">
        <v>20</v>
      </c>
      <c r="B25" s="5">
        <f>83.64</f>
        <v>83.64</v>
      </c>
    </row>
    <row r="26" spans="1:2" ht="12.75" customHeight="1" x14ac:dyDescent="0.2">
      <c r="A26" s="3" t="s">
        <v>21</v>
      </c>
      <c r="B26" s="5">
        <f>8879.75</f>
        <v>8879.75</v>
      </c>
    </row>
    <row r="27" spans="1:2" ht="12.75" customHeight="1" x14ac:dyDescent="0.2">
      <c r="A27" s="3" t="s">
        <v>22</v>
      </c>
      <c r="B27" s="5">
        <f>297.99</f>
        <v>297.99</v>
      </c>
    </row>
    <row r="28" spans="1:2" ht="12.75" customHeight="1" x14ac:dyDescent="0.2">
      <c r="A28" s="3" t="s">
        <v>23</v>
      </c>
      <c r="B28" s="5">
        <f>43.95</f>
        <v>43.95</v>
      </c>
    </row>
    <row r="29" spans="1:2" ht="12.75" customHeight="1" x14ac:dyDescent="0.2">
      <c r="A29" s="3" t="s">
        <v>24</v>
      </c>
      <c r="B29" s="5">
        <f>717.84</f>
        <v>717.84</v>
      </c>
    </row>
    <row r="30" spans="1:2" ht="12.75" customHeight="1" x14ac:dyDescent="0.2">
      <c r="A30" s="3" t="s">
        <v>25</v>
      </c>
      <c r="B30" s="5">
        <f>2816.69</f>
        <v>2816.69</v>
      </c>
    </row>
    <row r="31" spans="1:2" ht="12.75" customHeight="1" x14ac:dyDescent="0.2">
      <c r="A31" s="3" t="s">
        <v>26</v>
      </c>
      <c r="B31" s="5">
        <f>3223.56</f>
        <v>3223.56</v>
      </c>
    </row>
    <row r="32" spans="1:2" ht="12.75" customHeight="1" x14ac:dyDescent="0.2">
      <c r="A32" s="3" t="s">
        <v>27</v>
      </c>
      <c r="B32" s="5">
        <f>0</f>
        <v>0</v>
      </c>
    </row>
    <row r="33" spans="1:2" ht="12.75" customHeight="1" x14ac:dyDescent="0.2">
      <c r="A33" s="3" t="s">
        <v>28</v>
      </c>
      <c r="B33" s="5">
        <f>773.37</f>
        <v>773.37</v>
      </c>
    </row>
    <row r="34" spans="1:2" ht="12.75" customHeight="1" x14ac:dyDescent="0.2">
      <c r="A34" s="3" t="s">
        <v>29</v>
      </c>
      <c r="B34" s="5">
        <f>19</f>
        <v>19</v>
      </c>
    </row>
    <row r="35" spans="1:2" ht="12.75" customHeight="1" x14ac:dyDescent="0.2">
      <c r="A35" s="3" t="s">
        <v>30</v>
      </c>
      <c r="B35" s="5">
        <f>2143</f>
        <v>2143</v>
      </c>
    </row>
    <row r="36" spans="1:2" ht="12.75" customHeight="1" x14ac:dyDescent="0.2">
      <c r="A36" s="3" t="s">
        <v>31</v>
      </c>
      <c r="B36" s="5">
        <f>-1308.44</f>
        <v>-1308.44</v>
      </c>
    </row>
    <row r="37" spans="1:2" ht="12.75" customHeight="1" x14ac:dyDescent="0.2">
      <c r="A37" s="3" t="s">
        <v>32</v>
      </c>
      <c r="B37" s="5">
        <f>53.23</f>
        <v>53.23</v>
      </c>
    </row>
    <row r="38" spans="1:2" ht="12.75" customHeight="1" x14ac:dyDescent="0.2">
      <c r="A38" s="3" t="s">
        <v>33</v>
      </c>
      <c r="B38" s="5">
        <f>934.93</f>
        <v>934.93</v>
      </c>
    </row>
    <row r="39" spans="1:2" ht="12.75" customHeight="1" x14ac:dyDescent="0.2">
      <c r="A39" s="3" t="s">
        <v>34</v>
      </c>
      <c r="B39" s="5">
        <f>467.5</f>
        <v>467.5</v>
      </c>
    </row>
    <row r="40" spans="1:2" ht="12.75" customHeight="1" x14ac:dyDescent="0.2">
      <c r="A40" s="3" t="s">
        <v>35</v>
      </c>
      <c r="B40" s="5">
        <f>823.28</f>
        <v>823.28</v>
      </c>
    </row>
    <row r="41" spans="1:2" ht="12.75" customHeight="1" x14ac:dyDescent="0.2">
      <c r="A41" s="3" t="s">
        <v>36</v>
      </c>
      <c r="B41" s="5">
        <f>1018.19</f>
        <v>1018.19</v>
      </c>
    </row>
    <row r="42" spans="1:2" ht="12.75" customHeight="1" x14ac:dyDescent="0.2">
      <c r="A42" s="3" t="s">
        <v>37</v>
      </c>
      <c r="B42" s="5">
        <f>978.54</f>
        <v>978.54</v>
      </c>
    </row>
    <row r="43" spans="1:2" ht="12.75" customHeight="1" x14ac:dyDescent="0.2">
      <c r="A43" s="3" t="s">
        <v>38</v>
      </c>
      <c r="B43" s="5">
        <f>2457.89</f>
        <v>2457.89</v>
      </c>
    </row>
    <row r="44" spans="1:2" ht="12.75" customHeight="1" x14ac:dyDescent="0.2">
      <c r="A44" s="3" t="s">
        <v>39</v>
      </c>
      <c r="B44" s="5">
        <f>626.2</f>
        <v>626.20000000000005</v>
      </c>
    </row>
    <row r="45" spans="1:2" ht="12.75" customHeight="1" x14ac:dyDescent="0.2">
      <c r="A45" s="3" t="s">
        <v>40</v>
      </c>
      <c r="B45" s="5">
        <f>2457.57</f>
        <v>2457.5700000000002</v>
      </c>
    </row>
    <row r="46" spans="1:2" ht="12.75" customHeight="1" x14ac:dyDescent="0.2">
      <c r="A46" s="3" t="s">
        <v>41</v>
      </c>
      <c r="B46" s="5">
        <f>3497.45</f>
        <v>3497.45</v>
      </c>
    </row>
    <row r="47" spans="1:2" ht="12.75" customHeight="1" x14ac:dyDescent="0.2">
      <c r="A47" s="3" t="s">
        <v>42</v>
      </c>
      <c r="B47" s="5">
        <f>351.49</f>
        <v>351.49</v>
      </c>
    </row>
    <row r="48" spans="1:2" ht="12.75" customHeight="1" x14ac:dyDescent="0.2">
      <c r="A48" s="3" t="s">
        <v>43</v>
      </c>
      <c r="B48" s="5">
        <f>416.62</f>
        <v>416.62</v>
      </c>
    </row>
    <row r="49" spans="1:2" ht="12.75" customHeight="1" x14ac:dyDescent="0.2">
      <c r="A49" s="3" t="s">
        <v>44</v>
      </c>
      <c r="B49" s="5">
        <f>855.99</f>
        <v>855.99</v>
      </c>
    </row>
    <row r="50" spans="1:2" ht="12.75" customHeight="1" x14ac:dyDescent="0.2">
      <c r="A50" s="3" t="s">
        <v>45</v>
      </c>
      <c r="B50" s="5">
        <f>127.5</f>
        <v>127.5</v>
      </c>
    </row>
    <row r="51" spans="1:2" ht="12.75" customHeight="1" x14ac:dyDescent="0.2">
      <c r="A51" s="3" t="s">
        <v>46</v>
      </c>
      <c r="B51" s="5">
        <f>0</f>
        <v>0</v>
      </c>
    </row>
    <row r="52" spans="1:2" ht="12.75" customHeight="1" x14ac:dyDescent="0.2">
      <c r="A52" s="3" t="s">
        <v>47</v>
      </c>
      <c r="B52" s="5">
        <f>116.25</f>
        <v>116.25</v>
      </c>
    </row>
    <row r="53" spans="1:2" ht="12.75" customHeight="1" x14ac:dyDescent="0.2">
      <c r="A53" s="3" t="s">
        <v>48</v>
      </c>
      <c r="B53" s="6">
        <f>(((((((((((((((((((((((((((((((((((((((((B11)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</f>
        <v>99424.869999999981</v>
      </c>
    </row>
    <row r="54" spans="1:2" ht="12.75" customHeight="1" x14ac:dyDescent="0.2">
      <c r="A54" s="3" t="s">
        <v>49</v>
      </c>
      <c r="B54" s="5">
        <f>49.71</f>
        <v>49.71</v>
      </c>
    </row>
    <row r="55" spans="1:2" ht="12.75" customHeight="1" x14ac:dyDescent="0.2">
      <c r="A55" s="3" t="s">
        <v>50</v>
      </c>
      <c r="B55" s="5">
        <f>2058.58</f>
        <v>2058.58</v>
      </c>
    </row>
    <row r="56" spans="1:2" ht="12.75" customHeight="1" x14ac:dyDescent="0.2">
      <c r="A56" s="3" t="s">
        <v>51</v>
      </c>
      <c r="B56" s="5">
        <f>-603.97</f>
        <v>-603.97</v>
      </c>
    </row>
    <row r="57" spans="1:2" ht="12.75" customHeight="1" x14ac:dyDescent="0.2">
      <c r="A57" s="3" t="s">
        <v>52</v>
      </c>
      <c r="B57" s="6">
        <f>((B54)+(B55))+(B56)</f>
        <v>1504.32</v>
      </c>
    </row>
    <row r="58" spans="1:2" ht="12.75" customHeight="1" x14ac:dyDescent="0.2">
      <c r="A58" s="3" t="s">
        <v>53</v>
      </c>
      <c r="B58" s="5">
        <f>0</f>
        <v>0</v>
      </c>
    </row>
    <row r="59" spans="1:2" ht="12.75" customHeight="1" x14ac:dyDescent="0.2">
      <c r="A59" s="3" t="s">
        <v>54</v>
      </c>
      <c r="B59" s="5">
        <f>63364.42</f>
        <v>63364.42</v>
      </c>
    </row>
    <row r="60" spans="1:2" ht="12.75" customHeight="1" x14ac:dyDescent="0.2">
      <c r="A60" s="3" t="s">
        <v>55</v>
      </c>
      <c r="B60" s="5">
        <f>3282.29</f>
        <v>3282.29</v>
      </c>
    </row>
    <row r="61" spans="1:2" ht="12.75" customHeight="1" x14ac:dyDescent="0.2">
      <c r="A61" s="3" t="s">
        <v>56</v>
      </c>
      <c r="B61" s="5">
        <f>-798.27</f>
        <v>-798.27</v>
      </c>
    </row>
    <row r="62" spans="1:2" ht="12.75" customHeight="1" x14ac:dyDescent="0.2">
      <c r="A62" s="3" t="s">
        <v>57</v>
      </c>
      <c r="B62" s="6">
        <f>(((B58)+(B59))+(B60))+(B61)</f>
        <v>65848.439999999988</v>
      </c>
    </row>
    <row r="63" spans="1:2" ht="12.75" customHeight="1" x14ac:dyDescent="0.2">
      <c r="A63" s="3" t="s">
        <v>58</v>
      </c>
      <c r="B63" s="5">
        <f>1479.01</f>
        <v>1479.01</v>
      </c>
    </row>
    <row r="64" spans="1:2" ht="12.75" customHeight="1" x14ac:dyDescent="0.2">
      <c r="A64" s="3" t="s">
        <v>59</v>
      </c>
      <c r="B64" s="5">
        <f>7220.76</f>
        <v>7220.76</v>
      </c>
    </row>
    <row r="65" spans="1:2" ht="12.75" customHeight="1" x14ac:dyDescent="0.2">
      <c r="A65" s="3" t="s">
        <v>60</v>
      </c>
      <c r="B65" s="5">
        <f>0</f>
        <v>0</v>
      </c>
    </row>
    <row r="66" spans="1:2" ht="12.75" customHeight="1" x14ac:dyDescent="0.2">
      <c r="A66" s="3" t="s">
        <v>61</v>
      </c>
      <c r="B66" s="5">
        <f>0</f>
        <v>0</v>
      </c>
    </row>
    <row r="67" spans="1:2" ht="12.75" customHeight="1" x14ac:dyDescent="0.2">
      <c r="A67" s="3" t="s">
        <v>62</v>
      </c>
      <c r="B67" s="5">
        <f>0</f>
        <v>0</v>
      </c>
    </row>
    <row r="68" spans="1:2" ht="12.75" customHeight="1" x14ac:dyDescent="0.2">
      <c r="A68" s="3" t="s">
        <v>63</v>
      </c>
      <c r="B68" s="5">
        <f>0</f>
        <v>0</v>
      </c>
    </row>
    <row r="69" spans="1:2" ht="12.75" customHeight="1" x14ac:dyDescent="0.2">
      <c r="A69" s="3" t="s">
        <v>64</v>
      </c>
      <c r="B69" s="5">
        <f>1077.08</f>
        <v>1077.08</v>
      </c>
    </row>
    <row r="70" spans="1:2" ht="12.75" customHeight="1" x14ac:dyDescent="0.2">
      <c r="A70" s="3" t="s">
        <v>65</v>
      </c>
      <c r="B70" s="5">
        <f>1981.52</f>
        <v>1981.52</v>
      </c>
    </row>
    <row r="71" spans="1:2" ht="12.75" customHeight="1" x14ac:dyDescent="0.2">
      <c r="A71" s="3" t="s">
        <v>66</v>
      </c>
      <c r="B71" s="5">
        <f>0</f>
        <v>0</v>
      </c>
    </row>
    <row r="72" spans="1:2" ht="12.75" customHeight="1" x14ac:dyDescent="0.2">
      <c r="A72" s="3" t="s">
        <v>67</v>
      </c>
      <c r="B72" s="5">
        <f>467.01</f>
        <v>467.01</v>
      </c>
    </row>
    <row r="73" spans="1:2" ht="12.75" customHeight="1" x14ac:dyDescent="0.2">
      <c r="A73" s="3" t="s">
        <v>68</v>
      </c>
      <c r="B73" s="5">
        <f>531.17</f>
        <v>531.16999999999996</v>
      </c>
    </row>
    <row r="74" spans="1:2" ht="12.75" customHeight="1" x14ac:dyDescent="0.2">
      <c r="A74" s="3" t="s">
        <v>69</v>
      </c>
      <c r="B74" s="5">
        <f>0</f>
        <v>0</v>
      </c>
    </row>
    <row r="75" spans="1:2" ht="12.75" customHeight="1" x14ac:dyDescent="0.2">
      <c r="A75" s="3" t="s">
        <v>70</v>
      </c>
      <c r="B75" s="5">
        <f>335.32</f>
        <v>335.32</v>
      </c>
    </row>
    <row r="76" spans="1:2" ht="12.75" customHeight="1" x14ac:dyDescent="0.2">
      <c r="A76" s="3" t="s">
        <v>71</v>
      </c>
      <c r="B76" s="5">
        <f>1930.83</f>
        <v>1930.83</v>
      </c>
    </row>
    <row r="77" spans="1:2" ht="12.75" customHeight="1" x14ac:dyDescent="0.2">
      <c r="A77" s="3" t="s">
        <v>72</v>
      </c>
      <c r="B77" s="5">
        <f>0</f>
        <v>0</v>
      </c>
    </row>
    <row r="78" spans="1:2" ht="12.75" customHeight="1" x14ac:dyDescent="0.2">
      <c r="A78" s="3" t="s">
        <v>73</v>
      </c>
      <c r="B78" s="5">
        <f>281.57</f>
        <v>281.57</v>
      </c>
    </row>
    <row r="79" spans="1:2" ht="12.75" customHeight="1" x14ac:dyDescent="0.2">
      <c r="A79" s="3" t="s">
        <v>74</v>
      </c>
      <c r="B79" s="5">
        <f>3869.32</f>
        <v>3869.32</v>
      </c>
    </row>
    <row r="80" spans="1:2" ht="12.75" customHeight="1" x14ac:dyDescent="0.2">
      <c r="A80" s="3" t="s">
        <v>75</v>
      </c>
      <c r="B80" s="5">
        <f>0</f>
        <v>0</v>
      </c>
    </row>
    <row r="81" spans="1:2" ht="12.75" customHeight="1" x14ac:dyDescent="0.2">
      <c r="A81" s="3" t="s">
        <v>76</v>
      </c>
      <c r="B81" s="5">
        <f>0</f>
        <v>0</v>
      </c>
    </row>
    <row r="82" spans="1:2" ht="12.75" customHeight="1" x14ac:dyDescent="0.2">
      <c r="A82" s="3" t="s">
        <v>77</v>
      </c>
      <c r="B82" s="5">
        <f>2381.72</f>
        <v>2381.7199999999998</v>
      </c>
    </row>
    <row r="83" spans="1:2" ht="12.75" customHeight="1" x14ac:dyDescent="0.2">
      <c r="A83" s="3" t="s">
        <v>78</v>
      </c>
      <c r="B83" s="5">
        <f>332.33</f>
        <v>332.33</v>
      </c>
    </row>
    <row r="84" spans="1:2" ht="12.75" customHeight="1" x14ac:dyDescent="0.2">
      <c r="A84" s="3" t="s">
        <v>79</v>
      </c>
      <c r="B84" s="5">
        <f>0</f>
        <v>0</v>
      </c>
    </row>
    <row r="85" spans="1:2" ht="12.75" customHeight="1" x14ac:dyDescent="0.2">
      <c r="A85" s="3" t="s">
        <v>80</v>
      </c>
      <c r="B85" s="5">
        <f>0</f>
        <v>0</v>
      </c>
    </row>
    <row r="86" spans="1:2" ht="12.75" customHeight="1" x14ac:dyDescent="0.2">
      <c r="A86" s="3" t="s">
        <v>81</v>
      </c>
      <c r="B86" s="5">
        <f>174</f>
        <v>174</v>
      </c>
    </row>
    <row r="87" spans="1:2" ht="12.75" customHeight="1" x14ac:dyDescent="0.2">
      <c r="A87" s="3" t="s">
        <v>82</v>
      </c>
      <c r="B87" s="5">
        <f>0</f>
        <v>0</v>
      </c>
    </row>
    <row r="88" spans="1:2" ht="12.75" customHeight="1" x14ac:dyDescent="0.2">
      <c r="A88" s="3" t="s">
        <v>83</v>
      </c>
      <c r="B88" s="5">
        <f>0</f>
        <v>0</v>
      </c>
    </row>
    <row r="89" spans="1:2" ht="12.75" customHeight="1" x14ac:dyDescent="0.2">
      <c r="A89" s="3" t="s">
        <v>84</v>
      </c>
      <c r="B89" s="5">
        <f>0</f>
        <v>0</v>
      </c>
    </row>
    <row r="90" spans="1:2" ht="12.75" customHeight="1" x14ac:dyDescent="0.2">
      <c r="A90" s="3" t="s">
        <v>85</v>
      </c>
      <c r="B90" s="5">
        <f>0</f>
        <v>0</v>
      </c>
    </row>
    <row r="91" spans="1:2" ht="12.75" customHeight="1" x14ac:dyDescent="0.2">
      <c r="A91" s="3" t="s">
        <v>86</v>
      </c>
      <c r="B91" s="5">
        <f>0</f>
        <v>0</v>
      </c>
    </row>
    <row r="92" spans="1:2" ht="12.75" customHeight="1" x14ac:dyDescent="0.2">
      <c r="A92" s="3" t="s">
        <v>87</v>
      </c>
      <c r="B92" s="5">
        <f>124.04</f>
        <v>124.04</v>
      </c>
    </row>
    <row r="93" spans="1:2" ht="12.75" customHeight="1" x14ac:dyDescent="0.2">
      <c r="A93" s="3" t="s">
        <v>88</v>
      </c>
      <c r="B93" s="5">
        <f>0</f>
        <v>0</v>
      </c>
    </row>
    <row r="94" spans="1:2" ht="12.75" customHeight="1" x14ac:dyDescent="0.2">
      <c r="A94" s="3" t="s">
        <v>89</v>
      </c>
      <c r="B94" s="5">
        <f>0</f>
        <v>0</v>
      </c>
    </row>
    <row r="95" spans="1:2" ht="12.75" customHeight="1" x14ac:dyDescent="0.2">
      <c r="A95" s="3" t="s">
        <v>90</v>
      </c>
      <c r="B95" s="5">
        <f>0</f>
        <v>0</v>
      </c>
    </row>
    <row r="96" spans="1:2" ht="12.75" customHeight="1" x14ac:dyDescent="0.2">
      <c r="A96" s="3" t="s">
        <v>91</v>
      </c>
      <c r="B96" s="5">
        <f>2031.82</f>
        <v>2031.82</v>
      </c>
    </row>
    <row r="97" spans="1:2" ht="12.75" customHeight="1" x14ac:dyDescent="0.2">
      <c r="A97" s="3" t="s">
        <v>92</v>
      </c>
      <c r="B97" s="5">
        <f>148.39</f>
        <v>148.38999999999999</v>
      </c>
    </row>
    <row r="98" spans="1:2" ht="12.75" customHeight="1" x14ac:dyDescent="0.2">
      <c r="A98" s="3" t="s">
        <v>93</v>
      </c>
      <c r="B98" s="5">
        <f>0</f>
        <v>0</v>
      </c>
    </row>
    <row r="99" spans="1:2" ht="12.75" customHeight="1" x14ac:dyDescent="0.2">
      <c r="A99" s="3" t="s">
        <v>94</v>
      </c>
      <c r="B99" s="5">
        <f>3881.85</f>
        <v>3881.85</v>
      </c>
    </row>
    <row r="100" spans="1:2" ht="12.75" customHeight="1" x14ac:dyDescent="0.2">
      <c r="A100" s="3" t="s">
        <v>95</v>
      </c>
      <c r="B100" s="5">
        <f>0</f>
        <v>0</v>
      </c>
    </row>
    <row r="101" spans="1:2" ht="12.75" customHeight="1" x14ac:dyDescent="0.2">
      <c r="A101" s="3" t="s">
        <v>96</v>
      </c>
      <c r="B101" s="5">
        <f>0</f>
        <v>0</v>
      </c>
    </row>
    <row r="102" spans="1:2" ht="12.75" customHeight="1" x14ac:dyDescent="0.2">
      <c r="A102" s="3" t="s">
        <v>97</v>
      </c>
      <c r="B102" s="5">
        <f>0</f>
        <v>0</v>
      </c>
    </row>
    <row r="103" spans="1:2" ht="12.75" customHeight="1" x14ac:dyDescent="0.2">
      <c r="A103" s="3" t="s">
        <v>98</v>
      </c>
      <c r="B103" s="5">
        <f>286.47</f>
        <v>286.47000000000003</v>
      </c>
    </row>
    <row r="104" spans="1:2" ht="12.75" customHeight="1" x14ac:dyDescent="0.2">
      <c r="A104" s="3" t="s">
        <v>99</v>
      </c>
      <c r="B104" s="5">
        <f>0</f>
        <v>0</v>
      </c>
    </row>
    <row r="105" spans="1:2" ht="12.75" customHeight="1" x14ac:dyDescent="0.2">
      <c r="A105" s="3" t="s">
        <v>100</v>
      </c>
      <c r="B105" s="5">
        <f>0</f>
        <v>0</v>
      </c>
    </row>
    <row r="106" spans="1:2" ht="12.75" customHeight="1" x14ac:dyDescent="0.2">
      <c r="A106" s="3" t="s">
        <v>101</v>
      </c>
      <c r="B106" s="5">
        <f>0</f>
        <v>0</v>
      </c>
    </row>
    <row r="107" spans="1:2" ht="12.75" customHeight="1" x14ac:dyDescent="0.2">
      <c r="A107" s="3" t="s">
        <v>102</v>
      </c>
      <c r="B107" s="5">
        <f>0</f>
        <v>0</v>
      </c>
    </row>
    <row r="108" spans="1:2" ht="12.75" customHeight="1" x14ac:dyDescent="0.2">
      <c r="A108" s="3" t="s">
        <v>103</v>
      </c>
      <c r="B108" s="5">
        <f>0</f>
        <v>0</v>
      </c>
    </row>
    <row r="109" spans="1:2" ht="12.75" customHeight="1" x14ac:dyDescent="0.2">
      <c r="A109" s="3" t="s">
        <v>104</v>
      </c>
      <c r="B109" s="5">
        <f>3627.1</f>
        <v>3627.1</v>
      </c>
    </row>
    <row r="110" spans="1:2" ht="12.75" customHeight="1" x14ac:dyDescent="0.2">
      <c r="A110" s="3" t="s">
        <v>105</v>
      </c>
      <c r="B110" s="5">
        <f>13251.88</f>
        <v>13251.88</v>
      </c>
    </row>
    <row r="111" spans="1:2" ht="12.75" customHeight="1" x14ac:dyDescent="0.2">
      <c r="A111" s="3" t="s">
        <v>106</v>
      </c>
      <c r="B111" s="5">
        <f>124.05</f>
        <v>124.05</v>
      </c>
    </row>
    <row r="112" spans="1:2" ht="12.75" customHeight="1" x14ac:dyDescent="0.2">
      <c r="A112" s="3" t="s">
        <v>107</v>
      </c>
      <c r="B112" s="5">
        <f>0</f>
        <v>0</v>
      </c>
    </row>
    <row r="113" spans="1:2" ht="12.75" customHeight="1" x14ac:dyDescent="0.2">
      <c r="A113" s="3" t="s">
        <v>108</v>
      </c>
      <c r="B113" s="5">
        <f>6574.62</f>
        <v>6574.62</v>
      </c>
    </row>
    <row r="114" spans="1:2" ht="12.75" customHeight="1" x14ac:dyDescent="0.2">
      <c r="A114" s="3" t="s">
        <v>109</v>
      </c>
      <c r="B114" s="5">
        <f>82801.55</f>
        <v>82801.55</v>
      </c>
    </row>
    <row r="115" spans="1:2" ht="12.75" customHeight="1" x14ac:dyDescent="0.2">
      <c r="A115" s="3" t="s">
        <v>110</v>
      </c>
      <c r="B115" s="5">
        <f>0</f>
        <v>0</v>
      </c>
    </row>
    <row r="116" spans="1:2" ht="12.75" customHeight="1" x14ac:dyDescent="0.2">
      <c r="A116" s="3" t="s">
        <v>111</v>
      </c>
      <c r="B116" s="5">
        <f>1304.87</f>
        <v>1304.8699999999999</v>
      </c>
    </row>
    <row r="117" spans="1:2" ht="12.75" customHeight="1" x14ac:dyDescent="0.2">
      <c r="A117" s="3" t="s">
        <v>112</v>
      </c>
      <c r="B117" s="5">
        <f>0</f>
        <v>0</v>
      </c>
    </row>
    <row r="118" spans="1:2" ht="12.75" customHeight="1" x14ac:dyDescent="0.2">
      <c r="A118" s="3" t="s">
        <v>113</v>
      </c>
      <c r="B118" s="5">
        <f>0</f>
        <v>0</v>
      </c>
    </row>
    <row r="119" spans="1:2" ht="12.75" customHeight="1" x14ac:dyDescent="0.2">
      <c r="A119" s="3" t="s">
        <v>114</v>
      </c>
      <c r="B119" s="5">
        <f>113887.89</f>
        <v>113887.89</v>
      </c>
    </row>
    <row r="120" spans="1:2" ht="12.75" customHeight="1" x14ac:dyDescent="0.2">
      <c r="A120" s="3" t="s">
        <v>115</v>
      </c>
      <c r="B120" s="5">
        <f>0</f>
        <v>0</v>
      </c>
    </row>
    <row r="121" spans="1:2" ht="12.75" customHeight="1" x14ac:dyDescent="0.2">
      <c r="A121" s="3" t="s">
        <v>116</v>
      </c>
      <c r="B121" s="5">
        <f>117.28</f>
        <v>117.28</v>
      </c>
    </row>
    <row r="122" spans="1:2" ht="12.75" customHeight="1" x14ac:dyDescent="0.2">
      <c r="A122" s="3" t="s">
        <v>117</v>
      </c>
      <c r="B122" s="5">
        <f>0</f>
        <v>0</v>
      </c>
    </row>
    <row r="123" spans="1:2" ht="12.75" customHeight="1" x14ac:dyDescent="0.2">
      <c r="A123" s="3" t="s">
        <v>118</v>
      </c>
      <c r="B123" s="5">
        <f>-224.23</f>
        <v>-224.23</v>
      </c>
    </row>
    <row r="124" spans="1:2" ht="12.75" customHeight="1" x14ac:dyDescent="0.2">
      <c r="A124" s="3" t="s">
        <v>119</v>
      </c>
      <c r="B124" s="5">
        <f>-15</f>
        <v>-15</v>
      </c>
    </row>
    <row r="125" spans="1:2" ht="12.75" customHeight="1" x14ac:dyDescent="0.2">
      <c r="A125" s="3" t="s">
        <v>120</v>
      </c>
      <c r="B125" s="5">
        <f>163.18</f>
        <v>163.18</v>
      </c>
    </row>
    <row r="126" spans="1:2" ht="12.75" customHeight="1" x14ac:dyDescent="0.2">
      <c r="A126" s="3" t="s">
        <v>121</v>
      </c>
      <c r="B126" s="5">
        <f>0</f>
        <v>0</v>
      </c>
    </row>
    <row r="127" spans="1:2" ht="12.75" customHeight="1" x14ac:dyDescent="0.2">
      <c r="A127" s="3" t="s">
        <v>122</v>
      </c>
      <c r="B127" s="5">
        <f>9580.88</f>
        <v>9580.8799999999992</v>
      </c>
    </row>
    <row r="128" spans="1:2" ht="12.75" customHeight="1" x14ac:dyDescent="0.2">
      <c r="A128" s="3" t="s">
        <v>123</v>
      </c>
      <c r="B128" s="5">
        <f>21261.27</f>
        <v>21261.27</v>
      </c>
    </row>
    <row r="129" spans="1:2" ht="12.75" customHeight="1" x14ac:dyDescent="0.2">
      <c r="A129" s="3" t="s">
        <v>124</v>
      </c>
      <c r="B129" s="5">
        <f>528.63</f>
        <v>528.63</v>
      </c>
    </row>
    <row r="130" spans="1:2" ht="12.75" customHeight="1" x14ac:dyDescent="0.2">
      <c r="A130" s="3" t="s">
        <v>125</v>
      </c>
      <c r="B130" s="5">
        <f>0</f>
        <v>0</v>
      </c>
    </row>
    <row r="131" spans="1:2" ht="12.75" customHeight="1" x14ac:dyDescent="0.2">
      <c r="A131" s="3" t="s">
        <v>126</v>
      </c>
      <c r="B131" s="5">
        <f>-14.14</f>
        <v>-14.14</v>
      </c>
    </row>
    <row r="132" spans="1:2" ht="12.75" customHeight="1" x14ac:dyDescent="0.2">
      <c r="A132" s="3" t="s">
        <v>127</v>
      </c>
      <c r="B132" s="5">
        <f>319.93</f>
        <v>319.93</v>
      </c>
    </row>
    <row r="133" spans="1:2" ht="12.75" customHeight="1" x14ac:dyDescent="0.2">
      <c r="A133" s="3" t="s">
        <v>128</v>
      </c>
      <c r="B133" s="5">
        <f>49.6</f>
        <v>49.6</v>
      </c>
    </row>
    <row r="134" spans="1:2" ht="12.75" customHeight="1" x14ac:dyDescent="0.2">
      <c r="A134" s="3" t="s">
        <v>129</v>
      </c>
      <c r="B134" s="5">
        <f>0</f>
        <v>0</v>
      </c>
    </row>
    <row r="135" spans="1:2" ht="12.75" customHeight="1" x14ac:dyDescent="0.2">
      <c r="A135" s="3" t="s">
        <v>130</v>
      </c>
      <c r="B135" s="5">
        <f>32.64</f>
        <v>32.64</v>
      </c>
    </row>
    <row r="136" spans="1:2" ht="12.75" customHeight="1" x14ac:dyDescent="0.2">
      <c r="A136" s="3" t="s">
        <v>131</v>
      </c>
      <c r="B136" s="5">
        <f>0</f>
        <v>0</v>
      </c>
    </row>
    <row r="137" spans="1:2" ht="12.75" customHeight="1" x14ac:dyDescent="0.2">
      <c r="A137" s="3" t="s">
        <v>132</v>
      </c>
      <c r="B137" s="5">
        <f>0</f>
        <v>0</v>
      </c>
    </row>
    <row r="138" spans="1:2" ht="12.75" customHeight="1" x14ac:dyDescent="0.2">
      <c r="A138" s="3" t="s">
        <v>133</v>
      </c>
      <c r="B138" s="5">
        <f>32.19</f>
        <v>32.19</v>
      </c>
    </row>
    <row r="139" spans="1:2" ht="12.75" customHeight="1" x14ac:dyDescent="0.2">
      <c r="A139" s="3" t="s">
        <v>134</v>
      </c>
      <c r="B139" s="5">
        <f>4415.02</f>
        <v>4415.0200000000004</v>
      </c>
    </row>
    <row r="140" spans="1:2" ht="12.75" customHeight="1" x14ac:dyDescent="0.2">
      <c r="A140" s="3" t="s">
        <v>135</v>
      </c>
      <c r="B140" s="5">
        <f>623.85</f>
        <v>623.85</v>
      </c>
    </row>
    <row r="141" spans="1:2" ht="12.75" customHeight="1" x14ac:dyDescent="0.2">
      <c r="A141" s="3" t="s">
        <v>136</v>
      </c>
      <c r="B141" s="6">
        <f>((((((((((((((((((((((((((((((((((((((((((((((((((((((((((((((((((((((((((((((((((B9)+(B10))+(B53))+(B57)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</f>
        <v>453754.90000000008</v>
      </c>
    </row>
    <row r="142" spans="1:2" ht="12.75" customHeight="1" x14ac:dyDescent="0.2">
      <c r="A142" s="3" t="s">
        <v>137</v>
      </c>
      <c r="B142" s="4"/>
    </row>
    <row r="143" spans="1:2" ht="12.75" customHeight="1" x14ac:dyDescent="0.2">
      <c r="A143" s="3" t="s">
        <v>138</v>
      </c>
      <c r="B143" s="5">
        <f>3500</f>
        <v>3500</v>
      </c>
    </row>
    <row r="144" spans="1:2" ht="12.75" customHeight="1" x14ac:dyDescent="0.2">
      <c r="A144" s="3" t="s">
        <v>139</v>
      </c>
      <c r="B144" s="6">
        <f>B143</f>
        <v>3500</v>
      </c>
    </row>
    <row r="145" spans="1:2" ht="12.75" customHeight="1" x14ac:dyDescent="0.2">
      <c r="A145" s="3" t="s">
        <v>140</v>
      </c>
      <c r="B145" s="4"/>
    </row>
    <row r="146" spans="1:2" ht="12.75" customHeight="1" x14ac:dyDescent="0.2">
      <c r="A146" s="3" t="s">
        <v>141</v>
      </c>
      <c r="B146" s="5">
        <f>0</f>
        <v>0</v>
      </c>
    </row>
    <row r="147" spans="1:2" ht="12.75" customHeight="1" x14ac:dyDescent="0.2">
      <c r="A147" s="3" t="s">
        <v>142</v>
      </c>
      <c r="B147" s="6">
        <f>B146</f>
        <v>0</v>
      </c>
    </row>
    <row r="148" spans="1:2" ht="12.75" customHeight="1" x14ac:dyDescent="0.2">
      <c r="A148" s="3" t="s">
        <v>143</v>
      </c>
      <c r="B148" s="6">
        <f>((B141)+(B144))+(B147)</f>
        <v>457254.90000000008</v>
      </c>
    </row>
    <row r="149" spans="1:2" ht="12.75" customHeight="1" x14ac:dyDescent="0.2">
      <c r="A149" s="3" t="s">
        <v>144</v>
      </c>
      <c r="B149" s="4"/>
    </row>
    <row r="150" spans="1:2" ht="12.75" customHeight="1" x14ac:dyDescent="0.2">
      <c r="A150" s="3" t="s">
        <v>145</v>
      </c>
      <c r="B150" s="5">
        <f>7650</f>
        <v>7650</v>
      </c>
    </row>
    <row r="151" spans="1:2" ht="12.75" customHeight="1" x14ac:dyDescent="0.2">
      <c r="A151" s="3" t="s">
        <v>146</v>
      </c>
      <c r="B151" s="5">
        <f>2800</f>
        <v>2800</v>
      </c>
    </row>
    <row r="152" spans="1:2" ht="12.75" customHeight="1" x14ac:dyDescent="0.2">
      <c r="A152" s="3" t="s">
        <v>147</v>
      </c>
      <c r="B152" s="5">
        <f>-2055.83</f>
        <v>-2055.83</v>
      </c>
    </row>
    <row r="153" spans="1:2" ht="12.75" customHeight="1" x14ac:dyDescent="0.2">
      <c r="A153" s="3" t="s">
        <v>148</v>
      </c>
      <c r="B153" s="5">
        <f>-1351.67</f>
        <v>-1351.67</v>
      </c>
    </row>
    <row r="154" spans="1:2" ht="12.75" customHeight="1" x14ac:dyDescent="0.2">
      <c r="A154" s="3" t="s">
        <v>149</v>
      </c>
      <c r="B154" s="6">
        <f>(((B150)+(B151))+(B152))+(B153)</f>
        <v>7042.5</v>
      </c>
    </row>
    <row r="155" spans="1:2" ht="12.75" customHeight="1" x14ac:dyDescent="0.2">
      <c r="A155" s="3" t="s">
        <v>150</v>
      </c>
      <c r="B155" s="6">
        <f>(B148)+(B154)</f>
        <v>464297.40000000008</v>
      </c>
    </row>
    <row r="156" spans="1:2" ht="12.75" customHeight="1" x14ac:dyDescent="0.2">
      <c r="A156" s="3" t="s">
        <v>151</v>
      </c>
      <c r="B156" s="4"/>
    </row>
    <row r="157" spans="1:2" ht="12.75" customHeight="1" x14ac:dyDescent="0.2">
      <c r="A157" s="3" t="s">
        <v>152</v>
      </c>
      <c r="B157" s="4"/>
    </row>
    <row r="158" spans="1:2" ht="12.75" customHeight="1" x14ac:dyDescent="0.2">
      <c r="A158" s="3" t="s">
        <v>153</v>
      </c>
      <c r="B158" s="4"/>
    </row>
    <row r="159" spans="1:2" ht="12.75" customHeight="1" x14ac:dyDescent="0.2">
      <c r="A159" s="3" t="s">
        <v>154</v>
      </c>
      <c r="B159" s="4"/>
    </row>
    <row r="160" spans="1:2" ht="12.75" customHeight="1" x14ac:dyDescent="0.2">
      <c r="A160" s="3" t="s">
        <v>155</v>
      </c>
      <c r="B160" s="5">
        <v>8000</v>
      </c>
    </row>
    <row r="161" spans="1:2" ht="12.75" customHeight="1" x14ac:dyDescent="0.2">
      <c r="A161" s="3" t="s">
        <v>156</v>
      </c>
      <c r="B161" s="6">
        <f>B160</f>
        <v>8000</v>
      </c>
    </row>
    <row r="162" spans="1:2" ht="12.75" customHeight="1" x14ac:dyDescent="0.2">
      <c r="A162" s="3" t="s">
        <v>157</v>
      </c>
      <c r="B162" s="4"/>
    </row>
    <row r="163" spans="1:2" ht="12.75" customHeight="1" x14ac:dyDescent="0.2">
      <c r="A163" s="3" t="s">
        <v>158</v>
      </c>
      <c r="B163" s="4"/>
    </row>
    <row r="164" spans="1:2" ht="12.75" customHeight="1" x14ac:dyDescent="0.2">
      <c r="A164" s="3" t="s">
        <v>159</v>
      </c>
      <c r="B164" s="5">
        <f>7.5</f>
        <v>7.5</v>
      </c>
    </row>
    <row r="165" spans="1:2" ht="12.75" customHeight="1" x14ac:dyDescent="0.2">
      <c r="A165" s="3" t="s">
        <v>160</v>
      </c>
      <c r="B165" s="5">
        <f>87.5</f>
        <v>87.5</v>
      </c>
    </row>
    <row r="166" spans="1:2" ht="12.75" customHeight="1" x14ac:dyDescent="0.2">
      <c r="A166" s="3" t="s">
        <v>161</v>
      </c>
      <c r="B166" s="5">
        <f>785.56</f>
        <v>785.56</v>
      </c>
    </row>
    <row r="167" spans="1:2" ht="12.75" customHeight="1" x14ac:dyDescent="0.2">
      <c r="A167" s="3" t="s">
        <v>162</v>
      </c>
      <c r="B167" s="5">
        <f>0</f>
        <v>0</v>
      </c>
    </row>
    <row r="168" spans="1:2" ht="12.75" customHeight="1" x14ac:dyDescent="0.2">
      <c r="A168" s="3" t="s">
        <v>163</v>
      </c>
      <c r="B168" s="5">
        <f>0</f>
        <v>0</v>
      </c>
    </row>
    <row r="169" spans="1:2" ht="12.75" customHeight="1" x14ac:dyDescent="0.2">
      <c r="A169" s="3" t="s">
        <v>164</v>
      </c>
      <c r="B169" s="6">
        <f>(((((B163)+(B164))+(B165))+(B166))+(B167))+(B168)</f>
        <v>880.56</v>
      </c>
    </row>
    <row r="170" spans="1:2" ht="12.75" customHeight="1" x14ac:dyDescent="0.2">
      <c r="A170" s="3" t="s">
        <v>165</v>
      </c>
      <c r="B170" s="5">
        <f>0</f>
        <v>0</v>
      </c>
    </row>
    <row r="171" spans="1:2" ht="12.75" customHeight="1" x14ac:dyDescent="0.2">
      <c r="A171" s="3" t="s">
        <v>166</v>
      </c>
      <c r="B171" s="5">
        <f>-3333.52</f>
        <v>-3333.52</v>
      </c>
    </row>
    <row r="172" spans="1:2" ht="12.75" customHeight="1" x14ac:dyDescent="0.2">
      <c r="A172" s="3" t="s">
        <v>167</v>
      </c>
      <c r="B172" s="6">
        <f>((B169)+(B170))+(B171)</f>
        <v>-2452.96</v>
      </c>
    </row>
    <row r="173" spans="1:2" ht="12.75" customHeight="1" x14ac:dyDescent="0.2">
      <c r="A173" s="3" t="s">
        <v>168</v>
      </c>
      <c r="B173" s="6">
        <f>(B161)+(B172)</f>
        <v>5547.04</v>
      </c>
    </row>
    <row r="174" spans="1:2" ht="12.75" customHeight="1" x14ac:dyDescent="0.2">
      <c r="A174" s="3" t="s">
        <v>169</v>
      </c>
      <c r="B174" s="6">
        <f>B173</f>
        <v>5547.04</v>
      </c>
    </row>
    <row r="175" spans="1:2" ht="12.75" customHeight="1" x14ac:dyDescent="0.2">
      <c r="A175" s="3" t="s">
        <v>170</v>
      </c>
      <c r="B175" s="4"/>
    </row>
    <row r="176" spans="1:2" ht="12.75" customHeight="1" x14ac:dyDescent="0.2">
      <c r="A176" s="3" t="s">
        <v>171</v>
      </c>
      <c r="B176" s="5">
        <f>0</f>
        <v>0</v>
      </c>
    </row>
    <row r="177" spans="1:2" ht="12.75" customHeight="1" x14ac:dyDescent="0.2">
      <c r="A177" s="3" t="s">
        <v>172</v>
      </c>
      <c r="B177" s="5">
        <f>411193.38</f>
        <v>411193.38</v>
      </c>
    </row>
    <row r="178" spans="1:2" ht="12.75" customHeight="1" x14ac:dyDescent="0.2">
      <c r="A178" s="3" t="s">
        <v>173</v>
      </c>
      <c r="B178" s="5">
        <f>55556.98-8000</f>
        <v>47556.98</v>
      </c>
    </row>
    <row r="179" spans="1:2" ht="12.75" customHeight="1" x14ac:dyDescent="0.2">
      <c r="A179" s="3" t="s">
        <v>174</v>
      </c>
      <c r="B179" s="6">
        <f>((B176)+(B177))+(B178)</f>
        <v>458750.36</v>
      </c>
    </row>
    <row r="180" spans="1:2" ht="12.75" customHeight="1" x14ac:dyDescent="0.2">
      <c r="A180" s="3" t="s">
        <v>175</v>
      </c>
      <c r="B180" s="6">
        <f>(B174)+(B179)</f>
        <v>464297.39999999997</v>
      </c>
    </row>
    <row r="181" spans="1:2" ht="12.75" customHeight="1" x14ac:dyDescent="0.2">
      <c r="A181" s="3"/>
      <c r="B181" s="4"/>
    </row>
    <row r="182" spans="1:2" ht="12.75" customHeight="1" x14ac:dyDescent="0.2"/>
    <row r="183" spans="1:2" ht="12.75" customHeight="1" x14ac:dyDescent="0.2"/>
    <row r="184" spans="1:2" ht="12.75" customHeight="1" x14ac:dyDescent="0.2">
      <c r="A184" s="630" t="s">
        <v>176</v>
      </c>
      <c r="B184" s="631"/>
    </row>
  </sheetData>
  <mergeCells count="4">
    <mergeCell ref="A184:B184"/>
    <mergeCell ref="A1:B1"/>
    <mergeCell ref="A2:B2"/>
    <mergeCell ref="A3:B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0"/>
  <sheetViews>
    <sheetView workbookViewId="0">
      <selection activeCell="A40" sqref="A40"/>
    </sheetView>
  </sheetViews>
  <sheetFormatPr defaultRowHeight="12.75" x14ac:dyDescent="0.2"/>
  <cols>
    <col min="1" max="1" width="45" customWidth="1"/>
    <col min="2" max="2" width="9.5703125" bestFit="1" customWidth="1"/>
  </cols>
  <sheetData>
    <row r="1" spans="1:2" ht="12.75" customHeight="1" x14ac:dyDescent="0.25">
      <c r="A1" s="632" t="s">
        <v>177</v>
      </c>
      <c r="B1" s="631"/>
    </row>
    <row r="2" spans="1:2" ht="12.75" customHeight="1" x14ac:dyDescent="0.25">
      <c r="A2" s="632" t="s">
        <v>1357</v>
      </c>
      <c r="B2" s="631"/>
    </row>
    <row r="3" spans="1:2" ht="12.75" customHeight="1" x14ac:dyDescent="0.2">
      <c r="A3" s="633" t="s">
        <v>1223</v>
      </c>
      <c r="B3" s="631"/>
    </row>
    <row r="4" spans="1:2" ht="12.75" customHeight="1" x14ac:dyDescent="0.2"/>
    <row r="5" spans="1:2" ht="12.75" customHeight="1" x14ac:dyDescent="0.2">
      <c r="A5" s="1"/>
      <c r="B5" s="2" t="s">
        <v>0</v>
      </c>
    </row>
    <row r="6" spans="1:2" ht="12.75" customHeight="1" x14ac:dyDescent="0.2">
      <c r="A6" s="3" t="s">
        <v>1356</v>
      </c>
      <c r="B6" s="4"/>
    </row>
    <row r="7" spans="1:2" ht="12.75" customHeight="1" x14ac:dyDescent="0.2">
      <c r="A7" s="3" t="s">
        <v>1355</v>
      </c>
      <c r="B7" s="4"/>
    </row>
    <row r="8" spans="1:2" ht="12.75" customHeight="1" x14ac:dyDescent="0.2">
      <c r="A8" s="3" t="s">
        <v>1354</v>
      </c>
      <c r="B8" s="5">
        <f>6500</f>
        <v>6500</v>
      </c>
    </row>
    <row r="9" spans="1:2" ht="12.75" customHeight="1" x14ac:dyDescent="0.2">
      <c r="A9" s="3" t="s">
        <v>1353</v>
      </c>
      <c r="B9" s="6">
        <f>(B7)+(B8)</f>
        <v>6500</v>
      </c>
    </row>
    <row r="10" spans="1:2" ht="12.75" customHeight="1" x14ac:dyDescent="0.2">
      <c r="A10" s="3" t="s">
        <v>1352</v>
      </c>
      <c r="B10" s="5">
        <f>211392.57</f>
        <v>211392.57</v>
      </c>
    </row>
    <row r="11" spans="1:2" ht="12.75" customHeight="1" x14ac:dyDescent="0.2">
      <c r="A11" s="3" t="s">
        <v>1351</v>
      </c>
      <c r="B11" s="5">
        <f>19450.5</f>
        <v>19450.5</v>
      </c>
    </row>
    <row r="12" spans="1:2" ht="12.75" customHeight="1" x14ac:dyDescent="0.2">
      <c r="A12" s="3" t="s">
        <v>1350</v>
      </c>
      <c r="B12" s="5">
        <f>6000</f>
        <v>6000</v>
      </c>
    </row>
    <row r="13" spans="1:2" ht="12.75" customHeight="1" x14ac:dyDescent="0.2">
      <c r="A13" s="3" t="s">
        <v>1349</v>
      </c>
      <c r="B13" s="5">
        <f>30187.05</f>
        <v>30187.05</v>
      </c>
    </row>
    <row r="14" spans="1:2" ht="12.75" customHeight="1" x14ac:dyDescent="0.2">
      <c r="A14" s="3" t="s">
        <v>1348</v>
      </c>
      <c r="B14" s="6">
        <f>(((B10)+(B11))+(B12))+(B13)</f>
        <v>267030.12</v>
      </c>
    </row>
    <row r="15" spans="1:2" ht="12.75" customHeight="1" x14ac:dyDescent="0.2">
      <c r="A15" s="3" t="s">
        <v>1347</v>
      </c>
      <c r="B15" s="5">
        <f>182868.02</f>
        <v>182868.02</v>
      </c>
    </row>
    <row r="16" spans="1:2" ht="12.75" customHeight="1" x14ac:dyDescent="0.2">
      <c r="A16" s="3" t="s">
        <v>1346</v>
      </c>
      <c r="B16" s="4"/>
    </row>
    <row r="17" spans="1:2" ht="12.75" customHeight="1" x14ac:dyDescent="0.2">
      <c r="A17" s="3" t="s">
        <v>1345</v>
      </c>
      <c r="B17" s="5">
        <f>1000</f>
        <v>1000</v>
      </c>
    </row>
    <row r="18" spans="1:2" ht="12.75" customHeight="1" x14ac:dyDescent="0.2">
      <c r="A18" s="3" t="s">
        <v>1344</v>
      </c>
      <c r="B18" s="6">
        <f>(B16)+(B17)</f>
        <v>1000</v>
      </c>
    </row>
    <row r="19" spans="1:2" ht="12.75" customHeight="1" x14ac:dyDescent="0.2">
      <c r="A19" s="3" t="s">
        <v>1343</v>
      </c>
      <c r="B19" s="4"/>
    </row>
    <row r="20" spans="1:2" ht="12.75" customHeight="1" x14ac:dyDescent="0.2">
      <c r="A20" s="3" t="s">
        <v>1342</v>
      </c>
      <c r="B20" s="5">
        <f>750</f>
        <v>750</v>
      </c>
    </row>
    <row r="21" spans="1:2" ht="12.75" customHeight="1" x14ac:dyDescent="0.2">
      <c r="A21" s="3" t="s">
        <v>1341</v>
      </c>
      <c r="B21" s="6">
        <f>(B19)+(B20)</f>
        <v>750</v>
      </c>
    </row>
    <row r="22" spans="1:2" ht="12.75" customHeight="1" x14ac:dyDescent="0.2">
      <c r="A22" s="3" t="s">
        <v>1340</v>
      </c>
      <c r="B22" s="4"/>
    </row>
    <row r="23" spans="1:2" ht="12.75" customHeight="1" x14ac:dyDescent="0.2">
      <c r="A23" s="3" t="s">
        <v>1339</v>
      </c>
      <c r="B23" s="5">
        <f>63.33</f>
        <v>63.33</v>
      </c>
    </row>
    <row r="24" spans="1:2" ht="12.75" customHeight="1" x14ac:dyDescent="0.2">
      <c r="A24" s="3" t="s">
        <v>1338</v>
      </c>
      <c r="B24" s="6">
        <f>(B22)+(B23)</f>
        <v>63.33</v>
      </c>
    </row>
    <row r="25" spans="1:2" ht="12.75" customHeight="1" x14ac:dyDescent="0.2">
      <c r="A25" s="3" t="s">
        <v>1337</v>
      </c>
      <c r="B25" s="6">
        <f>(((((B9)+(B14))+(B15))+(B18))+(B21))+(B24)</f>
        <v>458211.47000000003</v>
      </c>
    </row>
    <row r="26" spans="1:2" ht="12.75" customHeight="1" x14ac:dyDescent="0.2">
      <c r="A26" s="3" t="s">
        <v>1336</v>
      </c>
      <c r="B26" s="6">
        <f>(B25)-(0)</f>
        <v>458211.47000000003</v>
      </c>
    </row>
    <row r="27" spans="1:2" ht="12.75" customHeight="1" x14ac:dyDescent="0.2">
      <c r="A27" s="3" t="s">
        <v>1335</v>
      </c>
      <c r="B27" s="4"/>
    </row>
    <row r="28" spans="1:2" ht="12.75" customHeight="1" x14ac:dyDescent="0.2">
      <c r="A28" s="3" t="s">
        <v>1334</v>
      </c>
      <c r="B28" s="4"/>
    </row>
    <row r="29" spans="1:2" ht="12.75" customHeight="1" x14ac:dyDescent="0.2">
      <c r="A29" s="3" t="s">
        <v>1333</v>
      </c>
      <c r="B29" s="5">
        <f>827.49</f>
        <v>827.49</v>
      </c>
    </row>
    <row r="30" spans="1:2" ht="12.75" customHeight="1" x14ac:dyDescent="0.2">
      <c r="A30" s="3" t="s">
        <v>1332</v>
      </c>
      <c r="B30" s="6">
        <f>(B28)+(B29)</f>
        <v>827.49</v>
      </c>
    </row>
    <row r="31" spans="1:2" ht="12.75" customHeight="1" x14ac:dyDescent="0.2">
      <c r="A31" s="3" t="s">
        <v>1331</v>
      </c>
      <c r="B31" s="4"/>
    </row>
    <row r="32" spans="1:2" ht="12.75" customHeight="1" x14ac:dyDescent="0.2">
      <c r="A32" s="3" t="s">
        <v>1330</v>
      </c>
      <c r="B32" s="5">
        <f>565.1</f>
        <v>565.1</v>
      </c>
    </row>
    <row r="33" spans="1:2" ht="12.75" customHeight="1" x14ac:dyDescent="0.2">
      <c r="A33" s="3" t="s">
        <v>1329</v>
      </c>
      <c r="B33" s="5">
        <f>120</f>
        <v>120</v>
      </c>
    </row>
    <row r="34" spans="1:2" ht="12.75" customHeight="1" x14ac:dyDescent="0.2">
      <c r="A34" s="3" t="s">
        <v>1328</v>
      </c>
      <c r="B34" s="5">
        <f>1454.7</f>
        <v>1454.7</v>
      </c>
    </row>
    <row r="35" spans="1:2" ht="12.75" customHeight="1" x14ac:dyDescent="0.2">
      <c r="A35" s="3" t="s">
        <v>1327</v>
      </c>
      <c r="B35" s="5">
        <f>1339.06</f>
        <v>1339.06</v>
      </c>
    </row>
    <row r="36" spans="1:2" ht="12.75" customHeight="1" x14ac:dyDescent="0.2">
      <c r="A36" s="3" t="s">
        <v>1326</v>
      </c>
      <c r="B36" s="5">
        <f>80.74</f>
        <v>80.739999999999995</v>
      </c>
    </row>
    <row r="37" spans="1:2" ht="12.75" customHeight="1" x14ac:dyDescent="0.2">
      <c r="A37" s="3" t="s">
        <v>1325</v>
      </c>
      <c r="B37" s="6">
        <f>(((((B31)+(B32))+(B33))+(B34))+(B35))+(B36)</f>
        <v>3559.6</v>
      </c>
    </row>
    <row r="38" spans="1:2" ht="12.75" customHeight="1" x14ac:dyDescent="0.2">
      <c r="A38" s="3" t="s">
        <v>1324</v>
      </c>
      <c r="B38" s="4"/>
    </row>
    <row r="39" spans="1:2" ht="12.75" customHeight="1" x14ac:dyDescent="0.2">
      <c r="A39" s="3" t="s">
        <v>1323</v>
      </c>
      <c r="B39" s="5">
        <f>6000</f>
        <v>6000</v>
      </c>
    </row>
    <row r="40" spans="1:2" ht="12.75" customHeight="1" x14ac:dyDescent="0.2">
      <c r="A40" s="3" t="s">
        <v>1322</v>
      </c>
      <c r="B40" s="5">
        <f>326.55</f>
        <v>326.55</v>
      </c>
    </row>
    <row r="41" spans="1:2" ht="12.75" customHeight="1" x14ac:dyDescent="0.2">
      <c r="A41" s="3" t="s">
        <v>1321</v>
      </c>
      <c r="B41" s="5">
        <f>2627.17</f>
        <v>2627.17</v>
      </c>
    </row>
    <row r="42" spans="1:2" ht="12.75" customHeight="1" x14ac:dyDescent="0.2">
      <c r="A42" s="3" t="s">
        <v>1320</v>
      </c>
      <c r="B42" s="6">
        <f>(((B38)+(B39))+(B40))+(B41)</f>
        <v>8953.7200000000012</v>
      </c>
    </row>
    <row r="43" spans="1:2" ht="12.75" customHeight="1" x14ac:dyDescent="0.2">
      <c r="A43" s="3" t="s">
        <v>1319</v>
      </c>
      <c r="B43" s="5">
        <f>13.02</f>
        <v>13.02</v>
      </c>
    </row>
    <row r="44" spans="1:2" ht="12.75" customHeight="1" x14ac:dyDescent="0.2">
      <c r="A44" s="3" t="s">
        <v>1318</v>
      </c>
      <c r="B44" s="5">
        <f>32</f>
        <v>32</v>
      </c>
    </row>
    <row r="45" spans="1:2" ht="12.75" customHeight="1" x14ac:dyDescent="0.2">
      <c r="A45" s="3" t="s">
        <v>1317</v>
      </c>
      <c r="B45" s="5">
        <f>3781.79</f>
        <v>3781.79</v>
      </c>
    </row>
    <row r="46" spans="1:2" ht="12.75" customHeight="1" x14ac:dyDescent="0.2">
      <c r="A46" s="3" t="s">
        <v>1316</v>
      </c>
      <c r="B46" s="5">
        <f>1747.95</f>
        <v>1747.95</v>
      </c>
    </row>
    <row r="47" spans="1:2" ht="12.75" customHeight="1" x14ac:dyDescent="0.2">
      <c r="A47" s="3" t="s">
        <v>1315</v>
      </c>
      <c r="B47" s="5">
        <f>1604.67</f>
        <v>1604.67</v>
      </c>
    </row>
    <row r="48" spans="1:2" ht="12.75" customHeight="1" x14ac:dyDescent="0.2">
      <c r="A48" s="3" t="s">
        <v>1314</v>
      </c>
      <c r="B48" s="5">
        <f>2246.57</f>
        <v>2246.5700000000002</v>
      </c>
    </row>
    <row r="49" spans="1:2" ht="12.75" customHeight="1" x14ac:dyDescent="0.2">
      <c r="A49" s="3" t="s">
        <v>1313</v>
      </c>
      <c r="B49" s="5">
        <f>12.62</f>
        <v>12.62</v>
      </c>
    </row>
    <row r="50" spans="1:2" ht="12.75" customHeight="1" x14ac:dyDescent="0.2">
      <c r="A50" s="3" t="s">
        <v>1312</v>
      </c>
      <c r="B50" s="5">
        <f>5232.29</f>
        <v>5232.29</v>
      </c>
    </row>
    <row r="51" spans="1:2" ht="12.75" customHeight="1" x14ac:dyDescent="0.2">
      <c r="A51" s="3" t="s">
        <v>1311</v>
      </c>
      <c r="B51" s="5">
        <f>2068.74</f>
        <v>2068.7399999999998</v>
      </c>
    </row>
    <row r="52" spans="1:2" ht="12.75" customHeight="1" x14ac:dyDescent="0.2">
      <c r="A52" s="3" t="s">
        <v>1310</v>
      </c>
      <c r="B52" s="5">
        <f>4079.35</f>
        <v>4079.35</v>
      </c>
    </row>
    <row r="53" spans="1:2" ht="12.75" customHeight="1" x14ac:dyDescent="0.2">
      <c r="A53" s="3" t="s">
        <v>1309</v>
      </c>
      <c r="B53" s="5">
        <f>525.91</f>
        <v>525.91</v>
      </c>
    </row>
    <row r="54" spans="1:2" ht="12.75" customHeight="1" x14ac:dyDescent="0.2">
      <c r="A54" s="3" t="s">
        <v>1308</v>
      </c>
      <c r="B54" s="5">
        <f>1672.14</f>
        <v>1672.14</v>
      </c>
    </row>
    <row r="55" spans="1:2" ht="12.75" customHeight="1" x14ac:dyDescent="0.2">
      <c r="A55" s="3" t="s">
        <v>1307</v>
      </c>
      <c r="B55" s="5">
        <f>195012.71</f>
        <v>195012.71</v>
      </c>
    </row>
    <row r="56" spans="1:2" ht="12.75" customHeight="1" x14ac:dyDescent="0.2">
      <c r="A56" s="3" t="s">
        <v>1306</v>
      </c>
      <c r="B56" s="5">
        <f>30187.05</f>
        <v>30187.05</v>
      </c>
    </row>
    <row r="57" spans="1:2" ht="12.75" customHeight="1" x14ac:dyDescent="0.2">
      <c r="A57" s="3" t="s">
        <v>1305</v>
      </c>
      <c r="B57" s="5">
        <f>19450.5</f>
        <v>19450.5</v>
      </c>
    </row>
    <row r="58" spans="1:2" ht="12.75" customHeight="1" x14ac:dyDescent="0.2">
      <c r="A58" s="3" t="s">
        <v>1304</v>
      </c>
      <c r="B58" s="6">
        <f>(((B54)+(B55))+(B56))+(B57)</f>
        <v>246322.4</v>
      </c>
    </row>
    <row r="59" spans="1:2" ht="12.75" customHeight="1" x14ac:dyDescent="0.2">
      <c r="A59" s="3" t="s">
        <v>1303</v>
      </c>
      <c r="B59" s="5">
        <f>71.85</f>
        <v>71.849999999999994</v>
      </c>
    </row>
    <row r="60" spans="1:2" ht="12.75" customHeight="1" x14ac:dyDescent="0.2">
      <c r="A60" s="3" t="s">
        <v>1302</v>
      </c>
      <c r="B60" s="5">
        <f>1071.46</f>
        <v>1071.46</v>
      </c>
    </row>
    <row r="61" spans="1:2" ht="12.75" customHeight="1" x14ac:dyDescent="0.2">
      <c r="A61" s="3" t="s">
        <v>1301</v>
      </c>
      <c r="B61" s="5">
        <f>138.88</f>
        <v>138.88</v>
      </c>
    </row>
    <row r="62" spans="1:2" ht="12.75" customHeight="1" x14ac:dyDescent="0.2">
      <c r="A62" s="3" t="s">
        <v>1300</v>
      </c>
      <c r="B62" s="5">
        <f>1033.62</f>
        <v>1033.6199999999999</v>
      </c>
    </row>
    <row r="63" spans="1:2" ht="12.75" customHeight="1" x14ac:dyDescent="0.2">
      <c r="A63" s="3" t="s">
        <v>1299</v>
      </c>
      <c r="B63" s="5">
        <f>669.65</f>
        <v>669.65</v>
      </c>
    </row>
    <row r="64" spans="1:2" ht="12.75" customHeight="1" x14ac:dyDescent="0.2">
      <c r="A64" s="3" t="s">
        <v>1298</v>
      </c>
      <c r="B64" s="5">
        <f>4999.03</f>
        <v>4999.03</v>
      </c>
    </row>
    <row r="65" spans="1:2" ht="12.75" customHeight="1" x14ac:dyDescent="0.2">
      <c r="A65" s="3" t="s">
        <v>1297</v>
      </c>
      <c r="B65" s="6">
        <f>(((((((((((((((((B43)+(B44))+(B45))+(B46))+(B47))+(B48))+(B49))+(B50))+(B51))+(B52))+(B53))+(B58))+(B59))+(B60))+(B61))+(B62))+(B63))+(B64)</f>
        <v>275651.80000000005</v>
      </c>
    </row>
    <row r="66" spans="1:2" ht="12.75" customHeight="1" x14ac:dyDescent="0.2">
      <c r="A66" s="3" t="s">
        <v>1296</v>
      </c>
      <c r="B66" s="4"/>
    </row>
    <row r="67" spans="1:2" ht="12.75" customHeight="1" x14ac:dyDescent="0.2">
      <c r="A67" s="3" t="s">
        <v>1295</v>
      </c>
      <c r="B67" s="5">
        <f>125</f>
        <v>125</v>
      </c>
    </row>
    <row r="68" spans="1:2" ht="12.75" customHeight="1" x14ac:dyDescent="0.2">
      <c r="A68" s="3" t="s">
        <v>1294</v>
      </c>
      <c r="B68" s="6">
        <f>(B66)+(B67)</f>
        <v>125</v>
      </c>
    </row>
    <row r="69" spans="1:2" ht="12.75" customHeight="1" x14ac:dyDescent="0.2">
      <c r="A69" s="3" t="s">
        <v>1293</v>
      </c>
      <c r="B69" s="4"/>
    </row>
    <row r="70" spans="1:2" ht="12.75" customHeight="1" x14ac:dyDescent="0.2">
      <c r="A70" s="3" t="s">
        <v>1292</v>
      </c>
      <c r="B70" s="5">
        <f>2739.17</f>
        <v>2739.17</v>
      </c>
    </row>
    <row r="71" spans="1:2" ht="12.75" customHeight="1" x14ac:dyDescent="0.2">
      <c r="A71" s="3" t="s">
        <v>1291</v>
      </c>
      <c r="B71" s="5">
        <f>-160.19</f>
        <v>-160.19</v>
      </c>
    </row>
    <row r="72" spans="1:2" ht="12.75" customHeight="1" x14ac:dyDescent="0.2">
      <c r="A72" s="3" t="s">
        <v>1290</v>
      </c>
      <c r="B72" s="5">
        <f>4534.1</f>
        <v>4534.1000000000004</v>
      </c>
    </row>
    <row r="73" spans="1:2" ht="12.75" customHeight="1" x14ac:dyDescent="0.2">
      <c r="A73" s="3" t="s">
        <v>1289</v>
      </c>
      <c r="B73" s="5">
        <f>17566.62</f>
        <v>17566.62</v>
      </c>
    </row>
    <row r="74" spans="1:2" ht="12.75" customHeight="1" x14ac:dyDescent="0.2">
      <c r="A74" s="3" t="s">
        <v>1288</v>
      </c>
      <c r="B74" s="5">
        <f>17249.99</f>
        <v>17249.990000000002</v>
      </c>
    </row>
    <row r="75" spans="1:2" ht="12.75" customHeight="1" x14ac:dyDescent="0.2">
      <c r="A75" s="3" t="s">
        <v>1287</v>
      </c>
      <c r="B75" s="5">
        <f>6250.02</f>
        <v>6250.02</v>
      </c>
    </row>
    <row r="76" spans="1:2" ht="12.75" customHeight="1" x14ac:dyDescent="0.2">
      <c r="A76" s="3" t="s">
        <v>1286</v>
      </c>
      <c r="B76" s="5">
        <f>0</f>
        <v>0</v>
      </c>
    </row>
    <row r="77" spans="1:2" ht="12.75" customHeight="1" x14ac:dyDescent="0.2">
      <c r="A77" s="3" t="s">
        <v>1285</v>
      </c>
      <c r="B77" s="6">
        <f>(((((((B69)+(B70))+(B71))+(B72))+(B73))+(B74))+(B75))+(B76)</f>
        <v>48179.710000000006</v>
      </c>
    </row>
    <row r="78" spans="1:2" ht="12.75" customHeight="1" x14ac:dyDescent="0.2">
      <c r="A78" s="3" t="s">
        <v>1284</v>
      </c>
      <c r="B78" s="5">
        <f>5000</f>
        <v>5000</v>
      </c>
    </row>
    <row r="79" spans="1:2" ht="12.75" customHeight="1" x14ac:dyDescent="0.2">
      <c r="A79" s="3" t="s">
        <v>1283</v>
      </c>
      <c r="B79" s="5">
        <f>60213.33</f>
        <v>60213.33</v>
      </c>
    </row>
    <row r="80" spans="1:2" ht="12.75" customHeight="1" x14ac:dyDescent="0.2">
      <c r="A80" s="3" t="s">
        <v>1282</v>
      </c>
      <c r="B80" s="4"/>
    </row>
    <row r="81" spans="1:2" ht="12.75" customHeight="1" x14ac:dyDescent="0.2">
      <c r="A81" s="3" t="s">
        <v>1281</v>
      </c>
      <c r="B81" s="5">
        <f>143.84</f>
        <v>143.84</v>
      </c>
    </row>
    <row r="82" spans="1:2" ht="12.75" customHeight="1" x14ac:dyDescent="0.2">
      <c r="A82" s="3" t="s">
        <v>1280</v>
      </c>
      <c r="B82" s="6">
        <f>(B80)+(B81)</f>
        <v>143.84</v>
      </c>
    </row>
    <row r="83" spans="1:2" ht="12.75" customHeight="1" x14ac:dyDescent="0.2">
      <c r="A83" s="3" t="s">
        <v>1279</v>
      </c>
      <c r="B83" s="5">
        <f>0</f>
        <v>0</v>
      </c>
    </row>
    <row r="84" spans="1:2" ht="12.75" customHeight="1" x14ac:dyDescent="0.2">
      <c r="A84" s="3" t="s">
        <v>1278</v>
      </c>
      <c r="B84" s="6">
        <f>(((((((((B30)+(B37))+(B42))+(B65))+(B68))+(B77))+(B78))+(B79))+(B82))+(B83)</f>
        <v>402654.49000000011</v>
      </c>
    </row>
    <row r="85" spans="1:2" ht="12.75" customHeight="1" x14ac:dyDescent="0.2">
      <c r="A85" s="3" t="s">
        <v>1277</v>
      </c>
      <c r="B85" s="6">
        <f>(B26)-(B84)</f>
        <v>55556.979999999923</v>
      </c>
    </row>
    <row r="86" spans="1:2" ht="12.75" customHeight="1" x14ac:dyDescent="0.2">
      <c r="A86" s="3" t="s">
        <v>1276</v>
      </c>
      <c r="B86" s="6">
        <f>(B85)+(0)</f>
        <v>55556.979999999923</v>
      </c>
    </row>
    <row r="87" spans="1:2" ht="12.75" customHeight="1" x14ac:dyDescent="0.2">
      <c r="A87" s="3"/>
      <c r="B87" s="4"/>
    </row>
    <row r="88" spans="1:2" ht="12.75" customHeight="1" x14ac:dyDescent="0.2"/>
    <row r="89" spans="1:2" ht="12.75" customHeight="1" x14ac:dyDescent="0.2"/>
    <row r="90" spans="1:2" ht="12.75" customHeight="1" x14ac:dyDescent="0.2">
      <c r="A90" s="630" t="s">
        <v>1275</v>
      </c>
      <c r="B90" s="631"/>
    </row>
  </sheetData>
  <mergeCells count="4">
    <mergeCell ref="A90:B90"/>
    <mergeCell ref="A1:B1"/>
    <mergeCell ref="A2:B2"/>
    <mergeCell ref="A3:B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Balance Sheet</vt:lpstr>
      <vt:lpstr>P&amp;L Summary</vt:lpstr>
      <vt:lpstr>Statement of Functional Expense</vt:lpstr>
      <vt:lpstr>Affiliate Page</vt:lpstr>
      <vt:lpstr>Pivot Table</vt:lpstr>
      <vt:lpstr>Affiliate Pivot Table</vt:lpstr>
      <vt:lpstr>Cash Page</vt:lpstr>
      <vt:lpstr>June BS</vt:lpstr>
      <vt:lpstr>Profit and Loss</vt:lpstr>
      <vt:lpstr>Transaction Detail by Account</vt:lpstr>
      <vt:lpstr>Wages</vt:lpstr>
      <vt:lpstr>Oct Balance Sheet</vt:lpstr>
      <vt:lpstr>Oct Profit and Loss</vt:lpstr>
      <vt:lpstr>2021 BUDGET</vt:lpstr>
      <vt:lpstr>National</vt:lpstr>
      <vt:lpstr>Wisconsin</vt:lpstr>
      <vt:lpstr>Illinois</vt:lpstr>
      <vt:lpstr>IND</vt:lpstr>
      <vt:lpstr>Ohio</vt:lpstr>
      <vt:lpstr>Buffalo</vt:lpstr>
      <vt:lpstr>Missouri</vt:lpstr>
      <vt:lpstr>Tennessee</vt:lpstr>
      <vt:lpstr>Florida</vt:lpstr>
      <vt:lpstr>THE REST</vt:lpstr>
      <vt:lpstr>'2021 BUDGET'!Print_Area</vt:lpstr>
      <vt:lpstr>'Affiliate Page'!Print_Area</vt:lpstr>
      <vt:lpstr>'2021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Thompson</dc:creator>
  <cp:lastModifiedBy>Michelle Eimers</cp:lastModifiedBy>
  <cp:lastPrinted>2021-05-05T22:37:37Z</cp:lastPrinted>
  <dcterms:created xsi:type="dcterms:W3CDTF">2014-07-21T21:27:59Z</dcterms:created>
  <dcterms:modified xsi:type="dcterms:W3CDTF">2021-05-05T22:37:51Z</dcterms:modified>
</cp:coreProperties>
</file>