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4_{570A82CB-F1BA-413F-98FB-56F10525CA1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nual condensed format" sheetId="7" r:id="rId1"/>
    <sheet name="Annual detailed format" sheetId="6" r:id="rId2"/>
  </sheets>
  <definedNames>
    <definedName name="_xlnm.Print_Area" localSheetId="0">'Annual condensed format'!$A$1:$U$113</definedName>
    <definedName name="_xlnm.Print_Area" localSheetId="1">'Annual detailed format'!$A$1:$W$115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6" i="7" l="1"/>
  <c r="U97" i="7"/>
  <c r="U98" i="7"/>
  <c r="U99" i="7"/>
  <c r="U100" i="7"/>
  <c r="U101" i="7"/>
  <c r="U102" i="7"/>
  <c r="U103" i="7"/>
  <c r="U104" i="7"/>
  <c r="U105" i="7"/>
  <c r="U106" i="7"/>
  <c r="U107" i="7"/>
  <c r="U95" i="7"/>
  <c r="AC32" i="6"/>
  <c r="AA22" i="6" l="1"/>
  <c r="AA28" i="6"/>
  <c r="AA43" i="6"/>
  <c r="Y45" i="6"/>
  <c r="Y112" i="6"/>
  <c r="AA110" i="6"/>
  <c r="AA112" i="6" s="1"/>
  <c r="AA81" i="6"/>
  <c r="AA79" i="6"/>
  <c r="AA75" i="6"/>
  <c r="AA59" i="6"/>
  <c r="AA63" i="6" s="1"/>
  <c r="AA9" i="6"/>
  <c r="AA45" i="6" l="1"/>
  <c r="AA49" i="6" s="1"/>
  <c r="AA115" i="6" s="1"/>
  <c r="Y25" i="6" l="1"/>
  <c r="Y28" i="6" s="1"/>
  <c r="Y39" i="6"/>
  <c r="Y110" i="6"/>
  <c r="Y22" i="6"/>
  <c r="Y43" i="6"/>
  <c r="Y75" i="6"/>
  <c r="Y79" i="6" s="1"/>
  <c r="Y91" i="6"/>
  <c r="Y93" i="6" s="1"/>
  <c r="Y59" i="6"/>
  <c r="Y63" i="6" s="1"/>
  <c r="Y9" i="6"/>
  <c r="Y49" i="6" l="1"/>
  <c r="Y115" i="6" s="1"/>
  <c r="Y81" i="6"/>
  <c r="U36" i="7" l="1"/>
  <c r="U46" i="7"/>
  <c r="U86" i="7"/>
  <c r="U87" i="7"/>
  <c r="U88" i="7"/>
  <c r="U89" i="7"/>
  <c r="U85" i="7"/>
  <c r="U76" i="7"/>
  <c r="U67" i="7"/>
  <c r="U68" i="7"/>
  <c r="U69" i="7"/>
  <c r="U70" i="7"/>
  <c r="U71" i="7"/>
  <c r="U72" i="7"/>
  <c r="U73" i="7"/>
  <c r="U60" i="7"/>
  <c r="U55" i="7"/>
  <c r="U56" i="7"/>
  <c r="U57" i="7"/>
  <c r="U54" i="7"/>
  <c r="U66" i="7"/>
  <c r="W43" i="6" l="1"/>
  <c r="U32" i="7" l="1"/>
  <c r="U33" i="7"/>
  <c r="U34" i="7"/>
  <c r="U35" i="7"/>
  <c r="U37" i="7"/>
  <c r="U38" i="7"/>
  <c r="U39" i="7"/>
  <c r="U40" i="7"/>
  <c r="U41" i="7"/>
  <c r="U31" i="7"/>
  <c r="U26" i="7"/>
  <c r="U27" i="7"/>
  <c r="U25" i="7"/>
  <c r="U14" i="7"/>
  <c r="U15" i="7"/>
  <c r="U16" i="7"/>
  <c r="U17" i="7"/>
  <c r="U18" i="7"/>
  <c r="U19" i="7"/>
  <c r="U20" i="7"/>
  <c r="U21" i="7"/>
  <c r="U13" i="7"/>
  <c r="U6" i="7"/>
  <c r="U7" i="7"/>
  <c r="U5" i="7"/>
  <c r="AC9" i="6"/>
  <c r="AC110" i="6"/>
  <c r="AC91" i="6"/>
  <c r="AC75" i="6"/>
  <c r="AC79" i="6" s="1"/>
  <c r="AC59" i="6"/>
  <c r="AC63" i="6" s="1"/>
  <c r="AC43" i="6"/>
  <c r="AC45" i="6" s="1"/>
  <c r="AC28" i="6"/>
  <c r="AC22" i="6"/>
  <c r="AC93" i="6" l="1"/>
  <c r="AC112" i="6" s="1"/>
  <c r="U90" i="7"/>
  <c r="AC81" i="6"/>
  <c r="AC49" i="6"/>
  <c r="AC115" i="6" l="1"/>
  <c r="U110" i="6"/>
  <c r="U91" i="6"/>
  <c r="U93" i="6" s="1"/>
  <c r="U75" i="6"/>
  <c r="U79" i="6" s="1"/>
  <c r="U59" i="6"/>
  <c r="U63" i="6" s="1"/>
  <c r="U43" i="6"/>
  <c r="U28" i="6"/>
  <c r="U22" i="6"/>
  <c r="U9" i="6"/>
  <c r="U112" i="6" l="1"/>
  <c r="U45" i="6"/>
  <c r="U49" i="6" s="1"/>
  <c r="U81" i="6"/>
  <c r="U115" i="6" l="1"/>
  <c r="S106" i="7" l="1"/>
  <c r="S105" i="7"/>
  <c r="S104" i="7"/>
  <c r="S103" i="7"/>
  <c r="S102" i="7"/>
  <c r="S101" i="7"/>
  <c r="S100" i="7"/>
  <c r="S99" i="7"/>
  <c r="S98" i="7"/>
  <c r="S97" i="7"/>
  <c r="S96" i="7"/>
  <c r="S95" i="7"/>
  <c r="S89" i="7"/>
  <c r="S88" i="7"/>
  <c r="S87" i="7"/>
  <c r="S86" i="7"/>
  <c r="S85" i="7"/>
  <c r="S76" i="7"/>
  <c r="S73" i="7"/>
  <c r="S72" i="7"/>
  <c r="S71" i="7"/>
  <c r="S70" i="7"/>
  <c r="S69" i="7"/>
  <c r="S68" i="7"/>
  <c r="S67" i="7"/>
  <c r="S66" i="7"/>
  <c r="S60" i="7"/>
  <c r="S57" i="7"/>
  <c r="S56" i="7"/>
  <c r="S55" i="7"/>
  <c r="S54" i="7"/>
  <c r="S46" i="7"/>
  <c r="S41" i="7"/>
  <c r="S40" i="7"/>
  <c r="S39" i="7"/>
  <c r="S38" i="7"/>
  <c r="S37" i="7"/>
  <c r="S35" i="7"/>
  <c r="S33" i="7"/>
  <c r="S32" i="7"/>
  <c r="S31" i="7"/>
  <c r="S27" i="7"/>
  <c r="S26" i="7"/>
  <c r="S25" i="7"/>
  <c r="S21" i="7"/>
  <c r="S19" i="7"/>
  <c r="S18" i="7"/>
  <c r="S17" i="7"/>
  <c r="S16" i="7"/>
  <c r="S15" i="7"/>
  <c r="S14" i="7"/>
  <c r="S13" i="7"/>
  <c r="S7" i="7"/>
  <c r="S6" i="7"/>
  <c r="S5" i="7"/>
  <c r="S110" i="6"/>
  <c r="S91" i="6"/>
  <c r="S90" i="7" s="1"/>
  <c r="S75" i="6"/>
  <c r="S79" i="6" s="1"/>
  <c r="S59" i="6"/>
  <c r="S63" i="6" s="1"/>
  <c r="S43" i="6"/>
  <c r="S28" i="6"/>
  <c r="S22" i="6"/>
  <c r="S9" i="6"/>
  <c r="Q31" i="7"/>
  <c r="M31" i="7"/>
  <c r="Q105" i="7"/>
  <c r="O105" i="7"/>
  <c r="M105" i="7"/>
  <c r="O106" i="7"/>
  <c r="O104" i="7"/>
  <c r="O103" i="7"/>
  <c r="O102" i="7"/>
  <c r="O101" i="7"/>
  <c r="O100" i="7"/>
  <c r="O99" i="7"/>
  <c r="O98" i="7"/>
  <c r="O87" i="7"/>
  <c r="O86" i="7"/>
  <c r="O76" i="7"/>
  <c r="O73" i="7"/>
  <c r="O72" i="7"/>
  <c r="O71" i="7"/>
  <c r="O70" i="7"/>
  <c r="O69" i="7"/>
  <c r="O68" i="7"/>
  <c r="O67" i="7"/>
  <c r="O66" i="7"/>
  <c r="O60" i="7"/>
  <c r="O57" i="7"/>
  <c r="O56" i="7"/>
  <c r="O55" i="7"/>
  <c r="O54" i="7"/>
  <c r="O46" i="7"/>
  <c r="O41" i="7"/>
  <c r="O39" i="7"/>
  <c r="O38" i="7"/>
  <c r="O35" i="7"/>
  <c r="O33" i="7"/>
  <c r="O25" i="7"/>
  <c r="O28" i="7" s="1"/>
  <c r="O15" i="7"/>
  <c r="O13" i="7"/>
  <c r="O22" i="7" s="1"/>
  <c r="Q106" i="7"/>
  <c r="Q104" i="7"/>
  <c r="Q103" i="7"/>
  <c r="Q102" i="7"/>
  <c r="Q101" i="7"/>
  <c r="Q100" i="7"/>
  <c r="Q99" i="7"/>
  <c r="Q98" i="7"/>
  <c r="Q97" i="7"/>
  <c r="Q96" i="7"/>
  <c r="Q95" i="7"/>
  <c r="Q89" i="7"/>
  <c r="Q88" i="7"/>
  <c r="Q87" i="7"/>
  <c r="Q86" i="7"/>
  <c r="Q85" i="7"/>
  <c r="Q76" i="7"/>
  <c r="Q73" i="7"/>
  <c r="Q72" i="7"/>
  <c r="Q71" i="7"/>
  <c r="Q70" i="7"/>
  <c r="Q69" i="7"/>
  <c r="Q68" i="7"/>
  <c r="Q67" i="7"/>
  <c r="Q66" i="7"/>
  <c r="Q60" i="7"/>
  <c r="Q57" i="7"/>
  <c r="Q56" i="7"/>
  <c r="Q55" i="7"/>
  <c r="Q54" i="7"/>
  <c r="Q46" i="7"/>
  <c r="Q41" i="7"/>
  <c r="Q40" i="7"/>
  <c r="Q39" i="7"/>
  <c r="Q38" i="7"/>
  <c r="Q37" i="7"/>
  <c r="Q35" i="7"/>
  <c r="Q32" i="7"/>
  <c r="Q27" i="7"/>
  <c r="Q26" i="7"/>
  <c r="Q25" i="7"/>
  <c r="Q21" i="7"/>
  <c r="Q19" i="7"/>
  <c r="Q18" i="7"/>
  <c r="Q17" i="7"/>
  <c r="Q16" i="7"/>
  <c r="Q15" i="7"/>
  <c r="Q14" i="7"/>
  <c r="Q13" i="7"/>
  <c r="Q7" i="7"/>
  <c r="Q6" i="7"/>
  <c r="Q5" i="7"/>
  <c r="O9" i="7"/>
  <c r="Q33" i="6"/>
  <c r="Q33" i="7" s="1"/>
  <c r="K110" i="6"/>
  <c r="Q91" i="6"/>
  <c r="Q75" i="6"/>
  <c r="Q79" i="6" s="1"/>
  <c r="Q59" i="6"/>
  <c r="Q63" i="6" s="1"/>
  <c r="Q28" i="6"/>
  <c r="Q9" i="6"/>
  <c r="Q110" i="6"/>
  <c r="Q22" i="6"/>
  <c r="O42" i="6"/>
  <c r="O97" i="6"/>
  <c r="O96" i="7" s="1"/>
  <c r="O39" i="6"/>
  <c r="M89" i="7"/>
  <c r="M88" i="7"/>
  <c r="O33" i="6"/>
  <c r="O35" i="6"/>
  <c r="O98" i="6"/>
  <c r="O97" i="7" s="1"/>
  <c r="O96" i="6"/>
  <c r="O90" i="6"/>
  <c r="O89" i="7" s="1"/>
  <c r="O89" i="6"/>
  <c r="O93" i="6" s="1"/>
  <c r="O91" i="6"/>
  <c r="O90" i="7" s="1"/>
  <c r="O75" i="6"/>
  <c r="O79" i="6" s="1"/>
  <c r="O59" i="6"/>
  <c r="O63" i="6"/>
  <c r="O38" i="6"/>
  <c r="O25" i="6"/>
  <c r="O28" i="6" s="1"/>
  <c r="O15" i="6"/>
  <c r="O13" i="6"/>
  <c r="O9" i="6"/>
  <c r="M42" i="6"/>
  <c r="M41" i="7" s="1"/>
  <c r="M7" i="6"/>
  <c r="M7" i="7" s="1"/>
  <c r="C108" i="7"/>
  <c r="M86" i="7"/>
  <c r="K86" i="7"/>
  <c r="C110" i="6"/>
  <c r="M6" i="6"/>
  <c r="M5" i="6"/>
  <c r="M35" i="6"/>
  <c r="M35" i="7" s="1"/>
  <c r="M33" i="7"/>
  <c r="K33" i="7"/>
  <c r="K42" i="6"/>
  <c r="K41" i="7" s="1"/>
  <c r="M99" i="7"/>
  <c r="K99" i="7"/>
  <c r="M98" i="7"/>
  <c r="K98" i="7"/>
  <c r="M46" i="7"/>
  <c r="M91" i="6"/>
  <c r="M90" i="7" s="1"/>
  <c r="W91" i="6"/>
  <c r="W93" i="6" s="1"/>
  <c r="M96" i="7"/>
  <c r="K96" i="7"/>
  <c r="M106" i="7"/>
  <c r="M104" i="7"/>
  <c r="M103" i="7"/>
  <c r="M102" i="7"/>
  <c r="M101" i="7"/>
  <c r="M100" i="7"/>
  <c r="M97" i="7"/>
  <c r="M95" i="7"/>
  <c r="M87" i="7"/>
  <c r="M85" i="7"/>
  <c r="M76" i="7"/>
  <c r="M73" i="7"/>
  <c r="M72" i="7"/>
  <c r="M71" i="7"/>
  <c r="M70" i="7"/>
  <c r="M69" i="7"/>
  <c r="M68" i="7"/>
  <c r="M67" i="7"/>
  <c r="M66" i="7"/>
  <c r="M60" i="7"/>
  <c r="M57" i="7"/>
  <c r="M56" i="7"/>
  <c r="M55" i="7"/>
  <c r="M54" i="7"/>
  <c r="M40" i="7"/>
  <c r="M39" i="7"/>
  <c r="M38" i="7"/>
  <c r="M37" i="7"/>
  <c r="M32" i="7"/>
  <c r="M27" i="7"/>
  <c r="M26" i="7"/>
  <c r="M25" i="7"/>
  <c r="M21" i="7"/>
  <c r="M19" i="7"/>
  <c r="M18" i="7"/>
  <c r="M17" i="7"/>
  <c r="M16" i="7"/>
  <c r="M15" i="7"/>
  <c r="M14" i="7"/>
  <c r="M13" i="7"/>
  <c r="M5" i="7"/>
  <c r="W110" i="6"/>
  <c r="M110" i="6"/>
  <c r="M75" i="6"/>
  <c r="M79" i="6" s="1"/>
  <c r="M59" i="6"/>
  <c r="M63" i="6"/>
  <c r="M28" i="6"/>
  <c r="M22" i="6"/>
  <c r="K102" i="7"/>
  <c r="K103" i="7"/>
  <c r="K104" i="7"/>
  <c r="K106" i="7"/>
  <c r="K101" i="7"/>
  <c r="K90" i="7"/>
  <c r="K87" i="7"/>
  <c r="K85" i="7"/>
  <c r="K100" i="7"/>
  <c r="K76" i="7"/>
  <c r="K97" i="7"/>
  <c r="K95" i="7"/>
  <c r="K73" i="7"/>
  <c r="K72" i="7"/>
  <c r="K71" i="7"/>
  <c r="K70" i="7"/>
  <c r="K69" i="7"/>
  <c r="K68" i="7"/>
  <c r="K67" i="7"/>
  <c r="K66" i="7"/>
  <c r="K60" i="7"/>
  <c r="K57" i="7"/>
  <c r="K56" i="7"/>
  <c r="K55" i="7"/>
  <c r="K54" i="7"/>
  <c r="K35" i="7"/>
  <c r="K37" i="7"/>
  <c r="K38" i="7"/>
  <c r="K39" i="7"/>
  <c r="K40" i="7"/>
  <c r="K32" i="7"/>
  <c r="K27" i="7"/>
  <c r="K26" i="7"/>
  <c r="K25" i="7"/>
  <c r="K21" i="7"/>
  <c r="K19" i="7"/>
  <c r="K18" i="7"/>
  <c r="K17" i="7"/>
  <c r="K16" i="7"/>
  <c r="K15" i="7"/>
  <c r="K14" i="7"/>
  <c r="K13" i="7"/>
  <c r="K7" i="7"/>
  <c r="K6" i="7"/>
  <c r="K5" i="7"/>
  <c r="C59" i="6"/>
  <c r="C63" i="6" s="1"/>
  <c r="E59" i="6"/>
  <c r="E63" i="6" s="1"/>
  <c r="G59" i="6"/>
  <c r="G63" i="6" s="1"/>
  <c r="I59" i="6"/>
  <c r="I63" i="6" s="1"/>
  <c r="K59" i="6"/>
  <c r="K63" i="6" s="1"/>
  <c r="W59" i="6"/>
  <c r="W63" i="6" s="1"/>
  <c r="G70" i="6"/>
  <c r="G75" i="6" s="1"/>
  <c r="G79" i="6" s="1"/>
  <c r="C75" i="6"/>
  <c r="C79" i="6" s="1"/>
  <c r="E75" i="6"/>
  <c r="E79" i="6" s="1"/>
  <c r="I75" i="6"/>
  <c r="I79" i="6" s="1"/>
  <c r="K75" i="6"/>
  <c r="K79" i="6" s="1"/>
  <c r="W75" i="6"/>
  <c r="W79" i="6" s="1"/>
  <c r="I105" i="6"/>
  <c r="I110" i="6" s="1"/>
  <c r="I103" i="7"/>
  <c r="I108" i="7" s="1"/>
  <c r="G102" i="7"/>
  <c r="G108" i="7" s="1"/>
  <c r="G110" i="7" s="1"/>
  <c r="E101" i="7"/>
  <c r="E108" i="7" s="1"/>
  <c r="I92" i="7"/>
  <c r="G92" i="7"/>
  <c r="E92" i="7"/>
  <c r="C92" i="7"/>
  <c r="C110" i="7"/>
  <c r="I74" i="7"/>
  <c r="I78" i="7" s="1"/>
  <c r="E74" i="7"/>
  <c r="E78" i="7" s="1"/>
  <c r="C74" i="7"/>
  <c r="C78" i="7" s="1"/>
  <c r="G69" i="7"/>
  <c r="G74" i="7" s="1"/>
  <c r="G78" i="7" s="1"/>
  <c r="I58" i="7"/>
  <c r="I62" i="7"/>
  <c r="G58" i="7"/>
  <c r="G62" i="7" s="1"/>
  <c r="E58" i="7"/>
  <c r="E62" i="7" s="1"/>
  <c r="C58" i="7"/>
  <c r="C62" i="7" s="1"/>
  <c r="C41" i="7"/>
  <c r="C42" i="7" s="1"/>
  <c r="E37" i="7"/>
  <c r="E42" i="7" s="1"/>
  <c r="I35" i="7"/>
  <c r="I42" i="7" s="1"/>
  <c r="G35" i="7"/>
  <c r="G42" i="7" s="1"/>
  <c r="E35" i="7"/>
  <c r="G32" i="7"/>
  <c r="G28" i="7"/>
  <c r="I27" i="7"/>
  <c r="I28" i="7" s="1"/>
  <c r="E25" i="7"/>
  <c r="E28" i="7"/>
  <c r="C25" i="7"/>
  <c r="C28" i="7" s="1"/>
  <c r="G22" i="7"/>
  <c r="C17" i="7"/>
  <c r="I16" i="7"/>
  <c r="I15" i="7"/>
  <c r="E15" i="7"/>
  <c r="E13" i="7"/>
  <c r="C13" i="7"/>
  <c r="C22" i="7" s="1"/>
  <c r="G9" i="7"/>
  <c r="I7" i="7"/>
  <c r="I9" i="7" s="1"/>
  <c r="E7" i="7"/>
  <c r="E6" i="7"/>
  <c r="E5" i="7" s="1"/>
  <c r="E9" i="7" s="1"/>
  <c r="C5" i="7"/>
  <c r="C9" i="7" s="1"/>
  <c r="K93" i="6"/>
  <c r="K112" i="6" s="1"/>
  <c r="I93" i="6"/>
  <c r="G93" i="6"/>
  <c r="E93" i="6"/>
  <c r="C93" i="6"/>
  <c r="W9" i="6"/>
  <c r="G9" i="6"/>
  <c r="G104" i="6"/>
  <c r="E103" i="6"/>
  <c r="E110" i="6" s="1"/>
  <c r="K9" i="6"/>
  <c r="I7" i="6"/>
  <c r="I9" i="6" s="1"/>
  <c r="E7" i="6"/>
  <c r="C42" i="6"/>
  <c r="C43" i="6" s="1"/>
  <c r="E37" i="6"/>
  <c r="I35" i="6"/>
  <c r="I43" i="6" s="1"/>
  <c r="G35" i="6"/>
  <c r="E35" i="6"/>
  <c r="G32" i="6"/>
  <c r="W28" i="6"/>
  <c r="K28" i="6"/>
  <c r="G28" i="6"/>
  <c r="I27" i="6"/>
  <c r="I28" i="6" s="1"/>
  <c r="E25" i="6"/>
  <c r="E28" i="6" s="1"/>
  <c r="C25" i="6"/>
  <c r="C28" i="6" s="1"/>
  <c r="K22" i="6"/>
  <c r="G22" i="6"/>
  <c r="C17" i="6"/>
  <c r="C22" i="6" s="1"/>
  <c r="I16" i="6"/>
  <c r="W22" i="6"/>
  <c r="I15" i="6"/>
  <c r="E15" i="6"/>
  <c r="E13" i="6"/>
  <c r="C13" i="6"/>
  <c r="E6" i="6"/>
  <c r="E5" i="6" s="1"/>
  <c r="C5" i="6"/>
  <c r="C9" i="6" s="1"/>
  <c r="G110" i="6"/>
  <c r="E81" i="6" l="1"/>
  <c r="K43" i="6"/>
  <c r="K45" i="6"/>
  <c r="W112" i="6"/>
  <c r="M43" i="6"/>
  <c r="S93" i="6"/>
  <c r="S112" i="6" s="1"/>
  <c r="O22" i="6"/>
  <c r="C81" i="6"/>
  <c r="I22" i="7"/>
  <c r="O110" i="6"/>
  <c r="O112" i="6" s="1"/>
  <c r="E80" i="7"/>
  <c r="S81" i="6"/>
  <c r="E43" i="6"/>
  <c r="C112" i="6"/>
  <c r="G80" i="7"/>
  <c r="O81" i="6"/>
  <c r="I22" i="6"/>
  <c r="I45" i="6" s="1"/>
  <c r="I49" i="6" s="1"/>
  <c r="M9" i="6"/>
  <c r="W45" i="6"/>
  <c r="W49" i="6" s="1"/>
  <c r="W115" i="6" s="1"/>
  <c r="W81" i="6"/>
  <c r="K81" i="6"/>
  <c r="C44" i="7"/>
  <c r="C48" i="7" s="1"/>
  <c r="G81" i="6"/>
  <c r="Q43" i="6"/>
  <c r="Q45" i="6" s="1"/>
  <c r="Q49" i="6" s="1"/>
  <c r="I80" i="7"/>
  <c r="M6" i="7"/>
  <c r="M9" i="7" s="1"/>
  <c r="G43" i="6"/>
  <c r="G45" i="6" s="1"/>
  <c r="G49" i="6" s="1"/>
  <c r="E22" i="7"/>
  <c r="K9" i="7"/>
  <c r="O95" i="7"/>
  <c r="O108" i="7" s="1"/>
  <c r="C45" i="6"/>
  <c r="C49" i="6" s="1"/>
  <c r="C115" i="6" s="1"/>
  <c r="I81" i="6"/>
  <c r="E9" i="6"/>
  <c r="E110" i="7"/>
  <c r="M93" i="6"/>
  <c r="Q9" i="7"/>
  <c r="I44" i="7"/>
  <c r="K22" i="7"/>
  <c r="M112" i="6"/>
  <c r="O42" i="7"/>
  <c r="E22" i="6"/>
  <c r="O88" i="7"/>
  <c r="O92" i="7" s="1"/>
  <c r="O43" i="6"/>
  <c r="O45" i="6" s="1"/>
  <c r="O49" i="6" s="1"/>
  <c r="I112" i="6"/>
  <c r="G112" i="6"/>
  <c r="E112" i="6"/>
  <c r="U28" i="7"/>
  <c r="K74" i="7"/>
  <c r="K78" i="7" s="1"/>
  <c r="E44" i="7"/>
  <c r="E48" i="7" s="1"/>
  <c r="E113" i="7" s="1"/>
  <c r="C80" i="7"/>
  <c r="K58" i="7"/>
  <c r="K62" i="7" s="1"/>
  <c r="K92" i="7"/>
  <c r="M74" i="7"/>
  <c r="M78" i="7" s="1"/>
  <c r="U108" i="7"/>
  <c r="K28" i="7"/>
  <c r="M28" i="7"/>
  <c r="Q108" i="7"/>
  <c r="O74" i="7"/>
  <c r="O78" i="7" s="1"/>
  <c r="S9" i="7"/>
  <c r="S45" i="6"/>
  <c r="S49" i="6" s="1"/>
  <c r="K49" i="6"/>
  <c r="K115" i="6" s="1"/>
  <c r="M58" i="7"/>
  <c r="M62" i="7" s="1"/>
  <c r="M108" i="7"/>
  <c r="M92" i="7"/>
  <c r="Q22" i="7"/>
  <c r="Q58" i="7"/>
  <c r="Q62" i="7" s="1"/>
  <c r="S42" i="7"/>
  <c r="S108" i="7"/>
  <c r="K42" i="7"/>
  <c r="M22" i="7"/>
  <c r="Q42" i="7"/>
  <c r="O58" i="7"/>
  <c r="O62" i="7" s="1"/>
  <c r="S58" i="7"/>
  <c r="S62" i="7" s="1"/>
  <c r="U9" i="7"/>
  <c r="U42" i="7"/>
  <c r="U58" i="7"/>
  <c r="U62" i="7" s="1"/>
  <c r="U92" i="7"/>
  <c r="M42" i="7"/>
  <c r="S22" i="7"/>
  <c r="G44" i="7"/>
  <c r="G48" i="7" s="1"/>
  <c r="G113" i="7" s="1"/>
  <c r="I110" i="7"/>
  <c r="U22" i="7"/>
  <c r="U74" i="7"/>
  <c r="U78" i="7" s="1"/>
  <c r="I48" i="7"/>
  <c r="K108" i="7"/>
  <c r="Q90" i="7"/>
  <c r="Q92" i="7" s="1"/>
  <c r="Q93" i="6"/>
  <c r="Q112" i="6" s="1"/>
  <c r="O44" i="7"/>
  <c r="O48" i="7" s="1"/>
  <c r="S92" i="7"/>
  <c r="Q81" i="6"/>
  <c r="M45" i="6"/>
  <c r="M49" i="6" s="1"/>
  <c r="M81" i="6"/>
  <c r="Q28" i="7"/>
  <c r="Q74" i="7"/>
  <c r="Q78" i="7" s="1"/>
  <c r="S28" i="7"/>
  <c r="S74" i="7"/>
  <c r="S78" i="7" s="1"/>
  <c r="S115" i="6" l="1"/>
  <c r="G115" i="6"/>
  <c r="M110" i="7"/>
  <c r="E45" i="6"/>
  <c r="E49" i="6" s="1"/>
  <c r="E115" i="6" s="1"/>
  <c r="I115" i="6"/>
  <c r="Q80" i="7"/>
  <c r="M80" i="7"/>
  <c r="O80" i="7"/>
  <c r="I113" i="7"/>
  <c r="K80" i="7"/>
  <c r="C113" i="7"/>
  <c r="O115" i="6"/>
  <c r="K44" i="7"/>
  <c r="K48" i="7" s="1"/>
  <c r="S80" i="7"/>
  <c r="Q115" i="6"/>
  <c r="M44" i="7"/>
  <c r="M48" i="7" s="1"/>
  <c r="M113" i="7" s="1"/>
  <c r="U44" i="7"/>
  <c r="U48" i="7" s="1"/>
  <c r="U110" i="7"/>
  <c r="U80" i="7"/>
  <c r="Q44" i="7"/>
  <c r="Q48" i="7" s="1"/>
  <c r="Q110" i="7"/>
  <c r="K110" i="7"/>
  <c r="S110" i="7"/>
  <c r="O110" i="7"/>
  <c r="S44" i="7"/>
  <c r="S48" i="7" s="1"/>
  <c r="M115" i="6"/>
  <c r="O113" i="7" l="1"/>
  <c r="Q113" i="7"/>
  <c r="S113" i="7"/>
  <c r="K113" i="7"/>
  <c r="U11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used Scarlett's spreadsheet less Paypal fees for specific transactions &gt; $100</t>
        </r>
      </text>
    </comment>
    <comment ref="C4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$275.58 plug</t>
        </r>
      </text>
    </comment>
    <comment ref="E10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$198.05 for H4H food and $476.05 for H4H door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used Scarlett's spreadsheet less Paypal fees for specific transactions &gt; $100</t>
        </r>
      </text>
    </comment>
    <comment ref="AC33" authorId="0" shapeId="0" xr:uid="{F40608D6-969C-4EC9-988A-996AEB0DAE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Was budgeted 1,500 but likely cancelled again due to COVID
</t>
        </r>
      </text>
    </comment>
    <comment ref="C4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$275.58 plug</t>
        </r>
      </text>
    </comment>
    <comment ref="E10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$198.05 for H4H food and $476.05 for H4H door</t>
        </r>
      </text>
    </comment>
  </commentList>
</comments>
</file>

<file path=xl/sharedStrings.xml><?xml version="1.0" encoding="utf-8"?>
<sst xmlns="http://schemas.openxmlformats.org/spreadsheetml/2006/main" count="181" uniqueCount="99">
  <si>
    <t>Insurance</t>
  </si>
  <si>
    <t>CNM annual dues &amp; fees</t>
  </si>
  <si>
    <t>Postage &amp; supplies</t>
  </si>
  <si>
    <t>Marketing G&amp;A</t>
  </si>
  <si>
    <t>Total Marketing G&amp;A</t>
  </si>
  <si>
    <t>Membership G&amp;A</t>
  </si>
  <si>
    <t>Total Membership G&amp;A</t>
  </si>
  <si>
    <t>Other G&amp;A</t>
  </si>
  <si>
    <t>Total Other G&amp;A</t>
  </si>
  <si>
    <t>Charitable Solicitation filing fees</t>
  </si>
  <si>
    <t>Cool People Care/Social Media</t>
  </si>
  <si>
    <t>Memberships fees</t>
  </si>
  <si>
    <t>Contributions</t>
  </si>
  <si>
    <t xml:space="preserve">Annual membership meeting - January </t>
  </si>
  <si>
    <t>MHC Preservation Awards ceremony - May</t>
  </si>
  <si>
    <t>Newsletter - biannual</t>
  </si>
  <si>
    <t>Annual Report</t>
  </si>
  <si>
    <t>PO Box fees</t>
  </si>
  <si>
    <t>Misc. G&amp;A expenses/Discretionary funds</t>
  </si>
  <si>
    <t>Ticket sales</t>
  </si>
  <si>
    <t>Sponsorships</t>
  </si>
  <si>
    <t>Entertainment</t>
  </si>
  <si>
    <t>Programs/Workshops</t>
  </si>
  <si>
    <t>In-kind donations</t>
  </si>
  <si>
    <t>Grant revenues</t>
  </si>
  <si>
    <t>Printed materials</t>
  </si>
  <si>
    <t>Catering &amp; bar</t>
  </si>
  <si>
    <t>Decorations</t>
  </si>
  <si>
    <t>Miscellaneous</t>
  </si>
  <si>
    <t>Bartending</t>
  </si>
  <si>
    <t>Storage facility rent</t>
  </si>
  <si>
    <t>EVENT EXPENSES</t>
  </si>
  <si>
    <t>PROGRAM EXPENSES</t>
  </si>
  <si>
    <t>TOTAL PROGRAM EXPENSES</t>
  </si>
  <si>
    <t>Easement revenues</t>
  </si>
  <si>
    <t>Email (Emma) (split with marketing)</t>
  </si>
  <si>
    <t>Website hosting (Sitemason)</t>
  </si>
  <si>
    <t>Email marketing (Emma) (split with membership)</t>
  </si>
  <si>
    <t>Media kits/printing</t>
  </si>
  <si>
    <t>Tours</t>
  </si>
  <si>
    <t>TOTAL EVENT EXPENSES</t>
  </si>
  <si>
    <t>Holiday event</t>
  </si>
  <si>
    <t>Grant expenditures</t>
  </si>
  <si>
    <t>Nashville Nine press conference</t>
  </si>
  <si>
    <t>Investment and other income</t>
  </si>
  <si>
    <t>Facility Rental</t>
  </si>
  <si>
    <t>Art sale/orchids, silent auction, misc.</t>
  </si>
  <si>
    <t>Other event revenues</t>
  </si>
  <si>
    <t>OPERATING BUDGET</t>
  </si>
  <si>
    <t>EVENT BUDGET</t>
  </si>
  <si>
    <t>PROGRAM BUDGET</t>
  </si>
  <si>
    <t>NET OPERATING BUDGET</t>
  </si>
  <si>
    <t>OPERATING EXPENSES</t>
  </si>
  <si>
    <t>OPERATING REVENUES</t>
  </si>
  <si>
    <t>TOTAL OPERATING REVENUES</t>
  </si>
  <si>
    <t>TOTAL OPERATING EXPENSES</t>
  </si>
  <si>
    <t>OPERATING REVENUES ALLOCATED TO PROGRAMS</t>
  </si>
  <si>
    <t>EVENT REVENUES</t>
  </si>
  <si>
    <t>NET EVENT BUDGET</t>
  </si>
  <si>
    <t>TOTAL EVENT REVENUES</t>
  </si>
  <si>
    <t>PROGRAM REVENUES</t>
  </si>
  <si>
    <t>TOTAL PROGRAM REVENUES</t>
  </si>
  <si>
    <t>NET PROGRAM BUDGET</t>
  </si>
  <si>
    <t>NET NET</t>
  </si>
  <si>
    <t>Operating expenses allocated to programs</t>
  </si>
  <si>
    <t>Preservation Station contribution</t>
  </si>
  <si>
    <t>Music Row Treasures</t>
  </si>
  <si>
    <t>National Trust Preservation Leadership Forum membership</t>
  </si>
  <si>
    <t>National Preservation training</t>
  </si>
  <si>
    <t>Membership perks</t>
  </si>
  <si>
    <t>Revolving fund contributions</t>
  </si>
  <si>
    <t>West Nashville Founders' Museum</t>
  </si>
  <si>
    <t>Merchandise</t>
  </si>
  <si>
    <t>Website redesign</t>
  </si>
  <si>
    <t>Big Payback-The Station</t>
  </si>
  <si>
    <t>Advisory Council</t>
  </si>
  <si>
    <t>TOTAL PROGRAM REVENUES (EASEMENTS)</t>
  </si>
  <si>
    <t>Basecamp fee</t>
  </si>
  <si>
    <t>Other event expenses</t>
  </si>
  <si>
    <t xml:space="preserve">Singer Songwriter Night </t>
  </si>
  <si>
    <t xml:space="preserve">Total revenues for the Singer Songwriter Night </t>
  </si>
  <si>
    <t xml:space="preserve">Total expenses for the Singer Songwriter Night </t>
  </si>
  <si>
    <t xml:space="preserve">Other Event </t>
  </si>
  <si>
    <t xml:space="preserve">Total revenues </t>
  </si>
  <si>
    <t>Total expenses</t>
  </si>
  <si>
    <t xml:space="preserve">Membership Meeting &amp; Other Events </t>
  </si>
  <si>
    <t xml:space="preserve">Professional Fees </t>
  </si>
  <si>
    <t xml:space="preserve">Travel </t>
  </si>
  <si>
    <t>2020 Budget</t>
  </si>
  <si>
    <t xml:space="preserve">Other Event Expenses </t>
  </si>
  <si>
    <t>Website Upgrade and Maintenance</t>
  </si>
  <si>
    <t>Email  (split with marketing)</t>
  </si>
  <si>
    <t xml:space="preserve">Other </t>
  </si>
  <si>
    <t xml:space="preserve">Easements Program Administration </t>
  </si>
  <si>
    <t xml:space="preserve">Salaries Expense </t>
  </si>
  <si>
    <t xml:space="preserve">2022 Budget </t>
  </si>
  <si>
    <t xml:space="preserve">Legal Fees &amp; Professional Services </t>
  </si>
  <si>
    <t xml:space="preserve">Kindful </t>
  </si>
  <si>
    <t>Email marketing (EMMA)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</si>
</sst>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Font="1"/>
    <xf numFmtId="0" fontId="0" fillId="0" borderId="0" xfId="0" applyFont="1" applyFill="1"/>
    <xf numFmtId="43" fontId="0" fillId="0" borderId="0" xfId="0" applyNumberFormat="1"/>
    <xf numFmtId="0" fontId="0" fillId="0" borderId="0" xfId="0"/>
    <xf numFmtId="0" fontId="0" fillId="0" borderId="0" xfId="0" applyFill="1"/>
    <xf numFmtId="0" fontId="8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8" fillId="2" borderId="6" xfId="0" applyFont="1" applyFill="1" applyBorder="1"/>
    <xf numFmtId="0" fontId="0" fillId="2" borderId="8" xfId="0" applyFill="1" applyBorder="1"/>
    <xf numFmtId="43" fontId="0" fillId="2" borderId="8" xfId="0" applyNumberFormat="1" applyFill="1" applyBorder="1"/>
    <xf numFmtId="43" fontId="0" fillId="2" borderId="7" xfId="0" applyNumberFormat="1" applyFill="1" applyBorder="1"/>
    <xf numFmtId="0" fontId="0" fillId="3" borderId="4" xfId="0" applyFill="1" applyBorder="1"/>
    <xf numFmtId="0" fontId="0" fillId="3" borderId="0" xfId="0" applyFill="1" applyBorder="1"/>
    <xf numFmtId="43" fontId="0" fillId="3" borderId="0" xfId="1" applyFont="1" applyFill="1" applyBorder="1"/>
    <xf numFmtId="43" fontId="0" fillId="3" borderId="5" xfId="1" applyFont="1" applyFill="1" applyBorder="1"/>
    <xf numFmtId="44" fontId="0" fillId="3" borderId="0" xfId="2" applyFont="1" applyFill="1" applyBorder="1"/>
    <xf numFmtId="44" fontId="0" fillId="3" borderId="5" xfId="2" applyFont="1" applyFill="1" applyBorder="1"/>
    <xf numFmtId="43" fontId="3" fillId="3" borderId="0" xfId="1" applyFont="1" applyFill="1" applyBorder="1"/>
    <xf numFmtId="43" fontId="3" fillId="3" borderId="5" xfId="1" applyFont="1" applyFill="1" applyBorder="1"/>
    <xf numFmtId="0" fontId="0" fillId="3" borderId="4" xfId="0" applyFont="1" applyFill="1" applyBorder="1"/>
    <xf numFmtId="0" fontId="0" fillId="3" borderId="0" xfId="0" applyFont="1" applyFill="1" applyBorder="1"/>
    <xf numFmtId="43" fontId="2" fillId="3" borderId="0" xfId="1" applyFont="1" applyFill="1" applyBorder="1"/>
    <xf numFmtId="43" fontId="2" fillId="3" borderId="5" xfId="1" applyFont="1" applyFill="1" applyBorder="1"/>
    <xf numFmtId="0" fontId="2" fillId="3" borderId="0" xfId="0" applyFont="1" applyFill="1" applyBorder="1"/>
    <xf numFmtId="43" fontId="6" fillId="3" borderId="0" xfId="1" applyFont="1" applyFill="1" applyBorder="1"/>
    <xf numFmtId="43" fontId="6" fillId="3" borderId="5" xfId="1" applyFont="1" applyFill="1" applyBorder="1"/>
    <xf numFmtId="0" fontId="0" fillId="3" borderId="5" xfId="0" applyFill="1" applyBorder="1"/>
    <xf numFmtId="0" fontId="0" fillId="3" borderId="9" xfId="0" applyFill="1" applyBorder="1"/>
    <xf numFmtId="0" fontId="0" fillId="3" borderId="10" xfId="0" applyFill="1" applyBorder="1"/>
    <xf numFmtId="43" fontId="0" fillId="3" borderId="10" xfId="1" applyFont="1" applyFill="1" applyBorder="1"/>
    <xf numFmtId="43" fontId="0" fillId="3" borderId="11" xfId="1" applyFont="1" applyFill="1" applyBorder="1"/>
    <xf numFmtId="0" fontId="0" fillId="3" borderId="12" xfId="0" applyFill="1" applyBorder="1"/>
    <xf numFmtId="0" fontId="0" fillId="3" borderId="13" xfId="0" applyFill="1" applyBorder="1"/>
    <xf numFmtId="43" fontId="2" fillId="3" borderId="13" xfId="1" applyFont="1" applyFill="1" applyBorder="1"/>
    <xf numFmtId="43" fontId="3" fillId="3" borderId="13" xfId="1" applyFont="1" applyFill="1" applyBorder="1"/>
    <xf numFmtId="43" fontId="2" fillId="3" borderId="14" xfId="1" applyFont="1" applyFill="1" applyBorder="1"/>
    <xf numFmtId="43" fontId="0" fillId="3" borderId="13" xfId="1" applyFont="1" applyFill="1" applyBorder="1"/>
    <xf numFmtId="43" fontId="0" fillId="3" borderId="14" xfId="1" applyFont="1" applyFill="1" applyBorder="1"/>
    <xf numFmtId="0" fontId="8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8" fillId="4" borderId="6" xfId="0" applyFont="1" applyFill="1" applyBorder="1"/>
    <xf numFmtId="0" fontId="0" fillId="4" borderId="8" xfId="0" applyFill="1" applyBorder="1"/>
    <xf numFmtId="43" fontId="0" fillId="4" borderId="8" xfId="0" applyNumberFormat="1" applyFill="1" applyBorder="1"/>
    <xf numFmtId="43" fontId="0" fillId="4" borderId="7" xfId="0" applyNumberFormat="1" applyFill="1" applyBorder="1"/>
    <xf numFmtId="0" fontId="0" fillId="5" borderId="9" xfId="0" applyFill="1" applyBorder="1"/>
    <xf numFmtId="0" fontId="0" fillId="5" borderId="10" xfId="0" applyFill="1" applyBorder="1"/>
    <xf numFmtId="43" fontId="0" fillId="5" borderId="10" xfId="1" applyFont="1" applyFill="1" applyBorder="1"/>
    <xf numFmtId="43" fontId="0" fillId="5" borderId="11" xfId="1" applyFont="1" applyFill="1" applyBorder="1"/>
    <xf numFmtId="0" fontId="0" fillId="5" borderId="4" xfId="0" applyFill="1" applyBorder="1"/>
    <xf numFmtId="0" fontId="0" fillId="5" borderId="0" xfId="0" applyFill="1" applyBorder="1"/>
    <xf numFmtId="43" fontId="0" fillId="5" borderId="0" xfId="1" applyFont="1" applyFill="1" applyBorder="1"/>
    <xf numFmtId="43" fontId="0" fillId="5" borderId="5" xfId="1" applyFont="1" applyFill="1" applyBorder="1"/>
    <xf numFmtId="43" fontId="2" fillId="5" borderId="0" xfId="1" applyFont="1" applyFill="1" applyBorder="1"/>
    <xf numFmtId="0" fontId="2" fillId="5" borderId="0" xfId="0" applyFont="1" applyFill="1" applyBorder="1"/>
    <xf numFmtId="43" fontId="2" fillId="5" borderId="5" xfId="1" applyFont="1" applyFill="1" applyBorder="1"/>
    <xf numFmtId="43" fontId="6" fillId="5" borderId="0" xfId="1" applyFont="1" applyFill="1" applyBorder="1"/>
    <xf numFmtId="43" fontId="6" fillId="5" borderId="5" xfId="1" applyFont="1" applyFill="1" applyBorder="1"/>
    <xf numFmtId="0" fontId="6" fillId="5" borderId="0" xfId="0" applyFont="1" applyFill="1" applyBorder="1"/>
    <xf numFmtId="0" fontId="0" fillId="5" borderId="12" xfId="0" applyFill="1" applyBorder="1"/>
    <xf numFmtId="0" fontId="0" fillId="5" borderId="13" xfId="0" applyFill="1" applyBorder="1"/>
    <xf numFmtId="43" fontId="0" fillId="5" borderId="13" xfId="1" applyFont="1" applyFill="1" applyBorder="1"/>
    <xf numFmtId="43" fontId="0" fillId="5" borderId="14" xfId="1" applyFont="1" applyFill="1" applyBorder="1"/>
    <xf numFmtId="0" fontId="0" fillId="5" borderId="5" xfId="0" applyFill="1" applyBorder="1"/>
    <xf numFmtId="0" fontId="0" fillId="5" borderId="0" xfId="0" applyFont="1" applyFill="1" applyBorder="1"/>
    <xf numFmtId="0" fontId="0" fillId="5" borderId="4" xfId="0" applyFont="1" applyFill="1" applyBorder="1"/>
    <xf numFmtId="0" fontId="0" fillId="5" borderId="13" xfId="0" applyFont="1" applyFill="1" applyBorder="1"/>
    <xf numFmtId="0" fontId="8" fillId="6" borderId="1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8" fillId="6" borderId="6" xfId="0" applyFont="1" applyFill="1" applyBorder="1"/>
    <xf numFmtId="0" fontId="0" fillId="6" borderId="8" xfId="0" applyFill="1" applyBorder="1"/>
    <xf numFmtId="43" fontId="0" fillId="6" borderId="8" xfId="0" applyNumberFormat="1" applyFill="1" applyBorder="1"/>
    <xf numFmtId="43" fontId="0" fillId="6" borderId="7" xfId="0" applyNumberFormat="1" applyFill="1" applyBorder="1"/>
    <xf numFmtId="0" fontId="0" fillId="7" borderId="9" xfId="0" applyFill="1" applyBorder="1"/>
    <xf numFmtId="0" fontId="0" fillId="7" borderId="10" xfId="0" applyFill="1" applyBorder="1"/>
    <xf numFmtId="43" fontId="2" fillId="7" borderId="10" xfId="1" applyFont="1" applyFill="1" applyBorder="1"/>
    <xf numFmtId="43" fontId="2" fillId="7" borderId="11" xfId="1" applyFont="1" applyFill="1" applyBorder="1"/>
    <xf numFmtId="0" fontId="0" fillId="7" borderId="4" xfId="0" applyFill="1" applyBorder="1"/>
    <xf numFmtId="0" fontId="0" fillId="7" borderId="0" xfId="0" applyFill="1" applyBorder="1"/>
    <xf numFmtId="43" fontId="0" fillId="7" borderId="0" xfId="1" applyFont="1" applyFill="1" applyBorder="1"/>
    <xf numFmtId="43" fontId="0" fillId="7" borderId="5" xfId="1" applyFont="1" applyFill="1" applyBorder="1"/>
    <xf numFmtId="43" fontId="2" fillId="7" borderId="0" xfId="1" applyFont="1" applyFill="1" applyBorder="1"/>
    <xf numFmtId="0" fontId="2" fillId="7" borderId="0" xfId="0" applyFont="1" applyFill="1" applyBorder="1"/>
    <xf numFmtId="43" fontId="2" fillId="7" borderId="5" xfId="1" applyFont="1" applyFill="1" applyBorder="1"/>
    <xf numFmtId="43" fontId="6" fillId="7" borderId="0" xfId="1" applyFont="1" applyFill="1" applyBorder="1"/>
    <xf numFmtId="43" fontId="6" fillId="7" borderId="5" xfId="1" applyFont="1" applyFill="1" applyBorder="1"/>
    <xf numFmtId="0" fontId="0" fillId="7" borderId="4" xfId="0" applyFont="1" applyFill="1" applyBorder="1"/>
    <xf numFmtId="0" fontId="0" fillId="7" borderId="0" xfId="0" applyFont="1" applyFill="1" applyBorder="1"/>
    <xf numFmtId="0" fontId="0" fillId="7" borderId="12" xfId="0" applyFill="1" applyBorder="1"/>
    <xf numFmtId="0" fontId="0" fillId="7" borderId="13" xfId="0" applyFill="1" applyBorder="1"/>
    <xf numFmtId="43" fontId="0" fillId="7" borderId="13" xfId="1" applyFont="1" applyFill="1" applyBorder="1"/>
    <xf numFmtId="43" fontId="0" fillId="7" borderId="14" xfId="1" applyFont="1" applyFill="1" applyBorder="1"/>
    <xf numFmtId="0" fontId="0" fillId="7" borderId="5" xfId="0" applyFill="1" applyBorder="1"/>
    <xf numFmtId="43" fontId="0" fillId="7" borderId="13" xfId="0" applyNumberFormat="1" applyFill="1" applyBorder="1"/>
    <xf numFmtId="43" fontId="0" fillId="7" borderId="14" xfId="0" applyNumberFormat="1" applyFill="1" applyBorder="1"/>
    <xf numFmtId="0" fontId="8" fillId="8" borderId="15" xfId="0" applyFont="1" applyFill="1" applyBorder="1"/>
    <xf numFmtId="0" fontId="0" fillId="8" borderId="16" xfId="0" applyFill="1" applyBorder="1"/>
    <xf numFmtId="43" fontId="0" fillId="8" borderId="16" xfId="0" applyNumberFormat="1" applyFill="1" applyBorder="1"/>
    <xf numFmtId="43" fontId="0" fillId="8" borderId="17" xfId="0" applyNumberFormat="1" applyFill="1" applyBorder="1"/>
    <xf numFmtId="0" fontId="0" fillId="8" borderId="15" xfId="0" applyFill="1" applyBorder="1"/>
    <xf numFmtId="0" fontId="7" fillId="8" borderId="16" xfId="0" applyFont="1" applyFill="1" applyBorder="1" applyAlignment="1">
      <alignment horizontal="center"/>
    </xf>
    <xf numFmtId="0" fontId="1" fillId="8" borderId="16" xfId="0" applyFont="1" applyFill="1" applyBorder="1"/>
    <xf numFmtId="0" fontId="7" fillId="8" borderId="17" xfId="0" applyFont="1" applyFill="1" applyBorder="1" applyAlignment="1">
      <alignment horizontal="center"/>
    </xf>
    <xf numFmtId="0" fontId="6" fillId="3" borderId="0" xfId="0" applyFont="1" applyFill="1" applyBorder="1"/>
    <xf numFmtId="0" fontId="0" fillId="0" borderId="0" xfId="0"/>
    <xf numFmtId="0" fontId="0" fillId="0" borderId="0" xfId="0" applyFill="1"/>
    <xf numFmtId="43" fontId="0" fillId="2" borderId="8" xfId="0" applyNumberFormat="1" applyFill="1" applyBorder="1"/>
    <xf numFmtId="0" fontId="0" fillId="3" borderId="0" xfId="0" applyFill="1" applyBorder="1"/>
    <xf numFmtId="43" fontId="2" fillId="3" borderId="0" xfId="1" applyFont="1" applyFill="1" applyBorder="1"/>
    <xf numFmtId="43" fontId="6" fillId="3" borderId="0" xfId="1" applyFont="1" applyFill="1" applyBorder="1"/>
    <xf numFmtId="43" fontId="0" fillId="4" borderId="8" xfId="0" applyNumberFormat="1" applyFill="1" applyBorder="1"/>
    <xf numFmtId="43" fontId="6" fillId="5" borderId="0" xfId="1" applyFont="1" applyFill="1" applyBorder="1"/>
    <xf numFmtId="43" fontId="0" fillId="6" borderId="8" xfId="0" applyNumberFormat="1" applyFill="1" applyBorder="1"/>
    <xf numFmtId="43" fontId="2" fillId="7" borderId="10" xfId="1" applyFont="1" applyFill="1" applyBorder="1"/>
    <xf numFmtId="0" fontId="0" fillId="7" borderId="4" xfId="0" applyFill="1" applyBorder="1"/>
    <xf numFmtId="0" fontId="0" fillId="7" borderId="0" xfId="0" applyFill="1" applyBorder="1"/>
    <xf numFmtId="43" fontId="2" fillId="7" borderId="0" xfId="1" applyFont="1" applyFill="1" applyBorder="1"/>
    <xf numFmtId="43" fontId="6" fillId="7" borderId="0" xfId="1" applyFont="1" applyFill="1" applyBorder="1"/>
    <xf numFmtId="43" fontId="0" fillId="7" borderId="13" xfId="0" applyNumberFormat="1" applyFill="1" applyBorder="1"/>
    <xf numFmtId="43" fontId="0" fillId="8" borderId="16" xfId="0" applyNumberFormat="1" applyFill="1" applyBorder="1"/>
    <xf numFmtId="0" fontId="0" fillId="0" borderId="0" xfId="0" applyBorder="1"/>
    <xf numFmtId="0" fontId="7" fillId="8" borderId="17" xfId="0" applyFont="1" applyFill="1" applyBorder="1" applyAlignment="1">
      <alignment horizontal="center"/>
    </xf>
    <xf numFmtId="44" fontId="2" fillId="7" borderId="0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3"/>
  <sheetViews>
    <sheetView tabSelected="1" topLeftCell="A76" zoomScaleNormal="100" workbookViewId="0">
      <selection activeCell="B118" sqref="B118"/>
    </sheetView>
  </sheetViews>
  <sheetFormatPr defaultColWidth="9.140625" defaultRowHeight="15" x14ac:dyDescent="0.25"/>
  <cols>
    <col min="1" max="1" width="3.5703125" style="4" customWidth="1"/>
    <col min="2" max="2" width="45.5703125" style="4" bestFit="1" customWidth="1"/>
    <col min="3" max="3" width="10.5703125" style="4" hidden="1" customWidth="1"/>
    <col min="4" max="4" width="3.5703125" style="4" hidden="1" customWidth="1"/>
    <col min="5" max="5" width="10.5703125" style="4" hidden="1" customWidth="1"/>
    <col min="6" max="6" width="3.5703125" style="4" hidden="1" customWidth="1"/>
    <col min="7" max="7" width="10.5703125" style="4" hidden="1" customWidth="1"/>
    <col min="8" max="8" width="3.5703125" style="4" hidden="1" customWidth="1"/>
    <col min="9" max="9" width="10.5703125" style="4" hidden="1" customWidth="1"/>
    <col min="10" max="10" width="3.5703125" style="4" hidden="1" customWidth="1"/>
    <col min="11" max="11" width="10.5703125" style="4" hidden="1" customWidth="1"/>
    <col min="12" max="12" width="3.5703125" style="4" hidden="1" customWidth="1"/>
    <col min="13" max="13" width="10.5703125" style="4" hidden="1" customWidth="1"/>
    <col min="14" max="14" width="3.5703125" style="107" hidden="1" customWidth="1"/>
    <col min="15" max="15" width="10.5703125" style="107" hidden="1" customWidth="1"/>
    <col min="16" max="16" width="3.5703125" style="4" hidden="1" customWidth="1"/>
    <col min="17" max="17" width="10.5703125" style="4" hidden="1" customWidth="1"/>
    <col min="18" max="18" width="3.5703125" style="107" hidden="1" customWidth="1"/>
    <col min="19" max="19" width="10.5703125" style="107" hidden="1" customWidth="1"/>
    <col min="20" max="20" width="3.5703125" style="4" hidden="1" customWidth="1"/>
    <col min="21" max="21" width="11.5703125" style="4" bestFit="1" customWidth="1"/>
    <col min="22" max="16384" width="9.140625" style="4"/>
  </cols>
  <sheetData>
    <row r="1" spans="1:23" ht="15.75" thickBot="1" x14ac:dyDescent="0.3">
      <c r="A1" s="102"/>
      <c r="B1" s="99"/>
      <c r="C1" s="103">
        <v>2009</v>
      </c>
      <c r="D1" s="104"/>
      <c r="E1" s="103">
        <v>2010</v>
      </c>
      <c r="F1" s="103"/>
      <c r="G1" s="103">
        <v>2011</v>
      </c>
      <c r="H1" s="103"/>
      <c r="I1" s="103">
        <v>2012</v>
      </c>
      <c r="J1" s="104"/>
      <c r="K1" s="103">
        <v>2013</v>
      </c>
      <c r="L1" s="104"/>
      <c r="M1" s="103">
        <v>2014</v>
      </c>
      <c r="N1" s="103"/>
      <c r="O1" s="103">
        <v>2015</v>
      </c>
      <c r="P1" s="103"/>
      <c r="Q1" s="103">
        <v>2016</v>
      </c>
      <c r="R1" s="103"/>
      <c r="S1" s="103">
        <v>2017</v>
      </c>
      <c r="T1" s="104"/>
      <c r="U1" s="105" t="s">
        <v>88</v>
      </c>
    </row>
    <row r="2" spans="1:23" ht="6" customHeight="1" thickBot="1" x14ac:dyDescent="0.3"/>
    <row r="3" spans="1:23" x14ac:dyDescent="0.25">
      <c r="A3" s="6" t="s">
        <v>48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3" x14ac:dyDescent="0.25">
      <c r="A4" s="29" t="s">
        <v>53</v>
      </c>
      <c r="B4" s="30"/>
      <c r="C4" s="31"/>
      <c r="D4" s="30"/>
      <c r="E4" s="31"/>
      <c r="F4" s="31"/>
      <c r="G4" s="31"/>
      <c r="H4" s="31"/>
      <c r="I4" s="31"/>
      <c r="J4" s="30"/>
      <c r="K4" s="31"/>
      <c r="L4" s="30"/>
      <c r="M4" s="31"/>
      <c r="N4" s="31"/>
      <c r="O4" s="31"/>
      <c r="P4" s="31"/>
      <c r="Q4" s="31"/>
      <c r="R4" s="31"/>
      <c r="S4" s="31"/>
      <c r="T4" s="30"/>
      <c r="U4" s="32"/>
      <c r="V4" s="5"/>
    </row>
    <row r="5" spans="1:23" x14ac:dyDescent="0.25">
      <c r="A5" s="13" t="s">
        <v>11</v>
      </c>
      <c r="B5" s="14"/>
      <c r="C5" s="17">
        <f>9080-C6</f>
        <v>3580</v>
      </c>
      <c r="D5" s="14"/>
      <c r="E5" s="17">
        <f>1649.79+5794.04-E6</f>
        <v>2465.13</v>
      </c>
      <c r="F5" s="17"/>
      <c r="G5" s="17">
        <v>2664.21</v>
      </c>
      <c r="H5" s="17"/>
      <c r="I5" s="17">
        <v>3124.54</v>
      </c>
      <c r="J5" s="14"/>
      <c r="K5" s="17">
        <f>'Annual detailed format'!K5</f>
        <v>3472.95</v>
      </c>
      <c r="L5" s="14"/>
      <c r="M5" s="17">
        <f>'Annual detailed format'!M5</f>
        <v>7298.86</v>
      </c>
      <c r="N5" s="17"/>
      <c r="O5" s="17">
        <v>5154</v>
      </c>
      <c r="P5" s="17"/>
      <c r="Q5" s="17">
        <f>'Annual detailed format'!Q5</f>
        <v>6800</v>
      </c>
      <c r="R5" s="17"/>
      <c r="S5" s="17">
        <f>'Annual detailed format'!S5</f>
        <v>6740</v>
      </c>
      <c r="T5" s="14"/>
      <c r="U5" s="18">
        <f>'Annual detailed format'!AC5</f>
        <v>8000</v>
      </c>
      <c r="V5" s="5"/>
    </row>
    <row r="6" spans="1:23" x14ac:dyDescent="0.25">
      <c r="A6" s="13" t="s">
        <v>12</v>
      </c>
      <c r="B6" s="14"/>
      <c r="C6" s="15">
        <v>5500</v>
      </c>
      <c r="D6" s="14"/>
      <c r="E6" s="15">
        <f>5000-(2.5+11.3+2.5+2.5+2.5)</f>
        <v>4978.7</v>
      </c>
      <c r="F6" s="15"/>
      <c r="G6" s="15">
        <v>5465.6</v>
      </c>
      <c r="H6" s="15"/>
      <c r="I6" s="15">
        <v>3970</v>
      </c>
      <c r="J6" s="14"/>
      <c r="K6" s="23">
        <f>'Annual detailed format'!K6</f>
        <v>4139.5</v>
      </c>
      <c r="L6" s="14"/>
      <c r="M6" s="23">
        <f>'Annual detailed format'!M6</f>
        <v>4111</v>
      </c>
      <c r="N6" s="111"/>
      <c r="O6" s="15">
        <v>4379.66</v>
      </c>
      <c r="P6" s="23"/>
      <c r="Q6" s="23">
        <f>'Annual detailed format'!Q6</f>
        <v>6295.97</v>
      </c>
      <c r="R6" s="111"/>
      <c r="S6" s="111">
        <f>'Annual detailed format'!S6</f>
        <v>4966.57</v>
      </c>
      <c r="T6" s="14"/>
      <c r="U6" s="18">
        <f>'Annual detailed format'!AC6</f>
        <v>0</v>
      </c>
      <c r="V6" s="5"/>
    </row>
    <row r="7" spans="1:23" x14ac:dyDescent="0.25">
      <c r="A7" s="13" t="s">
        <v>44</v>
      </c>
      <c r="B7" s="14"/>
      <c r="C7" s="19">
        <v>107.82</v>
      </c>
      <c r="D7" s="14"/>
      <c r="E7" s="19">
        <f>2.61+179.18</f>
        <v>181.79000000000002</v>
      </c>
      <c r="F7" s="19"/>
      <c r="G7" s="19">
        <v>125.88</v>
      </c>
      <c r="H7" s="19"/>
      <c r="I7" s="19">
        <f>259.7+0.14</f>
        <v>259.83999999999997</v>
      </c>
      <c r="J7" s="14"/>
      <c r="K7" s="19">
        <f>'Annual detailed format'!K7</f>
        <v>280.23</v>
      </c>
      <c r="L7" s="14"/>
      <c r="M7" s="19">
        <f>'Annual detailed format'!M7</f>
        <v>292.26</v>
      </c>
      <c r="N7" s="19"/>
      <c r="O7" s="19">
        <v>214.49</v>
      </c>
      <c r="P7" s="19"/>
      <c r="Q7" s="19">
        <f>'Annual detailed format'!Q7</f>
        <v>663.56</v>
      </c>
      <c r="R7" s="19"/>
      <c r="S7" s="19">
        <f>'Annual detailed format'!S7</f>
        <v>427.96</v>
      </c>
      <c r="T7" s="14"/>
      <c r="U7" s="18">
        <f>'Annual detailed format'!AC7</f>
        <v>500</v>
      </c>
      <c r="V7" s="5"/>
    </row>
    <row r="8" spans="1:23" s="1" customFormat="1" ht="6" customHeight="1" x14ac:dyDescent="0.25">
      <c r="A8" s="21"/>
      <c r="B8" s="22"/>
      <c r="C8" s="15"/>
      <c r="D8" s="22"/>
      <c r="E8" s="15"/>
      <c r="F8" s="15"/>
      <c r="G8" s="15"/>
      <c r="H8" s="15"/>
      <c r="I8" s="15"/>
      <c r="J8" s="22"/>
      <c r="K8" s="15"/>
      <c r="L8" s="22"/>
      <c r="M8" s="15"/>
      <c r="N8" s="15"/>
      <c r="O8" s="15"/>
      <c r="P8" s="15"/>
      <c r="Q8" s="15"/>
      <c r="R8" s="15"/>
      <c r="S8" s="15"/>
      <c r="T8" s="22"/>
      <c r="U8" s="16"/>
      <c r="V8" s="2"/>
    </row>
    <row r="9" spans="1:23" x14ac:dyDescent="0.25">
      <c r="A9" s="33" t="s">
        <v>54</v>
      </c>
      <c r="B9" s="34"/>
      <c r="C9" s="35">
        <f>SUM(C5:C7)</f>
        <v>9187.82</v>
      </c>
      <c r="D9" s="34"/>
      <c r="E9" s="35">
        <f>SUM(E5:E7)</f>
        <v>7625.62</v>
      </c>
      <c r="F9" s="36"/>
      <c r="G9" s="35">
        <f>SUM(G5:G7)</f>
        <v>8255.69</v>
      </c>
      <c r="H9" s="36"/>
      <c r="I9" s="35">
        <f>SUM(I5:I7)</f>
        <v>7354.38</v>
      </c>
      <c r="J9" s="34"/>
      <c r="K9" s="35">
        <f>SUM(K5:K7)</f>
        <v>7892.68</v>
      </c>
      <c r="L9" s="34"/>
      <c r="M9" s="35">
        <f>SUM(M5:M7)</f>
        <v>11702.12</v>
      </c>
      <c r="N9" s="35"/>
      <c r="O9" s="35">
        <f>SUM(O5:O7)</f>
        <v>9748.15</v>
      </c>
      <c r="P9" s="35"/>
      <c r="Q9" s="35">
        <f>SUM(Q5:Q7)</f>
        <v>13759.53</v>
      </c>
      <c r="R9" s="35"/>
      <c r="S9" s="35">
        <f>SUM(S5:S7)</f>
        <v>12134.529999999999</v>
      </c>
      <c r="T9" s="34"/>
      <c r="U9" s="37">
        <f>SUM(U5:U7)</f>
        <v>8500</v>
      </c>
      <c r="V9" s="5"/>
    </row>
    <row r="10" spans="1:23" ht="6" customHeight="1" x14ac:dyDescent="0.25">
      <c r="A10" s="13"/>
      <c r="B10" s="14"/>
      <c r="C10" s="15"/>
      <c r="D10" s="14"/>
      <c r="E10" s="15"/>
      <c r="F10" s="15"/>
      <c r="G10" s="15"/>
      <c r="H10" s="15"/>
      <c r="I10" s="15"/>
      <c r="J10" s="14"/>
      <c r="K10" s="15"/>
      <c r="L10" s="14"/>
      <c r="M10" s="15"/>
      <c r="N10" s="15"/>
      <c r="O10" s="15"/>
      <c r="P10" s="15"/>
      <c r="Q10" s="15"/>
      <c r="R10" s="15"/>
      <c r="S10" s="15"/>
      <c r="T10" s="14"/>
      <c r="U10" s="16"/>
      <c r="V10" s="5"/>
    </row>
    <row r="11" spans="1:23" x14ac:dyDescent="0.25">
      <c r="A11" s="29" t="s">
        <v>52</v>
      </c>
      <c r="B11" s="30"/>
      <c r="C11" s="31"/>
      <c r="D11" s="30"/>
      <c r="E11" s="31"/>
      <c r="F11" s="31"/>
      <c r="G11" s="31"/>
      <c r="H11" s="31"/>
      <c r="I11" s="31"/>
      <c r="J11" s="30"/>
      <c r="K11" s="31"/>
      <c r="L11" s="30"/>
      <c r="M11" s="31"/>
      <c r="N11" s="31"/>
      <c r="O11" s="31"/>
      <c r="P11" s="31"/>
      <c r="Q11" s="31"/>
      <c r="R11" s="31"/>
      <c r="S11" s="31"/>
      <c r="T11" s="30"/>
      <c r="U11" s="32"/>
      <c r="V11" s="5"/>
    </row>
    <row r="12" spans="1:23" x14ac:dyDescent="0.25">
      <c r="A12" s="13" t="s">
        <v>3</v>
      </c>
      <c r="B12" s="14"/>
      <c r="C12" s="15"/>
      <c r="D12" s="14"/>
      <c r="E12" s="15"/>
      <c r="F12" s="15"/>
      <c r="G12" s="15"/>
      <c r="H12" s="15"/>
      <c r="I12" s="15"/>
      <c r="J12" s="14"/>
      <c r="K12" s="15"/>
      <c r="L12" s="14"/>
      <c r="M12" s="15"/>
      <c r="N12" s="15"/>
      <c r="O12" s="15"/>
      <c r="P12" s="15"/>
      <c r="Q12" s="15"/>
      <c r="R12" s="15"/>
      <c r="S12" s="15"/>
      <c r="T12" s="14"/>
      <c r="U12" s="16"/>
      <c r="V12" s="5"/>
    </row>
    <row r="13" spans="1:23" x14ac:dyDescent="0.25">
      <c r="A13" s="13"/>
      <c r="B13" s="14" t="s">
        <v>36</v>
      </c>
      <c r="C13" s="15">
        <f>599.99+50+60+30+70+30+30</f>
        <v>869.99</v>
      </c>
      <c r="D13" s="14"/>
      <c r="E13" s="15">
        <f>360+40</f>
        <v>400</v>
      </c>
      <c r="F13" s="15"/>
      <c r="G13" s="15">
        <v>331</v>
      </c>
      <c r="H13" s="15"/>
      <c r="I13" s="15">
        <v>403</v>
      </c>
      <c r="J13" s="14"/>
      <c r="K13" s="15">
        <f>'Annual detailed format'!K13</f>
        <v>40</v>
      </c>
      <c r="L13" s="14"/>
      <c r="M13" s="15">
        <f>'Annual detailed format'!M13</f>
        <v>400</v>
      </c>
      <c r="N13" s="15"/>
      <c r="O13" s="15">
        <f>400</f>
        <v>400</v>
      </c>
      <c r="P13" s="15"/>
      <c r="Q13" s="15">
        <f>'Annual detailed format'!Q13</f>
        <v>200</v>
      </c>
      <c r="R13" s="15"/>
      <c r="S13" s="15">
        <f>'Annual detailed format'!S13</f>
        <v>310.68</v>
      </c>
      <c r="T13" s="14"/>
      <c r="U13" s="16">
        <f>'Annual detailed format'!AC13</f>
        <v>0</v>
      </c>
      <c r="V13" s="5"/>
      <c r="W13" s="3"/>
    </row>
    <row r="14" spans="1:23" x14ac:dyDescent="0.25">
      <c r="A14" s="13"/>
      <c r="B14" s="110" t="s">
        <v>73</v>
      </c>
      <c r="C14" s="15">
        <v>0</v>
      </c>
      <c r="D14" s="14"/>
      <c r="E14" s="15">
        <v>0</v>
      </c>
      <c r="F14" s="15"/>
      <c r="G14" s="15">
        <v>3623.97</v>
      </c>
      <c r="H14" s="15"/>
      <c r="I14" s="15">
        <v>0</v>
      </c>
      <c r="J14" s="14"/>
      <c r="K14" s="15">
        <f>'Annual detailed format'!K14</f>
        <v>360</v>
      </c>
      <c r="L14" s="14"/>
      <c r="M14" s="15">
        <f>'Annual detailed format'!M14</f>
        <v>0</v>
      </c>
      <c r="N14" s="15"/>
      <c r="O14" s="15">
        <v>0</v>
      </c>
      <c r="P14" s="15"/>
      <c r="Q14" s="15">
        <f>'Annual detailed format'!Q14</f>
        <v>3000</v>
      </c>
      <c r="R14" s="15"/>
      <c r="S14" s="15">
        <f>'Annual detailed format'!S14</f>
        <v>0</v>
      </c>
      <c r="T14" s="14"/>
      <c r="U14" s="16">
        <f>'Annual detailed format'!AC14</f>
        <v>0</v>
      </c>
      <c r="V14" s="5"/>
      <c r="W14" s="3"/>
    </row>
    <row r="15" spans="1:23" x14ac:dyDescent="0.25">
      <c r="A15" s="13"/>
      <c r="B15" s="14" t="s">
        <v>16</v>
      </c>
      <c r="C15" s="15">
        <v>0</v>
      </c>
      <c r="D15" s="14"/>
      <c r="E15" s="15">
        <f>134.25+25</f>
        <v>159.25</v>
      </c>
      <c r="F15" s="15"/>
      <c r="G15" s="15">
        <v>406.03</v>
      </c>
      <c r="H15" s="15"/>
      <c r="I15" s="15">
        <f>525.86</f>
        <v>525.86</v>
      </c>
      <c r="J15" s="14"/>
      <c r="K15" s="15">
        <f>'Annual detailed format'!K15</f>
        <v>1108.7</v>
      </c>
      <c r="L15" s="14"/>
      <c r="M15" s="15">
        <f>'Annual detailed format'!M15</f>
        <v>487.7</v>
      </c>
      <c r="N15" s="15"/>
      <c r="O15" s="15">
        <f>753.83</f>
        <v>753.83</v>
      </c>
      <c r="P15" s="15"/>
      <c r="Q15" s="15">
        <f>'Annual detailed format'!Q15</f>
        <v>930.85</v>
      </c>
      <c r="R15" s="15"/>
      <c r="S15" s="15">
        <f>'Annual detailed format'!S15</f>
        <v>981.97</v>
      </c>
      <c r="T15" s="14"/>
      <c r="U15" s="16">
        <f>'Annual detailed format'!AC15</f>
        <v>0</v>
      </c>
      <c r="V15" s="5"/>
    </row>
    <row r="16" spans="1:23" x14ac:dyDescent="0.25">
      <c r="A16" s="13"/>
      <c r="B16" s="14" t="s">
        <v>37</v>
      </c>
      <c r="C16" s="15">
        <v>0</v>
      </c>
      <c r="D16" s="14"/>
      <c r="E16" s="15">
        <v>0</v>
      </c>
      <c r="F16" s="15"/>
      <c r="G16" s="15">
        <v>0</v>
      </c>
      <c r="H16" s="15"/>
      <c r="I16" s="15">
        <f>96+12</f>
        <v>108</v>
      </c>
      <c r="J16" s="14"/>
      <c r="K16" s="15">
        <f>'Annual detailed format'!K16</f>
        <v>143.62</v>
      </c>
      <c r="L16" s="14"/>
      <c r="M16" s="15">
        <f>'Annual detailed format'!M16</f>
        <v>144</v>
      </c>
      <c r="N16" s="15"/>
      <c r="O16" s="15">
        <v>472.11</v>
      </c>
      <c r="P16" s="15"/>
      <c r="Q16" s="15">
        <f>'Annual detailed format'!Q16</f>
        <v>0</v>
      </c>
      <c r="R16" s="15"/>
      <c r="S16" s="15">
        <f>'Annual detailed format'!S16</f>
        <v>591.23</v>
      </c>
      <c r="T16" s="14"/>
      <c r="U16" s="16">
        <f>'Annual detailed format'!AC16</f>
        <v>288</v>
      </c>
      <c r="V16" s="5"/>
    </row>
    <row r="17" spans="1:22" s="1" customFormat="1" x14ac:dyDescent="0.25">
      <c r="A17" s="21"/>
      <c r="B17" s="14" t="s">
        <v>15</v>
      </c>
      <c r="C17" s="15">
        <f>590.61+225.54+856.4</f>
        <v>1672.55</v>
      </c>
      <c r="D17" s="22"/>
      <c r="E17" s="15">
        <v>359.27</v>
      </c>
      <c r="F17" s="15"/>
      <c r="G17" s="15">
        <v>0</v>
      </c>
      <c r="H17" s="15"/>
      <c r="I17" s="15">
        <v>0</v>
      </c>
      <c r="J17" s="22"/>
      <c r="K17" s="15">
        <f>'Annual detailed format'!K17</f>
        <v>0</v>
      </c>
      <c r="L17" s="22"/>
      <c r="M17" s="15">
        <f>'Annual detailed format'!M17</f>
        <v>0</v>
      </c>
      <c r="N17" s="15"/>
      <c r="O17" s="15">
        <v>0</v>
      </c>
      <c r="P17" s="15"/>
      <c r="Q17" s="15">
        <f>'Annual detailed format'!Q17</f>
        <v>0</v>
      </c>
      <c r="R17" s="15"/>
      <c r="S17" s="15">
        <f>'Annual detailed format'!S17</f>
        <v>0</v>
      </c>
      <c r="T17" s="22"/>
      <c r="U17" s="16">
        <f>'Annual detailed format'!AC17</f>
        <v>0</v>
      </c>
      <c r="V17" s="5"/>
    </row>
    <row r="18" spans="1:22" x14ac:dyDescent="0.25">
      <c r="A18" s="13"/>
      <c r="B18" s="14" t="s">
        <v>10</v>
      </c>
      <c r="C18" s="23">
        <v>0</v>
      </c>
      <c r="D18" s="25"/>
      <c r="E18" s="23">
        <v>0</v>
      </c>
      <c r="F18" s="23"/>
      <c r="G18" s="23">
        <v>0</v>
      </c>
      <c r="H18" s="23"/>
      <c r="I18" s="23">
        <v>20</v>
      </c>
      <c r="J18" s="25"/>
      <c r="K18" s="15">
        <f>'Annual detailed format'!K18</f>
        <v>0</v>
      </c>
      <c r="L18" s="25"/>
      <c r="M18" s="15">
        <f>'Annual detailed format'!M18</f>
        <v>0</v>
      </c>
      <c r="N18" s="15"/>
      <c r="O18" s="111">
        <v>0</v>
      </c>
      <c r="P18" s="15"/>
      <c r="Q18" s="15">
        <f>'Annual detailed format'!Q18</f>
        <v>0</v>
      </c>
      <c r="R18" s="15"/>
      <c r="S18" s="15">
        <f>'Annual detailed format'!S18</f>
        <v>0</v>
      </c>
      <c r="T18" s="25"/>
      <c r="U18" s="16">
        <f>'Annual detailed format'!AC18</f>
        <v>0</v>
      </c>
      <c r="V18" s="5"/>
    </row>
    <row r="19" spans="1:22" x14ac:dyDescent="0.25">
      <c r="A19" s="13"/>
      <c r="B19" s="14" t="s">
        <v>38</v>
      </c>
      <c r="C19" s="23">
        <v>0</v>
      </c>
      <c r="D19" s="25"/>
      <c r="E19" s="23">
        <v>0</v>
      </c>
      <c r="F19" s="23"/>
      <c r="G19" s="23">
        <v>0</v>
      </c>
      <c r="H19" s="23"/>
      <c r="I19" s="23">
        <v>0</v>
      </c>
      <c r="J19" s="25"/>
      <c r="K19" s="15">
        <f>'Annual detailed format'!K19</f>
        <v>216.4</v>
      </c>
      <c r="L19" s="25"/>
      <c r="M19" s="15">
        <f>'Annual detailed format'!M19</f>
        <v>0</v>
      </c>
      <c r="N19" s="15"/>
      <c r="O19" s="111">
        <v>0</v>
      </c>
      <c r="P19" s="15"/>
      <c r="Q19" s="15">
        <f>'Annual detailed format'!Q19</f>
        <v>0</v>
      </c>
      <c r="R19" s="15"/>
      <c r="S19" s="15">
        <f>'Annual detailed format'!S19</f>
        <v>0</v>
      </c>
      <c r="T19" s="25"/>
      <c r="U19" s="16">
        <f>'Annual detailed format'!AC19</f>
        <v>0</v>
      </c>
      <c r="V19" s="5"/>
    </row>
    <row r="20" spans="1:22" s="107" customFormat="1" x14ac:dyDescent="0.25">
      <c r="A20" s="13"/>
      <c r="B20" s="110" t="s">
        <v>72</v>
      </c>
      <c r="C20" s="111"/>
      <c r="D20" s="25"/>
      <c r="E20" s="111"/>
      <c r="F20" s="111"/>
      <c r="G20" s="111"/>
      <c r="H20" s="111"/>
      <c r="I20" s="111"/>
      <c r="J20" s="25"/>
      <c r="K20" s="15"/>
      <c r="L20" s="25"/>
      <c r="M20" s="15">
        <v>0</v>
      </c>
      <c r="N20" s="15"/>
      <c r="O20" s="111">
        <v>0</v>
      </c>
      <c r="P20" s="15"/>
      <c r="Q20" s="15">
        <v>0</v>
      </c>
      <c r="R20" s="15"/>
      <c r="S20" s="15">
        <v>0</v>
      </c>
      <c r="T20" s="25"/>
      <c r="U20" s="16">
        <f>'Annual detailed format'!AC20</f>
        <v>0</v>
      </c>
      <c r="V20" s="108"/>
    </row>
    <row r="21" spans="1:22" ht="17.25" x14ac:dyDescent="0.4">
      <c r="A21" s="13"/>
      <c r="B21" s="14" t="s">
        <v>20</v>
      </c>
      <c r="C21" s="23">
        <v>0</v>
      </c>
      <c r="D21" s="25"/>
      <c r="E21" s="23">
        <v>0</v>
      </c>
      <c r="F21" s="23"/>
      <c r="G21" s="26">
        <v>0</v>
      </c>
      <c r="H21" s="26"/>
      <c r="I21" s="26">
        <v>0</v>
      </c>
      <c r="J21" s="106"/>
      <c r="K21" s="26">
        <f>'Annual detailed format'!K21</f>
        <v>0</v>
      </c>
      <c r="L21" s="106"/>
      <c r="M21" s="26">
        <f>'Annual detailed format'!M21</f>
        <v>0</v>
      </c>
      <c r="N21" s="112"/>
      <c r="O21" s="112">
        <v>0</v>
      </c>
      <c r="P21" s="26"/>
      <c r="Q21" s="112">
        <f>'Annual detailed format'!Q21</f>
        <v>0</v>
      </c>
      <c r="R21" s="112"/>
      <c r="S21" s="112">
        <f>'Annual detailed format'!S21</f>
        <v>0</v>
      </c>
      <c r="T21" s="106"/>
      <c r="U21" s="16">
        <f>'Annual detailed format'!AC21</f>
        <v>0</v>
      </c>
      <c r="V21" s="5"/>
    </row>
    <row r="22" spans="1:22" x14ac:dyDescent="0.25">
      <c r="A22" s="13" t="s">
        <v>4</v>
      </c>
      <c r="B22" s="14"/>
      <c r="C22" s="23">
        <f>SUM(C13:C21)</f>
        <v>2542.54</v>
      </c>
      <c r="D22" s="25"/>
      <c r="E22" s="23">
        <f>SUM(E13:E21)</f>
        <v>918.52</v>
      </c>
      <c r="F22" s="23"/>
      <c r="G22" s="23">
        <f>SUM(G13:G21)</f>
        <v>4361</v>
      </c>
      <c r="H22" s="23"/>
      <c r="I22" s="23">
        <f>SUM(I13:I21)</f>
        <v>1056.8600000000001</v>
      </c>
      <c r="J22" s="25"/>
      <c r="K22" s="23">
        <f>SUM(K13:K21)</f>
        <v>1868.7200000000003</v>
      </c>
      <c r="L22" s="25"/>
      <c r="M22" s="23">
        <f>SUM(M13:M21)</f>
        <v>1031.7</v>
      </c>
      <c r="N22" s="111"/>
      <c r="O22" s="111">
        <f>SUM(O13:O21)</f>
        <v>1625.94</v>
      </c>
      <c r="P22" s="23"/>
      <c r="Q22" s="111">
        <f>SUM(Q13:Q21)</f>
        <v>4130.8500000000004</v>
      </c>
      <c r="R22" s="111"/>
      <c r="S22" s="111">
        <f>SUM(S13:S21)</f>
        <v>1883.88</v>
      </c>
      <c r="T22" s="25"/>
      <c r="U22" s="24">
        <f>SUM(U13:U21)</f>
        <v>288</v>
      </c>
      <c r="V22" s="5"/>
    </row>
    <row r="23" spans="1:22" x14ac:dyDescent="0.25">
      <c r="A23" s="13"/>
      <c r="B23" s="14"/>
      <c r="C23" s="23"/>
      <c r="D23" s="25"/>
      <c r="E23" s="23"/>
      <c r="F23" s="23"/>
      <c r="G23" s="23"/>
      <c r="H23" s="23"/>
      <c r="I23" s="23"/>
      <c r="J23" s="25"/>
      <c r="K23" s="23"/>
      <c r="L23" s="25"/>
      <c r="M23" s="23"/>
      <c r="N23" s="111"/>
      <c r="O23" s="111"/>
      <c r="P23" s="23"/>
      <c r="Q23" s="23"/>
      <c r="R23" s="111"/>
      <c r="S23" s="111"/>
      <c r="T23" s="25"/>
      <c r="U23" s="24"/>
      <c r="V23" s="5"/>
    </row>
    <row r="24" spans="1:22" x14ac:dyDescent="0.25">
      <c r="A24" s="13" t="s">
        <v>5</v>
      </c>
      <c r="B24" s="14"/>
      <c r="C24" s="23"/>
      <c r="D24" s="25"/>
      <c r="E24" s="23"/>
      <c r="F24" s="23"/>
      <c r="G24" s="23"/>
      <c r="H24" s="23"/>
      <c r="I24" s="23"/>
      <c r="J24" s="25"/>
      <c r="K24" s="23"/>
      <c r="L24" s="25"/>
      <c r="M24" s="23"/>
      <c r="N24" s="111"/>
      <c r="O24" s="111"/>
      <c r="P24" s="23"/>
      <c r="Q24" s="23"/>
      <c r="R24" s="111"/>
      <c r="S24" s="111"/>
      <c r="T24" s="25"/>
      <c r="U24" s="24"/>
      <c r="V24" s="5"/>
    </row>
    <row r="25" spans="1:22" x14ac:dyDescent="0.25">
      <c r="A25" s="13"/>
      <c r="B25" s="14" t="s">
        <v>2</v>
      </c>
      <c r="C25" s="23">
        <f>228.48+96</f>
        <v>324.48</v>
      </c>
      <c r="D25" s="14"/>
      <c r="E25" s="23">
        <f>8.8+41.36</f>
        <v>50.16</v>
      </c>
      <c r="F25" s="23"/>
      <c r="G25" s="23">
        <v>126.43</v>
      </c>
      <c r="H25" s="23"/>
      <c r="I25" s="15">
        <v>388.05</v>
      </c>
      <c r="J25" s="14"/>
      <c r="K25" s="15">
        <f>'Annual detailed format'!K25</f>
        <v>45</v>
      </c>
      <c r="L25" s="14"/>
      <c r="M25" s="15">
        <f>'Annual detailed format'!M25</f>
        <v>168.7</v>
      </c>
      <c r="N25" s="15"/>
      <c r="O25" s="15">
        <f>121.68</f>
        <v>121.68</v>
      </c>
      <c r="P25" s="15"/>
      <c r="Q25" s="15">
        <f>'Annual detailed format'!Q25</f>
        <v>145</v>
      </c>
      <c r="R25" s="15"/>
      <c r="S25" s="15">
        <f>'Annual detailed format'!S25</f>
        <v>120.02</v>
      </c>
      <c r="T25" s="14"/>
      <c r="U25" s="16">
        <f>'Annual detailed format'!AC25</f>
        <v>500</v>
      </c>
      <c r="V25" s="5"/>
    </row>
    <row r="26" spans="1:22" x14ac:dyDescent="0.25">
      <c r="A26" s="13"/>
      <c r="B26" s="14" t="s">
        <v>69</v>
      </c>
      <c r="C26" s="23">
        <v>0</v>
      </c>
      <c r="D26" s="25"/>
      <c r="E26" s="23">
        <v>0</v>
      </c>
      <c r="F26" s="23"/>
      <c r="G26" s="23">
        <v>0</v>
      </c>
      <c r="H26" s="23"/>
      <c r="I26" s="23">
        <v>0</v>
      </c>
      <c r="J26" s="25"/>
      <c r="K26" s="15">
        <f>'Annual detailed format'!K26</f>
        <v>220.12</v>
      </c>
      <c r="L26" s="25"/>
      <c r="M26" s="15">
        <f>'Annual detailed format'!M26</f>
        <v>0</v>
      </c>
      <c r="N26" s="15"/>
      <c r="O26" s="111">
        <v>0</v>
      </c>
      <c r="P26" s="15"/>
      <c r="Q26" s="15">
        <f>'Annual detailed format'!Q26</f>
        <v>0</v>
      </c>
      <c r="R26" s="15"/>
      <c r="S26" s="15">
        <f>'Annual detailed format'!S26</f>
        <v>0</v>
      </c>
      <c r="T26" s="25"/>
      <c r="U26" s="16">
        <f>'Annual detailed format'!AC26</f>
        <v>0</v>
      </c>
      <c r="V26" s="5"/>
    </row>
    <row r="27" spans="1:22" ht="17.25" x14ac:dyDescent="0.4">
      <c r="A27" s="13"/>
      <c r="B27" s="14" t="s">
        <v>35</v>
      </c>
      <c r="C27" s="26">
        <v>0</v>
      </c>
      <c r="D27" s="14"/>
      <c r="E27" s="26">
        <v>0</v>
      </c>
      <c r="F27" s="26"/>
      <c r="G27" s="26">
        <v>0</v>
      </c>
      <c r="H27" s="26"/>
      <c r="I27" s="26">
        <f>96+12</f>
        <v>108</v>
      </c>
      <c r="J27" s="14"/>
      <c r="K27" s="26">
        <f>'Annual detailed format'!K27</f>
        <v>143.61000000000001</v>
      </c>
      <c r="L27" s="14"/>
      <c r="M27" s="26">
        <f>'Annual detailed format'!M27</f>
        <v>144</v>
      </c>
      <c r="N27" s="112"/>
      <c r="O27" s="112">
        <v>472.11</v>
      </c>
      <c r="P27" s="26"/>
      <c r="Q27" s="112">
        <f>'Annual detailed format'!Q27</f>
        <v>0</v>
      </c>
      <c r="R27" s="112"/>
      <c r="S27" s="112">
        <f>'Annual detailed format'!S27</f>
        <v>591.23</v>
      </c>
      <c r="T27" s="14"/>
      <c r="U27" s="16">
        <f>'Annual detailed format'!AC27</f>
        <v>500</v>
      </c>
      <c r="V27" s="5"/>
    </row>
    <row r="28" spans="1:22" x14ac:dyDescent="0.25">
      <c r="A28" s="13" t="s">
        <v>6</v>
      </c>
      <c r="B28" s="14"/>
      <c r="C28" s="23">
        <f>SUM(C25:C27)</f>
        <v>324.48</v>
      </c>
      <c r="D28" s="25"/>
      <c r="E28" s="23">
        <f>SUM(E25:E27)</f>
        <v>50.16</v>
      </c>
      <c r="F28" s="23"/>
      <c r="G28" s="23">
        <f>SUM(G25:G27)</f>
        <v>126.43</v>
      </c>
      <c r="H28" s="23"/>
      <c r="I28" s="23">
        <f>SUM(I25:I27)</f>
        <v>496.05</v>
      </c>
      <c r="J28" s="25"/>
      <c r="K28" s="23">
        <f>SUM(K25:K27)</f>
        <v>408.73</v>
      </c>
      <c r="L28" s="25"/>
      <c r="M28" s="23">
        <f>SUM(M25:M27)</f>
        <v>312.7</v>
      </c>
      <c r="N28" s="111"/>
      <c r="O28" s="111">
        <f>SUM(O25:O27)</f>
        <v>593.79</v>
      </c>
      <c r="P28" s="23"/>
      <c r="Q28" s="111">
        <f>SUM(Q25:Q27)</f>
        <v>145</v>
      </c>
      <c r="R28" s="111"/>
      <c r="S28" s="111">
        <f>SUM(S25:S27)</f>
        <v>711.25</v>
      </c>
      <c r="T28" s="25"/>
      <c r="U28" s="24">
        <f>SUM(U25:U27)</f>
        <v>1000</v>
      </c>
      <c r="V28" s="5"/>
    </row>
    <row r="29" spans="1:22" x14ac:dyDescent="0.25">
      <c r="A29" s="13"/>
      <c r="B29" s="14"/>
      <c r="C29" s="23"/>
      <c r="D29" s="25"/>
      <c r="E29" s="23"/>
      <c r="F29" s="23"/>
      <c r="G29" s="23"/>
      <c r="H29" s="23"/>
      <c r="I29" s="23"/>
      <c r="J29" s="25"/>
      <c r="K29" s="23"/>
      <c r="L29" s="25"/>
      <c r="M29" s="23"/>
      <c r="N29" s="111"/>
      <c r="O29" s="111"/>
      <c r="P29" s="23"/>
      <c r="Q29" s="23"/>
      <c r="R29" s="111"/>
      <c r="S29" s="111"/>
      <c r="T29" s="25"/>
      <c r="U29" s="24"/>
      <c r="V29" s="5"/>
    </row>
    <row r="30" spans="1:22" x14ac:dyDescent="0.25">
      <c r="A30" s="13" t="s">
        <v>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10"/>
      <c r="O30" s="110"/>
      <c r="P30" s="14"/>
      <c r="Q30" s="14"/>
      <c r="R30" s="110"/>
      <c r="S30" s="110"/>
      <c r="T30" s="14"/>
      <c r="U30" s="28"/>
      <c r="V30" s="5"/>
    </row>
    <row r="31" spans="1:22" s="107" customFormat="1" x14ac:dyDescent="0.25">
      <c r="A31" s="13"/>
      <c r="B31" s="110" t="s">
        <v>75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5">
        <f>'Annual detailed format'!M31</f>
        <v>0</v>
      </c>
      <c r="N31" s="15"/>
      <c r="O31" s="15">
        <v>0</v>
      </c>
      <c r="P31" s="15"/>
      <c r="Q31" s="15">
        <f>'Annual detailed format'!Q31</f>
        <v>0</v>
      </c>
      <c r="R31" s="15"/>
      <c r="S31" s="15">
        <f>'Annual detailed format'!S31</f>
        <v>0</v>
      </c>
      <c r="T31" s="110"/>
      <c r="U31" s="16">
        <f>'Annual detailed format'!AC31</f>
        <v>0</v>
      </c>
      <c r="V31" s="108"/>
    </row>
    <row r="32" spans="1:22" x14ac:dyDescent="0.25">
      <c r="A32" s="13"/>
      <c r="B32" s="14" t="s">
        <v>30</v>
      </c>
      <c r="C32" s="15">
        <v>0</v>
      </c>
      <c r="D32" s="14"/>
      <c r="E32" s="15">
        <v>257.02999999999997</v>
      </c>
      <c r="F32" s="15"/>
      <c r="G32" s="15">
        <f>1856+178</f>
        <v>2034</v>
      </c>
      <c r="H32" s="15"/>
      <c r="I32" s="15">
        <v>2256</v>
      </c>
      <c r="J32" s="14"/>
      <c r="K32" s="15">
        <f>'Annual detailed format'!K32</f>
        <v>1272</v>
      </c>
      <c r="L32" s="14"/>
      <c r="M32" s="15">
        <f>'Annual detailed format'!M32</f>
        <v>0</v>
      </c>
      <c r="N32" s="15"/>
      <c r="O32" s="15">
        <v>0</v>
      </c>
      <c r="P32" s="15"/>
      <c r="Q32" s="15">
        <f>'Annual detailed format'!Q32</f>
        <v>0</v>
      </c>
      <c r="R32" s="15"/>
      <c r="S32" s="15">
        <f>'Annual detailed format'!S32</f>
        <v>0</v>
      </c>
      <c r="T32" s="14"/>
      <c r="U32" s="16">
        <f>'Annual detailed format'!AC32</f>
        <v>1824</v>
      </c>
      <c r="V32" s="5"/>
    </row>
    <row r="33" spans="1:22" x14ac:dyDescent="0.25">
      <c r="A33" s="13"/>
      <c r="B33" s="14" t="s">
        <v>68</v>
      </c>
      <c r="C33" s="15"/>
      <c r="D33" s="14"/>
      <c r="E33" s="15"/>
      <c r="F33" s="15"/>
      <c r="G33" s="15">
        <v>0</v>
      </c>
      <c r="H33" s="15"/>
      <c r="I33" s="15">
        <v>0</v>
      </c>
      <c r="J33" s="14"/>
      <c r="K33" s="15">
        <f>'Annual detailed format'!K33</f>
        <v>0</v>
      </c>
      <c r="L33" s="14"/>
      <c r="M33" s="15">
        <f>'Annual detailed format'!M33</f>
        <v>1054.8</v>
      </c>
      <c r="N33" s="15"/>
      <c r="O33" s="15">
        <f>680.33</f>
        <v>680.33</v>
      </c>
      <c r="P33" s="15"/>
      <c r="Q33" s="15">
        <f>'Annual detailed format'!Q33</f>
        <v>675.51</v>
      </c>
      <c r="R33" s="15"/>
      <c r="S33" s="15">
        <f>'Annual detailed format'!S33</f>
        <v>0</v>
      </c>
      <c r="T33" s="14"/>
      <c r="U33" s="16">
        <f>'Annual detailed format'!AC33</f>
        <v>0</v>
      </c>
      <c r="V33" s="5"/>
    </row>
    <row r="34" spans="1:22" s="107" customFormat="1" x14ac:dyDescent="0.25">
      <c r="A34" s="13"/>
      <c r="B34" s="110" t="s">
        <v>77</v>
      </c>
      <c r="C34" s="15"/>
      <c r="D34" s="110"/>
      <c r="E34" s="15"/>
      <c r="F34" s="15"/>
      <c r="G34" s="15"/>
      <c r="H34" s="15"/>
      <c r="I34" s="15"/>
      <c r="J34" s="110"/>
      <c r="K34" s="15"/>
      <c r="L34" s="110"/>
      <c r="M34" s="15"/>
      <c r="N34" s="15"/>
      <c r="O34" s="15"/>
      <c r="P34" s="15"/>
      <c r="Q34" s="15"/>
      <c r="R34" s="15"/>
      <c r="S34" s="15"/>
      <c r="T34" s="110"/>
      <c r="U34" s="16">
        <f>'Annual detailed format'!AC34</f>
        <v>0</v>
      </c>
      <c r="V34" s="108"/>
    </row>
    <row r="35" spans="1:22" x14ac:dyDescent="0.25">
      <c r="A35" s="13"/>
      <c r="B35" s="14" t="s">
        <v>0</v>
      </c>
      <c r="C35" s="15">
        <v>375</v>
      </c>
      <c r="D35" s="14"/>
      <c r="E35" s="15">
        <f>375+437.5</f>
        <v>812.5</v>
      </c>
      <c r="F35" s="15"/>
      <c r="G35" s="15">
        <f>937.5+93.75</f>
        <v>1031.25</v>
      </c>
      <c r="H35" s="15"/>
      <c r="I35" s="15">
        <f>1031.25+93.75</f>
        <v>1125</v>
      </c>
      <c r="J35" s="14"/>
      <c r="K35" s="15">
        <f>'Annual detailed format'!K35</f>
        <v>1125</v>
      </c>
      <c r="L35" s="14"/>
      <c r="M35" s="15">
        <f>'Annual detailed format'!M35</f>
        <v>1125</v>
      </c>
      <c r="N35" s="15"/>
      <c r="O35" s="15">
        <f>1270.37+107.25</f>
        <v>1377.62</v>
      </c>
      <c r="P35" s="15"/>
      <c r="Q35" s="15">
        <f>'Annual detailed format'!Q35</f>
        <v>1888.63</v>
      </c>
      <c r="R35" s="15"/>
      <c r="S35" s="15">
        <f>'Annual detailed format'!S35</f>
        <v>1423</v>
      </c>
      <c r="T35" s="14"/>
      <c r="U35" s="16">
        <f>'Annual detailed format'!AC35</f>
        <v>1800</v>
      </c>
      <c r="V35" s="5"/>
    </row>
    <row r="36" spans="1:22" s="107" customFormat="1" x14ac:dyDescent="0.25">
      <c r="A36" s="13"/>
      <c r="B36" s="110" t="s">
        <v>86</v>
      </c>
      <c r="C36" s="15"/>
      <c r="D36" s="110"/>
      <c r="E36" s="15"/>
      <c r="F36" s="15"/>
      <c r="G36" s="15"/>
      <c r="H36" s="15"/>
      <c r="I36" s="15"/>
      <c r="J36" s="110"/>
      <c r="K36" s="15"/>
      <c r="L36" s="110"/>
      <c r="M36" s="15"/>
      <c r="N36" s="15"/>
      <c r="O36" s="15"/>
      <c r="P36" s="15"/>
      <c r="Q36" s="15"/>
      <c r="R36" s="15"/>
      <c r="S36" s="15"/>
      <c r="T36" s="110"/>
      <c r="U36" s="16">
        <f>'Annual detailed format'!AC36</f>
        <v>0</v>
      </c>
      <c r="V36" s="108"/>
    </row>
    <row r="37" spans="1:22" x14ac:dyDescent="0.25">
      <c r="A37" s="13"/>
      <c r="B37" s="14" t="s">
        <v>1</v>
      </c>
      <c r="C37" s="15">
        <v>0</v>
      </c>
      <c r="D37" s="14"/>
      <c r="E37" s="15">
        <f>50+105</f>
        <v>155</v>
      </c>
      <c r="F37" s="15"/>
      <c r="G37" s="15">
        <v>107.2</v>
      </c>
      <c r="H37" s="15"/>
      <c r="I37" s="15">
        <v>120.5</v>
      </c>
      <c r="J37" s="14"/>
      <c r="K37" s="15">
        <f>'Annual detailed format'!K37</f>
        <v>135</v>
      </c>
      <c r="L37" s="14"/>
      <c r="M37" s="15">
        <f>'Annual detailed format'!M37</f>
        <v>135</v>
      </c>
      <c r="N37" s="15"/>
      <c r="O37" s="15">
        <v>95</v>
      </c>
      <c r="P37" s="15"/>
      <c r="Q37" s="15">
        <f>'Annual detailed format'!Q37</f>
        <v>95</v>
      </c>
      <c r="R37" s="15"/>
      <c r="S37" s="15">
        <f>'Annual detailed format'!S37</f>
        <v>95</v>
      </c>
      <c r="T37" s="14"/>
      <c r="U37" s="16">
        <f>'Annual detailed format'!AC37</f>
        <v>0</v>
      </c>
      <c r="V37" s="5"/>
    </row>
    <row r="38" spans="1:22" x14ac:dyDescent="0.25">
      <c r="A38" s="13"/>
      <c r="B38" s="14" t="s">
        <v>9</v>
      </c>
      <c r="C38" s="15">
        <v>0</v>
      </c>
      <c r="D38" s="14"/>
      <c r="E38" s="15">
        <v>100</v>
      </c>
      <c r="F38" s="15"/>
      <c r="G38" s="15">
        <v>140</v>
      </c>
      <c r="H38" s="15"/>
      <c r="I38" s="15">
        <v>120</v>
      </c>
      <c r="J38" s="14"/>
      <c r="K38" s="15">
        <f>'Annual detailed format'!K38</f>
        <v>120</v>
      </c>
      <c r="L38" s="14"/>
      <c r="M38" s="15">
        <f>'Annual detailed format'!M38</f>
        <v>120</v>
      </c>
      <c r="N38" s="15"/>
      <c r="O38" s="15">
        <f>102.25</f>
        <v>102.25</v>
      </c>
      <c r="P38" s="15"/>
      <c r="Q38" s="15">
        <f>'Annual detailed format'!Q38</f>
        <v>70.47</v>
      </c>
      <c r="R38" s="15"/>
      <c r="S38" s="15">
        <f>'Annual detailed format'!S38</f>
        <v>100.47</v>
      </c>
      <c r="T38" s="14"/>
      <c r="U38" s="16">
        <f>'Annual detailed format'!AC38</f>
        <v>100</v>
      </c>
      <c r="V38" s="5"/>
    </row>
    <row r="39" spans="1:22" x14ac:dyDescent="0.25">
      <c r="A39" s="13"/>
      <c r="B39" s="14" t="s">
        <v>17</v>
      </c>
      <c r="C39" s="15">
        <v>96</v>
      </c>
      <c r="D39" s="14"/>
      <c r="E39" s="15">
        <v>96</v>
      </c>
      <c r="F39" s="15"/>
      <c r="G39" s="15">
        <v>96</v>
      </c>
      <c r="H39" s="15"/>
      <c r="I39" s="15">
        <v>120</v>
      </c>
      <c r="J39" s="14"/>
      <c r="K39" s="15">
        <f>'Annual detailed format'!K39</f>
        <v>124</v>
      </c>
      <c r="L39" s="14"/>
      <c r="M39" s="15">
        <f>'Annual detailed format'!M39</f>
        <v>128</v>
      </c>
      <c r="N39" s="15"/>
      <c r="O39" s="15">
        <f>130</f>
        <v>130</v>
      </c>
      <c r="P39" s="15"/>
      <c r="Q39" s="15">
        <f>'Annual detailed format'!Q39</f>
        <v>130</v>
      </c>
      <c r="R39" s="15"/>
      <c r="S39" s="15">
        <f>'Annual detailed format'!S39</f>
        <v>132</v>
      </c>
      <c r="T39" s="14"/>
      <c r="U39" s="16">
        <f>'Annual detailed format'!AC39</f>
        <v>300</v>
      </c>
      <c r="V39" s="5"/>
    </row>
    <row r="40" spans="1:22" x14ac:dyDescent="0.25">
      <c r="A40" s="13"/>
      <c r="B40" s="14" t="s">
        <v>42</v>
      </c>
      <c r="C40" s="15">
        <v>0</v>
      </c>
      <c r="D40" s="14"/>
      <c r="E40" s="15">
        <v>0</v>
      </c>
      <c r="F40" s="15"/>
      <c r="G40" s="15">
        <v>0</v>
      </c>
      <c r="H40" s="15"/>
      <c r="I40" s="15">
        <v>1283.9000000000001</v>
      </c>
      <c r="J40" s="14"/>
      <c r="K40" s="15">
        <f>'Annual detailed format'!K40</f>
        <v>0</v>
      </c>
      <c r="L40" s="14"/>
      <c r="M40" s="15">
        <f>'Annual detailed format'!M40</f>
        <v>0</v>
      </c>
      <c r="N40" s="15"/>
      <c r="O40" s="15">
        <v>0</v>
      </c>
      <c r="P40" s="15"/>
      <c r="Q40" s="15">
        <f>'Annual detailed format'!Q40</f>
        <v>0</v>
      </c>
      <c r="R40" s="15"/>
      <c r="S40" s="15">
        <f>'Annual detailed format'!S40</f>
        <v>0</v>
      </c>
      <c r="T40" s="14"/>
      <c r="U40" s="16">
        <f>'Annual detailed format'!AC40</f>
        <v>0</v>
      </c>
      <c r="V40" s="5"/>
    </row>
    <row r="41" spans="1:22" ht="17.25" x14ac:dyDescent="0.4">
      <c r="A41" s="13"/>
      <c r="B41" s="14" t="s">
        <v>18</v>
      </c>
      <c r="C41" s="26">
        <f>-275.58</f>
        <v>-275.58</v>
      </c>
      <c r="D41" s="14"/>
      <c r="E41" s="26">
        <v>50</v>
      </c>
      <c r="F41" s="26"/>
      <c r="G41" s="26">
        <v>731.09</v>
      </c>
      <c r="H41" s="26"/>
      <c r="I41" s="26">
        <v>659.36</v>
      </c>
      <c r="J41" s="14"/>
      <c r="K41" s="26">
        <f>'Annual detailed format'!K42</f>
        <v>662.66</v>
      </c>
      <c r="L41" s="14"/>
      <c r="M41" s="26">
        <f>'Annual detailed format'!M42</f>
        <v>319.86999999999995</v>
      </c>
      <c r="N41" s="112"/>
      <c r="O41" s="112">
        <f>467.07+114.77</f>
        <v>581.84</v>
      </c>
      <c r="P41" s="26"/>
      <c r="Q41" s="112">
        <f>'Annual detailed format'!Q42</f>
        <v>534.58000000000004</v>
      </c>
      <c r="R41" s="112"/>
      <c r="S41" s="112">
        <f>'Annual detailed format'!S42</f>
        <v>2666.37</v>
      </c>
      <c r="T41" s="14"/>
      <c r="U41" s="16">
        <f>'Annual detailed format'!AC42</f>
        <v>500</v>
      </c>
      <c r="V41" s="5"/>
    </row>
    <row r="42" spans="1:22" ht="17.25" x14ac:dyDescent="0.4">
      <c r="A42" s="13" t="s">
        <v>8</v>
      </c>
      <c r="B42" s="14"/>
      <c r="C42" s="26">
        <f>SUM(C32:C41)</f>
        <v>195.42000000000002</v>
      </c>
      <c r="D42" s="14"/>
      <c r="E42" s="26">
        <f>SUM(E32:E41)</f>
        <v>1470.53</v>
      </c>
      <c r="F42" s="26"/>
      <c r="G42" s="26">
        <f>SUM(G32:G41)</f>
        <v>4139.54</v>
      </c>
      <c r="H42" s="26"/>
      <c r="I42" s="26">
        <f>SUM(I32:I41)</f>
        <v>5684.7599999999993</v>
      </c>
      <c r="J42" s="14"/>
      <c r="K42" s="26">
        <f>SUM(K32:K41)</f>
        <v>3438.66</v>
      </c>
      <c r="L42" s="14"/>
      <c r="M42" s="112">
        <f>SUM(M31:M41)</f>
        <v>2882.67</v>
      </c>
      <c r="N42" s="112"/>
      <c r="O42" s="112">
        <f>SUM(O31:O41)</f>
        <v>2967.04</v>
      </c>
      <c r="P42" s="26"/>
      <c r="Q42" s="112">
        <f>SUM(Q31:Q41)</f>
        <v>3394.19</v>
      </c>
      <c r="R42" s="112"/>
      <c r="S42" s="112">
        <f>SUM(S31:S41)</f>
        <v>4416.84</v>
      </c>
      <c r="T42" s="14"/>
      <c r="U42" s="27">
        <f>SUM(U31:U41)</f>
        <v>4524</v>
      </c>
      <c r="V42" s="5"/>
    </row>
    <row r="43" spans="1:22" s="1" customFormat="1" ht="6" customHeight="1" x14ac:dyDescent="0.25">
      <c r="A43" s="21"/>
      <c r="B43" s="22"/>
      <c r="C43" s="15"/>
      <c r="D43" s="22"/>
      <c r="E43" s="15"/>
      <c r="F43" s="15"/>
      <c r="G43" s="15"/>
      <c r="H43" s="15"/>
      <c r="I43" s="15"/>
      <c r="J43" s="22"/>
      <c r="K43" s="15"/>
      <c r="L43" s="22"/>
      <c r="M43" s="15"/>
      <c r="N43" s="15"/>
      <c r="O43" s="15"/>
      <c r="P43" s="15"/>
      <c r="Q43" s="15"/>
      <c r="R43" s="15"/>
      <c r="S43" s="15"/>
      <c r="T43" s="22"/>
      <c r="U43" s="16"/>
      <c r="V43" s="2"/>
    </row>
    <row r="44" spans="1:22" x14ac:dyDescent="0.25">
      <c r="A44" s="33" t="s">
        <v>55</v>
      </c>
      <c r="B44" s="34"/>
      <c r="C44" s="38">
        <f>SUM(C22,C28,C42)</f>
        <v>3062.44</v>
      </c>
      <c r="D44" s="34"/>
      <c r="E44" s="38">
        <f>SUM(E22,E28,E42)</f>
        <v>2439.21</v>
      </c>
      <c r="F44" s="38"/>
      <c r="G44" s="38">
        <f>SUM(G22,G28,G42)</f>
        <v>8626.9700000000012</v>
      </c>
      <c r="H44" s="38"/>
      <c r="I44" s="38">
        <f>SUM(I22,I28,I42)</f>
        <v>7237.6699999999992</v>
      </c>
      <c r="J44" s="34"/>
      <c r="K44" s="38">
        <f>SUM(K22,K28,K42)</f>
        <v>5716.1100000000006</v>
      </c>
      <c r="L44" s="34"/>
      <c r="M44" s="38">
        <f>SUM(M22,M28,M42)</f>
        <v>4227.07</v>
      </c>
      <c r="N44" s="38"/>
      <c r="O44" s="38">
        <f>SUM(O22,O28,O42)</f>
        <v>5186.7700000000004</v>
      </c>
      <c r="P44" s="38"/>
      <c r="Q44" s="38">
        <f>SUM(Q22,Q28,Q42)</f>
        <v>7670.0400000000009</v>
      </c>
      <c r="R44" s="38"/>
      <c r="S44" s="38">
        <f>SUM(S22,S28,S42)</f>
        <v>7011.97</v>
      </c>
      <c r="T44" s="34"/>
      <c r="U44" s="39">
        <f>SUM(U22,U28,U42)</f>
        <v>5812</v>
      </c>
      <c r="V44" s="5"/>
    </row>
    <row r="45" spans="1:22" ht="6" customHeight="1" x14ac:dyDescent="0.25">
      <c r="A45" s="13"/>
      <c r="B45" s="14"/>
      <c r="C45" s="15"/>
      <c r="D45" s="14"/>
      <c r="E45" s="15"/>
      <c r="F45" s="15"/>
      <c r="G45" s="15"/>
      <c r="H45" s="15"/>
      <c r="I45" s="15"/>
      <c r="J45" s="14"/>
      <c r="K45" s="15"/>
      <c r="L45" s="14"/>
      <c r="M45" s="15"/>
      <c r="N45" s="15"/>
      <c r="O45" s="15"/>
      <c r="P45" s="15"/>
      <c r="Q45" s="15"/>
      <c r="R45" s="15"/>
      <c r="S45" s="15"/>
      <c r="T45" s="14"/>
      <c r="U45" s="16"/>
      <c r="V45" s="5"/>
    </row>
    <row r="46" spans="1:22" s="5" customFormat="1" ht="17.25" x14ac:dyDescent="0.4">
      <c r="A46" s="13" t="s">
        <v>56</v>
      </c>
      <c r="B46" s="14"/>
      <c r="C46" s="26">
        <v>0</v>
      </c>
      <c r="D46" s="14"/>
      <c r="E46" s="26">
        <v>0</v>
      </c>
      <c r="F46" s="15"/>
      <c r="G46" s="26">
        <v>0</v>
      </c>
      <c r="H46" s="15"/>
      <c r="I46" s="26">
        <v>0</v>
      </c>
      <c r="J46" s="14"/>
      <c r="K46" s="26">
        <v>0</v>
      </c>
      <c r="L46" s="14"/>
      <c r="M46" s="26">
        <f>'Annual detailed format'!M47</f>
        <v>2500</v>
      </c>
      <c r="N46" s="112"/>
      <c r="O46" s="112">
        <f>'Annual detailed format'!O47</f>
        <v>3250</v>
      </c>
      <c r="P46" s="26"/>
      <c r="Q46" s="112">
        <f>'Annual detailed format'!Q47</f>
        <v>0</v>
      </c>
      <c r="R46" s="112"/>
      <c r="S46" s="112">
        <f>'Annual detailed format'!S47</f>
        <v>0</v>
      </c>
      <c r="T46" s="14"/>
      <c r="U46" s="27">
        <f>'Annual detailed format'!AC47</f>
        <v>0</v>
      </c>
    </row>
    <row r="47" spans="1:22" ht="6" customHeight="1" x14ac:dyDescent="0.2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10"/>
      <c r="O47" s="110"/>
      <c r="P47" s="14"/>
      <c r="Q47" s="110"/>
      <c r="R47" s="110"/>
      <c r="S47" s="110"/>
      <c r="T47" s="14"/>
      <c r="U47" s="28"/>
    </row>
    <row r="48" spans="1:22" ht="15.75" thickBot="1" x14ac:dyDescent="0.3">
      <c r="A48" s="9" t="s">
        <v>51</v>
      </c>
      <c r="B48" s="10"/>
      <c r="C48" s="11">
        <f>C9-C44-C46</f>
        <v>6125.3799999999992</v>
      </c>
      <c r="D48" s="10"/>
      <c r="E48" s="11">
        <f>E9-E44-E46</f>
        <v>5186.41</v>
      </c>
      <c r="F48" s="10"/>
      <c r="G48" s="11">
        <f>G9-G44-G46</f>
        <v>-371.28000000000065</v>
      </c>
      <c r="H48" s="10"/>
      <c r="I48" s="11">
        <f>I9-I44-I46</f>
        <v>116.71000000000095</v>
      </c>
      <c r="J48" s="10"/>
      <c r="K48" s="11">
        <f>K9-K44-K46</f>
        <v>2176.5699999999997</v>
      </c>
      <c r="L48" s="10"/>
      <c r="M48" s="11">
        <f>M9-M44-M46</f>
        <v>4975.0500000000011</v>
      </c>
      <c r="N48" s="109"/>
      <c r="O48" s="109">
        <f>O9-O44-O46</f>
        <v>1311.3799999999992</v>
      </c>
      <c r="P48" s="11"/>
      <c r="Q48" s="109">
        <f>Q9-Q44-Q46</f>
        <v>6089.49</v>
      </c>
      <c r="R48" s="109"/>
      <c r="S48" s="109">
        <f>S9-S44-S46</f>
        <v>5122.5599999999986</v>
      </c>
      <c r="T48" s="10"/>
      <c r="U48" s="12">
        <f>U9-U44-U46</f>
        <v>2688</v>
      </c>
    </row>
    <row r="49" spans="1:22" ht="6" customHeight="1" x14ac:dyDescent="0.25"/>
    <row r="50" spans="1:22" ht="6" customHeight="1" thickBot="1" x14ac:dyDescent="0.3"/>
    <row r="51" spans="1:22" x14ac:dyDescent="0.25">
      <c r="A51" s="40" t="s">
        <v>49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2"/>
    </row>
    <row r="52" spans="1:22" x14ac:dyDescent="0.25">
      <c r="A52" s="47" t="s">
        <v>57</v>
      </c>
      <c r="B52" s="48"/>
      <c r="C52" s="49"/>
      <c r="D52" s="48"/>
      <c r="E52" s="49"/>
      <c r="F52" s="49"/>
      <c r="G52" s="49"/>
      <c r="H52" s="49"/>
      <c r="I52" s="49"/>
      <c r="J52" s="48"/>
      <c r="K52" s="49"/>
      <c r="L52" s="48"/>
      <c r="M52" s="49"/>
      <c r="N52" s="49"/>
      <c r="O52" s="49"/>
      <c r="P52" s="49"/>
      <c r="Q52" s="49"/>
      <c r="R52" s="49"/>
      <c r="S52" s="49"/>
      <c r="T52" s="48"/>
      <c r="U52" s="50"/>
      <c r="V52" s="5"/>
    </row>
    <row r="53" spans="1:22" x14ac:dyDescent="0.25">
      <c r="A53" s="51" t="s">
        <v>79</v>
      </c>
      <c r="B53" s="52"/>
      <c r="C53" s="53"/>
      <c r="D53" s="52"/>
      <c r="E53" s="53"/>
      <c r="F53" s="53"/>
      <c r="G53" s="53"/>
      <c r="H53" s="53"/>
      <c r="I53" s="53"/>
      <c r="J53" s="52"/>
      <c r="K53" s="53"/>
      <c r="L53" s="52"/>
      <c r="M53" s="53"/>
      <c r="N53" s="53"/>
      <c r="O53" s="53"/>
      <c r="P53" s="53"/>
      <c r="Q53" s="53"/>
      <c r="R53" s="53"/>
      <c r="S53" s="53"/>
      <c r="T53" s="52"/>
      <c r="U53" s="54"/>
      <c r="V53" s="5"/>
    </row>
    <row r="54" spans="1:22" x14ac:dyDescent="0.25">
      <c r="A54" s="51"/>
      <c r="B54" s="52" t="s">
        <v>19</v>
      </c>
      <c r="C54" s="53">
        <v>0</v>
      </c>
      <c r="D54" s="52"/>
      <c r="E54" s="53">
        <v>0</v>
      </c>
      <c r="F54" s="53"/>
      <c r="G54" s="53">
        <v>2480</v>
      </c>
      <c r="H54" s="53"/>
      <c r="I54" s="53">
        <v>2650</v>
      </c>
      <c r="J54" s="52"/>
      <c r="K54" s="53">
        <f>'Annual detailed format'!K55</f>
        <v>3250</v>
      </c>
      <c r="L54" s="52"/>
      <c r="M54" s="53">
        <f>'Annual detailed format'!M55</f>
        <v>0</v>
      </c>
      <c r="N54" s="53"/>
      <c r="O54" s="53">
        <f>'Annual detailed format'!O55</f>
        <v>0</v>
      </c>
      <c r="P54" s="53"/>
      <c r="Q54" s="53">
        <f>'Annual detailed format'!Q55</f>
        <v>0</v>
      </c>
      <c r="R54" s="53"/>
      <c r="S54" s="53">
        <f>'Annual detailed format'!S55</f>
        <v>0</v>
      </c>
      <c r="T54" s="52"/>
      <c r="U54" s="54">
        <f>'Annual detailed format'!AC55</f>
        <v>0</v>
      </c>
      <c r="V54" s="5"/>
    </row>
    <row r="55" spans="1:22" x14ac:dyDescent="0.25">
      <c r="A55" s="51"/>
      <c r="B55" s="52" t="s">
        <v>20</v>
      </c>
      <c r="C55" s="53">
        <v>0</v>
      </c>
      <c r="D55" s="52"/>
      <c r="E55" s="53">
        <v>0</v>
      </c>
      <c r="F55" s="53"/>
      <c r="G55" s="53">
        <v>4225</v>
      </c>
      <c r="H55" s="53"/>
      <c r="I55" s="53">
        <v>2750</v>
      </c>
      <c r="J55" s="52"/>
      <c r="K55" s="53">
        <f>'Annual detailed format'!K56</f>
        <v>4750</v>
      </c>
      <c r="L55" s="52"/>
      <c r="M55" s="53">
        <f>'Annual detailed format'!M56</f>
        <v>0</v>
      </c>
      <c r="N55" s="53"/>
      <c r="O55" s="53">
        <f>'Annual detailed format'!O56</f>
        <v>0</v>
      </c>
      <c r="P55" s="53"/>
      <c r="Q55" s="53">
        <f>'Annual detailed format'!Q56</f>
        <v>0</v>
      </c>
      <c r="R55" s="53"/>
      <c r="S55" s="53">
        <f>'Annual detailed format'!S56</f>
        <v>0</v>
      </c>
      <c r="T55" s="52"/>
      <c r="U55" s="54">
        <f>'Annual detailed format'!AC56</f>
        <v>0</v>
      </c>
      <c r="V55" s="5"/>
    </row>
    <row r="56" spans="1:22" x14ac:dyDescent="0.25">
      <c r="A56" s="51"/>
      <c r="B56" s="52" t="s">
        <v>46</v>
      </c>
      <c r="C56" s="55">
        <v>0</v>
      </c>
      <c r="D56" s="56"/>
      <c r="E56" s="55">
        <v>0</v>
      </c>
      <c r="F56" s="55"/>
      <c r="G56" s="55">
        <v>623</v>
      </c>
      <c r="H56" s="55"/>
      <c r="I56" s="55">
        <v>325</v>
      </c>
      <c r="J56" s="56"/>
      <c r="K56" s="53">
        <f>'Annual detailed format'!K57</f>
        <v>1120</v>
      </c>
      <c r="L56" s="56"/>
      <c r="M56" s="53">
        <f>'Annual detailed format'!M57</f>
        <v>0</v>
      </c>
      <c r="N56" s="53"/>
      <c r="O56" s="53">
        <f>'Annual detailed format'!O57</f>
        <v>0</v>
      </c>
      <c r="P56" s="53"/>
      <c r="Q56" s="53">
        <f>'Annual detailed format'!Q57</f>
        <v>0</v>
      </c>
      <c r="R56" s="53"/>
      <c r="S56" s="53">
        <f>'Annual detailed format'!S57</f>
        <v>0</v>
      </c>
      <c r="T56" s="56"/>
      <c r="U56" s="54">
        <f>'Annual detailed format'!AC57</f>
        <v>0</v>
      </c>
      <c r="V56" s="5"/>
    </row>
    <row r="57" spans="1:22" ht="17.25" x14ac:dyDescent="0.4">
      <c r="A57" s="51"/>
      <c r="B57" s="52" t="s">
        <v>23</v>
      </c>
      <c r="C57" s="58">
        <v>0</v>
      </c>
      <c r="D57" s="52"/>
      <c r="E57" s="58">
        <v>0</v>
      </c>
      <c r="F57" s="58"/>
      <c r="G57" s="58">
        <v>4575</v>
      </c>
      <c r="H57" s="58"/>
      <c r="I57" s="58">
        <v>3650</v>
      </c>
      <c r="J57" s="52"/>
      <c r="K57" s="58">
        <f>'Annual detailed format'!K58</f>
        <v>0</v>
      </c>
      <c r="L57" s="52"/>
      <c r="M57" s="58">
        <f>'Annual detailed format'!M58</f>
        <v>0</v>
      </c>
      <c r="N57" s="114"/>
      <c r="O57" s="114">
        <f>'Annual detailed format'!O58</f>
        <v>0</v>
      </c>
      <c r="P57" s="58"/>
      <c r="Q57" s="114">
        <f>'Annual detailed format'!Q58</f>
        <v>0</v>
      </c>
      <c r="R57" s="114"/>
      <c r="S57" s="114">
        <f>'Annual detailed format'!S58</f>
        <v>0</v>
      </c>
      <c r="T57" s="52"/>
      <c r="U57" s="54">
        <f>'Annual detailed format'!AC58</f>
        <v>0</v>
      </c>
      <c r="V57" s="5"/>
    </row>
    <row r="58" spans="1:22" x14ac:dyDescent="0.25">
      <c r="A58" s="51" t="s">
        <v>80</v>
      </c>
      <c r="B58" s="52"/>
      <c r="C58" s="53">
        <f>SUM(C54:C57)</f>
        <v>0</v>
      </c>
      <c r="D58" s="52"/>
      <c r="E58" s="53">
        <f>SUM(E54:E57)</f>
        <v>0</v>
      </c>
      <c r="F58" s="53"/>
      <c r="G58" s="53">
        <f>SUM(G54:G57)</f>
        <v>11903</v>
      </c>
      <c r="H58" s="53"/>
      <c r="I58" s="53">
        <f>SUM(I54:I57)</f>
        <v>9375</v>
      </c>
      <c r="J58" s="52"/>
      <c r="K58" s="53">
        <f>SUM(K54:K57)</f>
        <v>9120</v>
      </c>
      <c r="L58" s="52"/>
      <c r="M58" s="53">
        <f>SUM(M54:M57)</f>
        <v>0</v>
      </c>
      <c r="N58" s="53"/>
      <c r="O58" s="53">
        <f>SUM(O54:O57)</f>
        <v>0</v>
      </c>
      <c r="P58" s="53"/>
      <c r="Q58" s="53">
        <f>SUM(Q54:Q57)</f>
        <v>0</v>
      </c>
      <c r="R58" s="53"/>
      <c r="S58" s="53">
        <f>SUM(S54:S57)</f>
        <v>0</v>
      </c>
      <c r="T58" s="52"/>
      <c r="U58" s="54">
        <f>SUM(U54:U57)</f>
        <v>0</v>
      </c>
      <c r="V58" s="5"/>
    </row>
    <row r="59" spans="1:22" x14ac:dyDescent="0.25">
      <c r="A59" s="51"/>
      <c r="B59" s="52"/>
      <c r="C59" s="53"/>
      <c r="D59" s="52"/>
      <c r="E59" s="53"/>
      <c r="F59" s="53"/>
      <c r="G59" s="53"/>
      <c r="H59" s="53"/>
      <c r="I59" s="53"/>
      <c r="J59" s="52"/>
      <c r="K59" s="53"/>
      <c r="L59" s="52"/>
      <c r="M59" s="53"/>
      <c r="N59" s="53"/>
      <c r="O59" s="53"/>
      <c r="P59" s="53"/>
      <c r="Q59" s="53"/>
      <c r="R59" s="53"/>
      <c r="S59" s="53"/>
      <c r="T59" s="52"/>
      <c r="U59" s="54"/>
      <c r="V59" s="5"/>
    </row>
    <row r="60" spans="1:22" ht="17.25" x14ac:dyDescent="0.4">
      <c r="A60" s="51" t="s">
        <v>47</v>
      </c>
      <c r="B60" s="52"/>
      <c r="C60" s="58">
        <v>0</v>
      </c>
      <c r="D60" s="60"/>
      <c r="E60" s="58">
        <v>0</v>
      </c>
      <c r="F60" s="58"/>
      <c r="G60" s="58">
        <v>0</v>
      </c>
      <c r="H60" s="58"/>
      <c r="I60" s="58">
        <v>0</v>
      </c>
      <c r="J60" s="60"/>
      <c r="K60" s="58">
        <f>'Annual detailed format'!K61</f>
        <v>120</v>
      </c>
      <c r="L60" s="60"/>
      <c r="M60" s="58">
        <f>'Annual detailed format'!M61</f>
        <v>155</v>
      </c>
      <c r="N60" s="114"/>
      <c r="O60" s="114">
        <f>'Annual detailed format'!O61</f>
        <v>0</v>
      </c>
      <c r="P60" s="58"/>
      <c r="Q60" s="114">
        <f>'Annual detailed format'!Q61</f>
        <v>0</v>
      </c>
      <c r="R60" s="114"/>
      <c r="S60" s="114">
        <f>'Annual detailed format'!S61</f>
        <v>395</v>
      </c>
      <c r="T60" s="60"/>
      <c r="U60" s="59">
        <f>'Annual detailed format'!AC61</f>
        <v>0</v>
      </c>
      <c r="V60" s="5"/>
    </row>
    <row r="61" spans="1:22" ht="6" customHeight="1" x14ac:dyDescent="0.25">
      <c r="A61" s="51"/>
      <c r="B61" s="52"/>
      <c r="C61" s="53"/>
      <c r="D61" s="52"/>
      <c r="E61" s="53"/>
      <c r="F61" s="53"/>
      <c r="G61" s="53"/>
      <c r="H61" s="53"/>
      <c r="I61" s="53"/>
      <c r="J61" s="52"/>
      <c r="K61" s="53"/>
      <c r="L61" s="52"/>
      <c r="M61" s="53"/>
      <c r="N61" s="53"/>
      <c r="O61" s="53"/>
      <c r="P61" s="53"/>
      <c r="Q61" s="53"/>
      <c r="R61" s="53"/>
      <c r="S61" s="53"/>
      <c r="T61" s="52"/>
      <c r="U61" s="54"/>
      <c r="V61" s="5"/>
    </row>
    <row r="62" spans="1:22" x14ac:dyDescent="0.25">
      <c r="A62" s="61" t="s">
        <v>59</v>
      </c>
      <c r="B62" s="62"/>
      <c r="C62" s="63">
        <f>SUM(C58:C61)</f>
        <v>0</v>
      </c>
      <c r="D62" s="62"/>
      <c r="E62" s="63">
        <f>SUM(E58:E61)</f>
        <v>0</v>
      </c>
      <c r="F62" s="63"/>
      <c r="G62" s="63">
        <f>SUM(G58:G61)</f>
        <v>11903</v>
      </c>
      <c r="H62" s="63"/>
      <c r="I62" s="63">
        <f>SUM(I58:I61)</f>
        <v>9375</v>
      </c>
      <c r="J62" s="62"/>
      <c r="K62" s="63">
        <f>SUM(K58:K61)</f>
        <v>9240</v>
      </c>
      <c r="L62" s="62"/>
      <c r="M62" s="63">
        <f>SUM(M58:M61)</f>
        <v>155</v>
      </c>
      <c r="N62" s="63"/>
      <c r="O62" s="63">
        <f>SUM(O58:O61)</f>
        <v>0</v>
      </c>
      <c r="P62" s="63"/>
      <c r="Q62" s="63">
        <f>SUM(Q58:Q61)</f>
        <v>0</v>
      </c>
      <c r="R62" s="63"/>
      <c r="S62" s="63">
        <f>SUM(S58:S61)</f>
        <v>395</v>
      </c>
      <c r="T62" s="62"/>
      <c r="U62" s="64">
        <f>SUM(U58:U61)</f>
        <v>0</v>
      </c>
      <c r="V62" s="5"/>
    </row>
    <row r="63" spans="1:22" ht="6" customHeight="1" x14ac:dyDescent="0.25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65"/>
    </row>
    <row r="64" spans="1:22" x14ac:dyDescent="0.25">
      <c r="A64" s="47" t="s">
        <v>31</v>
      </c>
      <c r="B64" s="48"/>
      <c r="C64" s="49"/>
      <c r="D64" s="48"/>
      <c r="E64" s="49"/>
      <c r="F64" s="49"/>
      <c r="G64" s="49"/>
      <c r="H64" s="49"/>
      <c r="I64" s="49"/>
      <c r="J64" s="48"/>
      <c r="K64" s="49"/>
      <c r="L64" s="48"/>
      <c r="M64" s="49"/>
      <c r="N64" s="49"/>
      <c r="O64" s="49"/>
      <c r="P64" s="49"/>
      <c r="Q64" s="49"/>
      <c r="R64" s="49"/>
      <c r="S64" s="49"/>
      <c r="T64" s="48"/>
      <c r="U64" s="50"/>
      <c r="V64" s="5"/>
    </row>
    <row r="65" spans="1:23" x14ac:dyDescent="0.25">
      <c r="A65" s="51" t="s">
        <v>79</v>
      </c>
      <c r="B65" s="66"/>
      <c r="C65" s="53"/>
      <c r="D65" s="52"/>
      <c r="E65" s="53"/>
      <c r="F65" s="53"/>
      <c r="G65" s="53"/>
      <c r="H65" s="53"/>
      <c r="I65" s="53"/>
      <c r="J65" s="52"/>
      <c r="K65" s="53"/>
      <c r="L65" s="52"/>
      <c r="M65" s="53"/>
      <c r="N65" s="53"/>
      <c r="O65" s="53"/>
      <c r="P65" s="53"/>
      <c r="Q65" s="53"/>
      <c r="R65" s="53"/>
      <c r="S65" s="53"/>
      <c r="T65" s="52"/>
      <c r="U65" s="54"/>
      <c r="V65" s="5"/>
    </row>
    <row r="66" spans="1:23" x14ac:dyDescent="0.25">
      <c r="A66" s="51"/>
      <c r="B66" s="52" t="s">
        <v>26</v>
      </c>
      <c r="C66" s="53">
        <v>0</v>
      </c>
      <c r="D66" s="52"/>
      <c r="E66" s="53">
        <v>0</v>
      </c>
      <c r="F66" s="53"/>
      <c r="G66" s="53">
        <v>1440</v>
      </c>
      <c r="H66" s="53"/>
      <c r="I66" s="53">
        <v>2626.31</v>
      </c>
      <c r="J66" s="52"/>
      <c r="K66" s="53">
        <f>'Annual detailed format'!K67</f>
        <v>6848.34</v>
      </c>
      <c r="L66" s="52"/>
      <c r="M66" s="53">
        <f>'Annual detailed format'!M67</f>
        <v>0</v>
      </c>
      <c r="N66" s="53"/>
      <c r="O66" s="53">
        <f>'Annual detailed format'!O67</f>
        <v>0</v>
      </c>
      <c r="P66" s="53"/>
      <c r="Q66" s="53">
        <f>'Annual detailed format'!Q67</f>
        <v>0</v>
      </c>
      <c r="R66" s="53"/>
      <c r="S66" s="53">
        <f>'Annual detailed format'!S67</f>
        <v>0</v>
      </c>
      <c r="T66" s="52"/>
      <c r="U66" s="54">
        <f>'Annual detailed format'!AC67</f>
        <v>0</v>
      </c>
      <c r="V66" s="5"/>
    </row>
    <row r="67" spans="1:23" x14ac:dyDescent="0.25">
      <c r="A67" s="51"/>
      <c r="B67" s="52" t="s">
        <v>29</v>
      </c>
      <c r="C67" s="53">
        <v>0</v>
      </c>
      <c r="D67" s="52"/>
      <c r="E67" s="53">
        <v>0</v>
      </c>
      <c r="F67" s="53"/>
      <c r="G67" s="53">
        <v>950.45</v>
      </c>
      <c r="H67" s="53"/>
      <c r="I67" s="53">
        <v>0</v>
      </c>
      <c r="J67" s="52"/>
      <c r="K67" s="53">
        <f>'Annual detailed format'!K68</f>
        <v>0</v>
      </c>
      <c r="L67" s="52"/>
      <c r="M67" s="53">
        <f>'Annual detailed format'!M68</f>
        <v>0</v>
      </c>
      <c r="N67" s="53"/>
      <c r="O67" s="53">
        <f>'Annual detailed format'!O68</f>
        <v>0</v>
      </c>
      <c r="P67" s="53"/>
      <c r="Q67" s="53">
        <f>'Annual detailed format'!Q68</f>
        <v>0</v>
      </c>
      <c r="R67" s="53"/>
      <c r="S67" s="53">
        <f>'Annual detailed format'!S68</f>
        <v>0</v>
      </c>
      <c r="T67" s="52"/>
      <c r="U67" s="54">
        <f>'Annual detailed format'!AC68</f>
        <v>0</v>
      </c>
      <c r="V67" s="5"/>
    </row>
    <row r="68" spans="1:23" x14ac:dyDescent="0.25">
      <c r="A68" s="51"/>
      <c r="B68" s="52" t="s">
        <v>21</v>
      </c>
      <c r="C68" s="53">
        <v>0</v>
      </c>
      <c r="D68" s="52"/>
      <c r="E68" s="53">
        <v>0</v>
      </c>
      <c r="F68" s="53"/>
      <c r="G68" s="53">
        <v>400</v>
      </c>
      <c r="H68" s="53"/>
      <c r="I68" s="53">
        <v>500</v>
      </c>
      <c r="J68" s="52"/>
      <c r="K68" s="53">
        <f>'Annual detailed format'!K69</f>
        <v>600</v>
      </c>
      <c r="L68" s="52"/>
      <c r="M68" s="53">
        <f>'Annual detailed format'!M69</f>
        <v>0</v>
      </c>
      <c r="N68" s="53"/>
      <c r="O68" s="53">
        <f>'Annual detailed format'!O69</f>
        <v>0</v>
      </c>
      <c r="P68" s="53"/>
      <c r="Q68" s="53">
        <f>'Annual detailed format'!Q69</f>
        <v>0</v>
      </c>
      <c r="R68" s="53"/>
      <c r="S68" s="53">
        <f>'Annual detailed format'!S69</f>
        <v>0</v>
      </c>
      <c r="T68" s="52"/>
      <c r="U68" s="54">
        <f>'Annual detailed format'!AC69</f>
        <v>0</v>
      </c>
      <c r="V68" s="5"/>
    </row>
    <row r="69" spans="1:23" x14ac:dyDescent="0.25">
      <c r="A69" s="51"/>
      <c r="B69" s="52" t="s">
        <v>25</v>
      </c>
      <c r="C69" s="53">
        <v>0</v>
      </c>
      <c r="D69" s="52"/>
      <c r="E69" s="53">
        <v>0</v>
      </c>
      <c r="F69" s="53"/>
      <c r="G69" s="53">
        <f>118+970.8+54.78</f>
        <v>1143.58</v>
      </c>
      <c r="H69" s="53"/>
      <c r="I69" s="53">
        <v>262.3</v>
      </c>
      <c r="J69" s="52"/>
      <c r="K69" s="53">
        <f>'Annual detailed format'!K70</f>
        <v>737.92</v>
      </c>
      <c r="L69" s="52"/>
      <c r="M69" s="53">
        <f>'Annual detailed format'!M70</f>
        <v>0</v>
      </c>
      <c r="N69" s="53"/>
      <c r="O69" s="53">
        <f>'Annual detailed format'!O70</f>
        <v>0</v>
      </c>
      <c r="P69" s="53"/>
      <c r="Q69" s="53">
        <f>'Annual detailed format'!Q70</f>
        <v>0</v>
      </c>
      <c r="R69" s="53"/>
      <c r="S69" s="53">
        <f>'Annual detailed format'!S70</f>
        <v>0</v>
      </c>
      <c r="T69" s="52"/>
      <c r="U69" s="54">
        <f>'Annual detailed format'!AC70</f>
        <v>0</v>
      </c>
      <c r="V69" s="5"/>
    </row>
    <row r="70" spans="1:23" x14ac:dyDescent="0.25">
      <c r="A70" s="51"/>
      <c r="B70" s="52" t="s">
        <v>27</v>
      </c>
      <c r="C70" s="55">
        <v>0</v>
      </c>
      <c r="D70" s="56"/>
      <c r="E70" s="55">
        <v>0</v>
      </c>
      <c r="F70" s="55"/>
      <c r="G70" s="55">
        <v>256.87</v>
      </c>
      <c r="H70" s="55"/>
      <c r="I70" s="55">
        <v>117.09</v>
      </c>
      <c r="J70" s="56"/>
      <c r="K70" s="53">
        <f>'Annual detailed format'!K71</f>
        <v>0</v>
      </c>
      <c r="L70" s="56"/>
      <c r="M70" s="53">
        <f>'Annual detailed format'!M71</f>
        <v>0</v>
      </c>
      <c r="N70" s="53"/>
      <c r="O70" s="53">
        <f>'Annual detailed format'!O71</f>
        <v>0</v>
      </c>
      <c r="P70" s="53"/>
      <c r="Q70" s="53">
        <f>'Annual detailed format'!Q71</f>
        <v>0</v>
      </c>
      <c r="R70" s="53"/>
      <c r="S70" s="53">
        <f>'Annual detailed format'!S71</f>
        <v>0</v>
      </c>
      <c r="T70" s="56"/>
      <c r="U70" s="54">
        <f>'Annual detailed format'!AC71</f>
        <v>0</v>
      </c>
      <c r="V70" s="5"/>
    </row>
    <row r="71" spans="1:23" x14ac:dyDescent="0.25">
      <c r="A71" s="51"/>
      <c r="B71" s="52" t="s">
        <v>28</v>
      </c>
      <c r="C71" s="55">
        <v>0</v>
      </c>
      <c r="D71" s="56"/>
      <c r="E71" s="55">
        <v>0</v>
      </c>
      <c r="F71" s="55"/>
      <c r="G71" s="55">
        <v>150</v>
      </c>
      <c r="H71" s="55"/>
      <c r="I71" s="55">
        <v>0</v>
      </c>
      <c r="J71" s="56"/>
      <c r="K71" s="53">
        <f>'Annual detailed format'!K72</f>
        <v>0</v>
      </c>
      <c r="L71" s="56"/>
      <c r="M71" s="53">
        <f>'Annual detailed format'!M72</f>
        <v>0</v>
      </c>
      <c r="N71" s="53"/>
      <c r="O71" s="53">
        <f>'Annual detailed format'!O72</f>
        <v>0</v>
      </c>
      <c r="P71" s="53"/>
      <c r="Q71" s="53">
        <f>'Annual detailed format'!Q72</f>
        <v>0</v>
      </c>
      <c r="R71" s="53"/>
      <c r="S71" s="53">
        <f>'Annual detailed format'!S72</f>
        <v>0</v>
      </c>
      <c r="T71" s="56"/>
      <c r="U71" s="54">
        <f>'Annual detailed format'!AC72</f>
        <v>0</v>
      </c>
      <c r="V71" s="5"/>
    </row>
    <row r="72" spans="1:23" x14ac:dyDescent="0.25">
      <c r="A72" s="51"/>
      <c r="B72" s="52" t="s">
        <v>45</v>
      </c>
      <c r="C72" s="55">
        <v>0</v>
      </c>
      <c r="D72" s="56"/>
      <c r="E72" s="55">
        <v>0</v>
      </c>
      <c r="F72" s="55"/>
      <c r="G72" s="55">
        <v>0</v>
      </c>
      <c r="H72" s="55"/>
      <c r="I72" s="55">
        <v>0</v>
      </c>
      <c r="J72" s="56"/>
      <c r="K72" s="53">
        <f>'Annual detailed format'!K73</f>
        <v>0</v>
      </c>
      <c r="L72" s="56"/>
      <c r="M72" s="53">
        <f>'Annual detailed format'!M73</f>
        <v>0</v>
      </c>
      <c r="N72" s="53"/>
      <c r="O72" s="53">
        <f>'Annual detailed format'!O73</f>
        <v>0</v>
      </c>
      <c r="P72" s="53"/>
      <c r="Q72" s="53">
        <f>'Annual detailed format'!Q73</f>
        <v>0</v>
      </c>
      <c r="R72" s="53"/>
      <c r="S72" s="53">
        <f>'Annual detailed format'!S73</f>
        <v>0</v>
      </c>
      <c r="T72" s="56"/>
      <c r="U72" s="54">
        <f>'Annual detailed format'!AC73</f>
        <v>0</v>
      </c>
      <c r="V72" s="5"/>
    </row>
    <row r="73" spans="1:23" ht="17.25" x14ac:dyDescent="0.4">
      <c r="A73" s="51"/>
      <c r="B73" s="52" t="s">
        <v>23</v>
      </c>
      <c r="C73" s="58">
        <v>0</v>
      </c>
      <c r="D73" s="52"/>
      <c r="E73" s="58">
        <v>0</v>
      </c>
      <c r="F73" s="58"/>
      <c r="G73" s="58">
        <v>4575</v>
      </c>
      <c r="H73" s="58"/>
      <c r="I73" s="58">
        <v>3650</v>
      </c>
      <c r="J73" s="52"/>
      <c r="K73" s="58">
        <f>'Annual detailed format'!K74</f>
        <v>0</v>
      </c>
      <c r="L73" s="52"/>
      <c r="M73" s="58">
        <f>'Annual detailed format'!M74</f>
        <v>0</v>
      </c>
      <c r="N73" s="114"/>
      <c r="O73" s="114">
        <f>'Annual detailed format'!O74</f>
        <v>0</v>
      </c>
      <c r="P73" s="58"/>
      <c r="Q73" s="114">
        <f>'Annual detailed format'!Q74</f>
        <v>0</v>
      </c>
      <c r="R73" s="114"/>
      <c r="S73" s="114">
        <f>'Annual detailed format'!S74</f>
        <v>0</v>
      </c>
      <c r="T73" s="52"/>
      <c r="U73" s="54">
        <f>'Annual detailed format'!AC74</f>
        <v>0</v>
      </c>
      <c r="V73" s="5"/>
    </row>
    <row r="74" spans="1:23" x14ac:dyDescent="0.25">
      <c r="A74" s="51" t="s">
        <v>81</v>
      </c>
      <c r="B74" s="66"/>
      <c r="C74" s="53">
        <f>SUM(C66:C73)</f>
        <v>0</v>
      </c>
      <c r="D74" s="52"/>
      <c r="E74" s="53">
        <f>SUM(E66:E73)</f>
        <v>0</v>
      </c>
      <c r="F74" s="53"/>
      <c r="G74" s="53">
        <f>SUM(G66:G73)</f>
        <v>8915.9</v>
      </c>
      <c r="H74" s="53"/>
      <c r="I74" s="53">
        <f>SUM(I66:I73)</f>
        <v>7155.7000000000007</v>
      </c>
      <c r="J74" s="52"/>
      <c r="K74" s="53">
        <f>SUM(K66:K73)</f>
        <v>8186.26</v>
      </c>
      <c r="L74" s="52"/>
      <c r="M74" s="53">
        <f>SUM(M66:M73)</f>
        <v>0</v>
      </c>
      <c r="N74" s="53"/>
      <c r="O74" s="53">
        <f>SUM(O66:O73)</f>
        <v>0</v>
      </c>
      <c r="P74" s="53"/>
      <c r="Q74" s="53">
        <f>SUM(Q66:Q73)</f>
        <v>0</v>
      </c>
      <c r="R74" s="53"/>
      <c r="S74" s="53">
        <f>SUM(S66:S73)</f>
        <v>0</v>
      </c>
      <c r="T74" s="52"/>
      <c r="U74" s="54">
        <f>SUM(U66:U73)</f>
        <v>0</v>
      </c>
      <c r="V74" s="5"/>
    </row>
    <row r="75" spans="1:23" x14ac:dyDescent="0.25">
      <c r="A75" s="51"/>
      <c r="B75" s="66"/>
      <c r="C75" s="53"/>
      <c r="D75" s="52"/>
      <c r="E75" s="53"/>
      <c r="F75" s="53"/>
      <c r="G75" s="53"/>
      <c r="H75" s="53"/>
      <c r="I75" s="53"/>
      <c r="J75" s="52"/>
      <c r="K75" s="53"/>
      <c r="L75" s="52"/>
      <c r="M75" s="53"/>
      <c r="N75" s="53"/>
      <c r="O75" s="53"/>
      <c r="P75" s="53"/>
      <c r="Q75" s="53"/>
      <c r="R75" s="53"/>
      <c r="S75" s="53"/>
      <c r="T75" s="52"/>
      <c r="U75" s="54"/>
      <c r="V75" s="5"/>
      <c r="W75" s="3"/>
    </row>
    <row r="76" spans="1:23" ht="17.25" x14ac:dyDescent="0.4">
      <c r="A76" s="51" t="s">
        <v>89</v>
      </c>
      <c r="B76" s="66"/>
      <c r="C76" s="58">
        <v>0</v>
      </c>
      <c r="D76" s="56"/>
      <c r="E76" s="58">
        <v>0</v>
      </c>
      <c r="F76" s="55"/>
      <c r="G76" s="58">
        <v>0</v>
      </c>
      <c r="H76" s="55"/>
      <c r="I76" s="58">
        <v>0</v>
      </c>
      <c r="J76" s="56"/>
      <c r="K76" s="58">
        <f>'Annual detailed format'!K77</f>
        <v>0</v>
      </c>
      <c r="L76" s="56"/>
      <c r="M76" s="58">
        <f>'Annual detailed format'!M77</f>
        <v>0</v>
      </c>
      <c r="N76" s="114"/>
      <c r="O76" s="114">
        <f>'Annual detailed format'!O77</f>
        <v>0</v>
      </c>
      <c r="P76" s="58"/>
      <c r="Q76" s="114">
        <f>'Annual detailed format'!Q77</f>
        <v>0</v>
      </c>
      <c r="R76" s="114"/>
      <c r="S76" s="114">
        <f>'Annual detailed format'!S77</f>
        <v>0</v>
      </c>
      <c r="T76" s="56"/>
      <c r="U76" s="59">
        <f>'Annual detailed format'!AC77</f>
        <v>0</v>
      </c>
      <c r="V76" s="5"/>
    </row>
    <row r="77" spans="1:23" s="1" customFormat="1" ht="6" customHeight="1" x14ac:dyDescent="0.25">
      <c r="A77" s="67"/>
      <c r="B77" s="66"/>
      <c r="C77" s="53"/>
      <c r="D77" s="66"/>
      <c r="E77" s="53"/>
      <c r="F77" s="53"/>
      <c r="G77" s="53"/>
      <c r="H77" s="53"/>
      <c r="I77" s="53"/>
      <c r="J77" s="66"/>
      <c r="K77" s="53"/>
      <c r="L77" s="66"/>
      <c r="M77" s="53"/>
      <c r="N77" s="53"/>
      <c r="O77" s="53"/>
      <c r="P77" s="53"/>
      <c r="Q77" s="53"/>
      <c r="R77" s="53"/>
      <c r="S77" s="53"/>
      <c r="T77" s="66"/>
      <c r="U77" s="54"/>
      <c r="V77" s="2"/>
    </row>
    <row r="78" spans="1:23" x14ac:dyDescent="0.25">
      <c r="A78" s="61" t="s">
        <v>40</v>
      </c>
      <c r="B78" s="68"/>
      <c r="C78" s="63">
        <f>SUM(C74:C77)</f>
        <v>0</v>
      </c>
      <c r="D78" s="62"/>
      <c r="E78" s="63">
        <f>SUM(E74:E77)</f>
        <v>0</v>
      </c>
      <c r="F78" s="63"/>
      <c r="G78" s="63">
        <f>SUM(G74:G77)</f>
        <v>8915.9</v>
      </c>
      <c r="H78" s="63"/>
      <c r="I78" s="63">
        <f>SUM(I74:I77)</f>
        <v>7155.7000000000007</v>
      </c>
      <c r="J78" s="62"/>
      <c r="K78" s="63">
        <f>SUM(K74:K77)</f>
        <v>8186.26</v>
      </c>
      <c r="L78" s="62"/>
      <c r="M78" s="63">
        <f>SUM(M74:M77)</f>
        <v>0</v>
      </c>
      <c r="N78" s="63"/>
      <c r="O78" s="63">
        <f>SUM(O74:O77)</f>
        <v>0</v>
      </c>
      <c r="P78" s="63"/>
      <c r="Q78" s="63">
        <f>SUM(Q74:Q77)</f>
        <v>0</v>
      </c>
      <c r="R78" s="63"/>
      <c r="S78" s="63">
        <f>SUM(S74:S77)</f>
        <v>0</v>
      </c>
      <c r="T78" s="62"/>
      <c r="U78" s="64">
        <f>SUM(U74:U77)</f>
        <v>0</v>
      </c>
      <c r="V78" s="5"/>
    </row>
    <row r="79" spans="1:23" ht="6" customHeight="1" x14ac:dyDescent="0.25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65"/>
    </row>
    <row r="80" spans="1:23" ht="15.75" thickBot="1" x14ac:dyDescent="0.3">
      <c r="A80" s="43" t="s">
        <v>58</v>
      </c>
      <c r="B80" s="44"/>
      <c r="C80" s="45">
        <f>C62-C78</f>
        <v>0</v>
      </c>
      <c r="D80" s="44"/>
      <c r="E80" s="45">
        <f>E62-E78</f>
        <v>0</v>
      </c>
      <c r="F80" s="44"/>
      <c r="G80" s="45">
        <f>G62-G78</f>
        <v>2987.1000000000004</v>
      </c>
      <c r="H80" s="44"/>
      <c r="I80" s="45">
        <f>I62-I78</f>
        <v>2219.2999999999993</v>
      </c>
      <c r="J80" s="44"/>
      <c r="K80" s="45">
        <f>K62-K78</f>
        <v>1053.7399999999998</v>
      </c>
      <c r="L80" s="44"/>
      <c r="M80" s="45">
        <f>M62-M78</f>
        <v>155</v>
      </c>
      <c r="N80" s="113"/>
      <c r="O80" s="113">
        <f>O62-O78</f>
        <v>0</v>
      </c>
      <c r="P80" s="45"/>
      <c r="Q80" s="113">
        <f>Q62-Q78</f>
        <v>0</v>
      </c>
      <c r="R80" s="113"/>
      <c r="S80" s="113">
        <f>S62-S78</f>
        <v>395</v>
      </c>
      <c r="T80" s="44"/>
      <c r="U80" s="46">
        <f>U62-U78</f>
        <v>0</v>
      </c>
    </row>
    <row r="81" spans="1:22" ht="6" customHeight="1" x14ac:dyDescent="0.25"/>
    <row r="82" spans="1:22" ht="6" customHeight="1" thickBot="1" x14ac:dyDescent="0.3"/>
    <row r="83" spans="1:22" x14ac:dyDescent="0.25">
      <c r="A83" s="69" t="s">
        <v>50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1"/>
    </row>
    <row r="84" spans="1:22" x14ac:dyDescent="0.25">
      <c r="A84" s="76" t="s">
        <v>60</v>
      </c>
      <c r="B84" s="77"/>
      <c r="C84" s="77"/>
      <c r="D84" s="77"/>
      <c r="E84" s="78"/>
      <c r="F84" s="78"/>
      <c r="G84" s="78"/>
      <c r="H84" s="78"/>
      <c r="I84" s="78"/>
      <c r="J84" s="77"/>
      <c r="K84" s="78"/>
      <c r="L84" s="77"/>
      <c r="M84" s="78"/>
      <c r="N84" s="116"/>
      <c r="O84" s="116"/>
      <c r="P84" s="78"/>
      <c r="Q84" s="78"/>
      <c r="R84" s="116"/>
      <c r="S84" s="116"/>
      <c r="T84" s="77"/>
      <c r="U84" s="79"/>
      <c r="V84" s="5"/>
    </row>
    <row r="85" spans="1:22" x14ac:dyDescent="0.25">
      <c r="A85" s="80" t="s">
        <v>24</v>
      </c>
      <c r="B85" s="81"/>
      <c r="C85" s="82">
        <v>0</v>
      </c>
      <c r="D85" s="81"/>
      <c r="E85" s="82">
        <v>0</v>
      </c>
      <c r="F85" s="82"/>
      <c r="G85" s="82">
        <v>2500</v>
      </c>
      <c r="H85" s="82"/>
      <c r="I85" s="82">
        <v>6425</v>
      </c>
      <c r="J85" s="81"/>
      <c r="K85" s="82">
        <f>'Annual detailed format'!K86</f>
        <v>0</v>
      </c>
      <c r="L85" s="81"/>
      <c r="M85" s="82">
        <f>'Annual detailed format'!M86</f>
        <v>0</v>
      </c>
      <c r="N85" s="82"/>
      <c r="O85" s="82"/>
      <c r="P85" s="82"/>
      <c r="Q85" s="82">
        <f>'Annual detailed format'!Q86</f>
        <v>0</v>
      </c>
      <c r="R85" s="82"/>
      <c r="S85" s="82">
        <f>'Annual detailed format'!S86</f>
        <v>0</v>
      </c>
      <c r="T85" s="81"/>
      <c r="U85" s="83">
        <f>'Annual detailed format'!AC86</f>
        <v>0</v>
      </c>
      <c r="V85" s="5"/>
    </row>
    <row r="86" spans="1:22" x14ac:dyDescent="0.25">
      <c r="A86" s="80" t="s">
        <v>65</v>
      </c>
      <c r="B86" s="81"/>
      <c r="C86" s="82">
        <v>0</v>
      </c>
      <c r="D86" s="81"/>
      <c r="E86" s="82">
        <v>0</v>
      </c>
      <c r="F86" s="82"/>
      <c r="G86" s="82">
        <v>0</v>
      </c>
      <c r="H86" s="82"/>
      <c r="I86" s="82">
        <v>0</v>
      </c>
      <c r="J86" s="81"/>
      <c r="K86" s="82">
        <f>'Annual detailed format'!K87</f>
        <v>0</v>
      </c>
      <c r="L86" s="81"/>
      <c r="M86" s="82">
        <f>'Annual detailed format'!M87</f>
        <v>0</v>
      </c>
      <c r="N86" s="82"/>
      <c r="O86" s="82">
        <f>'Annual detailed format'!O87</f>
        <v>0</v>
      </c>
      <c r="P86" s="82"/>
      <c r="Q86" s="82">
        <f>'Annual detailed format'!Q87</f>
        <v>0</v>
      </c>
      <c r="R86" s="82"/>
      <c r="S86" s="82">
        <f>'Annual detailed format'!S87</f>
        <v>0</v>
      </c>
      <c r="T86" s="81"/>
      <c r="U86" s="83">
        <f>'Annual detailed format'!AC87</f>
        <v>0</v>
      </c>
      <c r="V86" s="5"/>
    </row>
    <row r="87" spans="1:22" x14ac:dyDescent="0.25">
      <c r="A87" s="80" t="s">
        <v>34</v>
      </c>
      <c r="B87" s="81"/>
      <c r="C87" s="84">
        <v>0</v>
      </c>
      <c r="D87" s="85"/>
      <c r="E87" s="84">
        <v>0</v>
      </c>
      <c r="F87" s="84"/>
      <c r="G87" s="84">
        <v>0</v>
      </c>
      <c r="H87" s="84"/>
      <c r="I87" s="84">
        <v>1000</v>
      </c>
      <c r="J87" s="85"/>
      <c r="K87" s="82">
        <f>'Annual detailed format'!K88</f>
        <v>0</v>
      </c>
      <c r="L87" s="85"/>
      <c r="M87" s="82">
        <f>'Annual detailed format'!M88</f>
        <v>0</v>
      </c>
      <c r="N87" s="82"/>
      <c r="O87" s="82">
        <f>'Annual detailed format'!O88</f>
        <v>1500</v>
      </c>
      <c r="P87" s="82"/>
      <c r="Q87" s="82">
        <f>'Annual detailed format'!Q88</f>
        <v>1000</v>
      </c>
      <c r="R87" s="82"/>
      <c r="S87" s="82">
        <f>'Annual detailed format'!S88</f>
        <v>1500</v>
      </c>
      <c r="T87" s="85"/>
      <c r="U87" s="83">
        <f>'Annual detailed format'!AC88</f>
        <v>20000</v>
      </c>
      <c r="V87" s="5"/>
    </row>
    <row r="88" spans="1:22" s="107" customFormat="1" x14ac:dyDescent="0.25">
      <c r="A88" s="117" t="s">
        <v>70</v>
      </c>
      <c r="B88" s="118"/>
      <c r="C88" s="119"/>
      <c r="D88" s="85"/>
      <c r="E88" s="119"/>
      <c r="F88" s="119"/>
      <c r="G88" s="119"/>
      <c r="H88" s="119"/>
      <c r="I88" s="119"/>
      <c r="J88" s="85"/>
      <c r="K88" s="82">
        <v>0</v>
      </c>
      <c r="L88" s="85"/>
      <c r="M88" s="82">
        <f>'Annual detailed format'!M89</f>
        <v>0</v>
      </c>
      <c r="N88" s="82"/>
      <c r="O88" s="82">
        <f>'Annual detailed format'!O89</f>
        <v>2110</v>
      </c>
      <c r="P88" s="82"/>
      <c r="Q88" s="82">
        <f>'Annual detailed format'!Q89</f>
        <v>0</v>
      </c>
      <c r="R88" s="82"/>
      <c r="S88" s="82">
        <f>'Annual detailed format'!S89</f>
        <v>0</v>
      </c>
      <c r="T88" s="85"/>
      <c r="U88" s="83">
        <f>'Annual detailed format'!AC89</f>
        <v>0</v>
      </c>
      <c r="V88" s="108"/>
    </row>
    <row r="89" spans="1:22" s="107" customFormat="1" x14ac:dyDescent="0.25">
      <c r="A89" s="117" t="s">
        <v>71</v>
      </c>
      <c r="B89" s="118"/>
      <c r="C89" s="119"/>
      <c r="D89" s="85"/>
      <c r="E89" s="119"/>
      <c r="F89" s="119"/>
      <c r="G89" s="119"/>
      <c r="H89" s="119"/>
      <c r="I89" s="119"/>
      <c r="J89" s="85"/>
      <c r="K89" s="82">
        <v>0</v>
      </c>
      <c r="L89" s="85"/>
      <c r="M89" s="82">
        <f>'Annual detailed format'!M90</f>
        <v>0</v>
      </c>
      <c r="N89" s="82"/>
      <c r="O89" s="82">
        <f>'Annual detailed format'!O90</f>
        <v>25000</v>
      </c>
      <c r="P89" s="82"/>
      <c r="Q89" s="82">
        <f>'Annual detailed format'!Q90</f>
        <v>0</v>
      </c>
      <c r="R89" s="82"/>
      <c r="S89" s="82">
        <f>'Annual detailed format'!S90</f>
        <v>0</v>
      </c>
      <c r="T89" s="85"/>
      <c r="U89" s="83">
        <f>'Annual detailed format'!AC90</f>
        <v>0</v>
      </c>
      <c r="V89" s="108"/>
    </row>
    <row r="90" spans="1:22" ht="17.25" x14ac:dyDescent="0.4">
      <c r="A90" s="80" t="s">
        <v>64</v>
      </c>
      <c r="B90" s="81"/>
      <c r="C90" s="87">
        <v>0</v>
      </c>
      <c r="D90" s="81"/>
      <c r="E90" s="87">
        <v>0</v>
      </c>
      <c r="F90" s="82"/>
      <c r="G90" s="87">
        <v>0</v>
      </c>
      <c r="H90" s="82"/>
      <c r="I90" s="87">
        <v>0</v>
      </c>
      <c r="J90" s="81"/>
      <c r="K90" s="87">
        <f>'Annual detailed format'!K91</f>
        <v>0</v>
      </c>
      <c r="L90" s="81"/>
      <c r="M90" s="87">
        <f>'Annual detailed format'!M91</f>
        <v>2500</v>
      </c>
      <c r="N90" s="120"/>
      <c r="O90" s="82">
        <f>'Annual detailed format'!O91</f>
        <v>3250</v>
      </c>
      <c r="P90" s="87"/>
      <c r="Q90" s="120">
        <f>'Annual detailed format'!Q91</f>
        <v>0</v>
      </c>
      <c r="R90" s="120"/>
      <c r="S90" s="120">
        <f>'Annual detailed format'!S91</f>
        <v>0</v>
      </c>
      <c r="T90" s="81"/>
      <c r="U90" s="83">
        <f>'Annual detailed format'!AC91</f>
        <v>0</v>
      </c>
      <c r="V90" s="5"/>
    </row>
    <row r="91" spans="1:22" s="1" customFormat="1" ht="6" customHeight="1" x14ac:dyDescent="0.25">
      <c r="A91" s="89"/>
      <c r="B91" s="90"/>
      <c r="C91" s="82"/>
      <c r="D91" s="90"/>
      <c r="E91" s="82"/>
      <c r="F91" s="82"/>
      <c r="G91" s="82"/>
      <c r="H91" s="82"/>
      <c r="I91" s="82"/>
      <c r="J91" s="90"/>
      <c r="K91" s="82"/>
      <c r="L91" s="90"/>
      <c r="M91" s="82"/>
      <c r="N91" s="82"/>
      <c r="O91" s="82"/>
      <c r="P91" s="82"/>
      <c r="Q91" s="82"/>
      <c r="R91" s="82"/>
      <c r="S91" s="82"/>
      <c r="T91" s="90"/>
      <c r="U91" s="83"/>
      <c r="V91" s="2"/>
    </row>
    <row r="92" spans="1:22" x14ac:dyDescent="0.25">
      <c r="A92" s="91" t="s">
        <v>76</v>
      </c>
      <c r="B92" s="92"/>
      <c r="C92" s="93">
        <f>SUM(C85:C91)</f>
        <v>0</v>
      </c>
      <c r="D92" s="92"/>
      <c r="E92" s="93">
        <f>SUM(E85:E91)</f>
        <v>0</v>
      </c>
      <c r="F92" s="93"/>
      <c r="G92" s="93">
        <f>SUM(G85:G91)</f>
        <v>2500</v>
      </c>
      <c r="H92" s="93"/>
      <c r="I92" s="93">
        <f>SUM(I85:I91)</f>
        <v>7425</v>
      </c>
      <c r="J92" s="92"/>
      <c r="K92" s="93">
        <f>SUM(K85:K91)</f>
        <v>0</v>
      </c>
      <c r="L92" s="92"/>
      <c r="M92" s="93">
        <f>SUM(M85:M91)</f>
        <v>2500</v>
      </c>
      <c r="N92" s="93"/>
      <c r="O92" s="93">
        <f>SUM(O85:O91)</f>
        <v>31860</v>
      </c>
      <c r="P92" s="93"/>
      <c r="Q92" s="93">
        <f>SUM(Q85:Q91)</f>
        <v>1000</v>
      </c>
      <c r="R92" s="93"/>
      <c r="S92" s="93">
        <f>SUM(S85:S91)</f>
        <v>1500</v>
      </c>
      <c r="T92" s="92"/>
      <c r="U92" s="94">
        <f>SUM(U85:U91)</f>
        <v>20000</v>
      </c>
      <c r="V92" s="5"/>
    </row>
    <row r="93" spans="1:22" ht="6" customHeight="1" x14ac:dyDescent="0.25">
      <c r="A93" s="80"/>
      <c r="B93" s="81"/>
      <c r="C93" s="82"/>
      <c r="D93" s="81"/>
      <c r="E93" s="82"/>
      <c r="F93" s="82"/>
      <c r="G93" s="82"/>
      <c r="H93" s="82"/>
      <c r="I93" s="82"/>
      <c r="J93" s="81"/>
      <c r="K93" s="82"/>
      <c r="L93" s="81"/>
      <c r="M93" s="82"/>
      <c r="N93" s="82"/>
      <c r="O93" s="82"/>
      <c r="P93" s="82"/>
      <c r="Q93" s="82"/>
      <c r="R93" s="82"/>
      <c r="S93" s="82"/>
      <c r="T93" s="81"/>
      <c r="U93" s="83"/>
      <c r="V93" s="5"/>
    </row>
    <row r="94" spans="1:22" x14ac:dyDescent="0.25">
      <c r="A94" s="76" t="s">
        <v>32</v>
      </c>
      <c r="B94" s="77"/>
      <c r="C94" s="77"/>
      <c r="D94" s="77"/>
      <c r="E94" s="78"/>
      <c r="F94" s="78"/>
      <c r="G94" s="78"/>
      <c r="H94" s="78"/>
      <c r="I94" s="78"/>
      <c r="J94" s="77"/>
      <c r="K94" s="78"/>
      <c r="L94" s="77"/>
      <c r="M94" s="78"/>
      <c r="N94" s="116"/>
      <c r="O94" s="116"/>
      <c r="P94" s="78"/>
      <c r="Q94" s="116"/>
      <c r="R94" s="116"/>
      <c r="S94" s="116"/>
      <c r="T94" s="77"/>
      <c r="U94" s="79"/>
      <c r="V94" s="5"/>
    </row>
    <row r="95" spans="1:22" x14ac:dyDescent="0.25">
      <c r="A95" s="117" t="s">
        <v>13</v>
      </c>
      <c r="B95" s="81"/>
      <c r="C95" s="84">
        <v>1339.76</v>
      </c>
      <c r="D95" s="85"/>
      <c r="E95" s="84">
        <v>3333</v>
      </c>
      <c r="F95" s="84"/>
      <c r="G95" s="84">
        <v>967.26</v>
      </c>
      <c r="H95" s="84"/>
      <c r="I95" s="84">
        <v>3293.2</v>
      </c>
      <c r="J95" s="81"/>
      <c r="K95" s="82">
        <f>'Annual detailed format'!K96</f>
        <v>1475.23</v>
      </c>
      <c r="L95" s="81"/>
      <c r="M95" s="82">
        <f>'Annual detailed format'!M96</f>
        <v>1795.55</v>
      </c>
      <c r="N95" s="82"/>
      <c r="O95" s="82">
        <f>'Annual detailed format'!O96</f>
        <v>2307.88</v>
      </c>
      <c r="P95" s="82"/>
      <c r="Q95" s="82">
        <f>'Annual detailed format'!Q96</f>
        <v>2717.49</v>
      </c>
      <c r="R95" s="82"/>
      <c r="S95" s="82">
        <f>'Annual detailed format'!S96</f>
        <v>2850.4</v>
      </c>
      <c r="T95" s="81"/>
      <c r="U95" s="83">
        <f>'Annual detailed format'!AC96</f>
        <v>0</v>
      </c>
      <c r="V95" s="5"/>
    </row>
    <row r="96" spans="1:22" x14ac:dyDescent="0.25">
      <c r="A96" s="117" t="s">
        <v>96</v>
      </c>
      <c r="B96" s="81"/>
      <c r="C96" s="84">
        <v>0</v>
      </c>
      <c r="D96" s="85"/>
      <c r="E96" s="84">
        <v>0</v>
      </c>
      <c r="F96" s="84"/>
      <c r="G96" s="84">
        <v>0</v>
      </c>
      <c r="H96" s="84"/>
      <c r="I96" s="84">
        <v>0</v>
      </c>
      <c r="J96" s="81"/>
      <c r="K96" s="82">
        <f>'Annual detailed format'!K97</f>
        <v>250</v>
      </c>
      <c r="L96" s="81"/>
      <c r="M96" s="82">
        <f>'Annual detailed format'!M97</f>
        <v>0</v>
      </c>
      <c r="N96" s="82"/>
      <c r="O96" s="82">
        <f>'Annual detailed format'!O97</f>
        <v>500</v>
      </c>
      <c r="P96" s="82"/>
      <c r="Q96" s="82">
        <f>'Annual detailed format'!Q97</f>
        <v>250</v>
      </c>
      <c r="R96" s="82"/>
      <c r="S96" s="82">
        <f>'Annual detailed format'!S97</f>
        <v>0</v>
      </c>
      <c r="T96" s="81"/>
      <c r="U96" s="83">
        <f>'Annual detailed format'!AC97</f>
        <v>10000</v>
      </c>
      <c r="V96" s="5"/>
    </row>
    <row r="97" spans="1:22" x14ac:dyDescent="0.25">
      <c r="A97" s="117" t="s">
        <v>14</v>
      </c>
      <c r="B97" s="81"/>
      <c r="C97" s="84">
        <v>1140</v>
      </c>
      <c r="D97" s="85"/>
      <c r="E97" s="84">
        <v>1000.4</v>
      </c>
      <c r="F97" s="84"/>
      <c r="G97" s="84">
        <v>500</v>
      </c>
      <c r="H97" s="84"/>
      <c r="I97" s="84">
        <v>500</v>
      </c>
      <c r="J97" s="81"/>
      <c r="K97" s="82">
        <f>'Annual detailed format'!K98</f>
        <v>500</v>
      </c>
      <c r="L97" s="81"/>
      <c r="M97" s="82">
        <f>'Annual detailed format'!M98</f>
        <v>500</v>
      </c>
      <c r="N97" s="82"/>
      <c r="O97" s="82">
        <f>'Annual detailed format'!O98</f>
        <v>500</v>
      </c>
      <c r="P97" s="82"/>
      <c r="Q97" s="82">
        <f>'Annual detailed format'!Q98</f>
        <v>500</v>
      </c>
      <c r="R97" s="82"/>
      <c r="S97" s="82">
        <f>'Annual detailed format'!S98</f>
        <v>500</v>
      </c>
      <c r="T97" s="81"/>
      <c r="U97" s="83">
        <f>'Annual detailed format'!AC98</f>
        <v>0</v>
      </c>
      <c r="V97" s="5"/>
    </row>
    <row r="98" spans="1:22" x14ac:dyDescent="0.25">
      <c r="A98" s="117" t="s">
        <v>66</v>
      </c>
      <c r="B98" s="81"/>
      <c r="C98" s="84">
        <v>0</v>
      </c>
      <c r="D98" s="85"/>
      <c r="E98" s="84">
        <v>0</v>
      </c>
      <c r="F98" s="84"/>
      <c r="G98" s="84">
        <v>0</v>
      </c>
      <c r="H98" s="84"/>
      <c r="I98" s="84">
        <v>0</v>
      </c>
      <c r="J98" s="81"/>
      <c r="K98" s="82">
        <f>'Annual detailed format'!K99</f>
        <v>0</v>
      </c>
      <c r="L98" s="81"/>
      <c r="M98" s="82">
        <f>'Annual detailed format'!M99</f>
        <v>0</v>
      </c>
      <c r="N98" s="82"/>
      <c r="O98" s="82">
        <f>'Annual detailed format'!O99</f>
        <v>0</v>
      </c>
      <c r="P98" s="82"/>
      <c r="Q98" s="82">
        <f>'Annual detailed format'!Q99</f>
        <v>0</v>
      </c>
      <c r="R98" s="82"/>
      <c r="S98" s="82">
        <f>'Annual detailed format'!S99</f>
        <v>0</v>
      </c>
      <c r="T98" s="81"/>
      <c r="U98" s="83">
        <f>'Annual detailed format'!AC99</f>
        <v>0</v>
      </c>
      <c r="V98" s="5"/>
    </row>
    <row r="99" spans="1:22" x14ac:dyDescent="0.25">
      <c r="A99" s="117" t="s">
        <v>67</v>
      </c>
      <c r="B99" s="81"/>
      <c r="C99" s="84">
        <v>0</v>
      </c>
      <c r="D99" s="85"/>
      <c r="E99" s="84">
        <v>0</v>
      </c>
      <c r="F99" s="84"/>
      <c r="G99" s="84">
        <v>0</v>
      </c>
      <c r="H99" s="84"/>
      <c r="I99" s="84">
        <v>0</v>
      </c>
      <c r="J99" s="81"/>
      <c r="K99" s="82">
        <f>'Annual detailed format'!K100</f>
        <v>0</v>
      </c>
      <c r="L99" s="81"/>
      <c r="M99" s="82">
        <f>'Annual detailed format'!M100</f>
        <v>500</v>
      </c>
      <c r="N99" s="82"/>
      <c r="O99" s="82">
        <f>'Annual detailed format'!O100</f>
        <v>0</v>
      </c>
      <c r="P99" s="82"/>
      <c r="Q99" s="82">
        <f>'Annual detailed format'!Q100</f>
        <v>250</v>
      </c>
      <c r="R99" s="82"/>
      <c r="S99" s="82">
        <f>'Annual detailed format'!S100</f>
        <v>250</v>
      </c>
      <c r="T99" s="81"/>
      <c r="U99" s="83">
        <f>'Annual detailed format'!AC100</f>
        <v>250</v>
      </c>
      <c r="V99" s="5"/>
    </row>
    <row r="100" spans="1:22" x14ac:dyDescent="0.25">
      <c r="A100" s="117" t="s">
        <v>41</v>
      </c>
      <c r="B100" s="81"/>
      <c r="C100" s="84">
        <v>0</v>
      </c>
      <c r="D100" s="85"/>
      <c r="E100" s="84">
        <v>0</v>
      </c>
      <c r="F100" s="84"/>
      <c r="G100" s="84">
        <v>0</v>
      </c>
      <c r="H100" s="84"/>
      <c r="I100" s="84">
        <v>161.04</v>
      </c>
      <c r="J100" s="81"/>
      <c r="K100" s="82">
        <f>'Annual detailed format'!K101</f>
        <v>0</v>
      </c>
      <c r="L100" s="81"/>
      <c r="M100" s="82">
        <f>'Annual detailed format'!M101</f>
        <v>0</v>
      </c>
      <c r="N100" s="82"/>
      <c r="O100" s="82">
        <f>'Annual detailed format'!O101</f>
        <v>0</v>
      </c>
      <c r="P100" s="82"/>
      <c r="Q100" s="82">
        <f>'Annual detailed format'!Q101</f>
        <v>0</v>
      </c>
      <c r="R100" s="82"/>
      <c r="S100" s="82">
        <f>'Annual detailed format'!S101</f>
        <v>0</v>
      </c>
      <c r="T100" s="81"/>
      <c r="U100" s="83">
        <f>'Annual detailed format'!AC101</f>
        <v>0</v>
      </c>
      <c r="V100" s="5"/>
    </row>
    <row r="101" spans="1:22" x14ac:dyDescent="0.25">
      <c r="A101" s="117" t="s">
        <v>94</v>
      </c>
      <c r="B101" s="81"/>
      <c r="C101" s="84">
        <v>0</v>
      </c>
      <c r="D101" s="85"/>
      <c r="E101" s="84">
        <f>198.05+476.5</f>
        <v>674.55</v>
      </c>
      <c r="F101" s="84"/>
      <c r="G101" s="84">
        <v>163.62</v>
      </c>
      <c r="H101" s="84"/>
      <c r="I101" s="84">
        <v>308.06</v>
      </c>
      <c r="J101" s="81"/>
      <c r="K101" s="82">
        <f>'Annual detailed format'!K103</f>
        <v>650</v>
      </c>
      <c r="L101" s="81"/>
      <c r="M101" s="82">
        <f>'Annual detailed format'!M103</f>
        <v>500</v>
      </c>
      <c r="N101" s="82"/>
      <c r="O101" s="82">
        <f>'Annual detailed format'!O103</f>
        <v>0</v>
      </c>
      <c r="P101" s="82"/>
      <c r="Q101" s="82">
        <f>'Annual detailed format'!Q103</f>
        <v>1170.82</v>
      </c>
      <c r="R101" s="82"/>
      <c r="S101" s="82">
        <f>'Annual detailed format'!S103</f>
        <v>2640</v>
      </c>
      <c r="T101" s="81"/>
      <c r="U101" s="83">
        <f>'Annual detailed format'!AC102</f>
        <v>15500</v>
      </c>
      <c r="V101" s="5"/>
    </row>
    <row r="102" spans="1:22" x14ac:dyDescent="0.25">
      <c r="A102" s="117" t="s">
        <v>92</v>
      </c>
      <c r="B102" s="81"/>
      <c r="C102" s="84">
        <v>0</v>
      </c>
      <c r="D102" s="85"/>
      <c r="E102" s="84">
        <v>0</v>
      </c>
      <c r="F102" s="84"/>
      <c r="G102" s="84">
        <f>125+125</f>
        <v>250</v>
      </c>
      <c r="H102" s="84"/>
      <c r="I102" s="84">
        <v>0</v>
      </c>
      <c r="J102" s="85"/>
      <c r="K102" s="82">
        <f>'Annual detailed format'!K104</f>
        <v>5321</v>
      </c>
      <c r="L102" s="85"/>
      <c r="M102" s="82">
        <f>'Annual detailed format'!M104</f>
        <v>0</v>
      </c>
      <c r="N102" s="82"/>
      <c r="O102" s="82">
        <f>'Annual detailed format'!O104</f>
        <v>0</v>
      </c>
      <c r="P102" s="82"/>
      <c r="Q102" s="82">
        <f>'Annual detailed format'!Q104</f>
        <v>0</v>
      </c>
      <c r="R102" s="82"/>
      <c r="S102" s="82">
        <f>'Annual detailed format'!S104</f>
        <v>0</v>
      </c>
      <c r="T102" s="85"/>
      <c r="U102" s="83">
        <f>'Annual detailed format'!AC103</f>
        <v>2000</v>
      </c>
      <c r="V102" s="5"/>
    </row>
    <row r="103" spans="1:22" x14ac:dyDescent="0.25">
      <c r="A103" s="117" t="s">
        <v>22</v>
      </c>
      <c r="B103" s="81"/>
      <c r="C103" s="84">
        <v>0</v>
      </c>
      <c r="D103" s="85"/>
      <c r="E103" s="84">
        <v>0</v>
      </c>
      <c r="F103" s="84"/>
      <c r="G103" s="84">
        <v>0</v>
      </c>
      <c r="H103" s="84"/>
      <c r="I103" s="84">
        <f>-15.36+160</f>
        <v>144.63999999999999</v>
      </c>
      <c r="J103" s="85"/>
      <c r="K103" s="82">
        <f>'Annual detailed format'!K105</f>
        <v>0</v>
      </c>
      <c r="L103" s="85"/>
      <c r="M103" s="82">
        <f>'Annual detailed format'!M105</f>
        <v>0</v>
      </c>
      <c r="N103" s="82"/>
      <c r="O103" s="82">
        <f>'Annual detailed format'!O105</f>
        <v>0</v>
      </c>
      <c r="P103" s="82"/>
      <c r="Q103" s="82">
        <f>'Annual detailed format'!Q105</f>
        <v>0</v>
      </c>
      <c r="R103" s="82"/>
      <c r="S103" s="82">
        <f>'Annual detailed format'!S105</f>
        <v>0</v>
      </c>
      <c r="T103" s="85"/>
      <c r="U103" s="83">
        <f>'Annual detailed format'!AC104</f>
        <v>0</v>
      </c>
      <c r="V103" s="5"/>
    </row>
    <row r="104" spans="1:22" x14ac:dyDescent="0.25">
      <c r="A104" s="117" t="s">
        <v>39</v>
      </c>
      <c r="B104" s="81"/>
      <c r="C104" s="84">
        <v>0</v>
      </c>
      <c r="D104" s="85"/>
      <c r="E104" s="84">
        <v>0</v>
      </c>
      <c r="F104" s="84"/>
      <c r="G104" s="84">
        <v>0</v>
      </c>
      <c r="H104" s="84"/>
      <c r="I104" s="84">
        <v>148</v>
      </c>
      <c r="J104" s="85"/>
      <c r="K104" s="82">
        <f>'Annual detailed format'!K106</f>
        <v>0</v>
      </c>
      <c r="L104" s="85"/>
      <c r="M104" s="82">
        <f>'Annual detailed format'!M106</f>
        <v>77.349999999999994</v>
      </c>
      <c r="N104" s="82"/>
      <c r="O104" s="82">
        <f>'Annual detailed format'!O106</f>
        <v>0</v>
      </c>
      <c r="P104" s="82"/>
      <c r="Q104" s="82">
        <f>'Annual detailed format'!Q106</f>
        <v>214.32</v>
      </c>
      <c r="R104" s="82"/>
      <c r="S104" s="82">
        <f>'Annual detailed format'!S106</f>
        <v>180</v>
      </c>
      <c r="T104" s="85"/>
      <c r="U104" s="83">
        <f>'Annual detailed format'!AC105</f>
        <v>0</v>
      </c>
      <c r="V104" s="5"/>
    </row>
    <row r="105" spans="1:22" s="107" customFormat="1" x14ac:dyDescent="0.25">
      <c r="A105" s="117" t="s">
        <v>43</v>
      </c>
      <c r="B105" s="118"/>
      <c r="C105" s="119">
        <v>0</v>
      </c>
      <c r="D105" s="85"/>
      <c r="E105" s="119">
        <v>0</v>
      </c>
      <c r="F105" s="119"/>
      <c r="G105" s="119">
        <v>0</v>
      </c>
      <c r="H105" s="119"/>
      <c r="I105" s="119">
        <v>0</v>
      </c>
      <c r="J105" s="85"/>
      <c r="K105" s="82">
        <v>0</v>
      </c>
      <c r="L105" s="85"/>
      <c r="M105" s="82">
        <f>'Annual detailed format'!M107</f>
        <v>0</v>
      </c>
      <c r="N105" s="82"/>
      <c r="O105" s="82">
        <f>'Annual detailed format'!O107</f>
        <v>0</v>
      </c>
      <c r="P105" s="82"/>
      <c r="Q105" s="82">
        <f>'Annual detailed format'!Q107</f>
        <v>955</v>
      </c>
      <c r="R105" s="82"/>
      <c r="S105" s="82">
        <f>'Annual detailed format'!S107</f>
        <v>0</v>
      </c>
      <c r="T105" s="85"/>
      <c r="U105" s="83">
        <f>'Annual detailed format'!AC106</f>
        <v>250</v>
      </c>
      <c r="V105" s="108"/>
    </row>
    <row r="106" spans="1:22" ht="17.25" x14ac:dyDescent="0.4">
      <c r="A106" s="117" t="s">
        <v>74</v>
      </c>
      <c r="B106" s="81"/>
      <c r="C106" s="87">
        <v>0</v>
      </c>
      <c r="D106" s="85"/>
      <c r="E106" s="87">
        <v>0</v>
      </c>
      <c r="F106" s="87"/>
      <c r="G106" s="87">
        <v>147</v>
      </c>
      <c r="H106" s="87"/>
      <c r="I106" s="87">
        <v>0</v>
      </c>
      <c r="J106" s="81"/>
      <c r="K106" s="87">
        <f>'Annual detailed format'!K108</f>
        <v>0</v>
      </c>
      <c r="L106" s="81"/>
      <c r="M106" s="87">
        <f>'Annual detailed format'!M108</f>
        <v>0</v>
      </c>
      <c r="N106" s="120"/>
      <c r="O106" s="120">
        <f>'Annual detailed format'!O108</f>
        <v>0</v>
      </c>
      <c r="P106" s="87"/>
      <c r="Q106" s="120">
        <f>'Annual detailed format'!Q108</f>
        <v>0</v>
      </c>
      <c r="R106" s="120"/>
      <c r="S106" s="120">
        <f>'Annual detailed format'!S108</f>
        <v>0</v>
      </c>
      <c r="T106" s="81"/>
      <c r="U106" s="83">
        <f>'Annual detailed format'!AC107</f>
        <v>0</v>
      </c>
      <c r="V106" s="5"/>
    </row>
    <row r="107" spans="1:22" x14ac:dyDescent="0.25">
      <c r="A107" s="117" t="s">
        <v>93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118"/>
      <c r="O107" s="118"/>
      <c r="P107" s="81"/>
      <c r="Q107" s="118"/>
      <c r="R107" s="118"/>
      <c r="S107" s="118"/>
      <c r="T107" s="81"/>
      <c r="U107" s="83">
        <f>'Annual detailed format'!AC108</f>
        <v>10000</v>
      </c>
    </row>
    <row r="108" spans="1:22" x14ac:dyDescent="0.25">
      <c r="A108" s="91" t="s">
        <v>33</v>
      </c>
      <c r="B108" s="92"/>
      <c r="C108" s="96">
        <f>SUM(C95:C107)</f>
        <v>2479.7600000000002</v>
      </c>
      <c r="D108" s="92"/>
      <c r="E108" s="96">
        <f>SUM(E95:E107)</f>
        <v>5007.95</v>
      </c>
      <c r="F108" s="92"/>
      <c r="G108" s="96">
        <f>SUM(G95:G107)</f>
        <v>2027.88</v>
      </c>
      <c r="H108" s="92"/>
      <c r="I108" s="96">
        <f>SUM(I95:I107)</f>
        <v>4554.9400000000005</v>
      </c>
      <c r="J108" s="92"/>
      <c r="K108" s="96">
        <f>SUM(K95:K107)</f>
        <v>8196.23</v>
      </c>
      <c r="L108" s="92"/>
      <c r="M108" s="96">
        <f>SUM(M95:M107)</f>
        <v>3372.9</v>
      </c>
      <c r="N108" s="121"/>
      <c r="O108" s="121">
        <f>SUM(O95:O107)</f>
        <v>3307.88</v>
      </c>
      <c r="P108" s="96"/>
      <c r="Q108" s="121">
        <f>SUM(Q95:Q107)</f>
        <v>6057.6299999999992</v>
      </c>
      <c r="R108" s="121"/>
      <c r="S108" s="121">
        <f>SUM(S95:S107)</f>
        <v>6420.4</v>
      </c>
      <c r="T108" s="92"/>
      <c r="U108" s="97">
        <f>SUM(U95:U107)</f>
        <v>38000</v>
      </c>
    </row>
    <row r="109" spans="1:22" ht="6" customHeight="1" x14ac:dyDescent="0.25">
      <c r="A109" s="80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118"/>
      <c r="O109" s="118"/>
      <c r="P109" s="81"/>
      <c r="Q109" s="118"/>
      <c r="R109" s="118"/>
      <c r="S109" s="118"/>
      <c r="T109" s="81"/>
      <c r="U109" s="95"/>
    </row>
    <row r="110" spans="1:22" ht="15.75" thickBot="1" x14ac:dyDescent="0.3">
      <c r="A110" s="72" t="s">
        <v>62</v>
      </c>
      <c r="B110" s="73"/>
      <c r="C110" s="74">
        <f>C92-C108</f>
        <v>-2479.7600000000002</v>
      </c>
      <c r="D110" s="73"/>
      <c r="E110" s="74">
        <f>E92-E108</f>
        <v>-5007.95</v>
      </c>
      <c r="F110" s="73"/>
      <c r="G110" s="74">
        <f>G92-G108</f>
        <v>472.11999999999989</v>
      </c>
      <c r="H110" s="73"/>
      <c r="I110" s="74">
        <f>I92-I108</f>
        <v>2870.0599999999995</v>
      </c>
      <c r="J110" s="73"/>
      <c r="K110" s="74">
        <f>K92-K108</f>
        <v>-8196.23</v>
      </c>
      <c r="L110" s="73"/>
      <c r="M110" s="74">
        <f>M92-M108</f>
        <v>-872.90000000000009</v>
      </c>
      <c r="N110" s="115"/>
      <c r="O110" s="115">
        <f>O92-O108</f>
        <v>28552.12</v>
      </c>
      <c r="P110" s="74"/>
      <c r="Q110" s="115">
        <f>Q92-Q108</f>
        <v>-5057.6299999999992</v>
      </c>
      <c r="R110" s="115"/>
      <c r="S110" s="115">
        <f>S92-S108</f>
        <v>-4920.3999999999996</v>
      </c>
      <c r="T110" s="73"/>
      <c r="U110" s="75">
        <f>U92-U108</f>
        <v>-18000</v>
      </c>
    </row>
    <row r="111" spans="1:22" ht="6" customHeight="1" x14ac:dyDescent="0.25">
      <c r="Q111" s="107"/>
    </row>
    <row r="112" spans="1:22" ht="6" customHeight="1" thickBot="1" x14ac:dyDescent="0.3">
      <c r="Q112" s="107"/>
    </row>
    <row r="113" spans="1:21" ht="15.75" thickBot="1" x14ac:dyDescent="0.3">
      <c r="A113" s="98" t="s">
        <v>63</v>
      </c>
      <c r="B113" s="99"/>
      <c r="C113" s="100">
        <f>C48+C80+C110</f>
        <v>3645.619999999999</v>
      </c>
      <c r="D113" s="99"/>
      <c r="E113" s="100">
        <f>E48+E80+E110</f>
        <v>178.46000000000004</v>
      </c>
      <c r="F113" s="99"/>
      <c r="G113" s="100">
        <f>G48+G80+G110</f>
        <v>3087.9399999999996</v>
      </c>
      <c r="H113" s="99"/>
      <c r="I113" s="100">
        <f>I48+I80+I110</f>
        <v>5206.07</v>
      </c>
      <c r="J113" s="99"/>
      <c r="K113" s="100">
        <f>K48+K80+K110</f>
        <v>-4965.92</v>
      </c>
      <c r="L113" s="99"/>
      <c r="M113" s="100">
        <f>M48+M80+M110</f>
        <v>4257.1500000000015</v>
      </c>
      <c r="N113" s="122"/>
      <c r="O113" s="122">
        <f>O48+O80+O110</f>
        <v>29863.5</v>
      </c>
      <c r="P113" s="100"/>
      <c r="Q113" s="122">
        <f>Q48+Q80+Q110</f>
        <v>1031.8600000000006</v>
      </c>
      <c r="R113" s="122"/>
      <c r="S113" s="122">
        <f>S48+S80+S110</f>
        <v>597.15999999999894</v>
      </c>
      <c r="T113" s="99"/>
      <c r="U113" s="101">
        <f>U48+U80+U110</f>
        <v>-15312</v>
      </c>
    </row>
  </sheetData>
  <pageMargins left="0.7" right="0.7" top="0.75" bottom="0.75" header="0.3" footer="0.3"/>
  <pageSetup scale="76" orientation="portrait" r:id="rId1"/>
  <colBreaks count="1" manualBreakCount="1">
    <brk id="2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15"/>
  <sheetViews>
    <sheetView topLeftCell="A70" zoomScale="90" zoomScaleNormal="90" workbookViewId="0">
      <pane xSplit="2" topLeftCell="C1" activePane="topRight" state="frozen"/>
      <selection pane="topRight" activeCell="AC96" sqref="AC96:AC108"/>
    </sheetView>
  </sheetViews>
  <sheetFormatPr defaultRowHeight="15" x14ac:dyDescent="0.25"/>
  <cols>
    <col min="1" max="1" width="20.42578125" customWidth="1"/>
    <col min="2" max="2" width="45.5703125" bestFit="1" customWidth="1"/>
    <col min="3" max="3" width="10.5703125" customWidth="1"/>
    <col min="4" max="4" width="3.5703125" customWidth="1"/>
    <col min="5" max="5" width="10.5703125" customWidth="1"/>
    <col min="6" max="6" width="3.5703125" customWidth="1"/>
    <col min="7" max="7" width="10.5703125" customWidth="1"/>
    <col min="8" max="8" width="3.5703125" customWidth="1"/>
    <col min="9" max="9" width="10.5703125" customWidth="1"/>
    <col min="10" max="10" width="3.5703125" customWidth="1"/>
    <col min="11" max="11" width="10.5703125" customWidth="1"/>
    <col min="12" max="12" width="3.5703125" style="4" customWidth="1"/>
    <col min="13" max="13" width="10.5703125" style="4" customWidth="1"/>
    <col min="14" max="14" width="3.5703125" style="4" customWidth="1"/>
    <col min="15" max="15" width="10.5703125" style="4" customWidth="1"/>
    <col min="16" max="16" width="3.5703125" style="107" customWidth="1"/>
    <col min="17" max="17" width="10.5703125" style="107" bestFit="1" customWidth="1"/>
    <col min="18" max="18" width="3.5703125" style="107" customWidth="1"/>
    <col min="19" max="19" width="10.5703125" style="107" bestFit="1" customWidth="1"/>
    <col min="20" max="20" width="3.5703125" style="107" customWidth="1"/>
    <col min="21" max="21" width="11.5703125" style="107" bestFit="1" customWidth="1"/>
    <col min="22" max="22" width="3.5703125" customWidth="1"/>
    <col min="23" max="23" width="11.5703125" style="107" bestFit="1" customWidth="1"/>
    <col min="24" max="24" width="3.5703125" style="107" customWidth="1"/>
    <col min="25" max="25" width="13.7109375" style="107" customWidth="1"/>
    <col min="26" max="26" width="3.5703125" style="107" customWidth="1"/>
    <col min="27" max="27" width="14.28515625" style="107" customWidth="1"/>
    <col min="28" max="28" width="3.5703125" style="107" customWidth="1"/>
    <col min="29" max="29" width="12.5703125" style="107" customWidth="1"/>
  </cols>
  <sheetData>
    <row r="1" spans="1:30" s="4" customFormat="1" ht="15.75" thickBot="1" x14ac:dyDescent="0.3">
      <c r="A1" s="102"/>
      <c r="B1" s="99"/>
      <c r="C1" s="103">
        <v>2009</v>
      </c>
      <c r="D1" s="104"/>
      <c r="E1" s="103">
        <v>2010</v>
      </c>
      <c r="F1" s="103"/>
      <c r="G1" s="103">
        <v>2011</v>
      </c>
      <c r="H1" s="103"/>
      <c r="I1" s="103">
        <v>2012</v>
      </c>
      <c r="J1" s="104"/>
      <c r="K1" s="103">
        <v>2013</v>
      </c>
      <c r="L1" s="104"/>
      <c r="M1" s="103">
        <v>2014</v>
      </c>
      <c r="N1" s="103"/>
      <c r="O1" s="103">
        <v>2015</v>
      </c>
      <c r="P1" s="104"/>
      <c r="Q1" s="103">
        <v>2016</v>
      </c>
      <c r="R1" s="104"/>
      <c r="S1" s="103">
        <v>2017</v>
      </c>
      <c r="T1" s="104"/>
      <c r="U1" s="103">
        <v>2018</v>
      </c>
      <c r="V1" s="104"/>
      <c r="W1" s="103">
        <v>2019</v>
      </c>
      <c r="X1" s="104"/>
      <c r="Y1" s="103">
        <v>2020</v>
      </c>
      <c r="Z1" s="104"/>
      <c r="AA1" s="104">
        <v>2021</v>
      </c>
      <c r="AB1" s="104"/>
      <c r="AC1" s="124" t="s">
        <v>95</v>
      </c>
    </row>
    <row r="2" spans="1:30" s="4" customFormat="1" ht="6" customHeight="1" thickBot="1" x14ac:dyDescent="0.3">
      <c r="P2" s="107"/>
      <c r="Q2" s="107"/>
      <c r="R2" s="107"/>
      <c r="S2" s="107"/>
      <c r="T2" s="107"/>
      <c r="U2" s="123"/>
      <c r="V2" s="123"/>
      <c r="W2" s="123"/>
      <c r="X2" s="123"/>
      <c r="Y2" s="123"/>
      <c r="Z2" s="123"/>
      <c r="AA2" s="123"/>
      <c r="AB2" s="123"/>
      <c r="AC2" s="107"/>
    </row>
    <row r="3" spans="1:30" s="4" customFormat="1" x14ac:dyDescent="0.25">
      <c r="A3" s="6" t="s">
        <v>48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</row>
    <row r="4" spans="1:30" s="4" customFormat="1" x14ac:dyDescent="0.25">
      <c r="A4" s="29" t="s">
        <v>53</v>
      </c>
      <c r="B4" s="30"/>
      <c r="C4" s="31"/>
      <c r="D4" s="30"/>
      <c r="E4" s="31"/>
      <c r="F4" s="31"/>
      <c r="G4" s="31"/>
      <c r="H4" s="31"/>
      <c r="I4" s="31"/>
      <c r="J4" s="30"/>
      <c r="K4" s="31"/>
      <c r="L4" s="30"/>
      <c r="M4" s="31"/>
      <c r="N4" s="31"/>
      <c r="O4" s="31"/>
      <c r="P4" s="30"/>
      <c r="Q4" s="31"/>
      <c r="R4" s="30"/>
      <c r="S4" s="31"/>
      <c r="T4" s="30"/>
      <c r="U4" s="31"/>
      <c r="V4" s="30"/>
      <c r="W4" s="31"/>
      <c r="X4" s="30"/>
      <c r="Y4" s="30"/>
      <c r="Z4" s="30"/>
      <c r="AA4" s="30"/>
      <c r="AB4" s="30"/>
      <c r="AC4" s="32"/>
    </row>
    <row r="5" spans="1:30" s="4" customFormat="1" x14ac:dyDescent="0.25">
      <c r="A5" s="13" t="s">
        <v>11</v>
      </c>
      <c r="B5" s="14"/>
      <c r="C5" s="17">
        <f>9080-C6</f>
        <v>3580</v>
      </c>
      <c r="D5" s="14"/>
      <c r="E5" s="17">
        <f>1649.79+5794.04-E6</f>
        <v>2465.13</v>
      </c>
      <c r="F5" s="17"/>
      <c r="G5" s="17">
        <v>2664.21</v>
      </c>
      <c r="H5" s="17"/>
      <c r="I5" s="17">
        <v>3124.54</v>
      </c>
      <c r="J5" s="14"/>
      <c r="K5" s="17">
        <v>3472.95</v>
      </c>
      <c r="L5" s="14"/>
      <c r="M5" s="17">
        <f>6688.86+610</f>
        <v>7298.86</v>
      </c>
      <c r="N5" s="17"/>
      <c r="O5" s="17">
        <v>5154</v>
      </c>
      <c r="P5" s="110"/>
      <c r="Q5" s="17">
        <v>6800</v>
      </c>
      <c r="R5" s="110"/>
      <c r="S5" s="17">
        <v>6740</v>
      </c>
      <c r="T5" s="110"/>
      <c r="U5" s="17">
        <v>5007</v>
      </c>
      <c r="V5" s="110"/>
      <c r="W5" s="17">
        <v>7895.45</v>
      </c>
      <c r="X5" s="110"/>
      <c r="Y5" s="110">
        <v>12189.15</v>
      </c>
      <c r="Z5" s="110"/>
      <c r="AA5" s="110">
        <v>5758</v>
      </c>
      <c r="AB5" s="110"/>
      <c r="AC5" s="18">
        <v>8000</v>
      </c>
    </row>
    <row r="6" spans="1:30" s="4" customFormat="1" x14ac:dyDescent="0.25">
      <c r="A6" s="13" t="s">
        <v>12</v>
      </c>
      <c r="B6" s="14"/>
      <c r="C6" s="15">
        <v>5500</v>
      </c>
      <c r="D6" s="14"/>
      <c r="E6" s="15">
        <f>5000-(2.5+11.3+2.5+2.5+2.5)</f>
        <v>4978.7</v>
      </c>
      <c r="F6" s="15"/>
      <c r="G6" s="15">
        <v>5465.6</v>
      </c>
      <c r="H6" s="15"/>
      <c r="I6" s="15">
        <v>3970</v>
      </c>
      <c r="J6" s="14"/>
      <c r="K6" s="15">
        <v>4139.5</v>
      </c>
      <c r="L6" s="14"/>
      <c r="M6" s="15">
        <f>3911+200</f>
        <v>4111</v>
      </c>
      <c r="N6" s="15"/>
      <c r="O6" s="15">
        <v>4379.66</v>
      </c>
      <c r="P6" s="110"/>
      <c r="Q6" s="15">
        <v>6295.97</v>
      </c>
      <c r="R6" s="110"/>
      <c r="S6" s="15">
        <v>4966.57</v>
      </c>
      <c r="T6" s="110"/>
      <c r="U6" s="15">
        <v>7102.65</v>
      </c>
      <c r="V6" s="110"/>
      <c r="W6" s="15">
        <v>1905</v>
      </c>
      <c r="X6" s="110"/>
      <c r="Y6" s="110">
        <v>3047.9</v>
      </c>
      <c r="Z6" s="110"/>
      <c r="AA6" s="110">
        <v>5000</v>
      </c>
      <c r="AB6" s="110"/>
      <c r="AC6" s="16">
        <v>0</v>
      </c>
    </row>
    <row r="7" spans="1:30" s="4" customFormat="1" x14ac:dyDescent="0.25">
      <c r="A7" s="13" t="s">
        <v>44</v>
      </c>
      <c r="B7" s="14"/>
      <c r="C7" s="19">
        <v>107.82</v>
      </c>
      <c r="D7" s="14"/>
      <c r="E7" s="19">
        <f>2.61+179.18</f>
        <v>181.79000000000002</v>
      </c>
      <c r="F7" s="19"/>
      <c r="G7" s="19">
        <v>125.88</v>
      </c>
      <c r="H7" s="19"/>
      <c r="I7" s="19">
        <f>259.7+0.14</f>
        <v>259.83999999999997</v>
      </c>
      <c r="J7" s="14"/>
      <c r="K7" s="19">
        <v>280.23</v>
      </c>
      <c r="L7" s="14"/>
      <c r="M7" s="19">
        <f>199.16+0.48+92.62</f>
        <v>292.26</v>
      </c>
      <c r="N7" s="19"/>
      <c r="O7" s="19">
        <v>214.49</v>
      </c>
      <c r="P7" s="110"/>
      <c r="Q7" s="19">
        <v>663.56</v>
      </c>
      <c r="R7" s="110"/>
      <c r="S7" s="19">
        <v>427.96</v>
      </c>
      <c r="T7" s="110"/>
      <c r="U7" s="19">
        <v>-53.53</v>
      </c>
      <c r="V7" s="110"/>
      <c r="W7" s="19">
        <v>488.24</v>
      </c>
      <c r="X7" s="110"/>
      <c r="Y7" s="110">
        <v>866.02</v>
      </c>
      <c r="Z7" s="110"/>
      <c r="AA7" s="110">
        <v>22.3</v>
      </c>
      <c r="AB7" s="110"/>
      <c r="AC7" s="20">
        <v>500</v>
      </c>
    </row>
    <row r="8" spans="1:30" s="1" customFormat="1" ht="6" customHeight="1" x14ac:dyDescent="0.25">
      <c r="A8" s="21"/>
      <c r="B8" s="22"/>
      <c r="C8" s="15"/>
      <c r="D8" s="22"/>
      <c r="E8" s="15"/>
      <c r="F8" s="15"/>
      <c r="G8" s="15"/>
      <c r="H8" s="15"/>
      <c r="I8" s="15"/>
      <c r="J8" s="22"/>
      <c r="K8" s="15"/>
      <c r="L8" s="22"/>
      <c r="M8" s="15"/>
      <c r="N8" s="15"/>
      <c r="O8" s="15"/>
      <c r="P8" s="22"/>
      <c r="Q8" s="15"/>
      <c r="R8" s="22"/>
      <c r="S8" s="15"/>
      <c r="T8" s="22"/>
      <c r="U8" s="15"/>
      <c r="V8" s="22"/>
      <c r="W8" s="15"/>
      <c r="X8" s="22"/>
      <c r="Y8" s="22"/>
      <c r="Z8" s="22"/>
      <c r="AA8" s="22"/>
      <c r="AB8" s="22"/>
      <c r="AC8" s="16"/>
    </row>
    <row r="9" spans="1:30" s="4" customFormat="1" x14ac:dyDescent="0.25">
      <c r="A9" s="33" t="s">
        <v>54</v>
      </c>
      <c r="B9" s="34"/>
      <c r="C9" s="35">
        <f>SUM(C5:C7)</f>
        <v>9187.82</v>
      </c>
      <c r="D9" s="34"/>
      <c r="E9" s="35">
        <f>SUM(E5:E7)</f>
        <v>7625.62</v>
      </c>
      <c r="F9" s="36"/>
      <c r="G9" s="35">
        <f>SUM(G5:G7)</f>
        <v>8255.69</v>
      </c>
      <c r="H9" s="36"/>
      <c r="I9" s="35">
        <f>SUM(I5:I7)</f>
        <v>7354.38</v>
      </c>
      <c r="J9" s="34"/>
      <c r="K9" s="35">
        <f>SUM(K5:K7)</f>
        <v>7892.68</v>
      </c>
      <c r="L9" s="34"/>
      <c r="M9" s="35">
        <f>SUM(M5:M7)</f>
        <v>11702.12</v>
      </c>
      <c r="N9" s="35"/>
      <c r="O9" s="35">
        <f>SUM(O5:O7)</f>
        <v>9748.15</v>
      </c>
      <c r="P9" s="34"/>
      <c r="Q9" s="35">
        <f>SUM(Q5:Q7)</f>
        <v>13759.53</v>
      </c>
      <c r="R9" s="34"/>
      <c r="S9" s="35">
        <f>SUM(S5:S7)</f>
        <v>12134.529999999999</v>
      </c>
      <c r="T9" s="34"/>
      <c r="U9" s="35">
        <f>SUM(U5:U7)</f>
        <v>12056.119999999999</v>
      </c>
      <c r="V9" s="34"/>
      <c r="W9" s="35">
        <f>SUM(W5:W7)</f>
        <v>10288.69</v>
      </c>
      <c r="X9" s="34"/>
      <c r="Y9" s="35">
        <f>SUM(Y5:Y7)</f>
        <v>16103.07</v>
      </c>
      <c r="Z9" s="34"/>
      <c r="AA9" s="35">
        <f>SUM(AA5:AA7)</f>
        <v>10780.3</v>
      </c>
      <c r="AB9" s="34"/>
      <c r="AC9" s="37">
        <f>SUM(AC5:AC7)</f>
        <v>8500</v>
      </c>
    </row>
    <row r="10" spans="1:30" s="4" customFormat="1" ht="6" customHeight="1" x14ac:dyDescent="0.25">
      <c r="A10" s="13"/>
      <c r="B10" s="14"/>
      <c r="C10" s="15"/>
      <c r="D10" s="14"/>
      <c r="E10" s="15"/>
      <c r="F10" s="15"/>
      <c r="G10" s="15"/>
      <c r="H10" s="15"/>
      <c r="I10" s="15"/>
      <c r="J10" s="14"/>
      <c r="K10" s="15"/>
      <c r="L10" s="14"/>
      <c r="M10" s="15"/>
      <c r="N10" s="15"/>
      <c r="O10" s="15"/>
      <c r="P10" s="110"/>
      <c r="Q10" s="15"/>
      <c r="R10" s="110"/>
      <c r="S10" s="15"/>
      <c r="T10" s="110"/>
      <c r="U10" s="15"/>
      <c r="V10" s="110"/>
      <c r="W10" s="15"/>
      <c r="X10" s="110"/>
      <c r="Y10" s="110"/>
      <c r="Z10" s="110"/>
      <c r="AA10" s="110"/>
      <c r="AB10" s="110"/>
      <c r="AC10" s="16"/>
    </row>
    <row r="11" spans="1:30" s="4" customFormat="1" x14ac:dyDescent="0.25">
      <c r="A11" s="29" t="s">
        <v>52</v>
      </c>
      <c r="B11" s="30"/>
      <c r="C11" s="31"/>
      <c r="D11" s="30"/>
      <c r="E11" s="31"/>
      <c r="F11" s="31"/>
      <c r="G11" s="31"/>
      <c r="H11" s="31"/>
      <c r="I11" s="31"/>
      <c r="J11" s="30"/>
      <c r="K11" s="31"/>
      <c r="L11" s="30"/>
      <c r="M11" s="31"/>
      <c r="N11" s="31"/>
      <c r="O11" s="31"/>
      <c r="P11" s="30"/>
      <c r="Q11" s="31"/>
      <c r="R11" s="30"/>
      <c r="S11" s="31"/>
      <c r="T11" s="30"/>
      <c r="U11" s="31"/>
      <c r="V11" s="30"/>
      <c r="W11" s="31"/>
      <c r="X11" s="30"/>
      <c r="Y11" s="30"/>
      <c r="Z11" s="30"/>
      <c r="AA11" s="30"/>
      <c r="AB11" s="30"/>
      <c r="AC11" s="32"/>
    </row>
    <row r="12" spans="1:30" s="4" customFormat="1" x14ac:dyDescent="0.25">
      <c r="A12" s="13" t="s">
        <v>3</v>
      </c>
      <c r="B12" s="14"/>
      <c r="C12" s="15"/>
      <c r="D12" s="14"/>
      <c r="E12" s="15"/>
      <c r="F12" s="15"/>
      <c r="G12" s="15"/>
      <c r="H12" s="15"/>
      <c r="I12" s="15"/>
      <c r="J12" s="14"/>
      <c r="K12" s="15"/>
      <c r="L12" s="14"/>
      <c r="M12" s="15"/>
      <c r="N12" s="15"/>
      <c r="O12" s="15"/>
      <c r="P12" s="110"/>
      <c r="Q12" s="15"/>
      <c r="R12" s="110"/>
      <c r="S12" s="15"/>
      <c r="T12" s="110"/>
      <c r="U12" s="15"/>
      <c r="V12" s="110"/>
      <c r="W12" s="15"/>
      <c r="X12" s="110"/>
      <c r="Y12" s="110"/>
      <c r="Z12" s="110"/>
      <c r="AA12" s="110"/>
      <c r="AB12" s="110"/>
      <c r="AC12" s="16"/>
    </row>
    <row r="13" spans="1:30" s="4" customFormat="1" x14ac:dyDescent="0.25">
      <c r="A13" s="13"/>
      <c r="B13" s="14" t="s">
        <v>36</v>
      </c>
      <c r="C13" s="15">
        <f>599.99+50+60+30+70+30+30</f>
        <v>869.99</v>
      </c>
      <c r="D13" s="14"/>
      <c r="E13" s="15">
        <f>360+40</f>
        <v>400</v>
      </c>
      <c r="F13" s="15"/>
      <c r="G13" s="15">
        <v>331</v>
      </c>
      <c r="H13" s="15"/>
      <c r="I13" s="15">
        <v>403</v>
      </c>
      <c r="J13" s="14"/>
      <c r="K13" s="15">
        <v>40</v>
      </c>
      <c r="L13" s="14"/>
      <c r="M13" s="15">
        <v>400</v>
      </c>
      <c r="N13" s="15"/>
      <c r="O13" s="15">
        <f>400</f>
        <v>400</v>
      </c>
      <c r="P13" s="110"/>
      <c r="Q13" s="15">
        <v>200</v>
      </c>
      <c r="R13" s="110"/>
      <c r="S13" s="15">
        <v>310.68</v>
      </c>
      <c r="T13" s="110"/>
      <c r="U13" s="15">
        <v>240</v>
      </c>
      <c r="V13" s="110"/>
      <c r="W13" s="15"/>
      <c r="X13" s="110"/>
      <c r="Y13" s="110"/>
      <c r="Z13" s="110"/>
      <c r="AA13" s="15">
        <v>0</v>
      </c>
      <c r="AB13" s="110"/>
      <c r="AC13" s="16"/>
      <c r="AD13" s="3"/>
    </row>
    <row r="14" spans="1:30" s="4" customFormat="1" x14ac:dyDescent="0.25">
      <c r="A14" s="13"/>
      <c r="B14" s="14" t="s">
        <v>90</v>
      </c>
      <c r="C14" s="15">
        <v>0</v>
      </c>
      <c r="D14" s="14"/>
      <c r="E14" s="15">
        <v>0</v>
      </c>
      <c r="F14" s="15"/>
      <c r="G14" s="15">
        <v>3623.97</v>
      </c>
      <c r="H14" s="15"/>
      <c r="I14" s="15">
        <v>0</v>
      </c>
      <c r="J14" s="14"/>
      <c r="K14" s="15">
        <v>360</v>
      </c>
      <c r="L14" s="14"/>
      <c r="M14" s="15">
        <v>0</v>
      </c>
      <c r="N14" s="15"/>
      <c r="O14" s="15">
        <v>0</v>
      </c>
      <c r="P14" s="110"/>
      <c r="Q14" s="15">
        <v>3000</v>
      </c>
      <c r="R14" s="110"/>
      <c r="S14" s="15">
        <v>0</v>
      </c>
      <c r="T14" s="110"/>
      <c r="U14" s="15">
        <v>0</v>
      </c>
      <c r="V14" s="110"/>
      <c r="W14" s="15"/>
      <c r="X14" s="110"/>
      <c r="Y14" s="110"/>
      <c r="Z14" s="110"/>
      <c r="AA14" s="15">
        <v>0</v>
      </c>
      <c r="AB14" s="110"/>
      <c r="AC14" s="16"/>
      <c r="AD14" s="3"/>
    </row>
    <row r="15" spans="1:30" s="4" customFormat="1" x14ac:dyDescent="0.25">
      <c r="A15" s="13"/>
      <c r="B15" s="14" t="s">
        <v>16</v>
      </c>
      <c r="C15" s="15">
        <v>0</v>
      </c>
      <c r="D15" s="14"/>
      <c r="E15" s="15">
        <f>134.25+25</f>
        <v>159.25</v>
      </c>
      <c r="F15" s="15"/>
      <c r="G15" s="15">
        <v>406.03</v>
      </c>
      <c r="H15" s="15"/>
      <c r="I15" s="15">
        <f>525.86</f>
        <v>525.86</v>
      </c>
      <c r="J15" s="14"/>
      <c r="K15" s="15">
        <v>1108.7</v>
      </c>
      <c r="L15" s="14"/>
      <c r="M15" s="15">
        <v>487.7</v>
      </c>
      <c r="N15" s="15"/>
      <c r="O15" s="15">
        <f>753.83</f>
        <v>753.83</v>
      </c>
      <c r="P15" s="110"/>
      <c r="Q15" s="15">
        <v>930.85</v>
      </c>
      <c r="R15" s="110"/>
      <c r="S15" s="15">
        <v>981.97</v>
      </c>
      <c r="T15" s="110"/>
      <c r="U15" s="15">
        <v>998.26</v>
      </c>
      <c r="V15" s="110"/>
      <c r="W15" s="15"/>
      <c r="X15" s="110"/>
      <c r="Y15" s="110">
        <v>865.22</v>
      </c>
      <c r="Z15" s="110"/>
      <c r="AA15" s="15">
        <v>0</v>
      </c>
      <c r="AB15" s="110"/>
      <c r="AC15" s="16"/>
    </row>
    <row r="16" spans="1:30" s="4" customFormat="1" x14ac:dyDescent="0.25">
      <c r="A16" s="13"/>
      <c r="B16" s="14" t="s">
        <v>98</v>
      </c>
      <c r="C16" s="15">
        <v>0</v>
      </c>
      <c r="D16" s="14"/>
      <c r="E16" s="15">
        <v>0</v>
      </c>
      <c r="F16" s="15"/>
      <c r="G16" s="15">
        <v>0</v>
      </c>
      <c r="H16" s="15"/>
      <c r="I16" s="15">
        <f>96+12</f>
        <v>108</v>
      </c>
      <c r="J16" s="14"/>
      <c r="K16" s="15">
        <v>143.62</v>
      </c>
      <c r="L16" s="14"/>
      <c r="M16" s="15">
        <v>144</v>
      </c>
      <c r="N16" s="15"/>
      <c r="O16" s="15">
        <v>472.11</v>
      </c>
      <c r="P16" s="110"/>
      <c r="Q16" s="15">
        <v>0</v>
      </c>
      <c r="R16" s="110"/>
      <c r="S16" s="15">
        <v>591.23</v>
      </c>
      <c r="T16" s="110"/>
      <c r="U16" s="15">
        <v>438.49</v>
      </c>
      <c r="V16" s="110"/>
      <c r="W16" s="15"/>
      <c r="X16" s="110"/>
      <c r="Y16" s="110"/>
      <c r="Z16" s="110"/>
      <c r="AA16" s="15">
        <v>0</v>
      </c>
      <c r="AB16" s="110"/>
      <c r="AC16" s="16">
        <v>288</v>
      </c>
    </row>
    <row r="17" spans="1:29" s="1" customFormat="1" x14ac:dyDescent="0.25">
      <c r="A17" s="21"/>
      <c r="B17" s="14" t="s">
        <v>15</v>
      </c>
      <c r="C17" s="15">
        <f>590.61+225.54+856.4</f>
        <v>1672.55</v>
      </c>
      <c r="D17" s="22"/>
      <c r="E17" s="15">
        <v>359.27</v>
      </c>
      <c r="F17" s="15"/>
      <c r="G17" s="15">
        <v>0</v>
      </c>
      <c r="H17" s="15"/>
      <c r="I17" s="15">
        <v>0</v>
      </c>
      <c r="J17" s="22"/>
      <c r="K17" s="15">
        <v>0</v>
      </c>
      <c r="L17" s="22"/>
      <c r="M17" s="15">
        <v>0</v>
      </c>
      <c r="N17" s="15"/>
      <c r="O17" s="15">
        <v>0</v>
      </c>
      <c r="P17" s="22"/>
      <c r="Q17" s="15">
        <v>0</v>
      </c>
      <c r="R17" s="22"/>
      <c r="S17" s="15">
        <v>0</v>
      </c>
      <c r="T17" s="22"/>
      <c r="U17" s="15">
        <v>0</v>
      </c>
      <c r="V17" s="22"/>
      <c r="W17" s="15"/>
      <c r="X17" s="22"/>
      <c r="Y17" s="22"/>
      <c r="Z17" s="22"/>
      <c r="AA17" s="15">
        <v>0</v>
      </c>
      <c r="AB17" s="22"/>
      <c r="AC17" s="16">
        <v>0</v>
      </c>
    </row>
    <row r="18" spans="1:29" s="4" customFormat="1" x14ac:dyDescent="0.25">
      <c r="A18" s="13"/>
      <c r="B18" s="14" t="s">
        <v>97</v>
      </c>
      <c r="C18" s="23">
        <v>0</v>
      </c>
      <c r="D18" s="25"/>
      <c r="E18" s="23">
        <v>0</v>
      </c>
      <c r="F18" s="23"/>
      <c r="G18" s="23">
        <v>0</v>
      </c>
      <c r="H18" s="23"/>
      <c r="I18" s="23">
        <v>20</v>
      </c>
      <c r="J18" s="25"/>
      <c r="K18" s="23">
        <v>0</v>
      </c>
      <c r="L18" s="25"/>
      <c r="M18" s="23">
        <v>0</v>
      </c>
      <c r="N18" s="23"/>
      <c r="O18" s="23">
        <v>0</v>
      </c>
      <c r="P18" s="25"/>
      <c r="Q18" s="111">
        <v>0</v>
      </c>
      <c r="R18" s="25"/>
      <c r="S18" s="111">
        <v>0</v>
      </c>
      <c r="T18" s="25"/>
      <c r="U18" s="111">
        <v>0</v>
      </c>
      <c r="V18" s="25"/>
      <c r="W18" s="111"/>
      <c r="X18" s="25"/>
      <c r="Y18" s="25"/>
      <c r="Z18" s="25"/>
      <c r="AA18" s="15">
        <v>0</v>
      </c>
      <c r="AB18" s="25"/>
      <c r="AC18" s="24">
        <v>0</v>
      </c>
    </row>
    <row r="19" spans="1:29" s="4" customFormat="1" x14ac:dyDescent="0.25">
      <c r="A19" s="13"/>
      <c r="B19" s="14" t="s">
        <v>38</v>
      </c>
      <c r="C19" s="23">
        <v>0</v>
      </c>
      <c r="D19" s="25"/>
      <c r="E19" s="23">
        <v>0</v>
      </c>
      <c r="F19" s="23"/>
      <c r="G19" s="23">
        <v>0</v>
      </c>
      <c r="H19" s="23"/>
      <c r="I19" s="23">
        <v>0</v>
      </c>
      <c r="J19" s="25"/>
      <c r="K19" s="23">
        <v>216.4</v>
      </c>
      <c r="L19" s="25"/>
      <c r="M19" s="23">
        <v>0</v>
      </c>
      <c r="N19" s="23"/>
      <c r="O19" s="23">
        <v>0</v>
      </c>
      <c r="P19" s="25"/>
      <c r="Q19" s="111">
        <v>0</v>
      </c>
      <c r="R19" s="25"/>
      <c r="S19" s="111">
        <v>0</v>
      </c>
      <c r="T19" s="25"/>
      <c r="U19" s="111">
        <v>0</v>
      </c>
      <c r="V19" s="25"/>
      <c r="W19" s="111">
        <v>803.83</v>
      </c>
      <c r="X19" s="25"/>
      <c r="Y19" s="25">
        <v>466</v>
      </c>
      <c r="Z19" s="25"/>
      <c r="AA19" s="15">
        <v>0</v>
      </c>
      <c r="AB19" s="25"/>
      <c r="AC19" s="24">
        <v>0</v>
      </c>
    </row>
    <row r="20" spans="1:29" s="107" customFormat="1" x14ac:dyDescent="0.25">
      <c r="A20" s="13"/>
      <c r="B20" s="110" t="s">
        <v>72</v>
      </c>
      <c r="C20" s="111">
        <v>0</v>
      </c>
      <c r="D20" s="25"/>
      <c r="E20" s="111">
        <v>0</v>
      </c>
      <c r="F20" s="111"/>
      <c r="G20" s="111">
        <v>0</v>
      </c>
      <c r="H20" s="111"/>
      <c r="I20" s="111">
        <v>0</v>
      </c>
      <c r="J20" s="25"/>
      <c r="K20" s="111">
        <v>0</v>
      </c>
      <c r="L20" s="25"/>
      <c r="M20" s="111">
        <v>0</v>
      </c>
      <c r="N20" s="111"/>
      <c r="O20" s="111">
        <v>0</v>
      </c>
      <c r="P20" s="25"/>
      <c r="Q20" s="111">
        <v>0</v>
      </c>
      <c r="R20" s="25"/>
      <c r="S20" s="111">
        <v>0</v>
      </c>
      <c r="T20" s="25"/>
      <c r="U20" s="111">
        <v>-577.29</v>
      </c>
      <c r="V20" s="25"/>
      <c r="W20" s="111"/>
      <c r="X20" s="25"/>
      <c r="Y20" s="25"/>
      <c r="Z20" s="25"/>
      <c r="AA20" s="15">
        <v>0</v>
      </c>
      <c r="AB20" s="25"/>
      <c r="AC20" s="24">
        <v>0</v>
      </c>
    </row>
    <row r="21" spans="1:29" s="4" customFormat="1" ht="17.25" x14ac:dyDescent="0.4">
      <c r="A21" s="13"/>
      <c r="B21" s="14" t="s">
        <v>20</v>
      </c>
      <c r="C21" s="112">
        <v>0</v>
      </c>
      <c r="D21" s="25"/>
      <c r="E21" s="112">
        <v>0</v>
      </c>
      <c r="F21" s="23"/>
      <c r="G21" s="26">
        <v>0</v>
      </c>
      <c r="H21" s="26"/>
      <c r="I21" s="26">
        <v>0</v>
      </c>
      <c r="J21" s="106"/>
      <c r="K21" s="26">
        <v>0</v>
      </c>
      <c r="L21" s="106"/>
      <c r="M21" s="26">
        <v>0</v>
      </c>
      <c r="N21" s="26"/>
      <c r="O21" s="26">
        <v>0</v>
      </c>
      <c r="P21" s="106"/>
      <c r="Q21" s="112">
        <v>0</v>
      </c>
      <c r="R21" s="106"/>
      <c r="S21" s="112">
        <v>0</v>
      </c>
      <c r="T21" s="106"/>
      <c r="U21" s="112">
        <v>0</v>
      </c>
      <c r="V21" s="106"/>
      <c r="W21" s="112">
        <v>0</v>
      </c>
      <c r="X21" s="106"/>
      <c r="Y21" s="106"/>
      <c r="Z21" s="106"/>
      <c r="AA21" s="27">
        <v>0</v>
      </c>
      <c r="AB21" s="106"/>
      <c r="AC21" s="27">
        <v>0</v>
      </c>
    </row>
    <row r="22" spans="1:29" s="4" customFormat="1" x14ac:dyDescent="0.25">
      <c r="A22" s="13" t="s">
        <v>4</v>
      </c>
      <c r="B22" s="14"/>
      <c r="C22" s="23">
        <f>SUM(C13:C21)</f>
        <v>2542.54</v>
      </c>
      <c r="D22" s="25"/>
      <c r="E22" s="23">
        <f>SUM(E13:E21)</f>
        <v>918.52</v>
      </c>
      <c r="F22" s="23"/>
      <c r="G22" s="23">
        <f>SUM(G13:G21)</f>
        <v>4361</v>
      </c>
      <c r="H22" s="23"/>
      <c r="I22" s="23">
        <f>SUM(I13:I21)</f>
        <v>1056.8600000000001</v>
      </c>
      <c r="J22" s="25"/>
      <c r="K22" s="23">
        <f>SUM(K13:K21)</f>
        <v>1868.7200000000003</v>
      </c>
      <c r="L22" s="25"/>
      <c r="M22" s="23">
        <f>SUM(M13:M21)</f>
        <v>1031.7</v>
      </c>
      <c r="N22" s="23"/>
      <c r="O22" s="23">
        <f>SUM(O13:O21)</f>
        <v>1625.94</v>
      </c>
      <c r="P22" s="25"/>
      <c r="Q22" s="111">
        <f>SUM(Q13:Q21)</f>
        <v>4130.8500000000004</v>
      </c>
      <c r="R22" s="25"/>
      <c r="S22" s="111">
        <f>SUM(S13:S21)</f>
        <v>1883.88</v>
      </c>
      <c r="T22" s="25"/>
      <c r="U22" s="111">
        <f>SUM(U13:U21)</f>
        <v>1099.46</v>
      </c>
      <c r="V22" s="25"/>
      <c r="W22" s="111">
        <f>SUM(W13:W21)</f>
        <v>803.83</v>
      </c>
      <c r="X22" s="25"/>
      <c r="Y22" s="111">
        <f>SUM(Y13:Y21)</f>
        <v>1331.22</v>
      </c>
      <c r="Z22" s="25"/>
      <c r="AA22" s="111">
        <f>SUM(AA13:AA21)</f>
        <v>0</v>
      </c>
      <c r="AB22" s="25"/>
      <c r="AC22" s="24">
        <f>SUM(AC13:AC21)</f>
        <v>288</v>
      </c>
    </row>
    <row r="23" spans="1:29" s="4" customFormat="1" ht="6" customHeight="1" x14ac:dyDescent="0.25">
      <c r="A23" s="13"/>
      <c r="B23" s="14"/>
      <c r="C23" s="23"/>
      <c r="D23" s="25"/>
      <c r="E23" s="23"/>
      <c r="F23" s="23"/>
      <c r="G23" s="23"/>
      <c r="H23" s="23"/>
      <c r="I23" s="23"/>
      <c r="J23" s="25"/>
      <c r="K23" s="23"/>
      <c r="L23" s="25"/>
      <c r="M23" s="23"/>
      <c r="N23" s="23"/>
      <c r="O23" s="23"/>
      <c r="P23" s="25"/>
      <c r="Q23" s="111"/>
      <c r="R23" s="25"/>
      <c r="S23" s="111"/>
      <c r="T23" s="25"/>
      <c r="U23" s="111"/>
      <c r="V23" s="25"/>
      <c r="W23" s="111"/>
      <c r="X23" s="25"/>
      <c r="Y23" s="25"/>
      <c r="Z23" s="25"/>
      <c r="AA23" s="25"/>
      <c r="AB23" s="25"/>
      <c r="AC23" s="24"/>
    </row>
    <row r="24" spans="1:29" s="4" customFormat="1" x14ac:dyDescent="0.25">
      <c r="A24" s="13" t="s">
        <v>5</v>
      </c>
      <c r="B24" s="14"/>
      <c r="C24" s="23"/>
      <c r="D24" s="25"/>
      <c r="E24" s="23"/>
      <c r="F24" s="23"/>
      <c r="G24" s="23"/>
      <c r="H24" s="23"/>
      <c r="I24" s="23"/>
      <c r="J24" s="25"/>
      <c r="K24" s="23"/>
      <c r="L24" s="25"/>
      <c r="M24" s="23"/>
      <c r="N24" s="23"/>
      <c r="O24" s="23"/>
      <c r="P24" s="25"/>
      <c r="Q24" s="111"/>
      <c r="R24" s="25"/>
      <c r="S24" s="111"/>
      <c r="T24" s="25"/>
      <c r="U24" s="111"/>
      <c r="V24" s="25"/>
      <c r="W24" s="111"/>
      <c r="X24" s="25"/>
      <c r="Y24" s="25"/>
      <c r="Z24" s="25"/>
      <c r="AA24" s="25"/>
      <c r="AB24" s="25"/>
      <c r="AC24" s="24"/>
    </row>
    <row r="25" spans="1:29" s="4" customFormat="1" x14ac:dyDescent="0.25">
      <c r="A25" s="13"/>
      <c r="B25" s="14" t="s">
        <v>2</v>
      </c>
      <c r="C25" s="23">
        <f>228.48+96</f>
        <v>324.48</v>
      </c>
      <c r="D25" s="14"/>
      <c r="E25" s="23">
        <f>8.8+41.36</f>
        <v>50.16</v>
      </c>
      <c r="F25" s="23"/>
      <c r="G25" s="23">
        <v>126.43</v>
      </c>
      <c r="H25" s="23"/>
      <c r="I25" s="15">
        <v>388.05</v>
      </c>
      <c r="J25" s="14"/>
      <c r="K25" s="15">
        <v>45</v>
      </c>
      <c r="L25" s="14"/>
      <c r="M25" s="15">
        <v>168.7</v>
      </c>
      <c r="N25" s="15"/>
      <c r="O25" s="15">
        <f>121.68</f>
        <v>121.68</v>
      </c>
      <c r="P25" s="110"/>
      <c r="Q25" s="15">
        <v>145</v>
      </c>
      <c r="R25" s="110"/>
      <c r="S25" s="15">
        <v>120.02</v>
      </c>
      <c r="T25" s="110"/>
      <c r="U25" s="15">
        <v>109.8</v>
      </c>
      <c r="V25" s="110"/>
      <c r="W25" s="15">
        <v>159.75</v>
      </c>
      <c r="X25" s="110"/>
      <c r="Y25" s="110">
        <f>448.76-322</f>
        <v>126.75999999999999</v>
      </c>
      <c r="Z25" s="110"/>
      <c r="AA25" s="110">
        <v>264.43</v>
      </c>
      <c r="AB25" s="110"/>
      <c r="AC25" s="16">
        <v>500</v>
      </c>
    </row>
    <row r="26" spans="1:29" s="4" customFormat="1" x14ac:dyDescent="0.25">
      <c r="A26" s="13"/>
      <c r="B26" s="14" t="s">
        <v>69</v>
      </c>
      <c r="C26" s="23">
        <v>0</v>
      </c>
      <c r="D26" s="25"/>
      <c r="E26" s="23">
        <v>0</v>
      </c>
      <c r="F26" s="23"/>
      <c r="G26" s="23">
        <v>0</v>
      </c>
      <c r="H26" s="23"/>
      <c r="I26" s="23">
        <v>0</v>
      </c>
      <c r="J26" s="25"/>
      <c r="K26" s="23">
        <v>220.12</v>
      </c>
      <c r="L26" s="25"/>
      <c r="M26" s="23">
        <v>0</v>
      </c>
      <c r="N26" s="23"/>
      <c r="O26" s="23">
        <v>0</v>
      </c>
      <c r="P26" s="25"/>
      <c r="Q26" s="111">
        <v>0</v>
      </c>
      <c r="R26" s="25"/>
      <c r="S26" s="111">
        <v>0</v>
      </c>
      <c r="T26" s="25"/>
      <c r="U26" s="111">
        <v>0</v>
      </c>
      <c r="V26" s="25"/>
      <c r="W26" s="111"/>
      <c r="X26" s="25"/>
      <c r="Y26" s="25"/>
      <c r="Z26" s="25"/>
      <c r="AA26" s="25"/>
      <c r="AB26" s="25"/>
      <c r="AC26" s="24">
        <v>0</v>
      </c>
    </row>
    <row r="27" spans="1:29" s="4" customFormat="1" ht="17.25" x14ac:dyDescent="0.4">
      <c r="A27" s="13"/>
      <c r="B27" s="14" t="s">
        <v>91</v>
      </c>
      <c r="C27" s="26">
        <v>0</v>
      </c>
      <c r="D27" s="14"/>
      <c r="E27" s="26">
        <v>0</v>
      </c>
      <c r="F27" s="26"/>
      <c r="G27" s="26">
        <v>0</v>
      </c>
      <c r="H27" s="26"/>
      <c r="I27" s="26">
        <f>96+12</f>
        <v>108</v>
      </c>
      <c r="J27" s="14"/>
      <c r="K27" s="26">
        <v>143.61000000000001</v>
      </c>
      <c r="L27" s="14"/>
      <c r="M27" s="26">
        <v>144</v>
      </c>
      <c r="N27" s="26"/>
      <c r="O27" s="26">
        <v>472.11</v>
      </c>
      <c r="P27" s="110"/>
      <c r="Q27" s="112">
        <v>0</v>
      </c>
      <c r="R27" s="110"/>
      <c r="S27" s="112">
        <v>591.23</v>
      </c>
      <c r="T27" s="110"/>
      <c r="U27" s="112">
        <v>438.49</v>
      </c>
      <c r="V27" s="110"/>
      <c r="W27" s="112">
        <v>0</v>
      </c>
      <c r="X27" s="110"/>
      <c r="Y27" s="112">
        <v>0</v>
      </c>
      <c r="Z27" s="110"/>
      <c r="AA27" s="110"/>
      <c r="AB27" s="110"/>
      <c r="AC27" s="27">
        <v>500</v>
      </c>
    </row>
    <row r="28" spans="1:29" s="4" customFormat="1" x14ac:dyDescent="0.25">
      <c r="A28" s="13" t="s">
        <v>6</v>
      </c>
      <c r="B28" s="14"/>
      <c r="C28" s="23">
        <f>SUM(C25:C27)</f>
        <v>324.48</v>
      </c>
      <c r="D28" s="25"/>
      <c r="E28" s="23">
        <f>SUM(E25:E27)</f>
        <v>50.16</v>
      </c>
      <c r="F28" s="23"/>
      <c r="G28" s="23">
        <f>SUM(G25:G27)</f>
        <v>126.43</v>
      </c>
      <c r="H28" s="23"/>
      <c r="I28" s="23">
        <f>SUM(I25:I27)</f>
        <v>496.05</v>
      </c>
      <c r="J28" s="25"/>
      <c r="K28" s="23">
        <f>SUM(K25:K27)</f>
        <v>408.73</v>
      </c>
      <c r="L28" s="25"/>
      <c r="M28" s="23">
        <f>SUM(M25:M27)</f>
        <v>312.7</v>
      </c>
      <c r="N28" s="23"/>
      <c r="O28" s="23">
        <f>SUM(O25:O27)</f>
        <v>593.79</v>
      </c>
      <c r="P28" s="25"/>
      <c r="Q28" s="111">
        <f>SUM(Q25:Q27)</f>
        <v>145</v>
      </c>
      <c r="R28" s="25"/>
      <c r="S28" s="111">
        <f>SUM(S25:S27)</f>
        <v>711.25</v>
      </c>
      <c r="T28" s="25"/>
      <c r="U28" s="111">
        <f>SUM(U25:U27)</f>
        <v>548.29</v>
      </c>
      <c r="V28" s="25"/>
      <c r="W28" s="111">
        <f>SUM(W25:W27)</f>
        <v>159.75</v>
      </c>
      <c r="X28" s="25"/>
      <c r="Y28" s="111">
        <f>SUM(Y25:Y27)</f>
        <v>126.75999999999999</v>
      </c>
      <c r="Z28" s="25"/>
      <c r="AA28" s="111">
        <f>SUM(AA25:AA27)</f>
        <v>264.43</v>
      </c>
      <c r="AB28" s="25"/>
      <c r="AC28" s="24">
        <f>SUM(AC25:AC27)</f>
        <v>1000</v>
      </c>
    </row>
    <row r="29" spans="1:29" s="4" customFormat="1" ht="6" customHeight="1" x14ac:dyDescent="0.25">
      <c r="A29" s="13"/>
      <c r="B29" s="14"/>
      <c r="C29" s="23"/>
      <c r="D29" s="25"/>
      <c r="E29" s="23"/>
      <c r="F29" s="23"/>
      <c r="G29" s="23"/>
      <c r="H29" s="23"/>
      <c r="I29" s="23"/>
      <c r="J29" s="25"/>
      <c r="K29" s="23"/>
      <c r="L29" s="25"/>
      <c r="M29" s="23"/>
      <c r="N29" s="23"/>
      <c r="O29" s="23"/>
      <c r="P29" s="25"/>
      <c r="Q29" s="111"/>
      <c r="R29" s="25"/>
      <c r="S29" s="111"/>
      <c r="T29" s="25"/>
      <c r="U29" s="111"/>
      <c r="V29" s="25"/>
      <c r="W29" s="111"/>
      <c r="X29" s="25"/>
      <c r="Y29" s="25"/>
      <c r="Z29" s="25"/>
      <c r="AA29" s="25"/>
      <c r="AB29" s="25"/>
      <c r="AC29" s="24"/>
    </row>
    <row r="30" spans="1:29" s="4" customFormat="1" x14ac:dyDescent="0.25">
      <c r="A30" s="13" t="s">
        <v>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28"/>
    </row>
    <row r="31" spans="1:29" s="107" customFormat="1" x14ac:dyDescent="0.25">
      <c r="A31" s="13"/>
      <c r="B31" s="110" t="s">
        <v>75</v>
      </c>
      <c r="C31" s="15">
        <v>0</v>
      </c>
      <c r="D31" s="110"/>
      <c r="E31" s="15">
        <v>0</v>
      </c>
      <c r="F31" s="15"/>
      <c r="G31" s="15">
        <v>0</v>
      </c>
      <c r="H31" s="15"/>
      <c r="I31" s="15">
        <v>0</v>
      </c>
      <c r="J31" s="110"/>
      <c r="K31" s="15">
        <v>0</v>
      </c>
      <c r="L31" s="110"/>
      <c r="M31" s="15">
        <v>0</v>
      </c>
      <c r="N31" s="15"/>
      <c r="O31" s="15">
        <v>0</v>
      </c>
      <c r="P31" s="110"/>
      <c r="Q31" s="15">
        <v>0</v>
      </c>
      <c r="R31" s="110"/>
      <c r="S31" s="15">
        <v>0</v>
      </c>
      <c r="T31" s="110"/>
      <c r="U31" s="15">
        <v>62.27</v>
      </c>
      <c r="V31" s="110"/>
      <c r="W31" s="15"/>
      <c r="X31" s="110"/>
      <c r="Y31" s="110"/>
      <c r="Z31" s="110"/>
      <c r="AA31" s="110"/>
      <c r="AB31" s="110"/>
      <c r="AC31" s="16">
        <v>0</v>
      </c>
    </row>
    <row r="32" spans="1:29" s="4" customFormat="1" x14ac:dyDescent="0.25">
      <c r="A32" s="13"/>
      <c r="B32" s="14" t="s">
        <v>30</v>
      </c>
      <c r="C32" s="15">
        <v>0</v>
      </c>
      <c r="D32" s="14"/>
      <c r="E32" s="15">
        <v>257.02999999999997</v>
      </c>
      <c r="F32" s="15"/>
      <c r="G32" s="15">
        <f>1856+178</f>
        <v>2034</v>
      </c>
      <c r="H32" s="15"/>
      <c r="I32" s="15">
        <v>2256</v>
      </c>
      <c r="J32" s="14"/>
      <c r="K32" s="15">
        <v>1272</v>
      </c>
      <c r="L32" s="14"/>
      <c r="M32" s="15">
        <v>0</v>
      </c>
      <c r="N32" s="15"/>
      <c r="O32" s="15">
        <v>0</v>
      </c>
      <c r="P32" s="110"/>
      <c r="Q32" s="15">
        <v>0</v>
      </c>
      <c r="R32" s="110"/>
      <c r="S32" s="15">
        <v>0</v>
      </c>
      <c r="T32" s="110"/>
      <c r="U32" s="15">
        <v>0</v>
      </c>
      <c r="V32" s="110"/>
      <c r="W32" s="15">
        <v>744.56</v>
      </c>
      <c r="X32" s="110"/>
      <c r="Y32" s="110">
        <v>1377</v>
      </c>
      <c r="Z32" s="110"/>
      <c r="AA32" s="110">
        <v>1572</v>
      </c>
      <c r="AB32" s="110"/>
      <c r="AC32" s="16">
        <f>152*12</f>
        <v>1824</v>
      </c>
    </row>
    <row r="33" spans="1:30" s="4" customFormat="1" x14ac:dyDescent="0.25">
      <c r="A33" s="13"/>
      <c r="B33" s="14" t="s">
        <v>68</v>
      </c>
      <c r="C33" s="15">
        <v>0</v>
      </c>
      <c r="D33" s="14"/>
      <c r="E33" s="15">
        <v>0</v>
      </c>
      <c r="F33" s="15"/>
      <c r="G33" s="15">
        <v>0</v>
      </c>
      <c r="H33" s="15"/>
      <c r="I33" s="15">
        <v>0</v>
      </c>
      <c r="J33" s="14"/>
      <c r="K33" s="15">
        <v>0</v>
      </c>
      <c r="L33" s="14"/>
      <c r="M33" s="15">
        <v>1054.8</v>
      </c>
      <c r="N33" s="15"/>
      <c r="O33" s="15">
        <f>680.33</f>
        <v>680.33</v>
      </c>
      <c r="P33" s="110"/>
      <c r="Q33" s="15">
        <f>345.7+329.81</f>
        <v>675.51</v>
      </c>
      <c r="R33" s="110"/>
      <c r="S33" s="15">
        <v>0</v>
      </c>
      <c r="T33" s="110"/>
      <c r="U33" s="15">
        <v>0</v>
      </c>
      <c r="V33" s="110"/>
      <c r="W33" s="15"/>
      <c r="X33" s="110"/>
      <c r="Y33" s="110"/>
      <c r="Z33" s="110"/>
      <c r="AA33" s="110"/>
      <c r="AB33" s="110"/>
      <c r="AC33" s="16">
        <v>0</v>
      </c>
    </row>
    <row r="34" spans="1:30" s="107" customFormat="1" x14ac:dyDescent="0.25">
      <c r="A34" s="13"/>
      <c r="B34" s="110" t="s">
        <v>77</v>
      </c>
      <c r="C34" s="15">
        <v>0</v>
      </c>
      <c r="D34" s="110"/>
      <c r="E34" s="15">
        <v>0</v>
      </c>
      <c r="F34" s="15"/>
      <c r="G34" s="15">
        <v>0</v>
      </c>
      <c r="H34" s="15"/>
      <c r="I34" s="15">
        <v>0</v>
      </c>
      <c r="J34" s="110"/>
      <c r="K34" s="15">
        <v>0</v>
      </c>
      <c r="L34" s="110"/>
      <c r="M34" s="15">
        <v>0</v>
      </c>
      <c r="N34" s="15"/>
      <c r="O34" s="15">
        <v>0</v>
      </c>
      <c r="P34" s="110"/>
      <c r="Q34" s="15">
        <v>0</v>
      </c>
      <c r="R34" s="110"/>
      <c r="S34" s="15">
        <v>0</v>
      </c>
      <c r="T34" s="110"/>
      <c r="U34" s="15">
        <v>899</v>
      </c>
      <c r="V34" s="110"/>
      <c r="W34" s="15"/>
      <c r="X34" s="110"/>
      <c r="Y34" s="110"/>
      <c r="Z34" s="110"/>
      <c r="AA34" s="110"/>
      <c r="AB34" s="110"/>
      <c r="AC34" s="16">
        <v>0</v>
      </c>
    </row>
    <row r="35" spans="1:30" s="4" customFormat="1" x14ac:dyDescent="0.25">
      <c r="A35" s="13"/>
      <c r="B35" s="14" t="s">
        <v>0</v>
      </c>
      <c r="C35" s="15">
        <v>375</v>
      </c>
      <c r="D35" s="14"/>
      <c r="E35" s="15">
        <f>375+437.5</f>
        <v>812.5</v>
      </c>
      <c r="F35" s="15"/>
      <c r="G35" s="15">
        <f>937.5+93.75</f>
        <v>1031.25</v>
      </c>
      <c r="H35" s="15"/>
      <c r="I35" s="15">
        <f>1031.25+93.75</f>
        <v>1125</v>
      </c>
      <c r="J35" s="14"/>
      <c r="K35" s="15">
        <v>1125</v>
      </c>
      <c r="L35" s="14"/>
      <c r="M35" s="15">
        <f>1031.25+93.75</f>
        <v>1125</v>
      </c>
      <c r="N35" s="15"/>
      <c r="O35" s="15">
        <f>1270.37+107.25</f>
        <v>1377.62</v>
      </c>
      <c r="P35" s="110"/>
      <c r="Q35" s="15">
        <v>1888.63</v>
      </c>
      <c r="R35" s="110"/>
      <c r="S35" s="15">
        <v>1423</v>
      </c>
      <c r="T35" s="110"/>
      <c r="U35" s="15">
        <v>1755</v>
      </c>
      <c r="V35" s="110"/>
      <c r="W35" s="15">
        <v>1853</v>
      </c>
      <c r="X35" s="110"/>
      <c r="Y35" s="110">
        <v>1198</v>
      </c>
      <c r="Z35" s="110"/>
      <c r="AA35" s="110">
        <v>1208</v>
      </c>
      <c r="AB35" s="110"/>
      <c r="AC35" s="16">
        <v>1800</v>
      </c>
    </row>
    <row r="36" spans="1:30" s="107" customFormat="1" x14ac:dyDescent="0.25">
      <c r="A36" s="13"/>
      <c r="B36" s="110" t="s">
        <v>86</v>
      </c>
      <c r="C36" s="15"/>
      <c r="D36" s="110"/>
      <c r="E36" s="15"/>
      <c r="F36" s="15"/>
      <c r="G36" s="15"/>
      <c r="H36" s="15"/>
      <c r="I36" s="15"/>
      <c r="J36" s="110"/>
      <c r="K36" s="15"/>
      <c r="L36" s="110"/>
      <c r="M36" s="15"/>
      <c r="N36" s="15"/>
      <c r="O36" s="15"/>
      <c r="P36" s="110"/>
      <c r="Q36" s="15"/>
      <c r="R36" s="110"/>
      <c r="S36" s="15"/>
      <c r="T36" s="110"/>
      <c r="U36" s="15"/>
      <c r="V36" s="110"/>
      <c r="W36" s="15">
        <v>1971.53</v>
      </c>
      <c r="X36" s="110"/>
      <c r="Y36" s="110">
        <v>39.340000000000003</v>
      </c>
      <c r="Z36" s="110"/>
      <c r="AA36" s="110"/>
      <c r="AB36" s="110"/>
      <c r="AC36" s="16">
        <v>0</v>
      </c>
    </row>
    <row r="37" spans="1:30" s="4" customFormat="1" x14ac:dyDescent="0.25">
      <c r="A37" s="13"/>
      <c r="B37" s="14" t="s">
        <v>1</v>
      </c>
      <c r="C37" s="15">
        <v>0</v>
      </c>
      <c r="D37" s="14"/>
      <c r="E37" s="15">
        <f>50+105</f>
        <v>155</v>
      </c>
      <c r="F37" s="15"/>
      <c r="G37" s="15">
        <v>107.2</v>
      </c>
      <c r="H37" s="15"/>
      <c r="I37" s="15">
        <v>120.5</v>
      </c>
      <c r="J37" s="14"/>
      <c r="K37" s="15">
        <v>135</v>
      </c>
      <c r="L37" s="14"/>
      <c r="M37" s="15">
        <v>135</v>
      </c>
      <c r="N37" s="15"/>
      <c r="O37" s="15">
        <v>95</v>
      </c>
      <c r="P37" s="110"/>
      <c r="Q37" s="15">
        <v>95</v>
      </c>
      <c r="R37" s="110"/>
      <c r="S37" s="15">
        <v>95</v>
      </c>
      <c r="T37" s="110"/>
      <c r="U37" s="15">
        <v>95</v>
      </c>
      <c r="V37" s="110"/>
      <c r="W37" s="15"/>
      <c r="X37" s="110"/>
      <c r="Y37" s="110"/>
      <c r="Z37" s="110"/>
      <c r="AA37" s="110"/>
      <c r="AB37" s="110"/>
      <c r="AC37" s="16">
        <v>0</v>
      </c>
    </row>
    <row r="38" spans="1:30" s="4" customFormat="1" x14ac:dyDescent="0.25">
      <c r="A38" s="13"/>
      <c r="B38" s="14" t="s">
        <v>9</v>
      </c>
      <c r="C38" s="15">
        <v>0</v>
      </c>
      <c r="D38" s="14"/>
      <c r="E38" s="15">
        <v>100</v>
      </c>
      <c r="F38" s="15"/>
      <c r="G38" s="15">
        <v>140</v>
      </c>
      <c r="H38" s="15"/>
      <c r="I38" s="15">
        <v>120</v>
      </c>
      <c r="J38" s="14"/>
      <c r="K38" s="15">
        <v>120</v>
      </c>
      <c r="L38" s="14"/>
      <c r="M38" s="15">
        <v>120</v>
      </c>
      <c r="N38" s="15"/>
      <c r="O38" s="15">
        <f>102.25</f>
        <v>102.25</v>
      </c>
      <c r="P38" s="110"/>
      <c r="Q38" s="15">
        <v>70.47</v>
      </c>
      <c r="R38" s="110"/>
      <c r="S38" s="15">
        <v>100.47</v>
      </c>
      <c r="T38" s="110"/>
      <c r="U38" s="15">
        <v>100.47</v>
      </c>
      <c r="V38" s="110"/>
      <c r="W38" s="15"/>
      <c r="X38" s="110"/>
      <c r="Y38" s="110"/>
      <c r="Z38" s="110"/>
      <c r="AA38" s="110"/>
      <c r="AB38" s="110"/>
      <c r="AC38" s="16">
        <v>100</v>
      </c>
    </row>
    <row r="39" spans="1:30" s="4" customFormat="1" x14ac:dyDescent="0.25">
      <c r="A39" s="13"/>
      <c r="B39" s="14" t="s">
        <v>17</v>
      </c>
      <c r="C39" s="15">
        <v>96</v>
      </c>
      <c r="D39" s="14"/>
      <c r="E39" s="15">
        <v>96</v>
      </c>
      <c r="F39" s="15"/>
      <c r="G39" s="15">
        <v>96</v>
      </c>
      <c r="H39" s="15"/>
      <c r="I39" s="15">
        <v>120</v>
      </c>
      <c r="J39" s="14"/>
      <c r="K39" s="15">
        <v>124</v>
      </c>
      <c r="L39" s="14"/>
      <c r="M39" s="15">
        <v>128</v>
      </c>
      <c r="N39" s="15"/>
      <c r="O39" s="15">
        <f>130</f>
        <v>130</v>
      </c>
      <c r="P39" s="110"/>
      <c r="Q39" s="15">
        <v>130</v>
      </c>
      <c r="R39" s="110"/>
      <c r="S39" s="15">
        <v>132</v>
      </c>
      <c r="T39" s="110"/>
      <c r="U39" s="15">
        <v>162</v>
      </c>
      <c r="V39" s="110"/>
      <c r="W39" s="15"/>
      <c r="X39" s="110"/>
      <c r="Y39" s="110">
        <f>168+154</f>
        <v>322</v>
      </c>
      <c r="Z39" s="110"/>
      <c r="AA39" s="110">
        <v>0</v>
      </c>
      <c r="AB39" s="110"/>
      <c r="AC39" s="16">
        <v>300</v>
      </c>
    </row>
    <row r="40" spans="1:30" s="4" customFormat="1" x14ac:dyDescent="0.25">
      <c r="A40" s="13"/>
      <c r="B40" s="14" t="s">
        <v>42</v>
      </c>
      <c r="C40" s="15">
        <v>0</v>
      </c>
      <c r="D40" s="14"/>
      <c r="E40" s="15">
        <v>0</v>
      </c>
      <c r="F40" s="15"/>
      <c r="G40" s="15">
        <v>0</v>
      </c>
      <c r="H40" s="15"/>
      <c r="I40" s="15">
        <v>1283.9000000000001</v>
      </c>
      <c r="J40" s="14"/>
      <c r="K40" s="15">
        <v>0</v>
      </c>
      <c r="L40" s="14"/>
      <c r="M40" s="15">
        <v>0</v>
      </c>
      <c r="N40" s="15"/>
      <c r="O40" s="15">
        <v>0</v>
      </c>
      <c r="P40" s="110"/>
      <c r="Q40" s="15">
        <v>0</v>
      </c>
      <c r="R40" s="110"/>
      <c r="S40" s="15">
        <v>0</v>
      </c>
      <c r="T40" s="110"/>
      <c r="U40" s="15">
        <v>0</v>
      </c>
      <c r="V40" s="110"/>
      <c r="W40" s="15"/>
      <c r="X40" s="110"/>
      <c r="Y40" s="110"/>
      <c r="Z40" s="110"/>
      <c r="AA40" s="110"/>
      <c r="AB40" s="110"/>
      <c r="AC40" s="16">
        <v>0</v>
      </c>
    </row>
    <row r="41" spans="1:30" s="107" customFormat="1" x14ac:dyDescent="0.25">
      <c r="A41" s="13"/>
      <c r="B41" s="110" t="s">
        <v>87</v>
      </c>
      <c r="C41" s="15"/>
      <c r="D41" s="110"/>
      <c r="E41" s="15"/>
      <c r="F41" s="15"/>
      <c r="G41" s="15"/>
      <c r="H41" s="15"/>
      <c r="I41" s="15"/>
      <c r="J41" s="110"/>
      <c r="K41" s="15"/>
      <c r="L41" s="110"/>
      <c r="M41" s="15"/>
      <c r="N41" s="15"/>
      <c r="O41" s="15"/>
      <c r="P41" s="110"/>
      <c r="Q41" s="15"/>
      <c r="R41" s="110"/>
      <c r="S41" s="15"/>
      <c r="T41" s="110"/>
      <c r="U41" s="15"/>
      <c r="V41" s="110"/>
      <c r="W41" s="111">
        <v>1727.85</v>
      </c>
      <c r="X41" s="110"/>
      <c r="Y41" s="110"/>
      <c r="Z41" s="110"/>
      <c r="AA41" s="110"/>
      <c r="AB41" s="110"/>
      <c r="AC41" s="16"/>
    </row>
    <row r="42" spans="1:30" s="4" customFormat="1" ht="17.25" x14ac:dyDescent="0.4">
      <c r="A42" s="13"/>
      <c r="B42" s="14" t="s">
        <v>18</v>
      </c>
      <c r="C42" s="26">
        <f>-275.58</f>
        <v>-275.58</v>
      </c>
      <c r="D42" s="14"/>
      <c r="E42" s="26">
        <v>50</v>
      </c>
      <c r="F42" s="26"/>
      <c r="G42" s="26">
        <v>731.09</v>
      </c>
      <c r="H42" s="26"/>
      <c r="I42" s="26">
        <v>659.36</v>
      </c>
      <c r="J42" s="14"/>
      <c r="K42" s="26">
        <f>912.66-K97</f>
        <v>662.66</v>
      </c>
      <c r="L42" s="14"/>
      <c r="M42" s="26">
        <f>1802.11-M33-M100+22.56+50</f>
        <v>319.86999999999995</v>
      </c>
      <c r="N42" s="26"/>
      <c r="O42" s="26">
        <f>467.07+114.77</f>
        <v>581.84</v>
      </c>
      <c r="P42" s="110"/>
      <c r="Q42" s="112">
        <v>534.58000000000004</v>
      </c>
      <c r="R42" s="110"/>
      <c r="S42" s="112">
        <v>2666.37</v>
      </c>
      <c r="T42" s="110"/>
      <c r="U42" s="112">
        <v>393.58</v>
      </c>
      <c r="V42" s="110"/>
      <c r="W42" s="112">
        <v>569.37</v>
      </c>
      <c r="X42" s="110"/>
      <c r="Y42" s="110">
        <v>1144.78</v>
      </c>
      <c r="Z42" s="110"/>
      <c r="AA42" s="110">
        <v>1484.74</v>
      </c>
      <c r="AB42" s="110"/>
      <c r="AC42" s="27">
        <v>500</v>
      </c>
      <c r="AD42" s="3"/>
    </row>
    <row r="43" spans="1:30" s="4" customFormat="1" ht="17.25" x14ac:dyDescent="0.4">
      <c r="A43" s="13" t="s">
        <v>8</v>
      </c>
      <c r="B43" s="14"/>
      <c r="C43" s="112">
        <f>SUM(C31:C42)</f>
        <v>195.42000000000002</v>
      </c>
      <c r="D43" s="110"/>
      <c r="E43" s="112">
        <f>SUM(E31:E42)</f>
        <v>1470.53</v>
      </c>
      <c r="F43" s="112"/>
      <c r="G43" s="112">
        <f>SUM(G31:G42)</f>
        <v>4139.54</v>
      </c>
      <c r="H43" s="112"/>
      <c r="I43" s="112">
        <f>SUM(I31:I42)</f>
        <v>5684.7599999999993</v>
      </c>
      <c r="J43" s="110"/>
      <c r="K43" s="112">
        <f>SUM(K31:K42)</f>
        <v>3438.66</v>
      </c>
      <c r="L43" s="110"/>
      <c r="M43" s="112">
        <f>SUM(M31:M42)</f>
        <v>2882.67</v>
      </c>
      <c r="N43" s="112"/>
      <c r="O43" s="112">
        <f>SUM(O31:O42)</f>
        <v>2967.04</v>
      </c>
      <c r="P43" s="110"/>
      <c r="Q43" s="112">
        <f>SUM(Q31:Q42)</f>
        <v>3394.19</v>
      </c>
      <c r="R43" s="110"/>
      <c r="S43" s="112">
        <f>SUM(S31:S42)</f>
        <v>4416.84</v>
      </c>
      <c r="T43" s="110"/>
      <c r="U43" s="112">
        <f>SUM(U31:U42)</f>
        <v>3467.3199999999997</v>
      </c>
      <c r="V43" s="110"/>
      <c r="W43" s="112">
        <f>SUM(W31:W42)</f>
        <v>6866.31</v>
      </c>
      <c r="X43" s="110"/>
      <c r="Y43" s="112">
        <f>SUM(Y31:Y42)</f>
        <v>4081.12</v>
      </c>
      <c r="Z43" s="110"/>
      <c r="AA43" s="112">
        <f>SUM(AA31:AA42)</f>
        <v>4264.74</v>
      </c>
      <c r="AB43" s="110"/>
      <c r="AC43" s="27">
        <f>SUM(AC31:AC42)</f>
        <v>4524</v>
      </c>
    </row>
    <row r="44" spans="1:30" s="1" customFormat="1" ht="6" customHeight="1" x14ac:dyDescent="0.25">
      <c r="A44" s="21"/>
      <c r="B44" s="22"/>
      <c r="C44" s="15"/>
      <c r="D44" s="22"/>
      <c r="E44" s="15"/>
      <c r="F44" s="15"/>
      <c r="G44" s="15"/>
      <c r="H44" s="15"/>
      <c r="I44" s="15"/>
      <c r="J44" s="22"/>
      <c r="K44" s="15"/>
      <c r="L44" s="22"/>
      <c r="M44" s="15"/>
      <c r="N44" s="15"/>
      <c r="O44" s="15"/>
      <c r="P44" s="22"/>
      <c r="Q44" s="15"/>
      <c r="R44" s="22"/>
      <c r="S44" s="15"/>
      <c r="T44" s="22"/>
      <c r="U44" s="15"/>
      <c r="V44" s="22"/>
      <c r="W44" s="15"/>
      <c r="X44" s="22"/>
      <c r="Y44" s="22"/>
      <c r="Z44" s="22"/>
      <c r="AA44" s="22"/>
      <c r="AB44" s="22"/>
      <c r="AC44" s="16"/>
    </row>
    <row r="45" spans="1:30" s="4" customFormat="1" x14ac:dyDescent="0.25">
      <c r="A45" s="33" t="s">
        <v>55</v>
      </c>
      <c r="B45" s="34"/>
      <c r="C45" s="38">
        <f>SUM(C22,C28,C43)</f>
        <v>3062.44</v>
      </c>
      <c r="D45" s="34"/>
      <c r="E45" s="38">
        <f>SUM(E22,E28,E43)</f>
        <v>2439.21</v>
      </c>
      <c r="F45" s="38"/>
      <c r="G45" s="38">
        <f>SUM(G22,G28,G43)</f>
        <v>8626.9700000000012</v>
      </c>
      <c r="H45" s="38"/>
      <c r="I45" s="38">
        <f>SUM(I22,I28,I43)</f>
        <v>7237.6699999999992</v>
      </c>
      <c r="J45" s="34"/>
      <c r="K45" s="38">
        <f>SUM(K22,K28,K43)</f>
        <v>5716.1100000000006</v>
      </c>
      <c r="L45" s="34"/>
      <c r="M45" s="38">
        <f>SUM(M22,M28,M43)</f>
        <v>4227.07</v>
      </c>
      <c r="N45" s="38"/>
      <c r="O45" s="38">
        <f>SUM(O22,O28,O43)</f>
        <v>5186.7700000000004</v>
      </c>
      <c r="P45" s="34"/>
      <c r="Q45" s="38">
        <f>SUM(Q22,Q28,Q43)</f>
        <v>7670.0400000000009</v>
      </c>
      <c r="R45" s="34"/>
      <c r="S45" s="38">
        <f>SUM(S22,S28,S43)</f>
        <v>7011.97</v>
      </c>
      <c r="T45" s="34"/>
      <c r="U45" s="38">
        <f>SUM(U22,U28,U43)</f>
        <v>5115.07</v>
      </c>
      <c r="V45" s="34"/>
      <c r="W45" s="38">
        <f>SUM(W22,W28,W43)</f>
        <v>7829.89</v>
      </c>
      <c r="X45" s="34"/>
      <c r="Y45" s="38">
        <f>SUM(Y22,Y28,Y43)</f>
        <v>5539.1</v>
      </c>
      <c r="Z45" s="34"/>
      <c r="AA45" s="38">
        <f>SUM(AA22,AA28,AA43)</f>
        <v>4529.17</v>
      </c>
      <c r="AB45" s="34"/>
      <c r="AC45" s="39">
        <f>SUM(AC22,AC28,AC43)</f>
        <v>5812</v>
      </c>
    </row>
    <row r="46" spans="1:30" s="4" customFormat="1" ht="6" customHeight="1" x14ac:dyDescent="0.25">
      <c r="A46" s="13"/>
      <c r="B46" s="14"/>
      <c r="C46" s="15"/>
      <c r="D46" s="14"/>
      <c r="E46" s="15"/>
      <c r="F46" s="15"/>
      <c r="G46" s="15"/>
      <c r="H46" s="15"/>
      <c r="I46" s="15"/>
      <c r="J46" s="14"/>
      <c r="K46" s="15"/>
      <c r="L46" s="14"/>
      <c r="M46" s="15"/>
      <c r="N46" s="15"/>
      <c r="O46" s="15"/>
      <c r="P46" s="110"/>
      <c r="Q46" s="15"/>
      <c r="R46" s="110"/>
      <c r="S46" s="15"/>
      <c r="T46" s="110"/>
      <c r="U46" s="15"/>
      <c r="V46" s="110"/>
      <c r="W46" s="15"/>
      <c r="X46" s="110"/>
      <c r="Y46" s="15"/>
      <c r="Z46" s="110"/>
      <c r="AA46" s="110"/>
      <c r="AB46" s="110"/>
      <c r="AC46" s="16"/>
    </row>
    <row r="47" spans="1:30" s="5" customFormat="1" ht="17.25" x14ac:dyDescent="0.4">
      <c r="A47" s="13" t="s">
        <v>56</v>
      </c>
      <c r="B47" s="14"/>
      <c r="C47" s="26">
        <v>0</v>
      </c>
      <c r="D47" s="14"/>
      <c r="E47" s="26">
        <v>0</v>
      </c>
      <c r="F47" s="15"/>
      <c r="G47" s="26">
        <v>0</v>
      </c>
      <c r="H47" s="15"/>
      <c r="I47" s="26">
        <v>0</v>
      </c>
      <c r="J47" s="14"/>
      <c r="K47" s="26">
        <v>0</v>
      </c>
      <c r="L47" s="14"/>
      <c r="M47" s="26">
        <v>2500</v>
      </c>
      <c r="N47" s="26"/>
      <c r="O47" s="26">
        <v>3250</v>
      </c>
      <c r="P47" s="110"/>
      <c r="Q47" s="112">
        <v>0</v>
      </c>
      <c r="R47" s="110"/>
      <c r="S47" s="112">
        <v>0</v>
      </c>
      <c r="T47" s="110"/>
      <c r="U47" s="112">
        <v>0</v>
      </c>
      <c r="V47" s="110"/>
      <c r="W47" s="112">
        <v>0</v>
      </c>
      <c r="X47" s="110"/>
      <c r="Y47" s="112">
        <v>0</v>
      </c>
      <c r="Z47" s="110"/>
      <c r="AA47" s="112">
        <v>0</v>
      </c>
      <c r="AB47" s="110"/>
      <c r="AC47" s="27">
        <v>0</v>
      </c>
    </row>
    <row r="48" spans="1:30" ht="6" customHeight="1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28"/>
    </row>
    <row r="49" spans="1:29" ht="15.75" thickBot="1" x14ac:dyDescent="0.3">
      <c r="A49" s="9" t="s">
        <v>51</v>
      </c>
      <c r="B49" s="10"/>
      <c r="C49" s="11">
        <f>C9-C45-C47</f>
        <v>6125.3799999999992</v>
      </c>
      <c r="D49" s="10"/>
      <c r="E49" s="11">
        <f>E9-E45-E47</f>
        <v>5186.41</v>
      </c>
      <c r="F49" s="10"/>
      <c r="G49" s="11">
        <f>G9-G45-G47</f>
        <v>-371.28000000000065</v>
      </c>
      <c r="H49" s="10"/>
      <c r="I49" s="11">
        <f>I9-I45-I47</f>
        <v>116.71000000000095</v>
      </c>
      <c r="J49" s="10"/>
      <c r="K49" s="11">
        <f>K9-K45-K47</f>
        <v>2176.5699999999997</v>
      </c>
      <c r="L49" s="10"/>
      <c r="M49" s="11">
        <f>M9-M45-M47</f>
        <v>4975.0500000000011</v>
      </c>
      <c r="N49" s="11"/>
      <c r="O49" s="11">
        <f>O9-O45-O47</f>
        <v>1311.3799999999992</v>
      </c>
      <c r="P49" s="10"/>
      <c r="Q49" s="109">
        <f>Q9-Q45-Q47</f>
        <v>6089.49</v>
      </c>
      <c r="R49" s="10"/>
      <c r="S49" s="109">
        <f>S9-S45-S47</f>
        <v>5122.5599999999986</v>
      </c>
      <c r="T49" s="10"/>
      <c r="U49" s="109">
        <f>U9-U45-U47</f>
        <v>6941.0499999999993</v>
      </c>
      <c r="V49" s="10"/>
      <c r="W49" s="109">
        <f>W9-W45-W47</f>
        <v>2458.8000000000002</v>
      </c>
      <c r="X49" s="10"/>
      <c r="Y49" s="109">
        <f>Y9-Y45-Y47</f>
        <v>10563.97</v>
      </c>
      <c r="Z49" s="10"/>
      <c r="AA49" s="109">
        <f>AA9-AA45-AA47</f>
        <v>6251.1299999999992</v>
      </c>
      <c r="AB49" s="10"/>
      <c r="AC49" s="12">
        <f>AC9-AC45-AC47</f>
        <v>2688</v>
      </c>
    </row>
    <row r="50" spans="1:29" ht="6" customHeight="1" x14ac:dyDescent="0.25">
      <c r="U50" s="123"/>
      <c r="V50" s="123"/>
      <c r="W50" s="123"/>
      <c r="X50" s="123"/>
      <c r="Y50" s="123"/>
      <c r="Z50" s="123"/>
      <c r="AA50" s="123"/>
      <c r="AB50" s="123"/>
    </row>
    <row r="51" spans="1:29" s="4" customFormat="1" ht="6" customHeight="1" thickBot="1" x14ac:dyDescent="0.3">
      <c r="P51" s="107"/>
      <c r="Q51" s="107"/>
      <c r="R51" s="107"/>
      <c r="S51" s="107"/>
      <c r="T51" s="107"/>
      <c r="U51" s="123"/>
      <c r="V51" s="123"/>
      <c r="W51" s="123"/>
      <c r="X51" s="123"/>
      <c r="Y51" s="123"/>
      <c r="Z51" s="123"/>
      <c r="AA51" s="123"/>
      <c r="AB51" s="123"/>
      <c r="AC51" s="107"/>
    </row>
    <row r="52" spans="1:29" x14ac:dyDescent="0.25">
      <c r="A52" s="40" t="s">
        <v>49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2"/>
    </row>
    <row r="53" spans="1:29" s="4" customFormat="1" x14ac:dyDescent="0.25">
      <c r="A53" s="47" t="s">
        <v>57</v>
      </c>
      <c r="B53" s="48"/>
      <c r="C53" s="49"/>
      <c r="D53" s="48"/>
      <c r="E53" s="49"/>
      <c r="F53" s="49"/>
      <c r="G53" s="49"/>
      <c r="H53" s="49"/>
      <c r="I53" s="49"/>
      <c r="J53" s="48"/>
      <c r="K53" s="49"/>
      <c r="L53" s="48"/>
      <c r="M53" s="49"/>
      <c r="N53" s="49"/>
      <c r="O53" s="49"/>
      <c r="P53" s="48"/>
      <c r="Q53" s="49"/>
      <c r="R53" s="48"/>
      <c r="S53" s="49"/>
      <c r="T53" s="48"/>
      <c r="U53" s="49"/>
      <c r="V53" s="48"/>
      <c r="W53" s="49"/>
      <c r="X53" s="48"/>
      <c r="Y53" s="48"/>
      <c r="Z53" s="48"/>
      <c r="AA53" s="48"/>
      <c r="AB53" s="48"/>
      <c r="AC53" s="50"/>
    </row>
    <row r="54" spans="1:29" s="4" customFormat="1" x14ac:dyDescent="0.25">
      <c r="A54" s="51" t="s">
        <v>82</v>
      </c>
      <c r="B54" s="52"/>
      <c r="C54" s="53"/>
      <c r="D54" s="52"/>
      <c r="E54" s="53"/>
      <c r="F54" s="53"/>
      <c r="G54" s="53"/>
      <c r="H54" s="53"/>
      <c r="I54" s="53"/>
      <c r="J54" s="52"/>
      <c r="K54" s="53"/>
      <c r="L54" s="52"/>
      <c r="M54" s="53"/>
      <c r="N54" s="53"/>
      <c r="O54" s="53"/>
      <c r="P54" s="52"/>
      <c r="Q54" s="53"/>
      <c r="R54" s="52"/>
      <c r="S54" s="53"/>
      <c r="T54" s="52"/>
      <c r="U54" s="53"/>
      <c r="V54" s="52"/>
      <c r="W54" s="53"/>
      <c r="X54" s="52"/>
      <c r="Y54" s="52"/>
      <c r="Z54" s="52"/>
      <c r="AA54" s="52"/>
      <c r="AB54" s="52"/>
      <c r="AC54" s="54"/>
    </row>
    <row r="55" spans="1:29" s="4" customFormat="1" x14ac:dyDescent="0.25">
      <c r="A55" s="51"/>
      <c r="B55" s="52" t="s">
        <v>19</v>
      </c>
      <c r="C55" s="53">
        <v>0</v>
      </c>
      <c r="D55" s="52"/>
      <c r="E55" s="53">
        <v>0</v>
      </c>
      <c r="F55" s="53"/>
      <c r="G55" s="53">
        <v>2480</v>
      </c>
      <c r="H55" s="53"/>
      <c r="I55" s="53">
        <v>2650</v>
      </c>
      <c r="J55" s="52"/>
      <c r="K55" s="53">
        <v>3250</v>
      </c>
      <c r="L55" s="52"/>
      <c r="M55" s="53">
        <v>0</v>
      </c>
      <c r="N55" s="53"/>
      <c r="O55" s="53">
        <v>0</v>
      </c>
      <c r="P55" s="52"/>
      <c r="Q55" s="53">
        <v>0</v>
      </c>
      <c r="R55" s="52"/>
      <c r="S55" s="53">
        <v>0</v>
      </c>
      <c r="T55" s="52"/>
      <c r="U55" s="53">
        <v>0</v>
      </c>
      <c r="V55" s="52"/>
      <c r="W55" s="53">
        <v>3269.89</v>
      </c>
      <c r="X55" s="52"/>
      <c r="Y55" s="52">
        <v>377.62</v>
      </c>
      <c r="Z55" s="52"/>
      <c r="AA55" s="53">
        <v>0</v>
      </c>
      <c r="AB55" s="52"/>
      <c r="AC55" s="54">
        <v>0</v>
      </c>
    </row>
    <row r="56" spans="1:29" s="4" customFormat="1" x14ac:dyDescent="0.25">
      <c r="A56" s="51"/>
      <c r="B56" s="52" t="s">
        <v>20</v>
      </c>
      <c r="C56" s="53">
        <v>0</v>
      </c>
      <c r="D56" s="52"/>
      <c r="E56" s="53">
        <v>0</v>
      </c>
      <c r="F56" s="53"/>
      <c r="G56" s="53">
        <v>4225</v>
      </c>
      <c r="H56" s="53"/>
      <c r="I56" s="53">
        <v>2750</v>
      </c>
      <c r="J56" s="52"/>
      <c r="K56" s="53">
        <v>4750</v>
      </c>
      <c r="L56" s="52"/>
      <c r="M56" s="53">
        <v>0</v>
      </c>
      <c r="N56" s="53"/>
      <c r="O56" s="53">
        <v>0</v>
      </c>
      <c r="P56" s="52"/>
      <c r="Q56" s="53">
        <v>0</v>
      </c>
      <c r="R56" s="52"/>
      <c r="S56" s="53">
        <v>0</v>
      </c>
      <c r="T56" s="52"/>
      <c r="U56" s="53">
        <v>0</v>
      </c>
      <c r="V56" s="52"/>
      <c r="W56" s="53">
        <v>0</v>
      </c>
      <c r="X56" s="52"/>
      <c r="Y56" s="53">
        <v>0</v>
      </c>
      <c r="Z56" s="52"/>
      <c r="AA56" s="53">
        <v>0</v>
      </c>
      <c r="AB56" s="52"/>
      <c r="AC56" s="54">
        <v>0</v>
      </c>
    </row>
    <row r="57" spans="1:29" s="4" customFormat="1" x14ac:dyDescent="0.25">
      <c r="A57" s="51"/>
      <c r="B57" s="52" t="s">
        <v>46</v>
      </c>
      <c r="C57" s="55">
        <v>0</v>
      </c>
      <c r="D57" s="56"/>
      <c r="E57" s="55">
        <v>0</v>
      </c>
      <c r="F57" s="55"/>
      <c r="G57" s="55">
        <v>623</v>
      </c>
      <c r="H57" s="55"/>
      <c r="I57" s="55">
        <v>325</v>
      </c>
      <c r="J57" s="56"/>
      <c r="K57" s="55">
        <v>1120</v>
      </c>
      <c r="L57" s="56"/>
      <c r="M57" s="55">
        <v>0</v>
      </c>
      <c r="N57" s="55"/>
      <c r="O57" s="55">
        <v>0</v>
      </c>
      <c r="P57" s="56"/>
      <c r="Q57" s="55">
        <v>0</v>
      </c>
      <c r="R57" s="56"/>
      <c r="S57" s="55">
        <v>0</v>
      </c>
      <c r="T57" s="56"/>
      <c r="U57" s="55">
        <v>0</v>
      </c>
      <c r="V57" s="56"/>
      <c r="W57" s="55">
        <v>0</v>
      </c>
      <c r="X57" s="56"/>
      <c r="Y57" s="55">
        <v>0</v>
      </c>
      <c r="Z57" s="56"/>
      <c r="AA57" s="55">
        <v>0</v>
      </c>
      <c r="AB57" s="56"/>
      <c r="AC57" s="57">
        <v>0</v>
      </c>
    </row>
    <row r="58" spans="1:29" s="4" customFormat="1" ht="17.25" x14ac:dyDescent="0.4">
      <c r="A58" s="51"/>
      <c r="B58" s="52" t="s">
        <v>23</v>
      </c>
      <c r="C58" s="58">
        <v>0</v>
      </c>
      <c r="D58" s="52"/>
      <c r="E58" s="58">
        <v>0</v>
      </c>
      <c r="F58" s="58"/>
      <c r="G58" s="58">
        <v>4575</v>
      </c>
      <c r="H58" s="58"/>
      <c r="I58" s="58">
        <v>3650</v>
      </c>
      <c r="J58" s="52"/>
      <c r="K58" s="58">
        <v>0</v>
      </c>
      <c r="L58" s="52"/>
      <c r="M58" s="58">
        <v>0</v>
      </c>
      <c r="N58" s="58"/>
      <c r="O58" s="58">
        <v>0</v>
      </c>
      <c r="P58" s="52"/>
      <c r="Q58" s="114">
        <v>0</v>
      </c>
      <c r="R58" s="52"/>
      <c r="S58" s="114">
        <v>0</v>
      </c>
      <c r="T58" s="52"/>
      <c r="U58" s="114">
        <v>0</v>
      </c>
      <c r="V58" s="52"/>
      <c r="W58" s="114">
        <v>0</v>
      </c>
      <c r="X58" s="52"/>
      <c r="Y58" s="114">
        <v>0</v>
      </c>
      <c r="Z58" s="52"/>
      <c r="AA58" s="114">
        <v>0</v>
      </c>
      <c r="AB58" s="52"/>
      <c r="AC58" s="59">
        <v>0</v>
      </c>
    </row>
    <row r="59" spans="1:29" s="4" customFormat="1" x14ac:dyDescent="0.25">
      <c r="A59" s="51" t="s">
        <v>83</v>
      </c>
      <c r="B59" s="52"/>
      <c r="C59" s="53">
        <f>SUM(C55:C58)</f>
        <v>0</v>
      </c>
      <c r="D59" s="52"/>
      <c r="E59" s="53">
        <f>SUM(E55:E58)</f>
        <v>0</v>
      </c>
      <c r="F59" s="53"/>
      <c r="G59" s="53">
        <f>SUM(G55:G58)</f>
        <v>11903</v>
      </c>
      <c r="H59" s="53"/>
      <c r="I59" s="53">
        <f>SUM(I55:I58)</f>
        <v>9375</v>
      </c>
      <c r="J59" s="52"/>
      <c r="K59" s="53">
        <f>SUM(K55:K58)</f>
        <v>9120</v>
      </c>
      <c r="L59" s="52"/>
      <c r="M59" s="53">
        <f>SUM(M55:M58)</f>
        <v>0</v>
      </c>
      <c r="N59" s="53"/>
      <c r="O59" s="53">
        <f>SUM(O55:O58)</f>
        <v>0</v>
      </c>
      <c r="P59" s="52"/>
      <c r="Q59" s="53">
        <f>SUM(Q55:Q58)</f>
        <v>0</v>
      </c>
      <c r="R59" s="52"/>
      <c r="S59" s="53">
        <f>SUM(S55:S58)</f>
        <v>0</v>
      </c>
      <c r="T59" s="52"/>
      <c r="U59" s="53">
        <f>SUM(U55:U58)</f>
        <v>0</v>
      </c>
      <c r="V59" s="52"/>
      <c r="W59" s="53">
        <f>SUM(W55:W58)</f>
        <v>3269.89</v>
      </c>
      <c r="X59" s="52"/>
      <c r="Y59" s="53">
        <f>SUM(Y55:Y58)</f>
        <v>377.62</v>
      </c>
      <c r="Z59" s="52"/>
      <c r="AA59" s="53">
        <f>SUM(AA55:AA58)</f>
        <v>0</v>
      </c>
      <c r="AB59" s="52"/>
      <c r="AC59" s="54">
        <f>SUM(AC55:AC58)</f>
        <v>0</v>
      </c>
    </row>
    <row r="60" spans="1:29" s="4" customFormat="1" ht="6" customHeight="1" x14ac:dyDescent="0.25">
      <c r="A60" s="51"/>
      <c r="B60" s="52"/>
      <c r="C60" s="53"/>
      <c r="D60" s="52"/>
      <c r="E60" s="53"/>
      <c r="F60" s="53"/>
      <c r="G60" s="53"/>
      <c r="H60" s="53"/>
      <c r="I60" s="53"/>
      <c r="J60" s="52"/>
      <c r="K60" s="53"/>
      <c r="L60" s="52"/>
      <c r="M60" s="53"/>
      <c r="N60" s="53"/>
      <c r="O60" s="53"/>
      <c r="P60" s="52"/>
      <c r="Q60" s="53"/>
      <c r="R60" s="52"/>
      <c r="S60" s="53"/>
      <c r="T60" s="52"/>
      <c r="U60" s="53"/>
      <c r="V60" s="52"/>
      <c r="W60" s="53"/>
      <c r="X60" s="52"/>
      <c r="Y60" s="52"/>
      <c r="Z60" s="52"/>
      <c r="AA60" s="52"/>
      <c r="AB60" s="52"/>
      <c r="AC60" s="54"/>
    </row>
    <row r="61" spans="1:29" s="4" customFormat="1" ht="17.25" x14ac:dyDescent="0.4">
      <c r="A61" s="51" t="s">
        <v>47</v>
      </c>
      <c r="B61" s="52"/>
      <c r="C61" s="58">
        <v>0</v>
      </c>
      <c r="D61" s="60"/>
      <c r="E61" s="58">
        <v>0</v>
      </c>
      <c r="F61" s="58"/>
      <c r="G61" s="58">
        <v>0</v>
      </c>
      <c r="H61" s="58"/>
      <c r="I61" s="58">
        <v>0</v>
      </c>
      <c r="J61" s="60"/>
      <c r="K61" s="58">
        <v>120</v>
      </c>
      <c r="L61" s="60"/>
      <c r="M61" s="58">
        <v>155</v>
      </c>
      <c r="N61" s="58"/>
      <c r="O61" s="58">
        <v>0</v>
      </c>
      <c r="P61" s="60"/>
      <c r="Q61" s="114">
        <v>0</v>
      </c>
      <c r="R61" s="60"/>
      <c r="S61" s="114">
        <v>395</v>
      </c>
      <c r="T61" s="60"/>
      <c r="U61" s="114">
        <v>7880.5</v>
      </c>
      <c r="V61" s="60"/>
      <c r="W61" s="114">
        <v>0</v>
      </c>
      <c r="X61" s="60"/>
      <c r="Y61" s="114">
        <v>0</v>
      </c>
      <c r="Z61" s="60"/>
      <c r="AA61" s="114">
        <v>0</v>
      </c>
      <c r="AB61" s="60"/>
      <c r="AC61" s="59">
        <v>0</v>
      </c>
    </row>
    <row r="62" spans="1:29" s="4" customFormat="1" ht="6" customHeight="1" x14ac:dyDescent="0.25">
      <c r="A62" s="51"/>
      <c r="B62" s="52"/>
      <c r="C62" s="53"/>
      <c r="D62" s="52"/>
      <c r="E62" s="53"/>
      <c r="F62" s="53"/>
      <c r="G62" s="53"/>
      <c r="H62" s="53"/>
      <c r="I62" s="53"/>
      <c r="J62" s="52"/>
      <c r="K62" s="53"/>
      <c r="L62" s="52"/>
      <c r="M62" s="53"/>
      <c r="N62" s="53"/>
      <c r="O62" s="53"/>
      <c r="P62" s="52"/>
      <c r="Q62" s="53"/>
      <c r="R62" s="52"/>
      <c r="S62" s="53"/>
      <c r="T62" s="52"/>
      <c r="U62" s="53"/>
      <c r="V62" s="52"/>
      <c r="W62" s="53"/>
      <c r="X62" s="52"/>
      <c r="Y62" s="53"/>
      <c r="Z62" s="52"/>
      <c r="AA62" s="53"/>
      <c r="AB62" s="52"/>
      <c r="AC62" s="54"/>
    </row>
    <row r="63" spans="1:29" s="4" customFormat="1" x14ac:dyDescent="0.25">
      <c r="A63" s="61" t="s">
        <v>59</v>
      </c>
      <c r="B63" s="62"/>
      <c r="C63" s="63">
        <f>SUM(C59:C62)</f>
        <v>0</v>
      </c>
      <c r="D63" s="62"/>
      <c r="E63" s="63">
        <f>SUM(E59:E62)</f>
        <v>0</v>
      </c>
      <c r="F63" s="63"/>
      <c r="G63" s="63">
        <f>SUM(G59:G62)</f>
        <v>11903</v>
      </c>
      <c r="H63" s="63"/>
      <c r="I63" s="63">
        <f>SUM(I59:I62)</f>
        <v>9375</v>
      </c>
      <c r="J63" s="62"/>
      <c r="K63" s="63">
        <f>SUM(K59:K62)</f>
        <v>9240</v>
      </c>
      <c r="L63" s="62"/>
      <c r="M63" s="63">
        <f>SUM(M59:M62)</f>
        <v>155</v>
      </c>
      <c r="N63" s="63"/>
      <c r="O63" s="63">
        <f>SUM(O59:O62)</f>
        <v>0</v>
      </c>
      <c r="P63" s="62"/>
      <c r="Q63" s="63">
        <f>SUM(Q59:Q62)</f>
        <v>0</v>
      </c>
      <c r="R63" s="62"/>
      <c r="S63" s="63">
        <f>SUM(S59:S62)</f>
        <v>395</v>
      </c>
      <c r="T63" s="62"/>
      <c r="U63" s="63">
        <f>SUM(U59:U62)</f>
        <v>7880.5</v>
      </c>
      <c r="V63" s="62"/>
      <c r="W63" s="63">
        <f>SUM(W59:W62)</f>
        <v>3269.89</v>
      </c>
      <c r="X63" s="62"/>
      <c r="Y63" s="63">
        <f>SUM(Y59:Y62)</f>
        <v>377.62</v>
      </c>
      <c r="Z63" s="62"/>
      <c r="AA63" s="63">
        <f>SUM(AA59:AA62)</f>
        <v>0</v>
      </c>
      <c r="AB63" s="62"/>
      <c r="AC63" s="64">
        <f>SUM(AC59:AC62)</f>
        <v>0</v>
      </c>
    </row>
    <row r="64" spans="1:29" ht="6" customHeight="1" x14ac:dyDescent="0.2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65"/>
    </row>
    <row r="65" spans="1:30" s="4" customFormat="1" x14ac:dyDescent="0.25">
      <c r="A65" s="47" t="s">
        <v>31</v>
      </c>
      <c r="B65" s="48"/>
      <c r="C65" s="49"/>
      <c r="D65" s="48"/>
      <c r="E65" s="49"/>
      <c r="F65" s="49"/>
      <c r="G65" s="49"/>
      <c r="H65" s="49"/>
      <c r="I65" s="49"/>
      <c r="J65" s="48"/>
      <c r="K65" s="49"/>
      <c r="L65" s="48"/>
      <c r="M65" s="49"/>
      <c r="N65" s="49"/>
      <c r="O65" s="49"/>
      <c r="P65" s="48"/>
      <c r="Q65" s="49"/>
      <c r="R65" s="48"/>
      <c r="S65" s="49"/>
      <c r="T65" s="48"/>
      <c r="U65" s="49"/>
      <c r="V65" s="48"/>
      <c r="W65" s="49"/>
      <c r="X65" s="48"/>
      <c r="Y65" s="48"/>
      <c r="Z65" s="48"/>
      <c r="AA65" s="48"/>
      <c r="AB65" s="48"/>
      <c r="AC65" s="50"/>
    </row>
    <row r="66" spans="1:30" s="4" customFormat="1" x14ac:dyDescent="0.25">
      <c r="A66" s="51" t="s">
        <v>85</v>
      </c>
      <c r="B66" s="66"/>
      <c r="C66" s="53"/>
      <c r="D66" s="52"/>
      <c r="E66" s="53"/>
      <c r="F66" s="53"/>
      <c r="G66" s="53"/>
      <c r="H66" s="53"/>
      <c r="I66" s="53"/>
      <c r="J66" s="52"/>
      <c r="K66" s="53"/>
      <c r="L66" s="52"/>
      <c r="M66" s="53"/>
      <c r="N66" s="53"/>
      <c r="O66" s="53"/>
      <c r="P66" s="52"/>
      <c r="Q66" s="53"/>
      <c r="R66" s="52"/>
      <c r="S66" s="53"/>
      <c r="T66" s="52"/>
      <c r="U66" s="53"/>
      <c r="V66" s="52"/>
      <c r="W66" s="53"/>
      <c r="X66" s="52"/>
      <c r="Y66" s="52"/>
      <c r="Z66" s="52"/>
      <c r="AA66" s="52"/>
      <c r="AB66" s="52"/>
      <c r="AC66" s="54"/>
    </row>
    <row r="67" spans="1:30" s="4" customFormat="1" x14ac:dyDescent="0.25">
      <c r="A67" s="51"/>
      <c r="B67" s="52" t="s">
        <v>26</v>
      </c>
      <c r="C67" s="53">
        <v>0</v>
      </c>
      <c r="D67" s="52"/>
      <c r="E67" s="53">
        <v>0</v>
      </c>
      <c r="F67" s="53"/>
      <c r="G67" s="53">
        <v>1440</v>
      </c>
      <c r="H67" s="53"/>
      <c r="I67" s="53">
        <v>2626.31</v>
      </c>
      <c r="J67" s="52"/>
      <c r="K67" s="53">
        <v>6848.34</v>
      </c>
      <c r="L67" s="52"/>
      <c r="M67" s="53">
        <v>0</v>
      </c>
      <c r="N67" s="53"/>
      <c r="O67" s="53">
        <v>0</v>
      </c>
      <c r="P67" s="52"/>
      <c r="Q67" s="53">
        <v>0</v>
      </c>
      <c r="R67" s="52"/>
      <c r="S67" s="53">
        <v>0</v>
      </c>
      <c r="T67" s="52"/>
      <c r="U67" s="53">
        <v>0</v>
      </c>
      <c r="V67" s="52"/>
      <c r="W67" s="53">
        <v>0</v>
      </c>
      <c r="X67" s="52"/>
      <c r="Y67" s="52"/>
      <c r="Z67" s="52"/>
      <c r="AA67" s="53">
        <v>0</v>
      </c>
      <c r="AB67" s="52"/>
      <c r="AC67" s="54">
        <v>0</v>
      </c>
    </row>
    <row r="68" spans="1:30" s="4" customFormat="1" x14ac:dyDescent="0.25">
      <c r="A68" s="51"/>
      <c r="B68" s="52" t="s">
        <v>29</v>
      </c>
      <c r="C68" s="53">
        <v>0</v>
      </c>
      <c r="D68" s="52"/>
      <c r="E68" s="53">
        <v>0</v>
      </c>
      <c r="F68" s="53"/>
      <c r="G68" s="53">
        <v>950.45</v>
      </c>
      <c r="H68" s="53"/>
      <c r="I68" s="53">
        <v>0</v>
      </c>
      <c r="J68" s="52"/>
      <c r="K68" s="53">
        <v>0</v>
      </c>
      <c r="L68" s="52"/>
      <c r="M68" s="53">
        <v>0</v>
      </c>
      <c r="N68" s="53"/>
      <c r="O68" s="53">
        <v>0</v>
      </c>
      <c r="P68" s="52"/>
      <c r="Q68" s="53">
        <v>0</v>
      </c>
      <c r="R68" s="52"/>
      <c r="S68" s="53">
        <v>0</v>
      </c>
      <c r="T68" s="52"/>
      <c r="U68" s="53">
        <v>0</v>
      </c>
      <c r="V68" s="52"/>
      <c r="W68" s="53">
        <v>0</v>
      </c>
      <c r="X68" s="52"/>
      <c r="Y68" s="52"/>
      <c r="Z68" s="52"/>
      <c r="AA68" s="53">
        <v>0</v>
      </c>
      <c r="AB68" s="52"/>
      <c r="AC68" s="54">
        <v>0</v>
      </c>
    </row>
    <row r="69" spans="1:30" s="4" customFormat="1" x14ac:dyDescent="0.25">
      <c r="A69" s="51"/>
      <c r="B69" s="52" t="s">
        <v>21</v>
      </c>
      <c r="C69" s="53">
        <v>0</v>
      </c>
      <c r="D69" s="52"/>
      <c r="E69" s="53">
        <v>0</v>
      </c>
      <c r="F69" s="53"/>
      <c r="G69" s="53">
        <v>400</v>
      </c>
      <c r="H69" s="53"/>
      <c r="I69" s="53">
        <v>500</v>
      </c>
      <c r="J69" s="52"/>
      <c r="K69" s="53">
        <v>600</v>
      </c>
      <c r="L69" s="52"/>
      <c r="M69" s="53">
        <v>0</v>
      </c>
      <c r="N69" s="53"/>
      <c r="O69" s="53">
        <v>0</v>
      </c>
      <c r="P69" s="52"/>
      <c r="Q69" s="53">
        <v>0</v>
      </c>
      <c r="R69" s="52"/>
      <c r="S69" s="53">
        <v>0</v>
      </c>
      <c r="T69" s="52"/>
      <c r="U69" s="53">
        <v>0</v>
      </c>
      <c r="V69" s="52"/>
      <c r="W69" s="53">
        <v>0</v>
      </c>
      <c r="X69" s="52"/>
      <c r="Y69" s="52"/>
      <c r="Z69" s="52"/>
      <c r="AA69" s="53">
        <v>0</v>
      </c>
      <c r="AB69" s="52"/>
      <c r="AC69" s="54">
        <v>0</v>
      </c>
    </row>
    <row r="70" spans="1:30" s="4" customFormat="1" x14ac:dyDescent="0.25">
      <c r="A70" s="51"/>
      <c r="B70" s="52" t="s">
        <v>25</v>
      </c>
      <c r="C70" s="53">
        <v>0</v>
      </c>
      <c r="D70" s="52"/>
      <c r="E70" s="53">
        <v>0</v>
      </c>
      <c r="F70" s="53"/>
      <c r="G70" s="53">
        <f>118+970.8+54.78</f>
        <v>1143.58</v>
      </c>
      <c r="H70" s="53"/>
      <c r="I70" s="53">
        <v>262.3</v>
      </c>
      <c r="J70" s="52"/>
      <c r="K70" s="53">
        <v>737.92</v>
      </c>
      <c r="L70" s="52"/>
      <c r="M70" s="53">
        <v>0</v>
      </c>
      <c r="N70" s="53"/>
      <c r="O70" s="53">
        <v>0</v>
      </c>
      <c r="P70" s="52"/>
      <c r="Q70" s="53">
        <v>0</v>
      </c>
      <c r="R70" s="52"/>
      <c r="S70" s="53">
        <v>0</v>
      </c>
      <c r="T70" s="52"/>
      <c r="U70" s="53">
        <v>0</v>
      </c>
      <c r="V70" s="52"/>
      <c r="W70" s="53">
        <v>0</v>
      </c>
      <c r="X70" s="52"/>
      <c r="Y70" s="52"/>
      <c r="Z70" s="52"/>
      <c r="AA70" s="53">
        <v>0</v>
      </c>
      <c r="AB70" s="52"/>
      <c r="AC70" s="54"/>
    </row>
    <row r="71" spans="1:30" s="4" customFormat="1" x14ac:dyDescent="0.25">
      <c r="A71" s="51"/>
      <c r="B71" s="52" t="s">
        <v>27</v>
      </c>
      <c r="C71" s="55">
        <v>0</v>
      </c>
      <c r="D71" s="56"/>
      <c r="E71" s="55">
        <v>0</v>
      </c>
      <c r="F71" s="55"/>
      <c r="G71" s="55">
        <v>256.87</v>
      </c>
      <c r="H71" s="55"/>
      <c r="I71" s="55">
        <v>117.09</v>
      </c>
      <c r="J71" s="56"/>
      <c r="K71" s="55">
        <v>0</v>
      </c>
      <c r="L71" s="56"/>
      <c r="M71" s="55">
        <v>0</v>
      </c>
      <c r="N71" s="55"/>
      <c r="O71" s="55">
        <v>0</v>
      </c>
      <c r="P71" s="56"/>
      <c r="Q71" s="55">
        <v>0</v>
      </c>
      <c r="R71" s="56"/>
      <c r="S71" s="55">
        <v>0</v>
      </c>
      <c r="T71" s="56"/>
      <c r="U71" s="55">
        <v>0</v>
      </c>
      <c r="V71" s="56"/>
      <c r="W71" s="55">
        <v>0</v>
      </c>
      <c r="X71" s="56"/>
      <c r="Y71" s="56"/>
      <c r="Z71" s="56"/>
      <c r="AA71" s="53">
        <v>0</v>
      </c>
      <c r="AB71" s="56"/>
      <c r="AC71" s="57">
        <v>0</v>
      </c>
    </row>
    <row r="72" spans="1:30" s="4" customFormat="1" x14ac:dyDescent="0.25">
      <c r="A72" s="51"/>
      <c r="B72" s="52" t="s">
        <v>28</v>
      </c>
      <c r="C72" s="55">
        <v>0</v>
      </c>
      <c r="D72" s="56"/>
      <c r="E72" s="55">
        <v>0</v>
      </c>
      <c r="F72" s="55"/>
      <c r="G72" s="55">
        <v>150</v>
      </c>
      <c r="H72" s="55"/>
      <c r="I72" s="55">
        <v>0</v>
      </c>
      <c r="J72" s="56"/>
      <c r="K72" s="55">
        <v>0</v>
      </c>
      <c r="L72" s="56"/>
      <c r="M72" s="55">
        <v>0</v>
      </c>
      <c r="N72" s="55"/>
      <c r="O72" s="55">
        <v>0</v>
      </c>
      <c r="P72" s="56"/>
      <c r="Q72" s="55">
        <v>0</v>
      </c>
      <c r="R72" s="56"/>
      <c r="S72" s="55">
        <v>0</v>
      </c>
      <c r="T72" s="56"/>
      <c r="U72" s="55">
        <v>0</v>
      </c>
      <c r="V72" s="56"/>
      <c r="W72" s="55">
        <v>0</v>
      </c>
      <c r="X72" s="56"/>
      <c r="Y72" s="56">
        <v>1500</v>
      </c>
      <c r="Z72" s="56"/>
      <c r="AA72" s="53">
        <v>0</v>
      </c>
      <c r="AB72" s="56"/>
      <c r="AC72" s="57">
        <v>0</v>
      </c>
    </row>
    <row r="73" spans="1:30" s="4" customFormat="1" x14ac:dyDescent="0.25">
      <c r="A73" s="51"/>
      <c r="B73" s="52" t="s">
        <v>45</v>
      </c>
      <c r="C73" s="55">
        <v>0</v>
      </c>
      <c r="D73" s="56"/>
      <c r="E73" s="55">
        <v>0</v>
      </c>
      <c r="F73" s="55"/>
      <c r="G73" s="55">
        <v>0</v>
      </c>
      <c r="H73" s="55"/>
      <c r="I73" s="55">
        <v>0</v>
      </c>
      <c r="J73" s="56"/>
      <c r="K73" s="55">
        <v>0</v>
      </c>
      <c r="L73" s="56"/>
      <c r="M73" s="55">
        <v>0</v>
      </c>
      <c r="N73" s="55"/>
      <c r="O73" s="55">
        <v>0</v>
      </c>
      <c r="P73" s="56"/>
      <c r="Q73" s="55">
        <v>0</v>
      </c>
      <c r="R73" s="56"/>
      <c r="S73" s="55">
        <v>0</v>
      </c>
      <c r="T73" s="56"/>
      <c r="U73" s="55">
        <v>0</v>
      </c>
      <c r="V73" s="56"/>
      <c r="W73" s="55">
        <v>3330.07</v>
      </c>
      <c r="X73" s="56"/>
      <c r="Y73" s="56"/>
      <c r="Z73" s="56"/>
      <c r="AA73" s="53">
        <v>0</v>
      </c>
      <c r="AB73" s="56"/>
      <c r="AC73" s="57">
        <v>0</v>
      </c>
    </row>
    <row r="74" spans="1:30" s="4" customFormat="1" ht="17.25" x14ac:dyDescent="0.4">
      <c r="A74" s="51"/>
      <c r="B74" s="52" t="s">
        <v>23</v>
      </c>
      <c r="C74" s="58">
        <v>0</v>
      </c>
      <c r="D74" s="52"/>
      <c r="E74" s="58">
        <v>0</v>
      </c>
      <c r="F74" s="58"/>
      <c r="G74" s="58">
        <v>4575</v>
      </c>
      <c r="H74" s="58"/>
      <c r="I74" s="58">
        <v>3650</v>
      </c>
      <c r="J74" s="52"/>
      <c r="K74" s="58">
        <v>0</v>
      </c>
      <c r="L74" s="52"/>
      <c r="M74" s="58">
        <v>0</v>
      </c>
      <c r="N74" s="58"/>
      <c r="O74" s="58">
        <v>0</v>
      </c>
      <c r="P74" s="52"/>
      <c r="Q74" s="114">
        <v>0</v>
      </c>
      <c r="R74" s="52"/>
      <c r="S74" s="114">
        <v>0</v>
      </c>
      <c r="T74" s="52"/>
      <c r="U74" s="114">
        <v>0</v>
      </c>
      <c r="V74" s="52"/>
      <c r="W74" s="114">
        <v>0</v>
      </c>
      <c r="X74" s="52"/>
      <c r="Y74" s="114">
        <v>0</v>
      </c>
      <c r="Z74" s="52"/>
      <c r="AA74" s="53">
        <v>0</v>
      </c>
      <c r="AB74" s="52"/>
      <c r="AC74" s="59">
        <v>0</v>
      </c>
    </row>
    <row r="75" spans="1:30" s="4" customFormat="1" x14ac:dyDescent="0.25">
      <c r="A75" s="51" t="s">
        <v>84</v>
      </c>
      <c r="B75" s="66"/>
      <c r="C75" s="53">
        <f>SUM(C67:C74)</f>
        <v>0</v>
      </c>
      <c r="D75" s="52"/>
      <c r="E75" s="53">
        <f>SUM(E67:E74)</f>
        <v>0</v>
      </c>
      <c r="F75" s="53"/>
      <c r="G75" s="53">
        <f>SUM(G67:G74)</f>
        <v>8915.9</v>
      </c>
      <c r="H75" s="53"/>
      <c r="I75" s="53">
        <f>SUM(I67:I74)</f>
        <v>7155.7000000000007</v>
      </c>
      <c r="J75" s="52"/>
      <c r="K75" s="53">
        <f>SUM(K67:K74)</f>
        <v>8186.26</v>
      </c>
      <c r="L75" s="52"/>
      <c r="M75" s="53">
        <f>SUM(M67:M74)</f>
        <v>0</v>
      </c>
      <c r="N75" s="53"/>
      <c r="O75" s="53">
        <f>SUM(O67:O74)</f>
        <v>0</v>
      </c>
      <c r="P75" s="52"/>
      <c r="Q75" s="53">
        <f>SUM(Q67:Q74)</f>
        <v>0</v>
      </c>
      <c r="R75" s="52"/>
      <c r="S75" s="53">
        <f>SUM(S67:S74)</f>
        <v>0</v>
      </c>
      <c r="T75" s="52"/>
      <c r="U75" s="53">
        <f>SUM(U67:U74)</f>
        <v>0</v>
      </c>
      <c r="V75" s="52"/>
      <c r="W75" s="53">
        <f>SUM(W67:W74)</f>
        <v>3330.07</v>
      </c>
      <c r="X75" s="52"/>
      <c r="Y75" s="53">
        <f>SUM(Y67:Y74)</f>
        <v>1500</v>
      </c>
      <c r="Z75" s="52"/>
      <c r="AA75" s="53">
        <f>SUM(AA67:AA74)</f>
        <v>0</v>
      </c>
      <c r="AB75" s="52"/>
      <c r="AC75" s="54">
        <f>SUM(AC67:AC74)</f>
        <v>0</v>
      </c>
    </row>
    <row r="76" spans="1:30" s="4" customFormat="1" ht="6" customHeight="1" x14ac:dyDescent="0.25">
      <c r="A76" s="51"/>
      <c r="B76" s="66"/>
      <c r="C76" s="53"/>
      <c r="D76" s="52"/>
      <c r="E76" s="53"/>
      <c r="F76" s="53"/>
      <c r="G76" s="53"/>
      <c r="H76" s="53"/>
      <c r="I76" s="53"/>
      <c r="J76" s="52"/>
      <c r="K76" s="53"/>
      <c r="L76" s="52"/>
      <c r="M76" s="53"/>
      <c r="N76" s="53"/>
      <c r="O76" s="53"/>
      <c r="P76" s="52"/>
      <c r="Q76" s="53"/>
      <c r="R76" s="52"/>
      <c r="S76" s="53"/>
      <c r="T76" s="52"/>
      <c r="U76" s="53"/>
      <c r="V76" s="52"/>
      <c r="W76" s="53"/>
      <c r="X76" s="52"/>
      <c r="Y76" s="53"/>
      <c r="Z76" s="52"/>
      <c r="AA76" s="52"/>
      <c r="AB76" s="52"/>
      <c r="AC76" s="54"/>
      <c r="AD76" s="3"/>
    </row>
    <row r="77" spans="1:30" s="4" customFormat="1" ht="17.25" x14ac:dyDescent="0.4">
      <c r="A77" s="51" t="s">
        <v>78</v>
      </c>
      <c r="B77" s="66"/>
      <c r="C77" s="114">
        <v>0</v>
      </c>
      <c r="D77" s="56"/>
      <c r="E77" s="114">
        <v>0</v>
      </c>
      <c r="F77" s="55"/>
      <c r="G77" s="58">
        <v>0</v>
      </c>
      <c r="H77" s="55"/>
      <c r="I77" s="58">
        <v>0</v>
      </c>
      <c r="J77" s="56"/>
      <c r="K77" s="58">
        <v>0</v>
      </c>
      <c r="L77" s="56"/>
      <c r="M77" s="58">
        <v>0</v>
      </c>
      <c r="N77" s="58"/>
      <c r="O77" s="58">
        <v>0</v>
      </c>
      <c r="P77" s="56"/>
      <c r="Q77" s="114">
        <v>0</v>
      </c>
      <c r="R77" s="56"/>
      <c r="S77" s="114">
        <v>0</v>
      </c>
      <c r="T77" s="56"/>
      <c r="U77" s="114">
        <v>252.07</v>
      </c>
      <c r="V77" s="56"/>
      <c r="W77" s="114">
        <v>859.25</v>
      </c>
      <c r="X77" s="56"/>
      <c r="Y77" s="114">
        <v>0</v>
      </c>
      <c r="Z77" s="56"/>
      <c r="AA77" s="114">
        <v>0</v>
      </c>
      <c r="AB77" s="56"/>
      <c r="AC77" s="59">
        <v>0</v>
      </c>
    </row>
    <row r="78" spans="1:30" s="1" customFormat="1" ht="6" customHeight="1" x14ac:dyDescent="0.25">
      <c r="A78" s="67"/>
      <c r="B78" s="66"/>
      <c r="C78" s="53"/>
      <c r="D78" s="66"/>
      <c r="E78" s="53"/>
      <c r="F78" s="53"/>
      <c r="G78" s="53"/>
      <c r="H78" s="53"/>
      <c r="I78" s="53"/>
      <c r="J78" s="66"/>
      <c r="K78" s="53"/>
      <c r="L78" s="66"/>
      <c r="M78" s="53"/>
      <c r="N78" s="53"/>
      <c r="O78" s="53"/>
      <c r="P78" s="66"/>
      <c r="Q78" s="53"/>
      <c r="R78" s="66"/>
      <c r="S78" s="53"/>
      <c r="T78" s="66"/>
      <c r="U78" s="53"/>
      <c r="V78" s="66"/>
      <c r="W78" s="53"/>
      <c r="X78" s="66"/>
      <c r="Y78" s="53"/>
      <c r="Z78" s="66"/>
      <c r="AA78" s="66"/>
      <c r="AB78" s="66"/>
      <c r="AC78" s="54"/>
    </row>
    <row r="79" spans="1:30" s="4" customFormat="1" x14ac:dyDescent="0.25">
      <c r="A79" s="61" t="s">
        <v>40</v>
      </c>
      <c r="B79" s="68"/>
      <c r="C79" s="63">
        <f>SUM(C75:C78)</f>
        <v>0</v>
      </c>
      <c r="D79" s="62"/>
      <c r="E79" s="63">
        <f>SUM(E75:E78)</f>
        <v>0</v>
      </c>
      <c r="F79" s="63"/>
      <c r="G79" s="63">
        <f>SUM(G75:G78)</f>
        <v>8915.9</v>
      </c>
      <c r="H79" s="63"/>
      <c r="I79" s="63">
        <f>SUM(I75:I78)</f>
        <v>7155.7000000000007</v>
      </c>
      <c r="J79" s="62"/>
      <c r="K79" s="63">
        <f>SUM(K75:K78)</f>
        <v>8186.26</v>
      </c>
      <c r="L79" s="62"/>
      <c r="M79" s="63">
        <f>SUM(M75:M78)</f>
        <v>0</v>
      </c>
      <c r="N79" s="63"/>
      <c r="O79" s="63">
        <f>SUM(O75:O78)</f>
        <v>0</v>
      </c>
      <c r="P79" s="62"/>
      <c r="Q79" s="63">
        <f>SUM(Q75:Q78)</f>
        <v>0</v>
      </c>
      <c r="R79" s="62"/>
      <c r="S79" s="63">
        <f>SUM(S75:S78)</f>
        <v>0</v>
      </c>
      <c r="T79" s="62"/>
      <c r="U79" s="63">
        <f>SUM(U75:U78)</f>
        <v>252.07</v>
      </c>
      <c r="V79" s="62"/>
      <c r="W79" s="63">
        <f>SUM(W75:W78)</f>
        <v>4189.32</v>
      </c>
      <c r="X79" s="62"/>
      <c r="Y79" s="63">
        <f>SUM(Y75:Y78)</f>
        <v>1500</v>
      </c>
      <c r="Z79" s="62"/>
      <c r="AA79" s="63">
        <f>SUM(AA75:AA78)</f>
        <v>0</v>
      </c>
      <c r="AB79" s="62"/>
      <c r="AC79" s="64">
        <f>SUM(AC75:AC78)</f>
        <v>0</v>
      </c>
    </row>
    <row r="80" spans="1:30" ht="6" customHeight="1" x14ac:dyDescent="0.25">
      <c r="A80" s="51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65"/>
    </row>
    <row r="81" spans="1:29" ht="15.75" thickBot="1" x14ac:dyDescent="0.3">
      <c r="A81" s="43" t="s">
        <v>58</v>
      </c>
      <c r="B81" s="44"/>
      <c r="C81" s="45">
        <f>C63-C79</f>
        <v>0</v>
      </c>
      <c r="D81" s="44"/>
      <c r="E81" s="45">
        <f>E63-E79</f>
        <v>0</v>
      </c>
      <c r="F81" s="44"/>
      <c r="G81" s="45">
        <f>G63-G79</f>
        <v>2987.1000000000004</v>
      </c>
      <c r="H81" s="44"/>
      <c r="I81" s="45">
        <f>I63-I79</f>
        <v>2219.2999999999993</v>
      </c>
      <c r="J81" s="44"/>
      <c r="K81" s="45">
        <f>K63-K79</f>
        <v>1053.7399999999998</v>
      </c>
      <c r="L81" s="44"/>
      <c r="M81" s="45">
        <f>M63-M79</f>
        <v>155</v>
      </c>
      <c r="N81" s="45"/>
      <c r="O81" s="45">
        <f>O63-O79</f>
        <v>0</v>
      </c>
      <c r="P81" s="44"/>
      <c r="Q81" s="113">
        <f>Q63-Q79</f>
        <v>0</v>
      </c>
      <c r="R81" s="44"/>
      <c r="S81" s="113">
        <f>S63-S79</f>
        <v>395</v>
      </c>
      <c r="T81" s="44"/>
      <c r="U81" s="113">
        <f>U63-U79</f>
        <v>7628.43</v>
      </c>
      <c r="V81" s="44"/>
      <c r="W81" s="113">
        <f>W63-W79</f>
        <v>-919.42999999999984</v>
      </c>
      <c r="X81" s="44"/>
      <c r="Y81" s="113">
        <f>Y63-Y79</f>
        <v>-1122.3800000000001</v>
      </c>
      <c r="Z81" s="44"/>
      <c r="AA81" s="113">
        <f>AA63-AA79</f>
        <v>0</v>
      </c>
      <c r="AB81" s="44"/>
      <c r="AC81" s="46">
        <f>AC63-AC79</f>
        <v>0</v>
      </c>
    </row>
    <row r="82" spans="1:29" ht="6" customHeight="1" x14ac:dyDescent="0.25">
      <c r="U82" s="123"/>
      <c r="V82" s="123"/>
      <c r="W82" s="123"/>
      <c r="X82" s="123"/>
      <c r="Y82" s="123"/>
      <c r="Z82" s="123"/>
      <c r="AA82" s="123"/>
      <c r="AB82" s="123"/>
    </row>
    <row r="83" spans="1:29" s="4" customFormat="1" ht="6" customHeight="1" thickBot="1" x14ac:dyDescent="0.3">
      <c r="P83" s="107"/>
      <c r="Q83" s="107"/>
      <c r="R83" s="107"/>
      <c r="S83" s="107"/>
      <c r="T83" s="107"/>
      <c r="U83" s="123"/>
      <c r="V83" s="123"/>
      <c r="W83" s="123"/>
      <c r="X83" s="123"/>
      <c r="Y83" s="123"/>
      <c r="Z83" s="123"/>
      <c r="AA83" s="123"/>
      <c r="AB83" s="123"/>
      <c r="AC83" s="107"/>
    </row>
    <row r="84" spans="1:29" x14ac:dyDescent="0.25">
      <c r="A84" s="69" t="s">
        <v>50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1"/>
    </row>
    <row r="85" spans="1:29" s="4" customFormat="1" x14ac:dyDescent="0.25">
      <c r="A85" s="76" t="s">
        <v>60</v>
      </c>
      <c r="B85" s="77"/>
      <c r="C85" s="77"/>
      <c r="D85" s="77"/>
      <c r="E85" s="78"/>
      <c r="F85" s="78"/>
      <c r="G85" s="78"/>
      <c r="H85" s="78"/>
      <c r="I85" s="78"/>
      <c r="J85" s="77"/>
      <c r="K85" s="78"/>
      <c r="L85" s="77"/>
      <c r="M85" s="78"/>
      <c r="N85" s="78"/>
      <c r="O85" s="78"/>
      <c r="P85" s="77"/>
      <c r="Q85" s="116"/>
      <c r="R85" s="77"/>
      <c r="S85" s="116"/>
      <c r="T85" s="77"/>
      <c r="U85" s="116"/>
      <c r="V85" s="77"/>
      <c r="W85" s="116"/>
      <c r="X85" s="77"/>
      <c r="Y85" s="77"/>
      <c r="Z85" s="77"/>
      <c r="AA85" s="77"/>
      <c r="AB85" s="77"/>
      <c r="AC85" s="79"/>
    </row>
    <row r="86" spans="1:29" s="4" customFormat="1" x14ac:dyDescent="0.25">
      <c r="A86" s="80" t="s">
        <v>24</v>
      </c>
      <c r="B86" s="81"/>
      <c r="C86" s="82">
        <v>0</v>
      </c>
      <c r="D86" s="81"/>
      <c r="E86" s="82">
        <v>0</v>
      </c>
      <c r="F86" s="82"/>
      <c r="G86" s="82">
        <v>2500</v>
      </c>
      <c r="H86" s="82"/>
      <c r="I86" s="82">
        <v>6425</v>
      </c>
      <c r="J86" s="81"/>
      <c r="K86" s="82">
        <v>0</v>
      </c>
      <c r="L86" s="81"/>
      <c r="M86" s="82">
        <v>0</v>
      </c>
      <c r="N86" s="82"/>
      <c r="O86" s="82">
        <v>0</v>
      </c>
      <c r="P86" s="118"/>
      <c r="Q86" s="82">
        <v>0</v>
      </c>
      <c r="R86" s="118"/>
      <c r="S86" s="82">
        <v>0</v>
      </c>
      <c r="T86" s="118"/>
      <c r="U86" s="82">
        <v>0</v>
      </c>
      <c r="V86" s="118"/>
      <c r="W86" s="82">
        <v>0</v>
      </c>
      <c r="X86" s="118"/>
      <c r="Y86" s="118"/>
      <c r="Z86" s="118"/>
      <c r="AA86" s="118"/>
      <c r="AB86" s="118"/>
      <c r="AC86" s="83">
        <v>0</v>
      </c>
    </row>
    <row r="87" spans="1:29" s="4" customFormat="1" x14ac:dyDescent="0.25">
      <c r="A87" s="80" t="s">
        <v>65</v>
      </c>
      <c r="B87" s="81"/>
      <c r="C87" s="82">
        <v>0</v>
      </c>
      <c r="D87" s="81"/>
      <c r="E87" s="82">
        <v>0</v>
      </c>
      <c r="F87" s="82"/>
      <c r="G87" s="82">
        <v>0</v>
      </c>
      <c r="H87" s="82"/>
      <c r="I87" s="82">
        <v>0</v>
      </c>
      <c r="J87" s="81"/>
      <c r="K87" s="82">
        <v>0</v>
      </c>
      <c r="L87" s="81"/>
      <c r="M87" s="82">
        <v>0</v>
      </c>
      <c r="N87" s="82"/>
      <c r="O87" s="82">
        <v>0</v>
      </c>
      <c r="P87" s="118"/>
      <c r="Q87" s="82">
        <v>0</v>
      </c>
      <c r="R87" s="118"/>
      <c r="S87" s="82">
        <v>0</v>
      </c>
      <c r="T87" s="118"/>
      <c r="U87" s="82">
        <v>0</v>
      </c>
      <c r="V87" s="118"/>
      <c r="W87" s="82">
        <v>0</v>
      </c>
      <c r="X87" s="118"/>
      <c r="Y87" s="118"/>
      <c r="Z87" s="118"/>
      <c r="AA87" s="118"/>
      <c r="AB87" s="118"/>
      <c r="AC87" s="83">
        <v>0</v>
      </c>
    </row>
    <row r="88" spans="1:29" s="4" customFormat="1" x14ac:dyDescent="0.25">
      <c r="A88" s="80" t="s">
        <v>34</v>
      </c>
      <c r="B88" s="81"/>
      <c r="C88" s="84">
        <v>0</v>
      </c>
      <c r="D88" s="85"/>
      <c r="E88" s="84">
        <v>0</v>
      </c>
      <c r="F88" s="84"/>
      <c r="G88" s="84">
        <v>0</v>
      </c>
      <c r="H88" s="84"/>
      <c r="I88" s="84">
        <v>1000</v>
      </c>
      <c r="J88" s="85"/>
      <c r="K88" s="84">
        <v>0</v>
      </c>
      <c r="L88" s="85"/>
      <c r="M88" s="84">
        <v>0</v>
      </c>
      <c r="N88" s="84"/>
      <c r="O88" s="84">
        <v>1500</v>
      </c>
      <c r="P88" s="85"/>
      <c r="Q88" s="119">
        <v>1000</v>
      </c>
      <c r="R88" s="85"/>
      <c r="S88" s="119">
        <v>1500</v>
      </c>
      <c r="T88" s="85"/>
      <c r="U88" s="119">
        <v>0</v>
      </c>
      <c r="V88" s="85"/>
      <c r="W88" s="119">
        <v>31200</v>
      </c>
      <c r="X88" s="85"/>
      <c r="Y88" s="125">
        <v>166800</v>
      </c>
      <c r="Z88" s="85"/>
      <c r="AA88" s="85"/>
      <c r="AB88" s="85"/>
      <c r="AC88" s="86">
        <v>20000</v>
      </c>
    </row>
    <row r="89" spans="1:29" s="4" customFormat="1" x14ac:dyDescent="0.25">
      <c r="A89" s="117" t="s">
        <v>70</v>
      </c>
      <c r="B89" s="81"/>
      <c r="C89" s="84">
        <v>0</v>
      </c>
      <c r="D89" s="85"/>
      <c r="E89" s="84">
        <v>0</v>
      </c>
      <c r="F89" s="84"/>
      <c r="G89" s="84">
        <v>0</v>
      </c>
      <c r="H89" s="84"/>
      <c r="I89" s="84">
        <v>0</v>
      </c>
      <c r="J89" s="85"/>
      <c r="K89" s="84">
        <v>0</v>
      </c>
      <c r="L89" s="85"/>
      <c r="M89" s="84">
        <v>0</v>
      </c>
      <c r="N89" s="84"/>
      <c r="O89" s="84">
        <f>2110</f>
        <v>2110</v>
      </c>
      <c r="P89" s="85"/>
      <c r="Q89" s="119">
        <v>0</v>
      </c>
      <c r="R89" s="85"/>
      <c r="S89" s="119">
        <v>0</v>
      </c>
      <c r="T89" s="85"/>
      <c r="U89" s="119">
        <v>0</v>
      </c>
      <c r="V89" s="85"/>
      <c r="W89" s="119">
        <v>0</v>
      </c>
      <c r="X89" s="85"/>
      <c r="Y89" s="85"/>
      <c r="Z89" s="85"/>
      <c r="AA89" s="85"/>
      <c r="AB89" s="85"/>
      <c r="AC89" s="86">
        <v>0</v>
      </c>
    </row>
    <row r="90" spans="1:29" s="4" customFormat="1" x14ac:dyDescent="0.25">
      <c r="A90" s="117" t="s">
        <v>71</v>
      </c>
      <c r="B90" s="81"/>
      <c r="C90" s="84">
        <v>0</v>
      </c>
      <c r="D90" s="85"/>
      <c r="E90" s="84">
        <v>0</v>
      </c>
      <c r="F90" s="84"/>
      <c r="G90" s="84">
        <v>0</v>
      </c>
      <c r="H90" s="84"/>
      <c r="I90" s="84">
        <v>0</v>
      </c>
      <c r="J90" s="85"/>
      <c r="K90" s="84">
        <v>0</v>
      </c>
      <c r="L90" s="85"/>
      <c r="M90" s="84">
        <v>0</v>
      </c>
      <c r="N90" s="84"/>
      <c r="O90" s="84">
        <f>25000</f>
        <v>25000</v>
      </c>
      <c r="P90" s="85"/>
      <c r="Q90" s="119">
        <v>0</v>
      </c>
      <c r="R90" s="85"/>
      <c r="S90" s="119">
        <v>0</v>
      </c>
      <c r="T90" s="85"/>
      <c r="U90" s="119">
        <v>0</v>
      </c>
      <c r="V90" s="85"/>
      <c r="W90" s="119">
        <v>0</v>
      </c>
      <c r="X90" s="85"/>
      <c r="Y90" s="119">
        <v>0</v>
      </c>
      <c r="Z90" s="85"/>
      <c r="AA90" s="85"/>
      <c r="AB90" s="85"/>
      <c r="AC90" s="86">
        <v>0</v>
      </c>
    </row>
    <row r="91" spans="1:29" s="4" customFormat="1" ht="17.25" x14ac:dyDescent="0.4">
      <c r="A91" s="80" t="s">
        <v>64</v>
      </c>
      <c r="B91" s="81"/>
      <c r="C91" s="87">
        <v>0</v>
      </c>
      <c r="D91" s="81"/>
      <c r="E91" s="87">
        <v>0</v>
      </c>
      <c r="F91" s="82"/>
      <c r="G91" s="87">
        <v>0</v>
      </c>
      <c r="H91" s="82"/>
      <c r="I91" s="87">
        <v>0</v>
      </c>
      <c r="J91" s="81"/>
      <c r="K91" s="87">
        <v>0</v>
      </c>
      <c r="L91" s="81"/>
      <c r="M91" s="87">
        <f>M47</f>
        <v>2500</v>
      </c>
      <c r="N91" s="87"/>
      <c r="O91" s="87">
        <f>O47</f>
        <v>3250</v>
      </c>
      <c r="P91" s="118"/>
      <c r="Q91" s="120">
        <f>Q47</f>
        <v>0</v>
      </c>
      <c r="R91" s="118"/>
      <c r="S91" s="120">
        <f>S47</f>
        <v>0</v>
      </c>
      <c r="T91" s="118"/>
      <c r="U91" s="120">
        <f>U47</f>
        <v>0</v>
      </c>
      <c r="V91" s="118"/>
      <c r="W91" s="120">
        <f>W47</f>
        <v>0</v>
      </c>
      <c r="X91" s="118"/>
      <c r="Y91" s="120">
        <f>Y47</f>
        <v>0</v>
      </c>
      <c r="Z91" s="118"/>
      <c r="AA91" s="118"/>
      <c r="AB91" s="118"/>
      <c r="AC91" s="88">
        <f>AC47</f>
        <v>0</v>
      </c>
    </row>
    <row r="92" spans="1:29" s="1" customFormat="1" ht="6" customHeight="1" x14ac:dyDescent="0.25">
      <c r="A92" s="89"/>
      <c r="B92" s="90"/>
      <c r="C92" s="82"/>
      <c r="D92" s="90"/>
      <c r="E92" s="82"/>
      <c r="F92" s="82"/>
      <c r="G92" s="82"/>
      <c r="H92" s="82"/>
      <c r="I92" s="82"/>
      <c r="J92" s="90"/>
      <c r="K92" s="82"/>
      <c r="L92" s="90"/>
      <c r="M92" s="82"/>
      <c r="N92" s="82"/>
      <c r="O92" s="82"/>
      <c r="P92" s="90"/>
      <c r="Q92" s="82"/>
      <c r="R92" s="90"/>
      <c r="S92" s="82"/>
      <c r="T92" s="90"/>
      <c r="U92" s="82"/>
      <c r="V92" s="90"/>
      <c r="W92" s="82"/>
      <c r="X92" s="90"/>
      <c r="Y92" s="82"/>
      <c r="Z92" s="90"/>
      <c r="AA92" s="90"/>
      <c r="AB92" s="90"/>
      <c r="AC92" s="83"/>
    </row>
    <row r="93" spans="1:29" s="4" customFormat="1" x14ac:dyDescent="0.25">
      <c r="A93" s="91" t="s">
        <v>61</v>
      </c>
      <c r="B93" s="92"/>
      <c r="C93" s="93">
        <f>SUM(C86:C92)</f>
        <v>0</v>
      </c>
      <c r="D93" s="92"/>
      <c r="E93" s="93">
        <f>SUM(E86:E92)</f>
        <v>0</v>
      </c>
      <c r="F93" s="93"/>
      <c r="G93" s="93">
        <f>SUM(G86:G92)</f>
        <v>2500</v>
      </c>
      <c r="H93" s="93"/>
      <c r="I93" s="93">
        <f>SUM(I86:I92)</f>
        <v>7425</v>
      </c>
      <c r="J93" s="92"/>
      <c r="K93" s="93">
        <f>SUM(K86:K92)</f>
        <v>0</v>
      </c>
      <c r="L93" s="92"/>
      <c r="M93" s="93">
        <f>SUM(M86:M92)</f>
        <v>2500</v>
      </c>
      <c r="N93" s="93"/>
      <c r="O93" s="93">
        <f>SUM(O86:O92)</f>
        <v>31860</v>
      </c>
      <c r="P93" s="92"/>
      <c r="Q93" s="93">
        <f>SUM(Q86:Q92)</f>
        <v>1000</v>
      </c>
      <c r="R93" s="92"/>
      <c r="S93" s="93">
        <f>SUM(S86:S92)</f>
        <v>1500</v>
      </c>
      <c r="T93" s="92"/>
      <c r="U93" s="93">
        <f>SUM(U86:U92)</f>
        <v>0</v>
      </c>
      <c r="V93" s="92"/>
      <c r="W93" s="93">
        <f>SUM(W86:W92)</f>
        <v>31200</v>
      </c>
      <c r="X93" s="92"/>
      <c r="Y93" s="93">
        <f>SUM(Y86:Y92)</f>
        <v>166800</v>
      </c>
      <c r="Z93" s="92"/>
      <c r="AA93" s="92"/>
      <c r="AB93" s="92"/>
      <c r="AC93" s="94">
        <f>SUM(AC86:AC92)</f>
        <v>20000</v>
      </c>
    </row>
    <row r="94" spans="1:29" s="4" customFormat="1" ht="6" customHeight="1" x14ac:dyDescent="0.25">
      <c r="A94" s="80"/>
      <c r="B94" s="81"/>
      <c r="C94" s="82"/>
      <c r="D94" s="81"/>
      <c r="E94" s="82"/>
      <c r="F94" s="82"/>
      <c r="G94" s="82"/>
      <c r="H94" s="82"/>
      <c r="I94" s="82"/>
      <c r="J94" s="81"/>
      <c r="K94" s="82"/>
      <c r="L94" s="81"/>
      <c r="M94" s="82"/>
      <c r="N94" s="82"/>
      <c r="O94" s="82"/>
      <c r="P94" s="118"/>
      <c r="Q94" s="82"/>
      <c r="R94" s="118"/>
      <c r="S94" s="82"/>
      <c r="T94" s="118"/>
      <c r="U94" s="82"/>
      <c r="V94" s="118"/>
      <c r="W94" s="82"/>
      <c r="X94" s="118"/>
      <c r="Y94" s="118"/>
      <c r="Z94" s="118"/>
      <c r="AA94" s="118"/>
      <c r="AB94" s="118"/>
      <c r="AC94" s="83"/>
    </row>
    <row r="95" spans="1:29" s="4" customFormat="1" x14ac:dyDescent="0.25">
      <c r="A95" s="76" t="s">
        <v>32</v>
      </c>
      <c r="B95" s="77"/>
      <c r="C95" s="77"/>
      <c r="D95" s="77"/>
      <c r="E95" s="78"/>
      <c r="F95" s="78"/>
      <c r="G95" s="78"/>
      <c r="H95" s="78"/>
      <c r="I95" s="78"/>
      <c r="J95" s="77"/>
      <c r="K95" s="78"/>
      <c r="L95" s="77"/>
      <c r="M95" s="78"/>
      <c r="N95" s="78"/>
      <c r="O95" s="78"/>
      <c r="P95" s="77"/>
      <c r="Q95" s="116"/>
      <c r="R95" s="77"/>
      <c r="S95" s="116"/>
      <c r="T95" s="77"/>
      <c r="U95" s="116"/>
      <c r="V95" s="77"/>
      <c r="W95" s="116"/>
      <c r="X95" s="77"/>
      <c r="Y95" s="77"/>
      <c r="Z95" s="77"/>
      <c r="AA95" s="77"/>
      <c r="AB95" s="77"/>
      <c r="AC95" s="79"/>
    </row>
    <row r="96" spans="1:29" s="4" customFormat="1" x14ac:dyDescent="0.25">
      <c r="A96" s="80" t="s">
        <v>13</v>
      </c>
      <c r="B96" s="81"/>
      <c r="C96" s="84">
        <v>0</v>
      </c>
      <c r="D96" s="81"/>
      <c r="E96" s="84">
        <v>0</v>
      </c>
      <c r="F96" s="84"/>
      <c r="G96" s="84">
        <v>967.26</v>
      </c>
      <c r="H96" s="84"/>
      <c r="I96" s="84">
        <v>3293.2</v>
      </c>
      <c r="J96" s="81"/>
      <c r="K96" s="84">
        <v>1475.23</v>
      </c>
      <c r="L96" s="81"/>
      <c r="M96" s="84">
        <v>1795.55</v>
      </c>
      <c r="N96" s="84"/>
      <c r="O96" s="84">
        <f>2307.88</f>
        <v>2307.88</v>
      </c>
      <c r="P96" s="118"/>
      <c r="Q96" s="119">
        <v>2717.49</v>
      </c>
      <c r="R96" s="118"/>
      <c r="S96" s="119">
        <v>2850.4</v>
      </c>
      <c r="T96" s="118"/>
      <c r="U96" s="119">
        <v>2072.13</v>
      </c>
      <c r="V96" s="118"/>
      <c r="W96" s="119"/>
      <c r="X96" s="118"/>
      <c r="Y96" s="118">
        <v>2567</v>
      </c>
      <c r="Z96" s="118"/>
      <c r="AA96" s="118"/>
      <c r="AB96" s="118"/>
      <c r="AC96" s="86">
        <v>0</v>
      </c>
    </row>
    <row r="97" spans="1:29" s="4" customFormat="1" x14ac:dyDescent="0.25">
      <c r="A97" s="80" t="s">
        <v>96</v>
      </c>
      <c r="B97" s="81"/>
      <c r="C97" s="84">
        <v>0</v>
      </c>
      <c r="D97" s="81"/>
      <c r="E97" s="84">
        <v>0</v>
      </c>
      <c r="F97" s="84"/>
      <c r="G97" s="84">
        <v>0</v>
      </c>
      <c r="H97" s="84"/>
      <c r="I97" s="84">
        <v>0</v>
      </c>
      <c r="J97" s="81"/>
      <c r="K97" s="84">
        <v>250</v>
      </c>
      <c r="L97" s="81"/>
      <c r="M97" s="84">
        <v>0</v>
      </c>
      <c r="N97" s="84"/>
      <c r="O97" s="84">
        <f>250+250</f>
        <v>500</v>
      </c>
      <c r="P97" s="118"/>
      <c r="Q97" s="119">
        <v>250</v>
      </c>
      <c r="R97" s="118"/>
      <c r="S97" s="119">
        <v>0</v>
      </c>
      <c r="T97" s="118"/>
      <c r="U97" s="119">
        <v>0</v>
      </c>
      <c r="V97" s="118"/>
      <c r="W97" s="119"/>
      <c r="X97" s="118"/>
      <c r="Y97" s="118"/>
      <c r="Z97" s="118"/>
      <c r="AA97" s="118">
        <v>21133.7</v>
      </c>
      <c r="AB97" s="118"/>
      <c r="AC97" s="86">
        <v>10000</v>
      </c>
    </row>
    <row r="98" spans="1:29" s="4" customFormat="1" x14ac:dyDescent="0.25">
      <c r="A98" s="80" t="s">
        <v>14</v>
      </c>
      <c r="B98" s="81"/>
      <c r="C98" s="84">
        <v>0</v>
      </c>
      <c r="D98" s="81"/>
      <c r="E98" s="84">
        <v>0</v>
      </c>
      <c r="F98" s="84"/>
      <c r="G98" s="84">
        <v>500</v>
      </c>
      <c r="H98" s="84"/>
      <c r="I98" s="84">
        <v>500</v>
      </c>
      <c r="J98" s="81"/>
      <c r="K98" s="84">
        <v>500</v>
      </c>
      <c r="L98" s="81"/>
      <c r="M98" s="84">
        <v>500</v>
      </c>
      <c r="N98" s="84"/>
      <c r="O98" s="84">
        <f>500</f>
        <v>500</v>
      </c>
      <c r="P98" s="118"/>
      <c r="Q98" s="119">
        <v>500</v>
      </c>
      <c r="R98" s="118"/>
      <c r="S98" s="119">
        <v>500</v>
      </c>
      <c r="T98" s="118"/>
      <c r="U98" s="119">
        <v>750</v>
      </c>
      <c r="V98" s="118"/>
      <c r="W98" s="119"/>
      <c r="X98" s="118"/>
      <c r="Y98" s="118">
        <v>750</v>
      </c>
      <c r="Z98" s="118"/>
      <c r="AA98" s="118"/>
      <c r="AB98" s="118"/>
      <c r="AC98" s="86">
        <v>0</v>
      </c>
    </row>
    <row r="99" spans="1:29" s="4" customFormat="1" x14ac:dyDescent="0.25">
      <c r="A99" s="80" t="s">
        <v>66</v>
      </c>
      <c r="B99" s="81"/>
      <c r="C99" s="84">
        <v>0</v>
      </c>
      <c r="D99" s="81"/>
      <c r="E99" s="84">
        <v>0</v>
      </c>
      <c r="F99" s="84"/>
      <c r="G99" s="84">
        <v>0</v>
      </c>
      <c r="H99" s="84"/>
      <c r="I99" s="84">
        <v>0</v>
      </c>
      <c r="J99" s="81"/>
      <c r="K99" s="84">
        <v>0</v>
      </c>
      <c r="L99" s="81"/>
      <c r="M99" s="84">
        <v>0</v>
      </c>
      <c r="N99" s="84"/>
      <c r="O99" s="84">
        <v>0</v>
      </c>
      <c r="P99" s="118"/>
      <c r="Q99" s="119">
        <v>0</v>
      </c>
      <c r="R99" s="118"/>
      <c r="S99" s="119">
        <v>0</v>
      </c>
      <c r="T99" s="118"/>
      <c r="U99" s="119">
        <v>0</v>
      </c>
      <c r="V99" s="118"/>
      <c r="W99" s="119"/>
      <c r="X99" s="118"/>
      <c r="Y99" s="118"/>
      <c r="Z99" s="118"/>
      <c r="AA99" s="118"/>
      <c r="AB99" s="118"/>
      <c r="AC99" s="86">
        <v>0</v>
      </c>
    </row>
    <row r="100" spans="1:29" s="4" customFormat="1" x14ac:dyDescent="0.25">
      <c r="A100" s="80" t="s">
        <v>67</v>
      </c>
      <c r="B100" s="81"/>
      <c r="C100" s="84">
        <v>0</v>
      </c>
      <c r="D100" s="81"/>
      <c r="E100" s="84">
        <v>0</v>
      </c>
      <c r="F100" s="84"/>
      <c r="G100" s="84">
        <v>0</v>
      </c>
      <c r="H100" s="84"/>
      <c r="I100" s="84">
        <v>0</v>
      </c>
      <c r="J100" s="81"/>
      <c r="K100" s="84">
        <v>0</v>
      </c>
      <c r="L100" s="81"/>
      <c r="M100" s="84">
        <v>500</v>
      </c>
      <c r="N100" s="84"/>
      <c r="O100" s="84">
        <v>0</v>
      </c>
      <c r="P100" s="118"/>
      <c r="Q100" s="119">
        <v>250</v>
      </c>
      <c r="R100" s="118"/>
      <c r="S100" s="119">
        <v>250</v>
      </c>
      <c r="T100" s="118"/>
      <c r="U100" s="119">
        <v>250</v>
      </c>
      <c r="V100" s="118"/>
      <c r="W100" s="119"/>
      <c r="X100" s="118"/>
      <c r="Y100" s="118"/>
      <c r="Z100" s="118"/>
      <c r="AA100" s="118"/>
      <c r="AB100" s="118"/>
      <c r="AC100" s="86">
        <v>250</v>
      </c>
    </row>
    <row r="101" spans="1:29" s="4" customFormat="1" x14ac:dyDescent="0.25">
      <c r="A101" s="80" t="s">
        <v>41</v>
      </c>
      <c r="B101" s="81"/>
      <c r="C101" s="84">
        <v>0</v>
      </c>
      <c r="D101" s="85"/>
      <c r="E101" s="84">
        <v>0</v>
      </c>
      <c r="F101" s="84"/>
      <c r="G101" s="84">
        <v>0</v>
      </c>
      <c r="H101" s="84"/>
      <c r="I101" s="84">
        <v>161.04</v>
      </c>
      <c r="J101" s="81"/>
      <c r="K101" s="84">
        <v>0</v>
      </c>
      <c r="L101" s="81"/>
      <c r="M101" s="84">
        <v>0</v>
      </c>
      <c r="N101" s="84"/>
      <c r="O101" s="84">
        <v>0</v>
      </c>
      <c r="P101" s="118"/>
      <c r="Q101" s="119">
        <v>0</v>
      </c>
      <c r="R101" s="118"/>
      <c r="S101" s="119">
        <v>0</v>
      </c>
      <c r="T101" s="118"/>
      <c r="U101" s="119">
        <v>0</v>
      </c>
      <c r="V101" s="118"/>
      <c r="W101" s="119"/>
      <c r="X101" s="118"/>
      <c r="Y101" s="118"/>
      <c r="Z101" s="118"/>
      <c r="AA101" s="118"/>
      <c r="AB101" s="118"/>
      <c r="AC101" s="86">
        <v>0</v>
      </c>
    </row>
    <row r="102" spans="1:29" s="107" customFormat="1" x14ac:dyDescent="0.25">
      <c r="A102" s="117" t="s">
        <v>94</v>
      </c>
      <c r="B102" s="118"/>
      <c r="C102" s="119"/>
      <c r="D102" s="85"/>
      <c r="E102" s="119"/>
      <c r="F102" s="119"/>
      <c r="G102" s="119"/>
      <c r="H102" s="119"/>
      <c r="I102" s="119"/>
      <c r="J102" s="118"/>
      <c r="K102" s="119"/>
      <c r="L102" s="118"/>
      <c r="M102" s="119"/>
      <c r="N102" s="119"/>
      <c r="O102" s="119"/>
      <c r="P102" s="118"/>
      <c r="Q102" s="119"/>
      <c r="R102" s="118"/>
      <c r="S102" s="119"/>
      <c r="T102" s="118"/>
      <c r="U102" s="119"/>
      <c r="V102" s="118"/>
      <c r="W102" s="119"/>
      <c r="X102" s="118"/>
      <c r="Y102" s="118"/>
      <c r="Z102" s="118"/>
      <c r="AA102" s="118">
        <v>9083.5400000000009</v>
      </c>
      <c r="AB102" s="118"/>
      <c r="AC102" s="86">
        <v>15500</v>
      </c>
    </row>
    <row r="103" spans="1:29" s="4" customFormat="1" x14ac:dyDescent="0.25">
      <c r="A103" s="80" t="s">
        <v>92</v>
      </c>
      <c r="B103" s="81"/>
      <c r="C103" s="84">
        <v>0</v>
      </c>
      <c r="D103" s="85"/>
      <c r="E103" s="84">
        <f>198.05+476.5</f>
        <v>674.55</v>
      </c>
      <c r="F103" s="84"/>
      <c r="G103" s="84">
        <v>163.62</v>
      </c>
      <c r="H103" s="84"/>
      <c r="I103" s="84">
        <v>308.06</v>
      </c>
      <c r="J103" s="81"/>
      <c r="K103" s="84">
        <v>650</v>
      </c>
      <c r="L103" s="81"/>
      <c r="M103" s="84">
        <v>500</v>
      </c>
      <c r="N103" s="84"/>
      <c r="O103" s="84">
        <v>0</v>
      </c>
      <c r="P103" s="118"/>
      <c r="Q103" s="119">
        <v>1170.82</v>
      </c>
      <c r="R103" s="118"/>
      <c r="S103" s="119">
        <v>2640</v>
      </c>
      <c r="T103" s="118"/>
      <c r="U103" s="119">
        <v>2790</v>
      </c>
      <c r="V103" s="118"/>
      <c r="W103" s="119"/>
      <c r="X103" s="118"/>
      <c r="Y103" s="118"/>
      <c r="Z103" s="118"/>
      <c r="AA103" s="118"/>
      <c r="AB103" s="118"/>
      <c r="AC103" s="86">
        <v>2000</v>
      </c>
    </row>
    <row r="104" spans="1:29" s="4" customFormat="1" x14ac:dyDescent="0.25">
      <c r="A104" s="80" t="s">
        <v>22</v>
      </c>
      <c r="B104" s="81"/>
      <c r="C104" s="84">
        <v>0</v>
      </c>
      <c r="D104" s="85"/>
      <c r="E104" s="84">
        <v>0</v>
      </c>
      <c r="F104" s="84"/>
      <c r="G104" s="84">
        <f>125+125</f>
        <v>250</v>
      </c>
      <c r="H104" s="84"/>
      <c r="I104" s="84">
        <v>0</v>
      </c>
      <c r="J104" s="85"/>
      <c r="K104" s="84">
        <v>5321</v>
      </c>
      <c r="L104" s="85"/>
      <c r="M104" s="84">
        <v>0</v>
      </c>
      <c r="N104" s="84"/>
      <c r="O104" s="84">
        <v>0</v>
      </c>
      <c r="P104" s="85"/>
      <c r="Q104" s="119">
        <v>0</v>
      </c>
      <c r="R104" s="85"/>
      <c r="S104" s="119">
        <v>0</v>
      </c>
      <c r="T104" s="85"/>
      <c r="U104" s="119">
        <v>0</v>
      </c>
      <c r="V104" s="85"/>
      <c r="W104" s="119"/>
      <c r="X104" s="85"/>
      <c r="Y104" s="85"/>
      <c r="Z104" s="85"/>
      <c r="AA104" s="85"/>
      <c r="AB104" s="85"/>
      <c r="AC104" s="86">
        <v>0</v>
      </c>
    </row>
    <row r="105" spans="1:29" s="4" customFormat="1" x14ac:dyDescent="0.25">
      <c r="A105" s="80" t="s">
        <v>39</v>
      </c>
      <c r="B105" s="81"/>
      <c r="C105" s="84">
        <v>0</v>
      </c>
      <c r="D105" s="85"/>
      <c r="E105" s="84">
        <v>0</v>
      </c>
      <c r="F105" s="84"/>
      <c r="G105" s="84">
        <v>0</v>
      </c>
      <c r="H105" s="84"/>
      <c r="I105" s="84">
        <f>-15.36+160</f>
        <v>144.63999999999999</v>
      </c>
      <c r="J105" s="85"/>
      <c r="K105" s="84">
        <v>0</v>
      </c>
      <c r="L105" s="85"/>
      <c r="M105" s="84">
        <v>0</v>
      </c>
      <c r="N105" s="84"/>
      <c r="O105" s="84">
        <v>0</v>
      </c>
      <c r="P105" s="85"/>
      <c r="Q105" s="119">
        <v>0</v>
      </c>
      <c r="R105" s="85"/>
      <c r="S105" s="119">
        <v>0</v>
      </c>
      <c r="T105" s="85"/>
      <c r="U105" s="119">
        <v>0</v>
      </c>
      <c r="V105" s="85"/>
      <c r="W105" s="119"/>
      <c r="X105" s="85"/>
      <c r="Y105" s="85"/>
      <c r="Z105" s="85"/>
      <c r="AA105" s="85"/>
      <c r="AB105" s="85"/>
      <c r="AC105" s="86">
        <v>0</v>
      </c>
    </row>
    <row r="106" spans="1:29" s="4" customFormat="1" x14ac:dyDescent="0.25">
      <c r="A106" s="80" t="s">
        <v>43</v>
      </c>
      <c r="B106" s="81"/>
      <c r="C106" s="84">
        <v>0</v>
      </c>
      <c r="D106" s="85"/>
      <c r="E106" s="84">
        <v>0</v>
      </c>
      <c r="F106" s="84"/>
      <c r="G106" s="84">
        <v>0</v>
      </c>
      <c r="H106" s="84"/>
      <c r="I106" s="84">
        <v>148</v>
      </c>
      <c r="J106" s="85"/>
      <c r="K106" s="84">
        <v>0</v>
      </c>
      <c r="L106" s="85"/>
      <c r="M106" s="84">
        <v>77.349999999999994</v>
      </c>
      <c r="N106" s="84"/>
      <c r="O106" s="84">
        <v>0</v>
      </c>
      <c r="P106" s="85"/>
      <c r="Q106" s="119">
        <v>214.32</v>
      </c>
      <c r="R106" s="85"/>
      <c r="S106" s="119">
        <v>180</v>
      </c>
      <c r="T106" s="85"/>
      <c r="U106" s="119">
        <v>0</v>
      </c>
      <c r="V106" s="85"/>
      <c r="W106" s="119"/>
      <c r="X106" s="85"/>
      <c r="Y106" s="85"/>
      <c r="Z106" s="85"/>
      <c r="AA106" s="85">
        <v>5000</v>
      </c>
      <c r="AB106" s="85"/>
      <c r="AC106" s="86">
        <v>250</v>
      </c>
    </row>
    <row r="107" spans="1:29" s="107" customFormat="1" x14ac:dyDescent="0.25">
      <c r="A107" s="117" t="s">
        <v>74</v>
      </c>
      <c r="B107" s="118"/>
      <c r="C107" s="119">
        <v>0</v>
      </c>
      <c r="D107" s="85"/>
      <c r="E107" s="119">
        <v>0</v>
      </c>
      <c r="F107" s="119"/>
      <c r="G107" s="119">
        <v>0</v>
      </c>
      <c r="H107" s="119"/>
      <c r="I107" s="119">
        <v>0</v>
      </c>
      <c r="J107" s="85"/>
      <c r="K107" s="119">
        <v>0</v>
      </c>
      <c r="L107" s="85"/>
      <c r="M107" s="119">
        <v>0</v>
      </c>
      <c r="N107" s="119"/>
      <c r="O107" s="119">
        <v>0</v>
      </c>
      <c r="P107" s="85"/>
      <c r="Q107" s="119">
        <v>955</v>
      </c>
      <c r="R107" s="85"/>
      <c r="S107" s="119">
        <v>0</v>
      </c>
      <c r="T107" s="85"/>
      <c r="U107" s="119">
        <v>0</v>
      </c>
      <c r="V107" s="85"/>
      <c r="W107" s="119"/>
      <c r="X107" s="85"/>
      <c r="Y107" s="85"/>
      <c r="Z107" s="85"/>
      <c r="AA107" s="85"/>
      <c r="AB107" s="85"/>
      <c r="AC107" s="86">
        <v>0</v>
      </c>
    </row>
    <row r="108" spans="1:29" s="4" customFormat="1" ht="17.25" x14ac:dyDescent="0.4">
      <c r="A108" s="80" t="s">
        <v>93</v>
      </c>
      <c r="B108" s="81"/>
      <c r="C108" s="87">
        <v>0</v>
      </c>
      <c r="D108" s="85"/>
      <c r="E108" s="87">
        <v>0</v>
      </c>
      <c r="F108" s="87"/>
      <c r="G108" s="87">
        <v>147</v>
      </c>
      <c r="H108" s="87"/>
      <c r="I108" s="87">
        <v>0</v>
      </c>
      <c r="J108" s="81"/>
      <c r="K108" s="87">
        <v>0</v>
      </c>
      <c r="L108" s="81"/>
      <c r="M108" s="87">
        <v>0</v>
      </c>
      <c r="N108" s="87"/>
      <c r="O108" s="87">
        <v>0</v>
      </c>
      <c r="P108" s="118"/>
      <c r="Q108" s="120">
        <v>0</v>
      </c>
      <c r="R108" s="118"/>
      <c r="S108" s="120">
        <v>0</v>
      </c>
      <c r="T108" s="118"/>
      <c r="U108" s="120">
        <v>65.760000000000005</v>
      </c>
      <c r="V108" s="118"/>
      <c r="W108" s="120"/>
      <c r="X108" s="118"/>
      <c r="Y108" s="118"/>
      <c r="Z108" s="118"/>
      <c r="AA108" s="118">
        <v>12912.5</v>
      </c>
      <c r="AB108" s="118"/>
      <c r="AC108" s="88">
        <v>10000</v>
      </c>
    </row>
    <row r="109" spans="1:29" ht="6" customHeight="1" x14ac:dyDescent="0.25">
      <c r="A109" s="80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95"/>
    </row>
    <row r="110" spans="1:29" x14ac:dyDescent="0.25">
      <c r="A110" s="91" t="s">
        <v>33</v>
      </c>
      <c r="B110" s="92"/>
      <c r="C110" s="96">
        <f>SUM(C96:C109)</f>
        <v>0</v>
      </c>
      <c r="D110" s="92"/>
      <c r="E110" s="96">
        <f>SUM(E96:E109)</f>
        <v>674.55</v>
      </c>
      <c r="F110" s="92"/>
      <c r="G110" s="96">
        <f>SUM(G96:G109)</f>
        <v>2027.88</v>
      </c>
      <c r="H110" s="92"/>
      <c r="I110" s="96">
        <f>SUM(I96:I109)</f>
        <v>4554.9400000000005</v>
      </c>
      <c r="J110" s="92"/>
      <c r="K110" s="96">
        <f>SUM(K96:K109)</f>
        <v>8196.23</v>
      </c>
      <c r="L110" s="92"/>
      <c r="M110" s="96">
        <f>SUM(M96:M109)</f>
        <v>3372.9</v>
      </c>
      <c r="N110" s="96"/>
      <c r="O110" s="121">
        <f>SUM(O96:O109)</f>
        <v>3307.88</v>
      </c>
      <c r="P110" s="92"/>
      <c r="Q110" s="121">
        <f>SUM(Q96:Q109)</f>
        <v>6057.6299999999992</v>
      </c>
      <c r="R110" s="92"/>
      <c r="S110" s="121">
        <f>SUM(S96:S109)</f>
        <v>6420.4</v>
      </c>
      <c r="T110" s="92"/>
      <c r="U110" s="121">
        <f>SUM(U96:U109)</f>
        <v>5927.89</v>
      </c>
      <c r="V110" s="92"/>
      <c r="W110" s="121">
        <f>SUM(W96:W109)</f>
        <v>0</v>
      </c>
      <c r="X110" s="92"/>
      <c r="Y110" s="121">
        <f>SUM(Y96:Y109)</f>
        <v>3317</v>
      </c>
      <c r="Z110" s="92"/>
      <c r="AA110" s="121">
        <f>SUM(AA96:AA109)</f>
        <v>48129.740000000005</v>
      </c>
      <c r="AB110" s="92"/>
      <c r="AC110" s="97">
        <f>SUM(AC96:AC109)</f>
        <v>38000</v>
      </c>
    </row>
    <row r="111" spans="1:29" ht="6" customHeight="1" x14ac:dyDescent="0.25">
      <c r="A111" s="80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95"/>
    </row>
    <row r="112" spans="1:29" ht="15.75" thickBot="1" x14ac:dyDescent="0.3">
      <c r="A112" s="72" t="s">
        <v>62</v>
      </c>
      <c r="B112" s="73"/>
      <c r="C112" s="74">
        <f>C93-C110</f>
        <v>0</v>
      </c>
      <c r="D112" s="73"/>
      <c r="E112" s="74">
        <f>E93-E110</f>
        <v>-674.55</v>
      </c>
      <c r="F112" s="73"/>
      <c r="G112" s="74">
        <f>G93-G110</f>
        <v>472.11999999999989</v>
      </c>
      <c r="H112" s="73"/>
      <c r="I112" s="74">
        <f>I93-I110</f>
        <v>2870.0599999999995</v>
      </c>
      <c r="J112" s="73"/>
      <c r="K112" s="74">
        <f>K93-K110</f>
        <v>-8196.23</v>
      </c>
      <c r="L112" s="73"/>
      <c r="M112" s="74">
        <f>M93-M110</f>
        <v>-872.90000000000009</v>
      </c>
      <c r="N112" s="74"/>
      <c r="O112" s="115">
        <f>O93-O110</f>
        <v>28552.12</v>
      </c>
      <c r="P112" s="73"/>
      <c r="Q112" s="115">
        <f>Q93-Q110</f>
        <v>-5057.6299999999992</v>
      </c>
      <c r="R112" s="73"/>
      <c r="S112" s="115">
        <f>S93-S110</f>
        <v>-4920.3999999999996</v>
      </c>
      <c r="T112" s="73"/>
      <c r="U112" s="115">
        <f>U93-U110</f>
        <v>-5927.89</v>
      </c>
      <c r="V112" s="73"/>
      <c r="W112" s="115">
        <f>W93-W110</f>
        <v>31200</v>
      </c>
      <c r="X112" s="73"/>
      <c r="Y112" s="115">
        <f>Y93-Y110</f>
        <v>163483</v>
      </c>
      <c r="Z112" s="73"/>
      <c r="AA112" s="115">
        <f>AA93-AA110</f>
        <v>-48129.740000000005</v>
      </c>
      <c r="AB112" s="73"/>
      <c r="AC112" s="75">
        <f>AC93-AC110</f>
        <v>-18000</v>
      </c>
    </row>
    <row r="113" spans="1:29" ht="6" customHeight="1" x14ac:dyDescent="0.25">
      <c r="U113" s="123"/>
      <c r="V113" s="123"/>
      <c r="W113" s="123"/>
      <c r="X113" s="123"/>
      <c r="Y113" s="123"/>
      <c r="Z113" s="123"/>
      <c r="AA113" s="123"/>
      <c r="AB113" s="123"/>
    </row>
    <row r="114" spans="1:29" ht="6" customHeight="1" thickBot="1" x14ac:dyDescent="0.3">
      <c r="U114" s="123"/>
      <c r="V114" s="123"/>
      <c r="W114" s="123"/>
      <c r="X114" s="123"/>
      <c r="Y114" s="123"/>
      <c r="Z114" s="123"/>
      <c r="AA114" s="123"/>
      <c r="AB114" s="123"/>
    </row>
    <row r="115" spans="1:29" ht="15.75" thickBot="1" x14ac:dyDescent="0.3">
      <c r="A115" s="98" t="s">
        <v>63</v>
      </c>
      <c r="B115" s="99"/>
      <c r="C115" s="100">
        <f>C49+C81+C112</f>
        <v>6125.3799999999992</v>
      </c>
      <c r="D115" s="99"/>
      <c r="E115" s="100">
        <f>E49+E81+E112</f>
        <v>4511.8599999999997</v>
      </c>
      <c r="F115" s="99"/>
      <c r="G115" s="100">
        <f>G49+G81+G112</f>
        <v>3087.9399999999996</v>
      </c>
      <c r="H115" s="99"/>
      <c r="I115" s="100">
        <f>I49+I81+I112</f>
        <v>5206.07</v>
      </c>
      <c r="J115" s="99"/>
      <c r="K115" s="100">
        <f>K49+K81+K112</f>
        <v>-4965.92</v>
      </c>
      <c r="L115" s="99"/>
      <c r="M115" s="100">
        <f>M49+M81+M112</f>
        <v>4257.1500000000015</v>
      </c>
      <c r="N115" s="100"/>
      <c r="O115" s="122">
        <f>O49+O81+O112</f>
        <v>29863.5</v>
      </c>
      <c r="P115" s="99"/>
      <c r="Q115" s="122">
        <f>Q49+Q81+Q112</f>
        <v>1031.8600000000006</v>
      </c>
      <c r="R115" s="99"/>
      <c r="S115" s="122">
        <f>S49+S81+S112</f>
        <v>597.15999999999894</v>
      </c>
      <c r="T115" s="99"/>
      <c r="U115" s="122">
        <f>U49+U81+U112</f>
        <v>8641.59</v>
      </c>
      <c r="V115" s="99"/>
      <c r="W115" s="122">
        <f>W49+W81+W112</f>
        <v>32739.37</v>
      </c>
      <c r="X115" s="99"/>
      <c r="Y115" s="122">
        <f>Y49+Y81+Y112</f>
        <v>172924.59</v>
      </c>
      <c r="Z115" s="99"/>
      <c r="AA115" s="122">
        <f>AA49+AA81+AA112</f>
        <v>-41878.610000000008</v>
      </c>
      <c r="AB115" s="99"/>
      <c r="AC115" s="101">
        <f>AC49+AC81+AC112</f>
        <v>-15312</v>
      </c>
    </row>
  </sheetData>
  <pageMargins left="0.7" right="0.7" top="0.75" bottom="0.75" header="0.3" footer="0.3"/>
  <pageSetup scale="62" orientation="landscape" r:id="rId1"/>
  <rowBreaks count="1" manualBreakCount="1">
    <brk id="51" max="12" man="1"/>
  </rowBreaks>
  <colBreaks count="1" manualBreakCount="1">
    <brk id="2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Annual condensed format</vt:lpstr>
      <vt:lpstr>Annual detailed format</vt:lpstr>
      <vt:lpstr>'Annual condensed format'!Print_Area</vt:lpstr>
      <vt:lpstr>'Annual detailed format'!Print_Area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2022-02-14T18:44:22Z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AndName">
    <vt:lpwstr>H:\Current CYAs\Historic Nashville, Inc\Financial Data\HNI 2013 Budget Worksheet (final).xlsx</vt:lpwstr>
  </property>
</Properties>
</file>