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ainc374-my.sharepoint.com/personal/jhuddle_casanashville_org/Documents/Documents/Budgets and Finance/FY21-22/"/>
    </mc:Choice>
  </mc:AlternateContent>
  <xr:revisionPtr revIDLastSave="0" documentId="8_{6B146DF7-012F-4BDB-96E4-701A5593CD0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DG" sheetId="1" r:id="rId1"/>
    <sheet name="BDG (rev)" sheetId="7" state="hidden" r:id="rId2"/>
    <sheet name="Personnel" sheetId="3" state="hidden" r:id="rId3"/>
    <sheet name="Detail" sheetId="2" state="hidden" r:id="rId4"/>
    <sheet name="charts" sheetId="6" state="hidden" r:id="rId5"/>
  </sheets>
  <definedNames>
    <definedName name="_xlnm.Print_Area" localSheetId="0">BDG!$A$4:$D$41</definedName>
    <definedName name="_xlnm.Print_Area" localSheetId="1">'BDG (rev)'!$A$1:$D$38</definedName>
    <definedName name="_xlnm.Print_Area" localSheetId="3">Detail!$A$1:$E$81</definedName>
    <definedName name="_xlnm.Print_Area" localSheetId="2">Personnel!$A$1:$E$25</definedName>
    <definedName name="_xlnm.Print_Titles" localSheetId="3">Detail!$1:$5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7" l="1"/>
  <c r="B13" i="7"/>
  <c r="B34" i="7" s="1"/>
  <c r="B37" i="7"/>
  <c r="B38" i="7" s="1"/>
  <c r="D32" i="7"/>
  <c r="D31" i="7"/>
  <c r="C30" i="7"/>
  <c r="D30" i="7" s="1"/>
  <c r="D27" i="7"/>
  <c r="C13" i="7"/>
  <c r="C12" i="7"/>
  <c r="D12" i="7" s="1"/>
  <c r="D11" i="7"/>
  <c r="C10" i="7"/>
  <c r="D10" i="7" s="1"/>
  <c r="D9" i="7"/>
  <c r="D8" i="7"/>
  <c r="D7" i="7"/>
  <c r="C6" i="7"/>
  <c r="D6" i="7" l="1"/>
  <c r="D13" i="7" l="1"/>
  <c r="F81" i="2"/>
  <c r="E80" i="2"/>
  <c r="E16" i="3" l="1"/>
  <c r="D23" i="3" s="1"/>
  <c r="E18" i="2" l="1"/>
  <c r="C18" i="7" s="1"/>
  <c r="D18" i="7" s="1"/>
  <c r="B19" i="1" l="1"/>
  <c r="E8" i="2" l="1"/>
  <c r="E29" i="2" l="1"/>
  <c r="C16" i="3" l="1"/>
  <c r="D7" i="3"/>
  <c r="D8" i="3"/>
  <c r="D9" i="3"/>
  <c r="D10" i="3"/>
  <c r="D11" i="3"/>
  <c r="D12" i="3"/>
  <c r="D13" i="3"/>
  <c r="D14" i="3"/>
  <c r="D15" i="3"/>
  <c r="D16" i="3" l="1"/>
  <c r="C15" i="7" s="1"/>
  <c r="B38" i="3"/>
  <c r="D15" i="7" l="1"/>
  <c r="E24" i="2"/>
  <c r="B12" i="6" l="1"/>
  <c r="E64" i="2" l="1"/>
  <c r="E63" i="2" s="1"/>
  <c r="C26" i="7" s="1"/>
  <c r="D26" i="7" s="1"/>
  <c r="E7" i="2" l="1"/>
  <c r="E57" i="2"/>
  <c r="E78" i="2" l="1"/>
  <c r="E77" i="2"/>
  <c r="E76" i="2"/>
  <c r="E79" i="2"/>
  <c r="E75" i="2"/>
  <c r="E72" i="2"/>
  <c r="E71" i="2"/>
  <c r="E73" i="2"/>
  <c r="E74" i="2"/>
  <c r="E70" i="2" l="1"/>
  <c r="C29" i="7" s="1"/>
  <c r="D29" i="7" s="1"/>
  <c r="E55" i="2"/>
  <c r="E67" i="2" l="1"/>
  <c r="C28" i="7" l="1"/>
  <c r="D28" i="7" s="1"/>
  <c r="E61" i="2"/>
  <c r="E51" i="2"/>
  <c r="E52" i="2"/>
  <c r="E53" i="2"/>
  <c r="E54" i="2"/>
  <c r="E56" i="2"/>
  <c r="E58" i="2"/>
  <c r="E60" i="2"/>
  <c r="E30" i="2"/>
  <c r="E26" i="2"/>
  <c r="C21" i="7" l="1"/>
  <c r="D21" i="7" s="1"/>
  <c r="D17" i="3" l="1"/>
  <c r="D18" i="3"/>
  <c r="D19" i="3"/>
  <c r="D20" i="3"/>
  <c r="D22" i="3"/>
  <c r="D21" i="3"/>
  <c r="D25" i="3" l="1"/>
  <c r="E33" i="2"/>
  <c r="C16" i="7" l="1"/>
  <c r="B18" i="6"/>
  <c r="D16" i="7" l="1"/>
  <c r="C37" i="7"/>
  <c r="C38" i="7" s="1"/>
  <c r="B22" i="6"/>
  <c r="E10" i="2" l="1"/>
  <c r="E6" i="2" s="1"/>
  <c r="C17" i="7" s="1"/>
  <c r="D17" i="7" l="1"/>
  <c r="B19" i="6"/>
  <c r="E48" i="2"/>
  <c r="E45" i="2" l="1"/>
  <c r="E32" i="2" l="1"/>
  <c r="E34" i="2"/>
  <c r="E59" i="2"/>
  <c r="B20" i="6"/>
  <c r="E22" i="2"/>
  <c r="E23" i="2"/>
  <c r="E25" i="2"/>
  <c r="E28" i="2"/>
  <c r="E40" i="2"/>
  <c r="E41" i="2"/>
  <c r="E42" i="2"/>
  <c r="E43" i="2"/>
  <c r="E44" i="2"/>
  <c r="E47" i="2"/>
  <c r="E50" i="2"/>
  <c r="E49" i="2" s="1"/>
  <c r="C24" i="7" s="1"/>
  <c r="D24" i="7" s="1"/>
  <c r="E21" i="2" l="1"/>
  <c r="C19" i="7" s="1"/>
  <c r="E36" i="2"/>
  <c r="F54" i="2"/>
  <c r="E27" i="2"/>
  <c r="C20" i="7" s="1"/>
  <c r="D20" i="7" s="1"/>
  <c r="E39" i="2"/>
  <c r="C23" i="7" s="1"/>
  <c r="D23" i="7" s="1"/>
  <c r="E31" i="2"/>
  <c r="C22" i="7" s="1"/>
  <c r="D22" i="7" s="1"/>
  <c r="C25" i="7" l="1"/>
  <c r="D25" i="7" s="1"/>
  <c r="B21" i="6"/>
  <c r="B23" i="6" s="1"/>
  <c r="D19" i="7"/>
  <c r="C33" i="7"/>
  <c r="C34" i="7" s="1"/>
  <c r="D33" i="7" l="1"/>
  <c r="D34" i="7" s="1"/>
  <c r="B41" i="1"/>
  <c r="B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Annabelle Cruz</author>
  </authors>
  <commentList>
    <comment ref="B18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Annabelle Cruz:</t>
        </r>
        <r>
          <rPr>
            <sz val="8"/>
            <color indexed="81"/>
            <rFont val="Tahoma"/>
            <family val="2"/>
          </rPr>
          <t xml:space="preserve">
SUTA 9000*3.1%
FUTA 7000*.8%</t>
        </r>
      </text>
    </comment>
  </commentList>
</comments>
</file>

<file path=xl/sharedStrings.xml><?xml version="1.0" encoding="utf-8"?>
<sst xmlns="http://schemas.openxmlformats.org/spreadsheetml/2006/main" count="231" uniqueCount="182">
  <si>
    <t>EXPENSES</t>
    <phoneticPr fontId="0" type="noConversion"/>
  </si>
  <si>
    <t>Special Events</t>
  </si>
  <si>
    <t>Red Shoe Party</t>
  </si>
  <si>
    <t xml:space="preserve">   PROFESSIONAL FEES</t>
  </si>
  <si>
    <t xml:space="preserve">   SUPPLIES</t>
  </si>
  <si>
    <t xml:space="preserve">   TELEPHONE</t>
  </si>
  <si>
    <t xml:space="preserve">   ADVERTISING</t>
  </si>
  <si>
    <t xml:space="preserve">   POSTAGE</t>
  </si>
  <si>
    <t xml:space="preserve">   OCCUPANCY</t>
  </si>
  <si>
    <t xml:space="preserve">   EQUIP MAINT</t>
  </si>
  <si>
    <t xml:space="preserve">   PRINTING</t>
  </si>
  <si>
    <t xml:space="preserve">   TRAVEL</t>
  </si>
  <si>
    <t xml:space="preserve">   CONFERENCES</t>
  </si>
  <si>
    <t xml:space="preserve">   MEMBERSHIP DUES</t>
  </si>
  <si>
    <t xml:space="preserve">   INSURANCE</t>
  </si>
  <si>
    <t xml:space="preserve">   SPECIAL EVENTS</t>
  </si>
  <si>
    <t>Audit</t>
  </si>
  <si>
    <t>IT</t>
  </si>
  <si>
    <t>Program supplies</t>
  </si>
  <si>
    <t>Metro</t>
  </si>
  <si>
    <t>Piedmont</t>
  </si>
  <si>
    <t>Comcast</t>
  </si>
  <si>
    <t>Office Supplies</t>
  </si>
  <si>
    <t>Refreshments</t>
  </si>
  <si>
    <t>RJ Young</t>
  </si>
  <si>
    <t>R &amp; R</t>
  </si>
  <si>
    <t>Crystal springs</t>
  </si>
  <si>
    <t>Emma</t>
  </si>
  <si>
    <t>CNM</t>
  </si>
  <si>
    <t>Handyman</t>
  </si>
  <si>
    <t>CSS Alarm</t>
  </si>
  <si>
    <t>American Fire</t>
  </si>
  <si>
    <t>$$</t>
  </si>
  <si>
    <t>Freq</t>
  </si>
  <si>
    <t>Postage</t>
  </si>
  <si>
    <t>Payroll procesing</t>
  </si>
  <si>
    <t>Suzanne Harrison</t>
  </si>
  <si>
    <t>Julianna Huddle</t>
  </si>
  <si>
    <t>Advocate Sup</t>
  </si>
  <si>
    <t>Health plan</t>
  </si>
  <si>
    <t>X</t>
  </si>
  <si>
    <t>Position</t>
  </si>
  <si>
    <t>Name</t>
  </si>
  <si>
    <t>Payroll Taxes</t>
  </si>
  <si>
    <t>Unemployment</t>
  </si>
  <si>
    <t>401k match</t>
  </si>
  <si>
    <t>Workers comp</t>
  </si>
  <si>
    <t>Disability</t>
  </si>
  <si>
    <t>Life Insurance</t>
  </si>
  <si>
    <t>Healthcare</t>
  </si>
  <si>
    <t>EAP</t>
  </si>
  <si>
    <t>National CASA</t>
  </si>
  <si>
    <t>Foundation Grants</t>
  </si>
  <si>
    <t>Congregation/Civic</t>
  </si>
  <si>
    <t>Mileage</t>
  </si>
  <si>
    <t>Marketing</t>
  </si>
  <si>
    <t>CASA, INC.</t>
  </si>
  <si>
    <t>Carpet cleaning</t>
  </si>
  <si>
    <t>Donor's Perfect</t>
  </si>
  <si>
    <t>Chamber Young Prof</t>
  </si>
  <si>
    <t>Alarm Reg</t>
  </si>
  <si>
    <t>Evinto (Optima)</t>
  </si>
  <si>
    <t>Shelley Smith</t>
  </si>
  <si>
    <t>Kimberly Wagner</t>
  </si>
  <si>
    <t>Feb</t>
  </si>
  <si>
    <t>Other</t>
  </si>
  <si>
    <t>Dec</t>
  </si>
  <si>
    <t>Jan</t>
  </si>
  <si>
    <t>Ntl CASA conference</t>
  </si>
  <si>
    <t>Trainings</t>
  </si>
  <si>
    <t>DESCRIPTION</t>
  </si>
  <si>
    <t>401 fee</t>
  </si>
  <si>
    <t>EXPENSE DETAIL</t>
  </si>
  <si>
    <t>Returned mail</t>
  </si>
  <si>
    <t>TN CASA</t>
  </si>
  <si>
    <t>HON</t>
  </si>
  <si>
    <t>Apr</t>
  </si>
  <si>
    <t>Annual Giving</t>
  </si>
  <si>
    <t>Cell Stipends</t>
  </si>
  <si>
    <t>Contracts &amp; Fees</t>
  </si>
  <si>
    <t>OTHER</t>
  </si>
  <si>
    <t>SPECIAL EVENTS</t>
  </si>
  <si>
    <t>PROFESSIONAL FEES</t>
  </si>
  <si>
    <t>REVENUE</t>
  </si>
  <si>
    <t>Adm &amp; Dev</t>
  </si>
  <si>
    <t>Microsoft Office 365</t>
  </si>
  <si>
    <t>Permit renewal</t>
  </si>
  <si>
    <t>Mid-Cumb Council Children &amp; Youth</t>
  </si>
  <si>
    <t>Development</t>
  </si>
  <si>
    <t>Charitable Renewal</t>
  </si>
  <si>
    <t>AFP</t>
  </si>
  <si>
    <t>Belle Meade</t>
  </si>
  <si>
    <t>Salaries</t>
  </si>
  <si>
    <t>Fringe Benefits</t>
  </si>
  <si>
    <t>Professional Fees</t>
  </si>
  <si>
    <t>Supplies</t>
  </si>
  <si>
    <t>Telephone</t>
  </si>
  <si>
    <t>Advertising</t>
  </si>
  <si>
    <t>Occupancy</t>
  </si>
  <si>
    <t>Equip. Maintenance</t>
  </si>
  <si>
    <t>Travel</t>
  </si>
  <si>
    <t>Volunteer Development</t>
  </si>
  <si>
    <t>Printing &amp; Subscriptions</t>
  </si>
  <si>
    <t>Conferences</t>
  </si>
  <si>
    <t>Insurance</t>
  </si>
  <si>
    <t>Adm. Allocation</t>
  </si>
  <si>
    <t>Chamber of Commerce</t>
  </si>
  <si>
    <t>Jul</t>
  </si>
  <si>
    <t>Sep</t>
  </si>
  <si>
    <t>Salary FY19</t>
  </si>
  <si>
    <t>María Delgado</t>
  </si>
  <si>
    <t>Tacarra Wilson</t>
  </si>
  <si>
    <t>Pitney Bowes</t>
  </si>
  <si>
    <t>Davidson Foster Care Assoc.</t>
  </si>
  <si>
    <t>AloaLabs - Web hosting</t>
  </si>
  <si>
    <t>Nov</t>
  </si>
  <si>
    <t>CASA, INC</t>
  </si>
  <si>
    <t>Mileage for Volunteers</t>
  </si>
  <si>
    <t>Specific Assistance to Indiv.</t>
  </si>
  <si>
    <t>Xmas Bonus</t>
  </si>
  <si>
    <t>Dev. Manager</t>
  </si>
  <si>
    <t>Event Coord.</t>
  </si>
  <si>
    <t>United Way</t>
  </si>
  <si>
    <t>SALARIES &amp; BENEFITS</t>
  </si>
  <si>
    <t>ADMINISTRATIVE ALLOCATION</t>
  </si>
  <si>
    <t>United Way + Designations</t>
  </si>
  <si>
    <t>Government Grants</t>
  </si>
  <si>
    <t>Dues &amp; Miscellaneous Exp.</t>
  </si>
  <si>
    <t>Salaries &amp; Benefits</t>
  </si>
  <si>
    <t>Adm allocation</t>
  </si>
  <si>
    <t>Exec. Director</t>
  </si>
  <si>
    <t>Program Director</t>
  </si>
  <si>
    <t>Adolescent Avoc. Spec.</t>
  </si>
  <si>
    <t>NES</t>
  </si>
  <si>
    <t>Kershee Hurt</t>
  </si>
  <si>
    <t>Kathryn Jones</t>
  </si>
  <si>
    <t>Anna Byrne</t>
  </si>
  <si>
    <t>Volunteer Services Coord</t>
  </si>
  <si>
    <t>Salary FY20</t>
  </si>
  <si>
    <t>Susan Herod</t>
  </si>
  <si>
    <t>Brittney Easley</t>
  </si>
  <si>
    <t>Background checks</t>
  </si>
  <si>
    <t>Gifts</t>
  </si>
  <si>
    <t>Cell phones</t>
  </si>
  <si>
    <t>Happy Client</t>
  </si>
  <si>
    <t>Park View Lawn</t>
  </si>
  <si>
    <t>BUDGET DRAFT FY'20</t>
  </si>
  <si>
    <t>Budget FY'20</t>
  </si>
  <si>
    <t>Line of Credit</t>
  </si>
  <si>
    <t>Total FY 20</t>
  </si>
  <si>
    <t>Bank fees</t>
  </si>
  <si>
    <t>Other events &amp; Misc</t>
  </si>
  <si>
    <t>We didn't get the ACEs grant this year.  Is this line item for the Volunteer Summit?</t>
  </si>
  <si>
    <t>ok</t>
  </si>
  <si>
    <t>Graphic Design - Third wave</t>
  </si>
  <si>
    <t>Development mailings</t>
  </si>
  <si>
    <t>Ntl CASA conference - 1 staff</t>
  </si>
  <si>
    <t>HVAC</t>
  </si>
  <si>
    <t>App 6/20/19</t>
  </si>
  <si>
    <t>Rev 7/12</t>
  </si>
  <si>
    <t>Rev 7/12/19</t>
  </si>
  <si>
    <t>BUDGET FY'20</t>
  </si>
  <si>
    <t>Approved Budget</t>
  </si>
  <si>
    <t>Revised Budget</t>
  </si>
  <si>
    <t>Variance  App vs Rev</t>
  </si>
  <si>
    <t>Technology</t>
  </si>
  <si>
    <t>Financial Transaction Fees</t>
  </si>
  <si>
    <t>CASA Nashville</t>
  </si>
  <si>
    <t>BUDGET FY'22</t>
  </si>
  <si>
    <t>Budget FY'22</t>
  </si>
  <si>
    <t>Interest Income</t>
  </si>
  <si>
    <t>Investment Income</t>
  </si>
  <si>
    <t>In-Kind Donations</t>
  </si>
  <si>
    <t>Employee Benefits</t>
  </si>
  <si>
    <t>Special Event Supplies</t>
  </si>
  <si>
    <t>Advertising &amp; Marketing</t>
  </si>
  <si>
    <t>Postage &amp; Shipping</t>
  </si>
  <si>
    <t>Printing and Subscriptions</t>
  </si>
  <si>
    <t>Dues and Licenses</t>
  </si>
  <si>
    <t>Depreciation</t>
  </si>
  <si>
    <t>Program Supplies</t>
  </si>
  <si>
    <t>Vol Dev &amp; Staff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</si>
</sst>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_(* #,##0_);_(* \(#,##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76">
    <xf numFmtId="0" fontId="0" fillId="0" borderId="0" xfId="0"/>
    <xf numFmtId="0" fontId="3" fillId="0" borderId="0" xfId="0" applyFont="1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3" fillId="2" borderId="0" xfId="0" applyFont="1" applyFill="1" applyAlignment="1">
      <alignment horizontal="center" vertical="center" wrapText="1"/>
    </xf>
    <xf numFmtId="44" fontId="3" fillId="0" borderId="0" xfId="2" applyFont="1"/>
    <xf numFmtId="0" fontId="4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left" vertical="center"/>
    </xf>
    <xf numFmtId="43" fontId="0" fillId="0" borderId="2" xfId="1" applyFont="1" applyBorder="1" applyAlignment="1">
      <alignment vertical="center"/>
    </xf>
    <xf numFmtId="1" fontId="4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4" xfId="3" applyNumberFormat="1" applyFont="1" applyBorder="1" applyAlignment="1">
      <alignment vertical="center"/>
    </xf>
    <xf numFmtId="44" fontId="3" fillId="3" borderId="3" xfId="2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43" fontId="0" fillId="3" borderId="7" xfId="1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43" fontId="4" fillId="0" borderId="2" xfId="1" applyFont="1" applyBorder="1" applyAlignment="1">
      <alignment vertical="center"/>
    </xf>
    <xf numFmtId="167" fontId="0" fillId="0" borderId="0" xfId="1" applyNumberFormat="1" applyFont="1" applyAlignment="1">
      <alignment vertical="center"/>
    </xf>
    <xf numFmtId="0" fontId="0" fillId="0" borderId="0" xfId="0" applyAlignment="1">
      <alignment horizontal="left" vertical="center"/>
    </xf>
    <xf numFmtId="37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3" fontId="0" fillId="0" borderId="0" xfId="1" applyFont="1" applyAlignment="1">
      <alignment horizontal="centerContinuous"/>
    </xf>
    <xf numFmtId="0" fontId="0" fillId="0" borderId="0" xfId="0" applyAlignment="1">
      <alignment horizontal="center" vertical="center"/>
    </xf>
    <xf numFmtId="167" fontId="0" fillId="0" borderId="0" xfId="1" applyNumberFormat="1" applyFont="1"/>
    <xf numFmtId="167" fontId="0" fillId="0" borderId="2" xfId="1" applyNumberFormat="1" applyFont="1" applyBorder="1" applyAlignment="1">
      <alignment vertical="center"/>
    </xf>
    <xf numFmtId="167" fontId="4" fillId="0" borderId="2" xfId="1" applyNumberFormat="1" applyFont="1" applyBorder="1" applyAlignment="1">
      <alignment vertical="center"/>
    </xf>
    <xf numFmtId="10" fontId="4" fillId="0" borderId="0" xfId="3" applyNumberFormat="1" applyFont="1" applyAlignment="1">
      <alignment horizontal="center"/>
    </xf>
    <xf numFmtId="43" fontId="3" fillId="0" borderId="0" xfId="1" applyFont="1"/>
    <xf numFmtId="0" fontId="3" fillId="0" borderId="0" xfId="0" applyFont="1" applyAlignment="1">
      <alignment horizontal="centerContinuous"/>
    </xf>
    <xf numFmtId="43" fontId="3" fillId="4" borderId="6" xfId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4" fillId="0" borderId="0" xfId="0" applyFont="1"/>
    <xf numFmtId="0" fontId="16" fillId="0" borderId="0" xfId="0" applyFont="1"/>
    <xf numFmtId="0" fontId="16" fillId="0" borderId="0" xfId="0" applyFont="1" applyAlignment="1">
      <alignment vertical="center"/>
    </xf>
    <xf numFmtId="167" fontId="16" fillId="0" borderId="0" xfId="1" applyNumberFormat="1" applyFont="1"/>
    <xf numFmtId="43" fontId="16" fillId="0" borderId="0" xfId="1" applyFont="1" applyAlignment="1">
      <alignment vertical="center"/>
    </xf>
    <xf numFmtId="0" fontId="20" fillId="0" borderId="0" xfId="0" applyFont="1"/>
    <xf numFmtId="167" fontId="20" fillId="0" borderId="0" xfId="1" applyNumberFormat="1" applyFont="1"/>
    <xf numFmtId="165" fontId="3" fillId="0" borderId="0" xfId="2" applyNumberFormat="1" applyFont="1"/>
    <xf numFmtId="0" fontId="13" fillId="0" borderId="0" xfId="0" applyFont="1" applyAlignment="1">
      <alignment horizontal="left" vertical="center"/>
    </xf>
    <xf numFmtId="43" fontId="3" fillId="0" borderId="0" xfId="1" applyFont="1" applyAlignment="1">
      <alignment horizontal="left"/>
    </xf>
    <xf numFmtId="38" fontId="3" fillId="0" borderId="0" xfId="1" applyNumberFormat="1" applyFont="1" applyAlignment="1">
      <alignment horizontal="left"/>
    </xf>
    <xf numFmtId="6" fontId="3" fillId="0" borderId="0" xfId="2" applyNumberFormat="1" applyFont="1" applyAlignment="1">
      <alignment horizontal="left" vertical="center" wrapText="1"/>
    </xf>
    <xf numFmtId="38" fontId="3" fillId="0" borderId="0" xfId="1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5" fontId="5" fillId="0" borderId="0" xfId="2" applyNumberFormat="1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43" fontId="0" fillId="0" borderId="0" xfId="0" applyNumberFormat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left" vertical="center"/>
    </xf>
    <xf numFmtId="9" fontId="0" fillId="0" borderId="0" xfId="3" applyFont="1" applyAlignment="1">
      <alignment horizontal="left"/>
    </xf>
    <xf numFmtId="167" fontId="0" fillId="0" borderId="0" xfId="1" applyNumberFormat="1" applyFont="1" applyAlignment="1">
      <alignment horizontal="left"/>
    </xf>
    <xf numFmtId="167" fontId="4" fillId="0" borderId="10" xfId="1" applyNumberFormat="1" applyFont="1" applyBorder="1" applyAlignment="1">
      <alignment horizontal="center" vertical="center"/>
    </xf>
    <xf numFmtId="167" fontId="4" fillId="0" borderId="10" xfId="1" applyNumberFormat="1" applyFont="1" applyBorder="1" applyAlignment="1">
      <alignment vertical="center"/>
    </xf>
    <xf numFmtId="166" fontId="3" fillId="0" borderId="10" xfId="2" applyNumberFormat="1" applyFont="1" applyBorder="1" applyAlignment="1">
      <alignment horizontal="right" vertical="center" wrapText="1"/>
    </xf>
    <xf numFmtId="1" fontId="18" fillId="0" borderId="10" xfId="0" applyNumberFormat="1" applyFont="1" applyBorder="1" applyAlignment="1">
      <alignment vertical="center"/>
    </xf>
    <xf numFmtId="167" fontId="1" fillId="0" borderId="10" xfId="1" applyNumberFormat="1" applyBorder="1" applyAlignment="1">
      <alignment vertical="center"/>
    </xf>
    <xf numFmtId="0" fontId="25" fillId="0" borderId="0" xfId="0" applyFont="1" applyAlignment="1">
      <alignment vertical="center"/>
    </xf>
    <xf numFmtId="167" fontId="3" fillId="0" borderId="0" xfId="0" applyNumberFormat="1" applyFont="1"/>
    <xf numFmtId="43" fontId="0" fillId="0" borderId="0" xfId="0" applyNumberFormat="1"/>
    <xf numFmtId="0" fontId="0" fillId="0" borderId="0" xfId="0" applyAlignment="1">
      <alignment horizontal="right"/>
    </xf>
    <xf numFmtId="1" fontId="17" fillId="0" borderId="0" xfId="0" applyNumberFormat="1" applyFont="1" applyAlignment="1">
      <alignment horizontal="left" vertical="top" wrapText="1"/>
    </xf>
    <xf numFmtId="43" fontId="0" fillId="0" borderId="0" xfId="1" applyFont="1" applyFill="1"/>
    <xf numFmtId="43" fontId="4" fillId="0" borderId="0" xfId="1" applyFont="1" applyFill="1"/>
    <xf numFmtId="43" fontId="4" fillId="0" borderId="1" xfId="1" applyFont="1" applyFill="1" applyBorder="1"/>
    <xf numFmtId="0" fontId="0" fillId="0" borderId="0" xfId="0" applyFill="1"/>
    <xf numFmtId="0" fontId="4" fillId="0" borderId="1" xfId="0" applyFont="1" applyFill="1" applyBorder="1"/>
    <xf numFmtId="0" fontId="0" fillId="0" borderId="2" xfId="0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right" vertical="center" wrapText="1"/>
    </xf>
    <xf numFmtId="1" fontId="18" fillId="0" borderId="0" xfId="0" applyNumberFormat="1" applyFont="1" applyBorder="1" applyAlignment="1">
      <alignment vertical="center"/>
    </xf>
    <xf numFmtId="167" fontId="1" fillId="0" borderId="0" xfId="1" applyNumberForma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10" xfId="0" applyNumberFormat="1" applyFont="1" applyBorder="1" applyAlignment="1">
      <alignment horizontal="center" vertical="center" wrapText="1"/>
    </xf>
    <xf numFmtId="167" fontId="0" fillId="0" borderId="4" xfId="1" applyNumberFormat="1" applyFont="1" applyBorder="1" applyAlignment="1">
      <alignment vertical="center"/>
    </xf>
    <xf numFmtId="14" fontId="23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67" fontId="2" fillId="0" borderId="0" xfId="1" applyNumberFormat="1" applyFont="1"/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7" fontId="4" fillId="0" borderId="10" xfId="1" applyNumberFormat="1" applyFont="1" applyFill="1" applyBorder="1" applyAlignment="1">
      <alignment vertical="center"/>
    </xf>
    <xf numFmtId="167" fontId="4" fillId="0" borderId="10" xfId="1" applyNumberFormat="1" applyFont="1" applyFill="1" applyBorder="1" applyAlignment="1">
      <alignment horizontal="center" vertical="center"/>
    </xf>
    <xf numFmtId="0" fontId="9" fillId="0" borderId="0" xfId="0" applyFont="1"/>
    <xf numFmtId="0" fontId="3" fillId="0" borderId="2" xfId="0" applyFont="1" applyFill="1" applyBorder="1" applyAlignment="1">
      <alignment horizontal="left" vertical="center"/>
    </xf>
    <xf numFmtId="1" fontId="4" fillId="0" borderId="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Continuous"/>
    </xf>
    <xf numFmtId="167" fontId="18" fillId="0" borderId="0" xfId="0" applyNumberFormat="1" applyFont="1" applyAlignment="1">
      <alignment horizontal="left" vertical="center"/>
    </xf>
    <xf numFmtId="43" fontId="2" fillId="0" borderId="0" xfId="1" applyFont="1" applyFill="1"/>
    <xf numFmtId="0" fontId="0" fillId="0" borderId="0" xfId="0" applyFill="1" applyAlignment="1">
      <alignment horizontal="center" vertical="center"/>
    </xf>
    <xf numFmtId="43" fontId="0" fillId="5" borderId="2" xfId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23" fillId="0" borderId="0" xfId="0" applyFont="1" applyAlignment="1">
      <alignment horizontal="center"/>
    </xf>
    <xf numFmtId="9" fontId="16" fillId="0" borderId="0" xfId="0" applyNumberFormat="1" applyFont="1" applyAlignment="1">
      <alignment horizontal="left"/>
    </xf>
    <xf numFmtId="43" fontId="2" fillId="0" borderId="0" xfId="1" applyFont="1"/>
    <xf numFmtId="0" fontId="3" fillId="0" borderId="0" xfId="0" applyFont="1" applyAlignment="1">
      <alignment horizontal="center" vertical="center"/>
    </xf>
    <xf numFmtId="43" fontId="0" fillId="5" borderId="0" xfId="1" applyFont="1" applyFill="1"/>
    <xf numFmtId="167" fontId="3" fillId="0" borderId="0" xfId="0" applyNumberFormat="1" applyFont="1" applyBorder="1" applyAlignment="1">
      <alignment horizontal="center" vertical="center" wrapText="1"/>
    </xf>
    <xf numFmtId="43" fontId="16" fillId="0" borderId="0" xfId="1" applyFont="1" applyBorder="1"/>
    <xf numFmtId="38" fontId="16" fillId="0" borderId="0" xfId="1" applyNumberFormat="1" applyFont="1" applyBorder="1"/>
    <xf numFmtId="167" fontId="4" fillId="0" borderId="0" xfId="1" applyNumberFormat="1" applyFont="1" applyFill="1" applyBorder="1" applyAlignment="1">
      <alignment horizontal="center" vertical="center"/>
    </xf>
    <xf numFmtId="6" fontId="15" fillId="0" borderId="0" xfId="2" applyNumberFormat="1" applyFont="1" applyBorder="1" applyAlignment="1">
      <alignment horizontal="right" vertical="center" wrapText="1"/>
    </xf>
    <xf numFmtId="167" fontId="4" fillId="0" borderId="0" xfId="1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167" fontId="24" fillId="0" borderId="0" xfId="1" applyNumberFormat="1" applyFont="1" applyBorder="1" applyAlignment="1">
      <alignment vertical="center"/>
    </xf>
    <xf numFmtId="167" fontId="16" fillId="0" borderId="0" xfId="1" applyNumberFormat="1" applyFont="1" applyBorder="1"/>
    <xf numFmtId="0" fontId="1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vertical="top" wrapText="1"/>
    </xf>
    <xf numFmtId="14" fontId="28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/>
    <xf numFmtId="0" fontId="13" fillId="0" borderId="0" xfId="0" applyFont="1" applyAlignment="1">
      <alignment vertical="center"/>
    </xf>
    <xf numFmtId="43" fontId="3" fillId="0" borderId="0" xfId="1" applyFont="1" applyAlignment="1"/>
    <xf numFmtId="9" fontId="3" fillId="0" borderId="0" xfId="3" applyFont="1" applyAlignment="1"/>
    <xf numFmtId="167" fontId="0" fillId="0" borderId="0" xfId="1" applyNumberFormat="1" applyFont="1" applyAlignment="1"/>
    <xf numFmtId="38" fontId="3" fillId="0" borderId="0" xfId="1" applyNumberFormat="1" applyFont="1" applyAlignment="1"/>
    <xf numFmtId="6" fontId="3" fillId="0" borderId="0" xfId="2" applyNumberFormat="1" applyFont="1" applyAlignment="1">
      <alignment vertical="center" wrapText="1"/>
    </xf>
    <xf numFmtId="166" fontId="16" fillId="0" borderId="0" xfId="2" applyNumberFormat="1" applyFont="1" applyAlignment="1"/>
    <xf numFmtId="38" fontId="1" fillId="0" borderId="0" xfId="1" applyNumberFormat="1" applyAlignment="1"/>
    <xf numFmtId="38" fontId="25" fillId="0" borderId="0" xfId="1" applyNumberFormat="1" applyFont="1" applyAlignment="1"/>
    <xf numFmtId="38" fontId="3" fillId="0" borderId="0" xfId="1" applyNumberFormat="1" applyFont="1" applyAlignment="1">
      <alignment vertical="center" wrapText="1"/>
    </xf>
    <xf numFmtId="167" fontId="18" fillId="0" borderId="0" xfId="0" applyNumberFormat="1" applyFont="1" applyAlignment="1">
      <alignment vertical="center"/>
    </xf>
    <xf numFmtId="0" fontId="3" fillId="0" borderId="0" xfId="0" applyFont="1" applyAlignment="1"/>
    <xf numFmtId="167" fontId="2" fillId="0" borderId="0" xfId="1" applyNumberFormat="1" applyFont="1" applyBorder="1"/>
    <xf numFmtId="1" fontId="21" fillId="6" borderId="0" xfId="0" applyNumberFormat="1" applyFont="1" applyFill="1" applyBorder="1" applyAlignment="1">
      <alignment vertical="center"/>
    </xf>
    <xf numFmtId="6" fontId="27" fillId="6" borderId="0" xfId="0" applyNumberFormat="1" applyFont="1" applyFill="1" applyBorder="1" applyAlignment="1">
      <alignment vertical="center"/>
    </xf>
    <xf numFmtId="43" fontId="2" fillId="0" borderId="2" xfId="1" applyFont="1" applyFill="1" applyBorder="1" applyAlignment="1">
      <alignment vertical="center"/>
    </xf>
    <xf numFmtId="43" fontId="2" fillId="0" borderId="2" xfId="1" applyFont="1" applyBorder="1" applyAlignment="1">
      <alignment vertical="center"/>
    </xf>
    <xf numFmtId="44" fontId="26" fillId="3" borderId="3" xfId="2" applyFont="1" applyFill="1" applyBorder="1" applyAlignment="1">
      <alignment vertical="center"/>
    </xf>
    <xf numFmtId="14" fontId="23" fillId="0" borderId="0" xfId="0" applyNumberFormat="1" applyFont="1" applyFill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7" fontId="1" fillId="0" borderId="11" xfId="1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38" fontId="29" fillId="0" borderId="0" xfId="1" applyNumberFormat="1" applyFont="1" applyAlignment="1">
      <alignment horizontal="left"/>
    </xf>
    <xf numFmtId="166" fontId="29" fillId="0" borderId="0" xfId="2" applyNumberFormat="1" applyFont="1" applyAlignment="1">
      <alignment horizontal="left"/>
    </xf>
    <xf numFmtId="9" fontId="30" fillId="0" borderId="0" xfId="3" applyFont="1" applyAlignment="1">
      <alignment horizontal="left"/>
    </xf>
    <xf numFmtId="1" fontId="17" fillId="0" borderId="0" xfId="0" applyNumberFormat="1" applyFont="1" applyAlignment="1">
      <alignment horizontal="left" vertical="top" wrapText="1"/>
    </xf>
    <xf numFmtId="0" fontId="12" fillId="7" borderId="0" xfId="0" applyFont="1" applyFill="1" applyAlignment="1">
      <alignment horizontal="center" vertical="center"/>
    </xf>
    <xf numFmtId="0" fontId="13" fillId="7" borderId="12" xfId="0" applyFont="1" applyFill="1" applyBorder="1" applyAlignment="1">
      <alignment horizontal="center" vertical="center" wrapText="1"/>
    </xf>
    <xf numFmtId="1" fontId="19" fillId="7" borderId="8" xfId="0" applyNumberFormat="1" applyFont="1" applyFill="1" applyBorder="1" applyAlignment="1">
      <alignment vertical="center"/>
    </xf>
    <xf numFmtId="6" fontId="18" fillId="7" borderId="8" xfId="0" applyNumberFormat="1" applyFont="1" applyFill="1" applyBorder="1" applyAlignment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Percent" xfId="3" builtinId="5"/>
  </cellStyles>
  <dxfs count="12">
    <dxf>
      <font>
        <strike val="0"/>
        <outline val="0"/>
        <shadow val="0"/>
        <vertAlign val="baseline"/>
        <sz val="1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numFmt numFmtId="167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double">
          <color rgb="FF000000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numFmt numFmtId="167" formatCode="_(* #,##0_);_(* \(#,##0\);_(* &quot;-&quot;??_);_(@_)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CASA, INC.</a:t>
            </a:r>
          </a:p>
          <a:p>
            <a:pPr>
              <a:defRPr/>
            </a:pPr>
            <a:r>
              <a:rPr lang="en-US"/>
              <a:t>Revenue Distribution FY'20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7149192937262808"/>
          <c:y val="0.22470308788598575"/>
          <c:w val="0.48943097263795093"/>
          <c:h val="0.7626286619160728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DBF8-4BBF-9BF3-12A05D36BB7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64-4AB9-95C1-75C30C6887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C64-4AB9-95C1-75C30C6887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64-4AB9-95C1-75C30C6887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DBF8-4BBF-9BF3-12A05D36BB7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BF8-4BBF-9BF3-12A05D36BB7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BF8-4BBF-9BF3-12A05D36BB71}"/>
              </c:ext>
            </c:extLst>
          </c:dPt>
          <c:dLbls>
            <c:dLbl>
              <c:idx val="4"/>
              <c:layout>
                <c:manualLayout>
                  <c:x val="4.8658864454718682E-2"/>
                  <c:y val="0.1274211507409554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F8-4BBF-9BF3-12A05D36BB71}"/>
                </c:ext>
              </c:extLst>
            </c:dLbl>
            <c:dLbl>
              <c:idx val="5"/>
              <c:layout>
                <c:manualLayout>
                  <c:x val="5.5631050449883243E-2"/>
                  <c:y val="0.172859770200933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F8-4BBF-9BF3-12A05D36BB71}"/>
                </c:ext>
              </c:extLst>
            </c:dLbl>
            <c:dLbl>
              <c:idx val="6"/>
              <c:layout>
                <c:manualLayout>
                  <c:x val="1.6242822588352926E-2"/>
                  <c:y val="0.1204246586963121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8-4BBF-9BF3-12A05D36BB71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charts!$A$5:$A$11</c:f>
              <c:strCache>
                <c:ptCount val="7"/>
                <c:pt idx="0">
                  <c:v>Annual Giving</c:v>
                </c:pt>
                <c:pt idx="1">
                  <c:v>Special Events</c:v>
                </c:pt>
                <c:pt idx="2">
                  <c:v>Congregation/Civic</c:v>
                </c:pt>
                <c:pt idx="3">
                  <c:v>Foundation Grants</c:v>
                </c:pt>
                <c:pt idx="4">
                  <c:v>Government Grants</c:v>
                </c:pt>
                <c:pt idx="5">
                  <c:v>United Way</c:v>
                </c:pt>
                <c:pt idx="6">
                  <c:v>Contracts &amp; Fees</c:v>
                </c:pt>
              </c:strCache>
            </c:strRef>
          </c:cat>
          <c:val>
            <c:numRef>
              <c:f>charts!$B$5:$B$11</c:f>
              <c:numCache>
                <c:formatCode>_(* #,##0_);_(* \(#,##0\);_(* "-"??_);_(@_)</c:formatCode>
                <c:ptCount val="7"/>
                <c:pt idx="0">
                  <c:v>148832</c:v>
                </c:pt>
                <c:pt idx="1">
                  <c:v>175000</c:v>
                </c:pt>
                <c:pt idx="2">
                  <c:v>100000</c:v>
                </c:pt>
                <c:pt idx="3">
                  <c:v>115000</c:v>
                </c:pt>
                <c:pt idx="4">
                  <c:v>224000</c:v>
                </c:pt>
                <c:pt idx="5">
                  <c:v>23000</c:v>
                </c:pt>
                <c:pt idx="6">
                  <c:v>22320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8-4BBF-9BF3-12A05D36BB7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024857186969272"/>
          <c:y val="0.42746144230560257"/>
          <c:w val="0.25854694633759018"/>
          <c:h val="0.2963290004199474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&amp;R&amp;D</c:oddFooter>
    </c:headerFooter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CASA, INC</a:t>
            </a:r>
          </a:p>
          <a:p>
            <a:pPr>
              <a:defRPr/>
            </a:pPr>
            <a:r>
              <a:rPr lang="en-US"/>
              <a:t>Expense Distribution FY'19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07F-4516-9FE6-26B833FB4F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07F-4516-9FE6-26B833FB4F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07F-4516-9FE6-26B833FB4F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07F-4516-9FE6-26B833FB4F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07F-4516-9FE6-26B833FB4F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charts!$A$18:$A$22</c:f>
              <c:strCache>
                <c:ptCount val="5"/>
                <c:pt idx="0">
                  <c:v>SALARIES &amp; BENEFITS</c:v>
                </c:pt>
                <c:pt idx="1">
                  <c:v>PROFESSIONAL FEES</c:v>
                </c:pt>
                <c:pt idx="2">
                  <c:v>SPECIAL EVENTS</c:v>
                </c:pt>
                <c:pt idx="3">
                  <c:v>OTHER</c:v>
                </c:pt>
                <c:pt idx="4">
                  <c:v>ADMINISTRATIVE ALLOCATION</c:v>
                </c:pt>
              </c:strCache>
            </c:strRef>
          </c:cat>
          <c:val>
            <c:numRef>
              <c:f>charts!$B$18:$B$22</c:f>
              <c:numCache>
                <c:formatCode>_(* #,##0_);_(* \(#,##0\);_(* "-"??_);_(@_)</c:formatCode>
                <c:ptCount val="5"/>
                <c:pt idx="0">
                  <c:v>639331</c:v>
                </c:pt>
                <c:pt idx="1">
                  <c:v>50650</c:v>
                </c:pt>
                <c:pt idx="2">
                  <c:v>14610</c:v>
                </c:pt>
                <c:pt idx="3">
                  <c:v>179322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3-4127-93BA-9DBD7B8A0F5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&amp;R&amp;D</c:oddFooter>
    </c:headerFooter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1187450</xdr:colOff>
      <xdr:row>0</xdr:row>
      <xdr:rowOff>0</xdr:rowOff>
    </xdr:from>
    <xdr:to>
      <xdr:col>1</xdr:col>
      <xdr:colOff>533400</xdr:colOff>
      <xdr:row>3</xdr:row>
      <xdr:rowOff>8993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015FF6-D493-492E-9C28-9B5E83F34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450" y="0"/>
          <a:ext cx="1035050" cy="561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0</xdr:row>
      <xdr:rowOff>180975</xdr:rowOff>
    </xdr:from>
    <xdr:to>
      <xdr:col>15</xdr:col>
      <xdr:colOff>409575</xdr:colOff>
      <xdr:row>30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304800</xdr:colOff>
      <xdr:row>32</xdr:row>
      <xdr:rowOff>85725</xdr:rowOff>
    </xdr:from>
    <xdr:to>
      <xdr:col>15</xdr:col>
      <xdr:colOff>390525</xdr:colOff>
      <xdr:row>57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7:B42" totalsRowShown="0" headerRowDxfId="11" dataDxfId="10" tableBorderDxfId="9">
  <autoFilter ref="A7:B42" xr:uid="{00000000-0009-0000-0100-000002000000}"/>
  <tableColumns count="2">
    <tableColumn id="1" xr3:uid="{00000000-0010-0000-0000-000001000000}" name="DESCRIPTION" dataDxfId="8"/>
    <tableColumn id="2" xr3:uid="{3CE16E41-33CF-4FD2-A8E9-780856505D46}" name="Budget FY'22" dataDxfId="7">
      <calculatedColumnFormula>200000+22000</calculatedColumnFormula>
    </tableColumn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4788FA1-3196-49EB-9A04-599A839F7DAA}" name="Table22" displayName="Table22" ref="A4:D34" totalsRowShown="0" headerRowDxfId="6" dataDxfId="5" tableBorderDxfId="4">
  <autoFilter ref="A4:D34" xr:uid="{00000000-0009-0000-0100-000002000000}"/>
  <tableColumns count="4">
    <tableColumn id="1" xr3:uid="{ED4BE688-139E-4254-A030-CD83F214F4EF}" name="DESCRIPTION" dataDxfId="3"/>
    <tableColumn id="3" xr3:uid="{197D2A25-807D-4141-A6C5-C14E6610B617}" name="Approved Budget" dataDxfId="2" dataCellStyle="Comma"/>
    <tableColumn id="2" xr3:uid="{5A052067-2FBE-4214-9E48-3589BBEDD3B0}" name="Revised Budget" dataDxfId="1">
      <calculatedColumnFormula>200000+22000</calculatedColumnFormula>
    </tableColumn>
    <tableColumn id="4" xr3:uid="{E999F8EF-3ABE-47E8-88A1-C2D84EC3A7FD}" name="Variance  App vs Rev" dataDxfId="0">
      <calculatedColumnFormula>Table22[[#This Row],[Approved Budget]]-#REF!</calculatedColumnFormula>
    </tableColumn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P46"/>
  <sheetViews>
    <sheetView tabSelected="1" zoomScale="120" zoomScaleNormal="120" workbookViewId="0">
      <selection activeCell="D5" sqref="D5"/>
    </sheetView>
  </sheetViews>
  <sheetFormatPr defaultColWidth="9.109375" defaultRowHeight="14.4" x14ac:dyDescent="0.3"/>
  <cols>
    <col min="1" max="1" width="24.6640625" style="39" customWidth="1"/>
    <col min="2" max="3" width="11.44140625" style="39" customWidth="1"/>
    <col min="4" max="4" width="13.44140625" style="51" customWidth="1"/>
    <col min="5" max="5" width="10.109375" customWidth="1"/>
    <col min="6" max="6" width="9.88671875" customWidth="1"/>
    <col min="7" max="7" width="11.109375" bestFit="1" customWidth="1"/>
    <col min="8" max="11" width="8.88671875"/>
    <col min="12" max="12" width="46" style="39" bestFit="1" customWidth="1"/>
    <col min="13" max="13" width="9.109375" style="39"/>
    <col min="14" max="14" width="9.5546875" style="39" bestFit="1" customWidth="1"/>
    <col min="15" max="16384" width="9.109375" style="39"/>
  </cols>
  <sheetData>
    <row r="4" spans="1:16" s="67" customFormat="1" ht="18" x14ac:dyDescent="0.3">
      <c r="A4" s="70" t="s">
        <v>167</v>
      </c>
      <c r="B4" s="69"/>
      <c r="C4" s="69"/>
      <c r="D4" s="66"/>
      <c r="E4"/>
      <c r="F4"/>
      <c r="G4"/>
      <c r="H4" s="56"/>
      <c r="I4" s="56"/>
      <c r="J4" s="56"/>
      <c r="K4" s="56"/>
    </row>
    <row r="5" spans="1:16" s="67" customFormat="1" ht="18" x14ac:dyDescent="0.3">
      <c r="A5" s="70" t="s">
        <v>168</v>
      </c>
      <c r="B5" s="68"/>
      <c r="C5" s="68"/>
      <c r="D5" s="163"/>
      <c r="E5"/>
      <c r="F5"/>
      <c r="G5"/>
      <c r="H5" s="56"/>
      <c r="I5" s="56"/>
      <c r="J5" s="56"/>
      <c r="K5" s="56"/>
    </row>
    <row r="6" spans="1:16" s="36" customFormat="1" ht="14.25" customHeight="1" thickBot="1" x14ac:dyDescent="0.4">
      <c r="A6" s="35"/>
      <c r="B6" s="35"/>
      <c r="C6" s="35"/>
      <c r="D6" s="124"/>
      <c r="E6"/>
      <c r="F6"/>
      <c r="G6"/>
      <c r="H6"/>
      <c r="I6"/>
      <c r="J6"/>
      <c r="K6"/>
    </row>
    <row r="7" spans="1:16" s="38" customFormat="1" ht="30" customHeight="1" x14ac:dyDescent="0.35">
      <c r="A7" s="172" t="s">
        <v>70</v>
      </c>
      <c r="B7" s="173" t="s">
        <v>169</v>
      </c>
      <c r="C7" s="46"/>
      <c r="D7"/>
      <c r="E7"/>
      <c r="F7"/>
      <c r="G7"/>
      <c r="H7"/>
      <c r="I7"/>
      <c r="J7"/>
      <c r="K7" s="36"/>
    </row>
    <row r="8" spans="1:16" s="40" customFormat="1" x14ac:dyDescent="0.3">
      <c r="A8" s="100" t="s">
        <v>83</v>
      </c>
      <c r="B8" s="104"/>
      <c r="C8" s="47"/>
      <c r="D8"/>
      <c r="E8"/>
      <c r="F8"/>
      <c r="G8"/>
      <c r="H8"/>
      <c r="I8"/>
      <c r="J8"/>
      <c r="K8" s="39"/>
    </row>
    <row r="9" spans="1:16" s="40" customFormat="1" x14ac:dyDescent="0.3">
      <c r="A9" s="101" t="s">
        <v>77</v>
      </c>
      <c r="B9" s="74">
        <v>165000</v>
      </c>
      <c r="C9" s="170"/>
      <c r="D9"/>
      <c r="E9"/>
      <c r="F9"/>
      <c r="G9"/>
      <c r="H9"/>
      <c r="I9"/>
      <c r="J9"/>
      <c r="K9" s="39"/>
    </row>
    <row r="10" spans="1:16" s="40" customFormat="1" x14ac:dyDescent="0.3">
      <c r="A10" s="101" t="s">
        <v>1</v>
      </c>
      <c r="B10" s="74">
        <v>249000</v>
      </c>
      <c r="C10" s="170"/>
      <c r="D10"/>
      <c r="E10"/>
      <c r="F10"/>
      <c r="G10"/>
      <c r="H10"/>
      <c r="I10"/>
      <c r="J10"/>
      <c r="K10" s="39"/>
    </row>
    <row r="11" spans="1:16" s="40" customFormat="1" x14ac:dyDescent="0.3">
      <c r="A11" s="101" t="s">
        <v>53</v>
      </c>
      <c r="B11" s="74">
        <v>100000</v>
      </c>
      <c r="C11" s="170"/>
      <c r="D11"/>
      <c r="E11"/>
      <c r="F11"/>
      <c r="G11"/>
      <c r="H11"/>
      <c r="I11"/>
      <c r="J11"/>
      <c r="K11" s="39"/>
    </row>
    <row r="12" spans="1:16" s="40" customFormat="1" x14ac:dyDescent="0.3">
      <c r="A12" s="101" t="s">
        <v>52</v>
      </c>
      <c r="B12" s="74">
        <v>154000</v>
      </c>
      <c r="C12" s="170"/>
      <c r="D12"/>
      <c r="E12"/>
      <c r="F12"/>
      <c r="G12"/>
      <c r="H12"/>
      <c r="I12"/>
      <c r="J12"/>
      <c r="K12" s="39"/>
    </row>
    <row r="13" spans="1:16" s="40" customFormat="1" x14ac:dyDescent="0.3">
      <c r="A13" s="102" t="s">
        <v>126</v>
      </c>
      <c r="B13" s="74">
        <v>222500</v>
      </c>
      <c r="C13" s="73"/>
      <c r="D13"/>
      <c r="E13"/>
      <c r="F13"/>
      <c r="G13"/>
      <c r="H13"/>
      <c r="I13"/>
      <c r="J13"/>
      <c r="K13" s="39"/>
    </row>
    <row r="14" spans="1:16" s="40" customFormat="1" x14ac:dyDescent="0.3">
      <c r="A14" s="102" t="s">
        <v>125</v>
      </c>
      <c r="B14" s="75">
        <v>30000</v>
      </c>
      <c r="C14" s="48"/>
      <c r="D14"/>
      <c r="E14"/>
      <c r="F14"/>
      <c r="G14"/>
      <c r="H14"/>
      <c r="I14"/>
      <c r="J14"/>
      <c r="K14" s="39"/>
    </row>
    <row r="15" spans="1:16" s="40" customFormat="1" x14ac:dyDescent="0.3">
      <c r="A15" s="166" t="s">
        <v>170</v>
      </c>
      <c r="B15" s="75">
        <v>200</v>
      </c>
      <c r="C15" s="48"/>
      <c r="D15"/>
      <c r="E15"/>
      <c r="F15"/>
      <c r="G15"/>
      <c r="H15"/>
      <c r="I15"/>
      <c r="J15"/>
      <c r="K15" s="39"/>
    </row>
    <row r="16" spans="1:16" s="40" customFormat="1" x14ac:dyDescent="0.3">
      <c r="A16" s="166" t="s">
        <v>171</v>
      </c>
      <c r="B16" s="75">
        <v>6500</v>
      </c>
      <c r="C16" s="49"/>
      <c r="D16"/>
      <c r="E16"/>
      <c r="F16"/>
      <c r="G16"/>
      <c r="H16"/>
      <c r="I16"/>
      <c r="J16"/>
      <c r="K16" s="39"/>
      <c r="L16" s="39"/>
      <c r="M16" s="39"/>
      <c r="N16" s="39"/>
      <c r="O16" s="39"/>
      <c r="P16" s="39"/>
    </row>
    <row r="17" spans="1:16" s="40" customFormat="1" x14ac:dyDescent="0.3">
      <c r="A17" s="166" t="s">
        <v>172</v>
      </c>
      <c r="B17" s="75">
        <v>6000</v>
      </c>
      <c r="C17" s="48"/>
      <c r="D17"/>
      <c r="E17"/>
      <c r="F17"/>
      <c r="G17"/>
      <c r="H17"/>
      <c r="I17"/>
      <c r="J17"/>
      <c r="K17" s="39"/>
      <c r="L17" s="39"/>
      <c r="M17" s="39"/>
      <c r="N17" s="39"/>
      <c r="O17" s="39"/>
      <c r="P17" s="39"/>
    </row>
    <row r="18" spans="1:16" s="40" customFormat="1" x14ac:dyDescent="0.3">
      <c r="A18" s="102" t="s">
        <v>79</v>
      </c>
      <c r="B18" s="113">
        <v>15000</v>
      </c>
      <c r="C18" s="167"/>
      <c r="D18"/>
      <c r="E18"/>
      <c r="F18"/>
      <c r="G18"/>
      <c r="H18"/>
      <c r="I18"/>
      <c r="J18"/>
      <c r="K18" s="39"/>
      <c r="L18" s="39"/>
      <c r="M18" s="39"/>
      <c r="N18" s="39"/>
      <c r="O18" s="39"/>
      <c r="P18" s="39"/>
    </row>
    <row r="19" spans="1:16" s="40" customFormat="1" x14ac:dyDescent="0.3">
      <c r="A19" s="103"/>
      <c r="B19" s="76">
        <f>SUBTOTAL(109,B8:B18)</f>
        <v>948200</v>
      </c>
      <c r="C19" s="169"/>
      <c r="D19"/>
      <c r="E19"/>
      <c r="F19"/>
      <c r="G19"/>
      <c r="H19"/>
      <c r="I19"/>
      <c r="J19"/>
      <c r="K19" s="39"/>
      <c r="L19" s="39"/>
      <c r="M19" s="39"/>
      <c r="N19" s="39"/>
      <c r="O19" s="39"/>
      <c r="P19" s="39"/>
    </row>
    <row r="20" spans="1:16" s="40" customFormat="1" x14ac:dyDescent="0.3">
      <c r="A20" s="98" t="s">
        <v>0</v>
      </c>
      <c r="B20" s="77"/>
      <c r="C20" s="169"/>
      <c r="D20"/>
      <c r="E20"/>
      <c r="F20"/>
      <c r="G20"/>
      <c r="H20"/>
      <c r="I20"/>
      <c r="J20"/>
      <c r="K20" s="39"/>
      <c r="L20" s="39"/>
      <c r="M20" s="39"/>
      <c r="N20" s="39"/>
      <c r="O20" s="39"/>
      <c r="P20" s="39"/>
    </row>
    <row r="21" spans="1:16" s="40" customFormat="1" x14ac:dyDescent="0.3">
      <c r="A21" s="102" t="s">
        <v>92</v>
      </c>
      <c r="B21" s="75">
        <v>557839</v>
      </c>
      <c r="C21" s="167"/>
      <c r="D21"/>
      <c r="E21"/>
      <c r="F21"/>
      <c r="G21"/>
      <c r="H21"/>
      <c r="I21"/>
      <c r="J21"/>
      <c r="K21" s="39"/>
      <c r="L21" s="42"/>
      <c r="M21" s="42"/>
    </row>
    <row r="22" spans="1:16" s="40" customFormat="1" x14ac:dyDescent="0.3">
      <c r="A22" s="102" t="s">
        <v>173</v>
      </c>
      <c r="B22" s="75">
        <v>81492</v>
      </c>
      <c r="C22" s="168"/>
      <c r="D22" s="110"/>
      <c r="E22" s="111"/>
      <c r="F22"/>
      <c r="G22"/>
      <c r="H22"/>
      <c r="I22"/>
      <c r="J22"/>
      <c r="K22" s="39"/>
      <c r="L22" s="42"/>
      <c r="M22" s="42"/>
    </row>
    <row r="23" spans="1:16" s="40" customFormat="1" x14ac:dyDescent="0.3">
      <c r="A23" s="166" t="s">
        <v>43</v>
      </c>
      <c r="B23" s="75">
        <v>59968</v>
      </c>
      <c r="C23" s="168"/>
      <c r="D23" s="27"/>
      <c r="E23" s="27"/>
      <c r="F23"/>
      <c r="G23"/>
      <c r="H23"/>
      <c r="I23"/>
      <c r="J23"/>
      <c r="K23" s="39"/>
      <c r="M23" s="42"/>
      <c r="N23" s="42"/>
    </row>
    <row r="24" spans="1:16" s="40" customFormat="1" x14ac:dyDescent="0.3">
      <c r="A24" s="102" t="s">
        <v>94</v>
      </c>
      <c r="B24" s="75">
        <v>50650</v>
      </c>
      <c r="C24" s="168"/>
      <c r="D24" s="27"/>
      <c r="E24" s="27"/>
      <c r="F24"/>
      <c r="G24"/>
      <c r="H24"/>
      <c r="I24"/>
      <c r="J24"/>
      <c r="K24" s="39"/>
      <c r="L24" s="42"/>
      <c r="M24" s="42"/>
    </row>
    <row r="25" spans="1:16" s="40" customFormat="1" x14ac:dyDescent="0.3">
      <c r="A25" s="102" t="s">
        <v>166</v>
      </c>
      <c r="B25" s="75">
        <v>14610</v>
      </c>
      <c r="C25" s="168"/>
      <c r="D25" s="27"/>
      <c r="E25" s="27"/>
      <c r="F25"/>
      <c r="G25"/>
      <c r="H25"/>
      <c r="I25"/>
      <c r="J25"/>
      <c r="K25" s="39"/>
      <c r="L25" s="42"/>
      <c r="M25" s="42"/>
    </row>
    <row r="26" spans="1:16" s="40" customFormat="1" x14ac:dyDescent="0.3">
      <c r="A26" s="102" t="s">
        <v>174</v>
      </c>
      <c r="B26" s="112">
        <v>50000</v>
      </c>
      <c r="C26" s="168"/>
      <c r="D26" s="27"/>
      <c r="E26" s="27"/>
      <c r="F26"/>
      <c r="G26"/>
      <c r="H26"/>
      <c r="I26"/>
      <c r="J26"/>
      <c r="K26" s="39"/>
      <c r="L26" s="42"/>
      <c r="M26" s="42"/>
    </row>
    <row r="27" spans="1:16" s="40" customFormat="1" ht="13.5" customHeight="1" x14ac:dyDescent="0.3">
      <c r="A27" s="102" t="s">
        <v>95</v>
      </c>
      <c r="B27" s="75">
        <v>4600</v>
      </c>
      <c r="C27" s="168"/>
      <c r="D27" s="27"/>
      <c r="E27" s="27"/>
      <c r="F27"/>
      <c r="G27"/>
      <c r="H27"/>
      <c r="I27"/>
      <c r="J27"/>
      <c r="K27" s="39"/>
      <c r="L27" s="42"/>
      <c r="M27" s="42"/>
    </row>
    <row r="28" spans="1:16" s="40" customFormat="1" x14ac:dyDescent="0.3">
      <c r="A28" s="102" t="s">
        <v>96</v>
      </c>
      <c r="B28" s="75">
        <v>10980</v>
      </c>
      <c r="C28" s="168"/>
      <c r="D28" s="27"/>
      <c r="E28" s="27"/>
      <c r="F28"/>
      <c r="G28"/>
      <c r="H28"/>
      <c r="I28"/>
      <c r="J28"/>
      <c r="K28" s="39"/>
    </row>
    <row r="29" spans="1:16" s="40" customFormat="1" x14ac:dyDescent="0.3">
      <c r="A29" s="102" t="s">
        <v>175</v>
      </c>
      <c r="B29" s="75">
        <v>3250</v>
      </c>
      <c r="C29" s="168"/>
      <c r="D29" s="109"/>
      <c r="E29" s="109"/>
      <c r="F29"/>
      <c r="G29"/>
      <c r="H29"/>
      <c r="I29"/>
      <c r="J29"/>
      <c r="K29" s="39"/>
    </row>
    <row r="30" spans="1:16" s="40" customFormat="1" x14ac:dyDescent="0.3">
      <c r="A30" s="166" t="s">
        <v>181</v>
      </c>
      <c r="B30" s="75">
        <v>4350</v>
      </c>
      <c r="C30" s="168"/>
      <c r="D30" s="27"/>
      <c r="E30" s="27"/>
      <c r="F30"/>
      <c r="G30"/>
      <c r="H30"/>
      <c r="I30"/>
      <c r="J30"/>
      <c r="K30" s="39"/>
    </row>
    <row r="31" spans="1:16" s="40" customFormat="1" x14ac:dyDescent="0.3">
      <c r="A31" s="102" t="s">
        <v>176</v>
      </c>
      <c r="B31" s="75">
        <v>3750</v>
      </c>
      <c r="C31" s="48"/>
      <c r="D31" s="27"/>
      <c r="E31" s="27"/>
      <c r="F31"/>
      <c r="G31"/>
      <c r="H31"/>
      <c r="I31"/>
      <c r="J31"/>
      <c r="K31" s="39"/>
    </row>
    <row r="32" spans="1:16" s="40" customFormat="1" x14ac:dyDescent="0.3">
      <c r="A32" s="102" t="s">
        <v>98</v>
      </c>
      <c r="B32" s="75">
        <v>20364</v>
      </c>
      <c r="C32" s="48"/>
      <c r="D32" s="27"/>
      <c r="E32" s="27"/>
      <c r="F32"/>
      <c r="G32"/>
      <c r="H32"/>
      <c r="I32"/>
      <c r="J32"/>
      <c r="K32" s="39"/>
    </row>
    <row r="33" spans="1:11" s="40" customFormat="1" x14ac:dyDescent="0.3">
      <c r="A33" s="102" t="s">
        <v>177</v>
      </c>
      <c r="B33" s="75">
        <v>8400</v>
      </c>
      <c r="C33" s="168"/>
      <c r="D33" s="27"/>
      <c r="E33" s="27"/>
      <c r="F33"/>
      <c r="G33"/>
      <c r="H33"/>
      <c r="I33"/>
      <c r="J33"/>
      <c r="K33" s="39"/>
    </row>
    <row r="34" spans="1:11" s="40" customFormat="1" x14ac:dyDescent="0.3">
      <c r="A34" s="102" t="s">
        <v>178</v>
      </c>
      <c r="B34" s="75">
        <v>1840</v>
      </c>
      <c r="C34" s="168"/>
      <c r="D34" s="27"/>
      <c r="E34" s="27"/>
      <c r="F34"/>
      <c r="G34"/>
      <c r="H34"/>
      <c r="I34"/>
      <c r="J34"/>
      <c r="K34" s="39"/>
    </row>
    <row r="35" spans="1:11" s="40" customFormat="1" x14ac:dyDescent="0.3">
      <c r="A35" s="102" t="s">
        <v>100</v>
      </c>
      <c r="B35" s="75">
        <v>7150</v>
      </c>
      <c r="C35" s="168"/>
      <c r="D35" s="27"/>
      <c r="E35" s="27"/>
      <c r="F35"/>
      <c r="G35"/>
      <c r="H35"/>
      <c r="I35"/>
      <c r="J35"/>
      <c r="K35" s="39"/>
    </row>
    <row r="36" spans="1:11" s="40" customFormat="1" x14ac:dyDescent="0.3">
      <c r="A36" s="102" t="s">
        <v>103</v>
      </c>
      <c r="B36" s="75">
        <v>5050</v>
      </c>
      <c r="C36" s="168"/>
      <c r="D36"/>
      <c r="E36"/>
      <c r="F36"/>
      <c r="G36"/>
      <c r="H36"/>
      <c r="I36"/>
      <c r="J36"/>
      <c r="K36" s="39"/>
    </row>
    <row r="37" spans="1:11" s="40" customFormat="1" x14ac:dyDescent="0.3">
      <c r="A37" s="102" t="s">
        <v>104</v>
      </c>
      <c r="B37" s="75">
        <v>8000</v>
      </c>
      <c r="C37" s="50"/>
      <c r="D37"/>
      <c r="E37"/>
      <c r="F37"/>
      <c r="G37"/>
      <c r="H37"/>
      <c r="I37"/>
      <c r="J37"/>
      <c r="K37" s="39"/>
    </row>
    <row r="38" spans="1:11" s="40" customFormat="1" x14ac:dyDescent="0.3">
      <c r="A38" s="102" t="s">
        <v>179</v>
      </c>
      <c r="B38" s="75">
        <v>6000</v>
      </c>
      <c r="C38" s="119"/>
      <c r="D38"/>
      <c r="E38"/>
      <c r="F38"/>
      <c r="G38"/>
      <c r="H38"/>
      <c r="I38"/>
      <c r="J38"/>
      <c r="K38" s="39"/>
    </row>
    <row r="39" spans="1:11" ht="10.5" customHeight="1" x14ac:dyDescent="0.3">
      <c r="A39" s="102" t="s">
        <v>165</v>
      </c>
      <c r="B39" s="78">
        <v>45588</v>
      </c>
      <c r="C39" s="83"/>
    </row>
    <row r="40" spans="1:11" x14ac:dyDescent="0.3">
      <c r="A40" s="164" t="s">
        <v>180</v>
      </c>
      <c r="B40" s="165">
        <v>2900</v>
      </c>
      <c r="C40" s="41"/>
    </row>
    <row r="41" spans="1:11" x14ac:dyDescent="0.3">
      <c r="A41" s="98"/>
      <c r="B41" s="76">
        <f>SUM(B21:B40)</f>
        <v>946781</v>
      </c>
      <c r="C41" s="41"/>
    </row>
    <row r="42" spans="1:11" ht="15" thickBot="1" x14ac:dyDescent="0.35">
      <c r="A42" s="174"/>
      <c r="B42" s="175">
        <f>+B19-B41</f>
        <v>1419</v>
      </c>
    </row>
    <row r="43" spans="1:11" ht="15" thickTop="1" x14ac:dyDescent="0.3">
      <c r="A43" s="171"/>
      <c r="B43" s="171"/>
    </row>
    <row r="44" spans="1:11" x14ac:dyDescent="0.3">
      <c r="A44" s="82"/>
      <c r="B44" s="41"/>
    </row>
    <row r="45" spans="1:11" x14ac:dyDescent="0.3">
      <c r="A45" s="82"/>
      <c r="B45" s="41"/>
    </row>
    <row r="46" spans="1:11" x14ac:dyDescent="0.3">
      <c r="A46" s="82"/>
    </row>
  </sheetData>
  <mergeCells count="1">
    <mergeCell ref="A43:B43"/>
  </mergeCells>
  <printOptions horizontalCentered="1"/>
  <pageMargins left="0" right="0" top="0.5" bottom="0" header="0.1" footer="0"/>
  <pageSetup orientation="portrait" r:id="rId1"/>
  <headerFooter>
    <oddFooter>&amp;R&amp;D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1AF3-4806-47A0-8ABF-64514D1E0133}">
  <sheetPr>
    <pageSetUpPr fitToPage="1"/>
  </sheetPr>
  <dimension ref="A1:R38"/>
  <sheetViews>
    <sheetView topLeftCell="A13" zoomScale="120" zoomScaleNormal="120" workbookViewId="0">
      <selection activeCell="F26" sqref="F26"/>
    </sheetView>
  </sheetViews>
  <sheetFormatPr defaultColWidth="9.109375" defaultRowHeight="14.4" x14ac:dyDescent="0.3"/>
  <cols>
    <col min="1" max="1" width="24.6640625" style="39" customWidth="1"/>
    <col min="2" max="2" width="13" style="39" customWidth="1"/>
    <col min="3" max="3" width="11.44140625" style="39" customWidth="1"/>
    <col min="4" max="4" width="12.44140625" style="39" customWidth="1"/>
    <col min="5" max="5" width="13.44140625" style="156" customWidth="1"/>
    <col min="6" max="6" width="10.109375" customWidth="1"/>
    <col min="7" max="7" width="9.88671875" customWidth="1"/>
    <col min="8" max="8" width="11.109375" bestFit="1" customWidth="1"/>
    <col min="9" max="12" width="8.88671875"/>
    <col min="13" max="13" width="46" style="39" bestFit="1" customWidth="1"/>
    <col min="14" max="14" width="9.109375" style="39"/>
    <col min="15" max="15" width="9.5546875" style="39" bestFit="1" customWidth="1"/>
    <col min="16" max="16384" width="9.109375" style="39"/>
  </cols>
  <sheetData>
    <row r="1" spans="1:18" s="67" customFormat="1" ht="18" x14ac:dyDescent="0.3">
      <c r="A1" s="68" t="s">
        <v>56</v>
      </c>
      <c r="B1" s="69"/>
      <c r="C1" s="69"/>
      <c r="D1" s="69"/>
      <c r="E1" s="143"/>
      <c r="F1"/>
      <c r="G1"/>
      <c r="H1"/>
      <c r="I1" s="56"/>
      <c r="J1" s="56"/>
      <c r="K1" s="56"/>
      <c r="L1" s="56"/>
    </row>
    <row r="2" spans="1:18" s="67" customFormat="1" ht="18" x14ac:dyDescent="0.3">
      <c r="A2" s="70" t="s">
        <v>161</v>
      </c>
      <c r="B2" s="68"/>
      <c r="C2" s="68"/>
      <c r="D2" s="69"/>
      <c r="F2"/>
      <c r="G2"/>
      <c r="H2"/>
      <c r="I2" s="56"/>
      <c r="J2" s="56"/>
      <c r="K2" s="56"/>
      <c r="L2" s="56"/>
    </row>
    <row r="3" spans="1:18" s="36" customFormat="1" ht="14.25" customHeight="1" x14ac:dyDescent="0.35">
      <c r="A3" s="35"/>
      <c r="B3" s="35"/>
      <c r="C3" s="35"/>
      <c r="D3" s="35"/>
      <c r="E3" s="144"/>
      <c r="F3"/>
      <c r="G3"/>
      <c r="H3"/>
      <c r="I3"/>
      <c r="J3"/>
      <c r="K3"/>
      <c r="L3"/>
    </row>
    <row r="4" spans="1:18" s="38" customFormat="1" ht="30" customHeight="1" x14ac:dyDescent="0.35">
      <c r="A4" s="37" t="s">
        <v>70</v>
      </c>
      <c r="B4" s="138" t="s">
        <v>162</v>
      </c>
      <c r="C4" s="138" t="s">
        <v>163</v>
      </c>
      <c r="D4" s="139" t="s">
        <v>164</v>
      </c>
      <c r="E4" s="145"/>
      <c r="F4"/>
      <c r="G4"/>
      <c r="H4"/>
      <c r="I4"/>
      <c r="J4"/>
      <c r="K4"/>
      <c r="L4"/>
      <c r="M4" s="36"/>
    </row>
    <row r="5" spans="1:18" s="40" customFormat="1" x14ac:dyDescent="0.3">
      <c r="A5" s="100" t="s">
        <v>83</v>
      </c>
      <c r="B5" s="94"/>
      <c r="C5" s="129"/>
      <c r="D5" s="130"/>
      <c r="E5" s="146"/>
      <c r="F5"/>
      <c r="G5"/>
      <c r="H5"/>
      <c r="I5"/>
      <c r="J5"/>
      <c r="K5"/>
      <c r="L5"/>
      <c r="M5" s="39"/>
    </row>
    <row r="6" spans="1:18" s="40" customFormat="1" x14ac:dyDescent="0.3">
      <c r="A6" s="101" t="s">
        <v>77</v>
      </c>
      <c r="B6" s="95">
        <v>145000</v>
      </c>
      <c r="C6" s="95">
        <f>3832+145000</f>
        <v>148832</v>
      </c>
      <c r="D6" s="137">
        <f>Table22[[#This Row],[Revised Budget]]-Table22[[#This Row],[Approved Budget]]</f>
        <v>3832</v>
      </c>
      <c r="E6" s="147"/>
      <c r="F6"/>
      <c r="G6"/>
      <c r="H6"/>
      <c r="I6"/>
      <c r="J6"/>
      <c r="K6"/>
      <c r="L6"/>
      <c r="M6" s="39"/>
    </row>
    <row r="7" spans="1:18" s="40" customFormat="1" x14ac:dyDescent="0.3">
      <c r="A7" s="101" t="s">
        <v>1</v>
      </c>
      <c r="B7" s="95">
        <v>175000</v>
      </c>
      <c r="C7" s="95">
        <v>175000</v>
      </c>
      <c r="D7" s="137">
        <f>Table22[[#This Row],[Revised Budget]]-Table22[[#This Row],[Approved Budget]]</f>
        <v>0</v>
      </c>
      <c r="E7" s="147"/>
      <c r="F7"/>
      <c r="G7"/>
      <c r="H7"/>
      <c r="I7"/>
      <c r="J7"/>
      <c r="K7"/>
      <c r="L7"/>
      <c r="M7" s="39"/>
    </row>
    <row r="8" spans="1:18" s="40" customFormat="1" x14ac:dyDescent="0.3">
      <c r="A8" s="101" t="s">
        <v>53</v>
      </c>
      <c r="B8" s="95">
        <v>100000</v>
      </c>
      <c r="C8" s="95">
        <v>100000</v>
      </c>
      <c r="D8" s="137">
        <f>Table22[[#This Row],[Revised Budget]]-Table22[[#This Row],[Approved Budget]]</f>
        <v>0</v>
      </c>
      <c r="E8" s="147"/>
      <c r="F8"/>
      <c r="G8"/>
      <c r="H8"/>
      <c r="I8"/>
      <c r="J8"/>
      <c r="K8"/>
      <c r="L8"/>
      <c r="M8" s="39"/>
    </row>
    <row r="9" spans="1:18" s="40" customFormat="1" x14ac:dyDescent="0.3">
      <c r="A9" s="101" t="s">
        <v>52</v>
      </c>
      <c r="B9" s="95">
        <v>115000</v>
      </c>
      <c r="C9" s="95">
        <v>115000</v>
      </c>
      <c r="D9" s="137">
        <f>Table22[[#This Row],[Revised Budget]]-Table22[[#This Row],[Approved Budget]]</f>
        <v>0</v>
      </c>
      <c r="E9" s="147"/>
      <c r="F9"/>
      <c r="G9"/>
      <c r="H9"/>
      <c r="I9"/>
      <c r="J9"/>
      <c r="K9"/>
      <c r="L9"/>
      <c r="M9" s="39"/>
    </row>
    <row r="10" spans="1:18" s="40" customFormat="1" x14ac:dyDescent="0.3">
      <c r="A10" s="102" t="s">
        <v>126</v>
      </c>
      <c r="B10" s="95">
        <v>224000</v>
      </c>
      <c r="C10" s="95">
        <f>200000+22000+2000</f>
        <v>224000</v>
      </c>
      <c r="D10" s="137">
        <f>Table22[[#This Row],[Revised Budget]]-Table22[[#This Row],[Approved Budget]]</f>
        <v>0</v>
      </c>
      <c r="E10" s="148"/>
      <c r="F10"/>
      <c r="G10"/>
      <c r="H10"/>
      <c r="I10"/>
      <c r="J10"/>
      <c r="K10"/>
      <c r="L10"/>
      <c r="M10" s="39"/>
    </row>
    <row r="11" spans="1:18" s="40" customFormat="1" x14ac:dyDescent="0.3">
      <c r="A11" s="102" t="s">
        <v>125</v>
      </c>
      <c r="B11" s="96">
        <v>23000</v>
      </c>
      <c r="C11" s="96">
        <v>23000</v>
      </c>
      <c r="D11" s="137">
        <f>Table22[[#This Row],[Revised Budget]]-Table22[[#This Row],[Approved Budget]]</f>
        <v>0</v>
      </c>
      <c r="E11" s="149"/>
      <c r="F11"/>
      <c r="G11"/>
      <c r="H11"/>
      <c r="I11"/>
      <c r="J11"/>
      <c r="K11"/>
      <c r="L11"/>
      <c r="M11" s="39"/>
    </row>
    <row r="12" spans="1:18" s="40" customFormat="1" x14ac:dyDescent="0.3">
      <c r="A12" s="102" t="s">
        <v>79</v>
      </c>
      <c r="B12" s="132">
        <v>22320</v>
      </c>
      <c r="C12" s="132">
        <f>+(1860)*12</f>
        <v>22320</v>
      </c>
      <c r="D12" s="137">
        <f>Table22[[#This Row],[Revised Budget]]-Table22[[#This Row],[Approved Budget]]</f>
        <v>0</v>
      </c>
      <c r="E12" s="149"/>
      <c r="F12"/>
      <c r="G12"/>
      <c r="H12"/>
      <c r="I12"/>
      <c r="J12"/>
      <c r="K12"/>
      <c r="L12"/>
      <c r="M12" s="39"/>
    </row>
    <row r="13" spans="1:18" s="40" customFormat="1" x14ac:dyDescent="0.3">
      <c r="A13" s="103"/>
      <c r="B13" s="97">
        <f>SUBTOTAL(109,B5:B12)</f>
        <v>804320</v>
      </c>
      <c r="C13" s="97">
        <f>SUBTOTAL(109,C5:C12)</f>
        <v>808152</v>
      </c>
      <c r="D13" s="133">
        <f>SUBTOTAL(109,D6:D12)</f>
        <v>3832</v>
      </c>
      <c r="E13" s="150"/>
      <c r="F13"/>
      <c r="G13"/>
      <c r="H13"/>
      <c r="I13"/>
      <c r="J13"/>
      <c r="K13"/>
      <c r="L13"/>
      <c r="M13" s="39"/>
      <c r="N13" s="39"/>
      <c r="O13" s="39"/>
      <c r="P13" s="39"/>
      <c r="Q13" s="39"/>
      <c r="R13" s="39"/>
    </row>
    <row r="14" spans="1:18" s="40" customFormat="1" x14ac:dyDescent="0.3">
      <c r="A14" s="98" t="s">
        <v>0</v>
      </c>
      <c r="B14" s="98"/>
      <c r="C14" s="98"/>
      <c r="D14" s="131"/>
      <c r="E14" s="149"/>
      <c r="F14"/>
      <c r="G14"/>
      <c r="H14"/>
      <c r="I14"/>
      <c r="J14"/>
      <c r="K14"/>
      <c r="L14"/>
      <c r="M14" s="39"/>
      <c r="N14" s="39"/>
      <c r="O14" s="39"/>
      <c r="P14" s="39"/>
      <c r="Q14" s="39"/>
      <c r="R14" s="39"/>
    </row>
    <row r="15" spans="1:18" s="40" customFormat="1" x14ac:dyDescent="0.3">
      <c r="A15" s="102" t="s">
        <v>92</v>
      </c>
      <c r="B15" s="96">
        <v>469008</v>
      </c>
      <c r="C15" s="96">
        <f>ROUND(Personnel!D16,0)</f>
        <v>473463</v>
      </c>
      <c r="D15" s="137">
        <f>Table22[[#This Row],[Revised Budget]]-Table22[[#This Row],[Approved Budget]]</f>
        <v>4455</v>
      </c>
      <c r="E15" s="79"/>
      <c r="F15"/>
      <c r="G15"/>
      <c r="H15"/>
      <c r="I15"/>
      <c r="J15"/>
      <c r="K15"/>
      <c r="L15"/>
      <c r="M15" s="39"/>
      <c r="N15" s="39"/>
      <c r="O15" s="39"/>
      <c r="P15" s="39"/>
      <c r="Q15" s="39"/>
      <c r="R15" s="39"/>
    </row>
    <row r="16" spans="1:18" s="40" customFormat="1" x14ac:dyDescent="0.3">
      <c r="A16" s="102" t="s">
        <v>93</v>
      </c>
      <c r="B16" s="96">
        <v>115960</v>
      </c>
      <c r="C16" s="96">
        <f>ROUND(Personnel!D25,0)</f>
        <v>116552</v>
      </c>
      <c r="D16" s="137">
        <f>Table22[[#This Row],[Revised Budget]]-Table22[[#This Row],[Approved Budget]]</f>
        <v>592</v>
      </c>
      <c r="E16" s="151"/>
      <c r="F16"/>
      <c r="G16"/>
      <c r="H16"/>
      <c r="I16"/>
      <c r="J16"/>
      <c r="K16"/>
      <c r="L16"/>
      <c r="M16" s="39"/>
      <c r="N16" s="39"/>
      <c r="O16" s="39"/>
      <c r="P16" s="39"/>
      <c r="Q16" s="39"/>
      <c r="R16" s="39"/>
    </row>
    <row r="17" spans="1:16" s="40" customFormat="1" x14ac:dyDescent="0.3">
      <c r="A17" s="102" t="s">
        <v>94</v>
      </c>
      <c r="B17" s="96">
        <v>49990</v>
      </c>
      <c r="C17" s="96">
        <f>Detail!E6</f>
        <v>50088</v>
      </c>
      <c r="D17" s="137">
        <f>Table22[[#This Row],[Revised Budget]]-Table22[[#This Row],[Approved Budget]]</f>
        <v>98</v>
      </c>
      <c r="F17"/>
      <c r="G17"/>
      <c r="H17"/>
      <c r="I17"/>
      <c r="J17"/>
      <c r="K17"/>
      <c r="L17"/>
      <c r="M17" s="39"/>
      <c r="N17" s="42"/>
      <c r="O17" s="42"/>
    </row>
    <row r="18" spans="1:16" s="40" customFormat="1" x14ac:dyDescent="0.3">
      <c r="A18" s="102" t="s">
        <v>1</v>
      </c>
      <c r="B18" s="96">
        <v>75000</v>
      </c>
      <c r="C18" s="96">
        <f>Detail!E18</f>
        <v>75000</v>
      </c>
      <c r="D18" s="137">
        <f>Table22[[#This Row],[Revised Budget]]-Table22[[#This Row],[Approved Budget]]</f>
        <v>0</v>
      </c>
      <c r="E18" s="149"/>
      <c r="F18" s="110"/>
      <c r="G18" s="111"/>
      <c r="H18"/>
      <c r="I18"/>
      <c r="J18"/>
      <c r="K18"/>
      <c r="L18"/>
      <c r="M18" s="39"/>
      <c r="N18" s="42"/>
      <c r="O18" s="42"/>
    </row>
    <row r="19" spans="1:16" s="40" customFormat="1" x14ac:dyDescent="0.3">
      <c r="A19" s="102" t="s">
        <v>95</v>
      </c>
      <c r="B19" s="134">
        <v>16940</v>
      </c>
      <c r="C19" s="134">
        <f>Detail!E21</f>
        <v>16940</v>
      </c>
      <c r="D19" s="137">
        <f>Table22[[#This Row],[Revised Budget]]-Table22[[#This Row],[Approved Budget]]</f>
        <v>0</v>
      </c>
      <c r="E19" s="152"/>
      <c r="F19" s="27"/>
      <c r="G19" s="27"/>
      <c r="H19"/>
      <c r="I19"/>
      <c r="J19"/>
      <c r="K19"/>
      <c r="L19"/>
      <c r="M19" s="39"/>
      <c r="O19" s="42"/>
      <c r="P19" s="42"/>
    </row>
    <row r="20" spans="1:16" s="40" customFormat="1" x14ac:dyDescent="0.3">
      <c r="A20" s="102" t="s">
        <v>96</v>
      </c>
      <c r="B20" s="96">
        <v>5916</v>
      </c>
      <c r="C20" s="96">
        <f>Detail!E27</f>
        <v>5916</v>
      </c>
      <c r="D20" s="137">
        <f>Table22[[#This Row],[Revised Budget]]-Table22[[#This Row],[Approved Budget]]</f>
        <v>0</v>
      </c>
      <c r="E20" s="149"/>
      <c r="F20" s="27"/>
      <c r="G20" s="27"/>
      <c r="H20"/>
      <c r="I20"/>
      <c r="J20"/>
      <c r="K20"/>
      <c r="L20"/>
      <c r="M20" s="39"/>
      <c r="N20" s="42"/>
      <c r="O20" s="42"/>
    </row>
    <row r="21" spans="1:16" s="40" customFormat="1" x14ac:dyDescent="0.3">
      <c r="A21" s="102" t="s">
        <v>97</v>
      </c>
      <c r="B21" s="96">
        <v>0</v>
      </c>
      <c r="C21" s="96">
        <f>Detail!E61</f>
        <v>0</v>
      </c>
      <c r="D21" s="137">
        <f>Table22[[#This Row],[Revised Budget]]-Table22[[#This Row],[Approved Budget]]</f>
        <v>0</v>
      </c>
      <c r="E21" s="149"/>
      <c r="F21" s="27"/>
      <c r="G21" s="27"/>
      <c r="H21"/>
      <c r="I21"/>
      <c r="J21"/>
      <c r="K21"/>
      <c r="L21"/>
      <c r="M21" s="39"/>
      <c r="N21" s="42"/>
      <c r="O21" s="42"/>
    </row>
    <row r="22" spans="1:16" s="40" customFormat="1" x14ac:dyDescent="0.3">
      <c r="A22" s="102" t="s">
        <v>34</v>
      </c>
      <c r="B22" s="96">
        <v>4350</v>
      </c>
      <c r="C22" s="96">
        <f>Detail!E31</f>
        <v>4350</v>
      </c>
      <c r="D22" s="137">
        <f>Table22[[#This Row],[Revised Budget]]-Table22[[#This Row],[Approved Budget]]</f>
        <v>0</v>
      </c>
      <c r="E22" s="149"/>
      <c r="F22" s="27"/>
      <c r="G22" s="27"/>
      <c r="H22"/>
      <c r="I22"/>
      <c r="J22"/>
      <c r="K22"/>
      <c r="L22"/>
      <c r="M22" s="39"/>
      <c r="N22" s="42"/>
      <c r="O22" s="42"/>
    </row>
    <row r="23" spans="1:16" s="40" customFormat="1" ht="13.5" customHeight="1" x14ac:dyDescent="0.3">
      <c r="A23" s="102" t="s">
        <v>98</v>
      </c>
      <c r="B23" s="96">
        <v>14189</v>
      </c>
      <c r="C23" s="96">
        <f>Detail!E39</f>
        <v>14189</v>
      </c>
      <c r="D23" s="137">
        <f>Table22[[#This Row],[Revised Budget]]-Table22[[#This Row],[Approved Budget]]</f>
        <v>0</v>
      </c>
      <c r="E23" s="149"/>
      <c r="F23" s="27"/>
      <c r="G23" s="27"/>
      <c r="H23"/>
      <c r="I23"/>
      <c r="J23"/>
      <c r="K23"/>
      <c r="L23"/>
      <c r="M23" s="39"/>
      <c r="N23" s="42"/>
      <c r="O23" s="42"/>
    </row>
    <row r="24" spans="1:16" s="40" customFormat="1" x14ac:dyDescent="0.3">
      <c r="A24" s="102" t="s">
        <v>99</v>
      </c>
      <c r="B24" s="96">
        <v>13919</v>
      </c>
      <c r="C24" s="96">
        <f>Detail!E49</f>
        <v>13919</v>
      </c>
      <c r="D24" s="137">
        <f>Table22[[#This Row],[Revised Budget]]-Table22[[#This Row],[Approved Budget]]</f>
        <v>0</v>
      </c>
      <c r="E24" s="149"/>
      <c r="F24" s="27"/>
      <c r="G24" s="27"/>
      <c r="H24"/>
      <c r="I24"/>
      <c r="J24"/>
      <c r="K24"/>
      <c r="L24"/>
      <c r="M24" s="39"/>
    </row>
    <row r="25" spans="1:16" s="40" customFormat="1" x14ac:dyDescent="0.3">
      <c r="A25" s="102" t="s">
        <v>102</v>
      </c>
      <c r="B25" s="96">
        <v>4500</v>
      </c>
      <c r="C25" s="96">
        <f>Detail!E36</f>
        <v>4500</v>
      </c>
      <c r="D25" s="137">
        <f>Table22[[#This Row],[Revised Budget]]-Table22[[#This Row],[Approved Budget]]</f>
        <v>0</v>
      </c>
      <c r="E25" s="149"/>
      <c r="F25" s="109"/>
      <c r="G25" s="109"/>
      <c r="H25"/>
      <c r="I25"/>
      <c r="J25"/>
      <c r="K25"/>
      <c r="L25"/>
      <c r="M25" s="39"/>
    </row>
    <row r="26" spans="1:16" s="40" customFormat="1" x14ac:dyDescent="0.3">
      <c r="A26" s="102" t="s">
        <v>100</v>
      </c>
      <c r="B26" s="96">
        <v>5660</v>
      </c>
      <c r="C26" s="96">
        <f>Detail!E63</f>
        <v>5660</v>
      </c>
      <c r="D26" s="137">
        <f>Table22[[#This Row],[Revised Budget]]-Table22[[#This Row],[Approved Budget]]</f>
        <v>0</v>
      </c>
      <c r="E26" s="149"/>
      <c r="F26" s="27"/>
      <c r="G26" s="27"/>
      <c r="H26"/>
      <c r="I26"/>
      <c r="J26"/>
      <c r="K26"/>
      <c r="L26"/>
      <c r="M26" s="39"/>
    </row>
    <row r="27" spans="1:16" s="40" customFormat="1" x14ac:dyDescent="0.3">
      <c r="A27" s="102" t="s">
        <v>101</v>
      </c>
      <c r="B27" s="96">
        <v>10000</v>
      </c>
      <c r="C27" s="96">
        <v>10000</v>
      </c>
      <c r="D27" s="137">
        <f>Table22[[#This Row],[Revised Budget]]-Table22[[#This Row],[Approved Budget]]</f>
        <v>0</v>
      </c>
      <c r="E27" s="149"/>
      <c r="F27" s="27"/>
      <c r="G27" s="27"/>
      <c r="H27"/>
      <c r="I27"/>
      <c r="J27"/>
      <c r="K27"/>
      <c r="L27"/>
      <c r="M27" s="39"/>
    </row>
    <row r="28" spans="1:16" s="40" customFormat="1" x14ac:dyDescent="0.3">
      <c r="A28" s="102" t="s">
        <v>103</v>
      </c>
      <c r="B28" s="96">
        <v>3500</v>
      </c>
      <c r="C28" s="96">
        <f>Detail!E67</f>
        <v>3500</v>
      </c>
      <c r="D28" s="137">
        <f>Table22[[#This Row],[Revised Budget]]-Table22[[#This Row],[Approved Budget]]</f>
        <v>0</v>
      </c>
      <c r="E28" s="149"/>
      <c r="F28" s="27"/>
      <c r="G28" s="27"/>
      <c r="H28"/>
      <c r="I28"/>
      <c r="J28"/>
      <c r="K28"/>
      <c r="L28"/>
      <c r="M28" s="39"/>
    </row>
    <row r="29" spans="1:16" s="40" customFormat="1" x14ac:dyDescent="0.3">
      <c r="A29" s="102" t="s">
        <v>127</v>
      </c>
      <c r="B29" s="96">
        <v>6075</v>
      </c>
      <c r="C29" s="96">
        <f>Detail!E70</f>
        <v>6075</v>
      </c>
      <c r="D29" s="137">
        <f>Table22[[#This Row],[Revised Budget]]-Table22[[#This Row],[Approved Budget]]</f>
        <v>0</v>
      </c>
      <c r="E29" s="149"/>
      <c r="F29" s="27"/>
      <c r="G29" s="27"/>
      <c r="H29"/>
      <c r="I29"/>
      <c r="J29"/>
      <c r="K29"/>
      <c r="L29"/>
      <c r="M29" s="39"/>
    </row>
    <row r="30" spans="1:16" s="40" customFormat="1" x14ac:dyDescent="0.3">
      <c r="A30" s="102" t="s">
        <v>104</v>
      </c>
      <c r="B30" s="96">
        <v>8000</v>
      </c>
      <c r="C30" s="96">
        <f>Detail!E81</f>
        <v>8000</v>
      </c>
      <c r="D30" s="137">
        <f>Table22[[#This Row],[Revised Budget]]-Table22[[#This Row],[Approved Budget]]</f>
        <v>0</v>
      </c>
      <c r="E30" s="149"/>
      <c r="F30" s="27"/>
      <c r="G30" s="27"/>
      <c r="H30"/>
      <c r="I30"/>
      <c r="J30"/>
      <c r="K30"/>
      <c r="L30"/>
      <c r="M30" s="39"/>
    </row>
    <row r="31" spans="1:16" s="40" customFormat="1" x14ac:dyDescent="0.3">
      <c r="A31" s="102" t="s">
        <v>118</v>
      </c>
      <c r="B31" s="99">
        <v>0</v>
      </c>
      <c r="C31" s="99">
        <v>0</v>
      </c>
      <c r="D31" s="137">
        <f>Table22[[#This Row],[Revised Budget]]-Table22[[#This Row],[Approved Budget]]</f>
        <v>0</v>
      </c>
      <c r="E31" s="152"/>
      <c r="F31" s="27"/>
      <c r="G31" s="27"/>
      <c r="H31"/>
      <c r="I31"/>
      <c r="J31"/>
      <c r="K31"/>
      <c r="L31"/>
      <c r="M31" s="39"/>
    </row>
    <row r="32" spans="1:16" s="40" customFormat="1" x14ac:dyDescent="0.3">
      <c r="A32" s="135" t="s">
        <v>105</v>
      </c>
      <c r="B32" s="136">
        <v>1313</v>
      </c>
      <c r="C32" s="136">
        <v>0</v>
      </c>
      <c r="D32" s="157">
        <f>Table22[[#This Row],[Revised Budget]]-Table22[[#This Row],[Approved Budget]]</f>
        <v>-1313</v>
      </c>
      <c r="E32" s="153"/>
      <c r="F32"/>
      <c r="G32"/>
      <c r="H32"/>
      <c r="I32"/>
      <c r="J32"/>
      <c r="K32"/>
      <c r="L32"/>
      <c r="M32" s="39"/>
    </row>
    <row r="33" spans="1:13" s="40" customFormat="1" x14ac:dyDescent="0.3">
      <c r="A33" s="98"/>
      <c r="B33" s="97">
        <f>SUBTOTAL(109,B15:B32)</f>
        <v>804320</v>
      </c>
      <c r="C33" s="97">
        <f>SUM(C15:C32)</f>
        <v>808152</v>
      </c>
      <c r="D33" s="97">
        <f>SUM(D15:D32)</f>
        <v>3832</v>
      </c>
      <c r="E33" s="154"/>
      <c r="F33"/>
      <c r="G33"/>
      <c r="H33"/>
      <c r="I33"/>
      <c r="J33"/>
      <c r="K33"/>
      <c r="L33"/>
      <c r="M33" s="39"/>
    </row>
    <row r="34" spans="1:13" s="40" customFormat="1" x14ac:dyDescent="0.3">
      <c r="A34" s="158"/>
      <c r="B34" s="159">
        <f>B13-B33</f>
        <v>0</v>
      </c>
      <c r="C34" s="159">
        <f t="shared" ref="C34:D34" si="0">+C13-C33</f>
        <v>0</v>
      </c>
      <c r="D34" s="159">
        <f t="shared" si="0"/>
        <v>0</v>
      </c>
      <c r="E34" s="155"/>
      <c r="F34"/>
      <c r="G34"/>
      <c r="H34"/>
      <c r="I34"/>
      <c r="J34"/>
      <c r="K34"/>
      <c r="L34"/>
      <c r="M34" s="39"/>
    </row>
    <row r="35" spans="1:13" ht="18" customHeight="1" x14ac:dyDescent="0.3">
      <c r="A35" s="140"/>
      <c r="B35" s="141" t="s">
        <v>158</v>
      </c>
      <c r="C35" s="142" t="s">
        <v>160</v>
      </c>
      <c r="D35" s="40"/>
    </row>
    <row r="36" spans="1:13" ht="9" customHeight="1" x14ac:dyDescent="0.3"/>
    <row r="37" spans="1:13" x14ac:dyDescent="0.3">
      <c r="A37" s="82" t="s">
        <v>128</v>
      </c>
      <c r="B37" s="41">
        <f>B15+B16</f>
        <v>584968</v>
      </c>
      <c r="C37" s="41">
        <f>C15+C16</f>
        <v>590015</v>
      </c>
    </row>
    <row r="38" spans="1:13" x14ac:dyDescent="0.3">
      <c r="A38" s="82" t="s">
        <v>129</v>
      </c>
      <c r="B38" s="41">
        <f>ROUND(B37*0.17,0)</f>
        <v>99445</v>
      </c>
      <c r="C38" s="41">
        <f>ROUND(C37*0.17,0)</f>
        <v>100303</v>
      </c>
      <c r="D38" s="125">
        <v>0.17</v>
      </c>
    </row>
  </sheetData>
  <printOptions horizontalCentered="1"/>
  <pageMargins left="0" right="0" top="0.5" bottom="0" header="0.1" footer="0"/>
  <pageSetup orientation="portrait" r:id="rId1"/>
  <headerFooter>
    <oddFooter>&amp;R&amp;D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zoomScaleNormal="100" workbookViewId="0">
      <selection activeCell="G9" sqref="G9:H9"/>
    </sheetView>
  </sheetViews>
  <sheetFormatPr defaultRowHeight="14.4" x14ac:dyDescent="0.3"/>
  <cols>
    <col min="1" max="1" width="17.44140625" customWidth="1"/>
    <col min="2" max="2" width="23.33203125" bestFit="1" customWidth="1"/>
    <col min="3" max="3" width="12" customWidth="1"/>
    <col min="4" max="4" width="11.33203125" customWidth="1"/>
    <col min="5" max="5" width="8.33203125" customWidth="1"/>
    <col min="6" max="6" width="5.33203125" customWidth="1"/>
    <col min="7" max="7" width="10.5546875" bestFit="1" customWidth="1"/>
    <col min="8" max="8" width="18.44140625" customWidth="1"/>
    <col min="9" max="9" width="11" customWidth="1"/>
    <col min="10" max="10" width="13.44140625" customWidth="1"/>
    <col min="11" max="11" width="12.6640625" customWidth="1"/>
    <col min="12" max="12" width="11" customWidth="1"/>
  </cols>
  <sheetData>
    <row r="1" spans="1:10" ht="18" x14ac:dyDescent="0.35">
      <c r="A1" s="114" t="s">
        <v>116</v>
      </c>
    </row>
    <row r="2" spans="1:10" ht="18" x14ac:dyDescent="0.35">
      <c r="A2" s="114" t="s">
        <v>147</v>
      </c>
      <c r="C2" s="106" t="s">
        <v>158</v>
      </c>
      <c r="D2" s="127" t="s">
        <v>159</v>
      </c>
    </row>
    <row r="4" spans="1:10" ht="31.5" customHeight="1" x14ac:dyDescent="0.3">
      <c r="A4" s="5" t="s">
        <v>42</v>
      </c>
      <c r="B4" s="5" t="s">
        <v>41</v>
      </c>
      <c r="C4" s="5" t="s">
        <v>109</v>
      </c>
      <c r="D4" s="5" t="s">
        <v>138</v>
      </c>
      <c r="E4" s="5" t="s">
        <v>39</v>
      </c>
    </row>
    <row r="5" spans="1:10" x14ac:dyDescent="0.3">
      <c r="A5" s="87" t="s">
        <v>37</v>
      </c>
      <c r="B5" t="s">
        <v>130</v>
      </c>
      <c r="C5" s="84">
        <v>64260</v>
      </c>
      <c r="D5" s="126">
        <v>70000</v>
      </c>
      <c r="E5" s="26" t="s">
        <v>40</v>
      </c>
      <c r="F5" s="72"/>
      <c r="H5" s="81"/>
      <c r="I5" s="81"/>
      <c r="J5" s="81"/>
    </row>
    <row r="6" spans="1:10" x14ac:dyDescent="0.3">
      <c r="A6" s="87" t="s">
        <v>110</v>
      </c>
      <c r="B6" s="87" t="s">
        <v>120</v>
      </c>
      <c r="C6" s="85">
        <v>39000</v>
      </c>
      <c r="D6" s="120">
        <v>45000</v>
      </c>
      <c r="E6" s="121" t="s">
        <v>40</v>
      </c>
    </row>
    <row r="7" spans="1:10" x14ac:dyDescent="0.3">
      <c r="A7" s="87" t="s">
        <v>136</v>
      </c>
      <c r="B7" t="s">
        <v>137</v>
      </c>
      <c r="C7" s="84">
        <v>37000</v>
      </c>
      <c r="D7" s="2">
        <f t="shared" ref="D7:D15" si="0">C7*1.02</f>
        <v>37740</v>
      </c>
      <c r="E7" s="26" t="s">
        <v>40</v>
      </c>
      <c r="H7" s="7"/>
    </row>
    <row r="8" spans="1:10" x14ac:dyDescent="0.3">
      <c r="A8" s="87" t="s">
        <v>135</v>
      </c>
      <c r="B8" t="s">
        <v>84</v>
      </c>
      <c r="C8" s="85">
        <v>31500</v>
      </c>
      <c r="D8" s="2">
        <f t="shared" si="0"/>
        <v>32130</v>
      </c>
      <c r="E8" s="26" t="s">
        <v>40</v>
      </c>
    </row>
    <row r="9" spans="1:10" x14ac:dyDescent="0.3">
      <c r="A9" s="87" t="s">
        <v>36</v>
      </c>
      <c r="B9" t="s">
        <v>38</v>
      </c>
      <c r="C9" s="85">
        <v>39875</v>
      </c>
      <c r="D9" s="2">
        <f t="shared" si="0"/>
        <v>40672.5</v>
      </c>
      <c r="E9" s="26" t="s">
        <v>40</v>
      </c>
      <c r="F9" s="72"/>
      <c r="I9" s="27"/>
    </row>
    <row r="10" spans="1:10" x14ac:dyDescent="0.3">
      <c r="A10" s="87" t="s">
        <v>63</v>
      </c>
      <c r="B10" t="s">
        <v>38</v>
      </c>
      <c r="C10" s="85">
        <v>38414</v>
      </c>
      <c r="D10" s="2">
        <f t="shared" si="0"/>
        <v>39182.28</v>
      </c>
      <c r="E10" s="26" t="s">
        <v>40</v>
      </c>
      <c r="F10" s="72"/>
      <c r="I10" s="27"/>
    </row>
    <row r="11" spans="1:10" x14ac:dyDescent="0.3">
      <c r="A11" s="87" t="s">
        <v>139</v>
      </c>
      <c r="B11" t="s">
        <v>131</v>
      </c>
      <c r="C11" s="85">
        <v>52734.000000000007</v>
      </c>
      <c r="D11" s="2">
        <f t="shared" si="0"/>
        <v>53788.680000000008</v>
      </c>
      <c r="E11" s="26" t="s">
        <v>40</v>
      </c>
      <c r="F11" s="72"/>
      <c r="G11" s="81"/>
      <c r="H11" s="43"/>
      <c r="I11" s="44"/>
    </row>
    <row r="12" spans="1:10" x14ac:dyDescent="0.3">
      <c r="A12" s="87" t="s">
        <v>62</v>
      </c>
      <c r="B12" t="s">
        <v>132</v>
      </c>
      <c r="C12" s="85">
        <v>40911</v>
      </c>
      <c r="D12" s="2">
        <f t="shared" si="0"/>
        <v>41729.22</v>
      </c>
      <c r="E12" s="26" t="s">
        <v>40</v>
      </c>
      <c r="F12" s="72"/>
      <c r="I12" s="45"/>
    </row>
    <row r="13" spans="1:10" x14ac:dyDescent="0.3">
      <c r="A13" s="87" t="s">
        <v>111</v>
      </c>
      <c r="B13" t="s">
        <v>38</v>
      </c>
      <c r="C13" s="85">
        <v>37000</v>
      </c>
      <c r="D13" s="2">
        <f t="shared" si="0"/>
        <v>37740</v>
      </c>
      <c r="E13" s="26" t="s">
        <v>40</v>
      </c>
      <c r="F13" s="72"/>
    </row>
    <row r="14" spans="1:10" x14ac:dyDescent="0.3">
      <c r="A14" s="87" t="s">
        <v>134</v>
      </c>
      <c r="B14" t="s">
        <v>38</v>
      </c>
      <c r="C14" s="85">
        <v>37000</v>
      </c>
      <c r="D14" s="2">
        <f t="shared" si="0"/>
        <v>37740</v>
      </c>
      <c r="E14" s="26" t="s">
        <v>40</v>
      </c>
      <c r="F14" s="2"/>
    </row>
    <row r="15" spans="1:10" x14ac:dyDescent="0.3">
      <c r="A15" s="88" t="s">
        <v>140</v>
      </c>
      <c r="B15" s="3" t="s">
        <v>38</v>
      </c>
      <c r="C15" s="86">
        <v>37000</v>
      </c>
      <c r="D15" s="4">
        <f t="shared" si="0"/>
        <v>37740</v>
      </c>
      <c r="E15" s="26" t="s">
        <v>40</v>
      </c>
      <c r="F15" s="2"/>
    </row>
    <row r="16" spans="1:10" x14ac:dyDescent="0.3">
      <c r="C16" s="31">
        <f>SUM(C5:C15)</f>
        <v>454694</v>
      </c>
      <c r="D16" s="31">
        <f>SUM(D5:D15)</f>
        <v>473462.68000000005</v>
      </c>
      <c r="E16" s="13">
        <f>COUNTA(E5:E15)</f>
        <v>11</v>
      </c>
      <c r="F16" s="2"/>
      <c r="G16" s="81"/>
      <c r="H16" s="81"/>
    </row>
    <row r="17" spans="1:5" x14ac:dyDescent="0.3">
      <c r="B17" s="7" t="s">
        <v>43</v>
      </c>
      <c r="C17" s="30">
        <v>7.6499999999999999E-2</v>
      </c>
      <c r="D17" s="128">
        <f t="shared" ref="D17:D22" si="1">ROUND($D$16*C17,0)</f>
        <v>36220</v>
      </c>
    </row>
    <row r="18" spans="1:5" x14ac:dyDescent="0.3">
      <c r="B18" s="7" t="s">
        <v>44</v>
      </c>
      <c r="C18" s="30">
        <v>3.5000000000000003E-2</v>
      </c>
      <c r="D18" s="128">
        <f t="shared" si="1"/>
        <v>16571</v>
      </c>
    </row>
    <row r="19" spans="1:5" x14ac:dyDescent="0.3">
      <c r="B19" s="7" t="s">
        <v>45</v>
      </c>
      <c r="C19" s="30">
        <v>0.01</v>
      </c>
      <c r="D19" s="128">
        <f t="shared" si="1"/>
        <v>4735</v>
      </c>
    </row>
    <row r="20" spans="1:5" x14ac:dyDescent="0.3">
      <c r="B20" s="7" t="s">
        <v>46</v>
      </c>
      <c r="C20" s="30">
        <v>3.8E-3</v>
      </c>
      <c r="D20" s="128">
        <f t="shared" si="1"/>
        <v>1799</v>
      </c>
    </row>
    <row r="21" spans="1:5" x14ac:dyDescent="0.3">
      <c r="B21" s="7" t="s">
        <v>47</v>
      </c>
      <c r="C21" s="30">
        <v>5.4000000000000003E-3</v>
      </c>
      <c r="D21" s="128">
        <f t="shared" si="1"/>
        <v>2557</v>
      </c>
    </row>
    <row r="22" spans="1:5" x14ac:dyDescent="0.3">
      <c r="B22" s="7" t="s">
        <v>48</v>
      </c>
      <c r="C22" s="30">
        <v>1.9E-3</v>
      </c>
      <c r="D22" s="128">
        <f t="shared" si="1"/>
        <v>900</v>
      </c>
    </row>
    <row r="23" spans="1:5" x14ac:dyDescent="0.3">
      <c r="B23" s="7" t="s">
        <v>49</v>
      </c>
      <c r="C23" s="52">
        <v>4857</v>
      </c>
      <c r="D23" s="128">
        <f>C23*E16</f>
        <v>53427</v>
      </c>
    </row>
    <row r="24" spans="1:5" x14ac:dyDescent="0.3">
      <c r="A24" s="3"/>
      <c r="B24" s="8" t="s">
        <v>50</v>
      </c>
      <c r="C24" s="4"/>
      <c r="D24" s="4">
        <v>343</v>
      </c>
    </row>
    <row r="25" spans="1:5" x14ac:dyDescent="0.3">
      <c r="C25" s="31"/>
      <c r="D25" s="31">
        <f>SUM(D17:D24)</f>
        <v>116552</v>
      </c>
      <c r="E25" s="6"/>
    </row>
    <row r="26" spans="1:5" x14ac:dyDescent="0.3">
      <c r="C26" s="2"/>
      <c r="D26" s="2"/>
    </row>
    <row r="27" spans="1:5" x14ac:dyDescent="0.3">
      <c r="C27" s="2"/>
      <c r="D27" s="2"/>
    </row>
    <row r="38" spans="2:2" x14ac:dyDescent="0.3">
      <c r="B38">
        <f>D32+D34</f>
        <v>0</v>
      </c>
    </row>
  </sheetData>
  <pageMargins left="0.7" right="0.7" top="0.75" bottom="0.75" header="0.3" footer="0.3"/>
  <pageSetup orientation="portrait" r:id="rId1"/>
  <headerFooter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1"/>
  <sheetViews>
    <sheetView topLeftCell="A49" zoomScaleNormal="100" workbookViewId="0">
      <selection activeCell="F55" sqref="F55"/>
    </sheetView>
  </sheetViews>
  <sheetFormatPr defaultRowHeight="18.75" customHeight="1" x14ac:dyDescent="0.3"/>
  <cols>
    <col min="1" max="1" width="2.88671875" style="1" customWidth="1"/>
    <col min="2" max="2" width="33.44140625" bestFit="1" customWidth="1"/>
    <col min="3" max="3" width="9.5546875" style="2" bestFit="1" customWidth="1"/>
    <col min="4" max="4" width="7.6640625" style="26" customWidth="1"/>
    <col min="5" max="5" width="12.44140625" bestFit="1" customWidth="1"/>
    <col min="6" max="6" width="10.88671875" bestFit="1" customWidth="1"/>
    <col min="7" max="7" width="10.33203125" customWidth="1"/>
    <col min="8" max="8" width="10.5546875" bestFit="1" customWidth="1"/>
    <col min="9" max="9" width="10.44140625" customWidth="1"/>
    <col min="13" max="13" width="9.5546875" bestFit="1" customWidth="1"/>
  </cols>
  <sheetData>
    <row r="1" spans="1:14" ht="18.75" customHeight="1" x14ac:dyDescent="0.3">
      <c r="A1" s="118" t="s">
        <v>56</v>
      </c>
      <c r="B1" s="53"/>
      <c r="C1" s="25"/>
      <c r="D1" s="54"/>
      <c r="E1" s="53"/>
      <c r="F1" s="117"/>
    </row>
    <row r="2" spans="1:14" ht="18.75" customHeight="1" x14ac:dyDescent="0.3">
      <c r="A2" s="118" t="s">
        <v>146</v>
      </c>
      <c r="B2" s="53"/>
      <c r="C2" s="25"/>
      <c r="D2" s="54"/>
      <c r="E2" s="53"/>
      <c r="F2" s="117"/>
    </row>
    <row r="3" spans="1:14" ht="18.75" customHeight="1" x14ac:dyDescent="0.3">
      <c r="A3" s="118" t="s">
        <v>72</v>
      </c>
      <c r="B3" s="53"/>
      <c r="C3" s="25"/>
      <c r="D3" s="54"/>
      <c r="E3" s="53"/>
      <c r="F3" s="117"/>
    </row>
    <row r="4" spans="1:14" ht="18.75" customHeight="1" x14ac:dyDescent="0.3">
      <c r="A4" s="32"/>
      <c r="B4" s="53"/>
      <c r="C4" s="25"/>
      <c r="D4" s="54"/>
      <c r="E4" s="106" t="s">
        <v>158</v>
      </c>
      <c r="F4" s="117"/>
    </row>
    <row r="5" spans="1:14" s="56" customFormat="1" ht="18.75" customHeight="1" x14ac:dyDescent="0.3">
      <c r="A5" s="71"/>
      <c r="B5" s="55"/>
      <c r="C5" s="33" t="s">
        <v>32</v>
      </c>
      <c r="D5" s="34" t="s">
        <v>33</v>
      </c>
      <c r="E5" s="34" t="s">
        <v>149</v>
      </c>
      <c r="F5" s="21"/>
      <c r="I5"/>
      <c r="J5"/>
      <c r="K5"/>
      <c r="L5"/>
      <c r="M5"/>
      <c r="N5"/>
    </row>
    <row r="6" spans="1:14" s="56" customFormat="1" ht="18.75" customHeight="1" x14ac:dyDescent="0.3">
      <c r="A6" s="16" t="s">
        <v>3</v>
      </c>
      <c r="B6" s="57"/>
      <c r="C6" s="17"/>
      <c r="D6" s="58"/>
      <c r="E6" s="15">
        <f>SUM(E7:E17)</f>
        <v>50088</v>
      </c>
      <c r="F6" s="59"/>
      <c r="I6"/>
      <c r="J6"/>
      <c r="K6"/>
      <c r="L6"/>
      <c r="M6"/>
      <c r="N6"/>
    </row>
    <row r="7" spans="1:14" s="56" customFormat="1" ht="18.75" customHeight="1" x14ac:dyDescent="0.3">
      <c r="A7" s="12"/>
      <c r="B7" s="60" t="s">
        <v>35</v>
      </c>
      <c r="C7" s="14">
        <v>2.1999999999999999E-2</v>
      </c>
      <c r="D7" s="61"/>
      <c r="E7" s="105">
        <f>ROUND(Personnel!D16*C7,0)</f>
        <v>10416</v>
      </c>
      <c r="I7"/>
      <c r="J7"/>
      <c r="K7"/>
      <c r="L7"/>
      <c r="M7"/>
      <c r="N7"/>
    </row>
    <row r="8" spans="1:14" s="56" customFormat="1" ht="18.75" customHeight="1" x14ac:dyDescent="0.3">
      <c r="A8" s="9"/>
      <c r="B8" s="23" t="s">
        <v>16</v>
      </c>
      <c r="C8" s="29"/>
      <c r="D8" s="24"/>
      <c r="E8" s="29">
        <f>9650+400</f>
        <v>10050</v>
      </c>
      <c r="I8"/>
      <c r="J8"/>
      <c r="K8"/>
      <c r="L8"/>
      <c r="M8"/>
      <c r="N8"/>
    </row>
    <row r="9" spans="1:14" s="56" customFormat="1" ht="18.75" customHeight="1" x14ac:dyDescent="0.3">
      <c r="A9" s="9"/>
      <c r="B9" s="23" t="s">
        <v>71</v>
      </c>
      <c r="C9" s="29"/>
      <c r="D9" s="24"/>
      <c r="E9" s="29">
        <v>250</v>
      </c>
      <c r="I9"/>
      <c r="J9"/>
      <c r="K9"/>
      <c r="L9"/>
      <c r="M9"/>
      <c r="N9"/>
    </row>
    <row r="10" spans="1:14" s="56" customFormat="1" ht="18.75" customHeight="1" x14ac:dyDescent="0.3">
      <c r="A10" s="9"/>
      <c r="B10" s="62" t="s">
        <v>17</v>
      </c>
      <c r="C10" s="10">
        <v>948.5</v>
      </c>
      <c r="D10" s="63">
        <v>12</v>
      </c>
      <c r="E10" s="29">
        <f t="shared" ref="E10" si="0">C10*D10</f>
        <v>11382</v>
      </c>
      <c r="J10"/>
      <c r="K10"/>
      <c r="L10"/>
      <c r="M10"/>
      <c r="N10"/>
    </row>
    <row r="11" spans="1:14" s="56" customFormat="1" ht="18.75" customHeight="1" x14ac:dyDescent="0.3">
      <c r="A11" s="9"/>
      <c r="B11" s="62" t="s">
        <v>154</v>
      </c>
      <c r="C11" s="10"/>
      <c r="D11" s="63"/>
      <c r="E11" s="29">
        <v>2000</v>
      </c>
      <c r="J11"/>
      <c r="K11"/>
      <c r="L11"/>
      <c r="M11"/>
      <c r="N11"/>
    </row>
    <row r="12" spans="1:14" s="56" customFormat="1" ht="18.75" customHeight="1" x14ac:dyDescent="0.3">
      <c r="A12" s="9"/>
      <c r="B12" s="62" t="s">
        <v>150</v>
      </c>
      <c r="C12" s="28"/>
      <c r="D12" s="63"/>
      <c r="E12" s="28">
        <v>3100</v>
      </c>
      <c r="G12"/>
      <c r="J12"/>
      <c r="K12"/>
      <c r="L12"/>
      <c r="M12"/>
      <c r="N12"/>
    </row>
    <row r="13" spans="1:14" s="56" customFormat="1" ht="18.75" customHeight="1" x14ac:dyDescent="0.3">
      <c r="A13" s="9"/>
      <c r="B13" s="62" t="s">
        <v>141</v>
      </c>
      <c r="C13" s="28"/>
      <c r="D13" s="63"/>
      <c r="E13" s="28">
        <v>2400</v>
      </c>
      <c r="G13"/>
    </row>
    <row r="14" spans="1:14" s="56" customFormat="1" ht="18.75" customHeight="1" x14ac:dyDescent="0.3">
      <c r="A14" s="9"/>
      <c r="B14" s="62" t="s">
        <v>121</v>
      </c>
      <c r="C14" s="28"/>
      <c r="D14" s="63"/>
      <c r="E14" s="28">
        <v>10000</v>
      </c>
      <c r="G14"/>
    </row>
    <row r="15" spans="1:14" s="56" customFormat="1" ht="18.75" customHeight="1" x14ac:dyDescent="0.3">
      <c r="A15" s="9"/>
      <c r="B15" s="62" t="s">
        <v>151</v>
      </c>
      <c r="C15" s="28"/>
      <c r="D15" s="63"/>
      <c r="E15" s="28">
        <v>200</v>
      </c>
      <c r="G15"/>
    </row>
    <row r="16" spans="1:14" s="56" customFormat="1" ht="18.75" customHeight="1" x14ac:dyDescent="0.3">
      <c r="A16" s="9"/>
      <c r="B16" s="62" t="s">
        <v>60</v>
      </c>
      <c r="C16" s="28"/>
      <c r="D16" s="63"/>
      <c r="E16" s="29">
        <v>50</v>
      </c>
      <c r="F16" s="56" t="s">
        <v>64</v>
      </c>
      <c r="G16"/>
    </row>
    <row r="17" spans="1:9" s="56" customFormat="1" ht="18.75" customHeight="1" x14ac:dyDescent="0.3">
      <c r="A17" s="9"/>
      <c r="B17" s="62" t="s">
        <v>89</v>
      </c>
      <c r="C17" s="28"/>
      <c r="D17" s="63"/>
      <c r="E17" s="29">
        <v>240</v>
      </c>
      <c r="F17" s="56" t="s">
        <v>64</v>
      </c>
    </row>
    <row r="18" spans="1:9" s="56" customFormat="1" ht="18.75" customHeight="1" x14ac:dyDescent="0.3">
      <c r="A18" s="16" t="s">
        <v>15</v>
      </c>
      <c r="B18" s="57"/>
      <c r="C18" s="17"/>
      <c r="D18" s="58"/>
      <c r="E18" s="15">
        <f>SUM(E19:E20)</f>
        <v>75000</v>
      </c>
    </row>
    <row r="19" spans="1:9" s="56" customFormat="1" ht="18.75" customHeight="1" x14ac:dyDescent="0.3">
      <c r="A19" s="9"/>
      <c r="B19" s="62" t="s">
        <v>2</v>
      </c>
      <c r="C19" s="28"/>
      <c r="D19" s="63"/>
      <c r="E19" s="28">
        <v>70000</v>
      </c>
      <c r="G19"/>
    </row>
    <row r="20" spans="1:9" s="56" customFormat="1" ht="18.75" customHeight="1" x14ac:dyDescent="0.3">
      <c r="A20" s="9"/>
      <c r="B20" s="62" t="s">
        <v>65</v>
      </c>
      <c r="C20" s="28"/>
      <c r="D20" s="63"/>
      <c r="E20" s="28">
        <v>5000</v>
      </c>
      <c r="G20"/>
    </row>
    <row r="21" spans="1:9" s="56" customFormat="1" ht="18.75" customHeight="1" x14ac:dyDescent="0.3">
      <c r="A21" s="16" t="s">
        <v>4</v>
      </c>
      <c r="B21" s="57"/>
      <c r="C21" s="17"/>
      <c r="D21" s="58"/>
      <c r="E21" s="15">
        <f>SUM(E22:E26)</f>
        <v>16940</v>
      </c>
      <c r="H21"/>
      <c r="I21"/>
    </row>
    <row r="22" spans="1:9" s="56" customFormat="1" ht="18.75" customHeight="1" x14ac:dyDescent="0.3">
      <c r="A22" s="9"/>
      <c r="B22" s="11" t="s">
        <v>18</v>
      </c>
      <c r="C22" s="10">
        <v>100</v>
      </c>
      <c r="D22" s="63">
        <v>12</v>
      </c>
      <c r="E22" s="10">
        <f t="shared" ref="E22:E60" si="1">C22*D22</f>
        <v>1200</v>
      </c>
    </row>
    <row r="23" spans="1:9" s="56" customFormat="1" ht="18.75" customHeight="1" x14ac:dyDescent="0.3">
      <c r="A23" s="9"/>
      <c r="B23" s="11" t="s">
        <v>23</v>
      </c>
      <c r="C23" s="10">
        <v>450</v>
      </c>
      <c r="D23" s="63">
        <v>12</v>
      </c>
      <c r="E23" s="10">
        <f t="shared" si="1"/>
        <v>5400</v>
      </c>
    </row>
    <row r="24" spans="1:9" s="56" customFormat="1" ht="18.75" customHeight="1" x14ac:dyDescent="0.3">
      <c r="A24" s="9"/>
      <c r="B24" s="11" t="s">
        <v>119</v>
      </c>
      <c r="C24" s="10">
        <v>100</v>
      </c>
      <c r="D24" s="63">
        <v>11</v>
      </c>
      <c r="E24" s="10">
        <f t="shared" si="1"/>
        <v>1100</v>
      </c>
    </row>
    <row r="25" spans="1:9" s="56" customFormat="1" ht="18.75" customHeight="1" x14ac:dyDescent="0.3">
      <c r="A25" s="9"/>
      <c r="B25" s="11" t="s">
        <v>22</v>
      </c>
      <c r="C25" s="10">
        <v>670</v>
      </c>
      <c r="D25" s="63">
        <v>12</v>
      </c>
      <c r="E25" s="10">
        <f t="shared" si="1"/>
        <v>8040</v>
      </c>
    </row>
    <row r="26" spans="1:9" s="56" customFormat="1" ht="18.75" customHeight="1" x14ac:dyDescent="0.3">
      <c r="A26" s="9"/>
      <c r="B26" s="11" t="s">
        <v>142</v>
      </c>
      <c r="C26" s="10">
        <v>100</v>
      </c>
      <c r="D26" s="63">
        <v>12</v>
      </c>
      <c r="E26" s="10">
        <f t="shared" si="1"/>
        <v>1200</v>
      </c>
      <c r="H26"/>
      <c r="I26"/>
    </row>
    <row r="27" spans="1:9" s="56" customFormat="1" ht="18.75" customHeight="1" x14ac:dyDescent="0.3">
      <c r="A27" s="16" t="s">
        <v>5</v>
      </c>
      <c r="B27" s="57"/>
      <c r="C27" s="17"/>
      <c r="D27" s="58"/>
      <c r="E27" s="15">
        <f>SUM(E28:E30)</f>
        <v>5916</v>
      </c>
      <c r="H27"/>
      <c r="I27"/>
    </row>
    <row r="28" spans="1:9" s="56" customFormat="1" ht="18.75" customHeight="1" x14ac:dyDescent="0.3">
      <c r="A28" s="18"/>
      <c r="B28" s="11" t="s">
        <v>21</v>
      </c>
      <c r="C28" s="19">
        <v>230</v>
      </c>
      <c r="D28" s="24">
        <v>12</v>
      </c>
      <c r="E28" s="161">
        <f t="shared" si="1"/>
        <v>2760</v>
      </c>
      <c r="H28"/>
      <c r="I28"/>
    </row>
    <row r="29" spans="1:9" s="56" customFormat="1" ht="18.75" customHeight="1" x14ac:dyDescent="0.3">
      <c r="A29" s="18"/>
      <c r="B29" s="11" t="s">
        <v>143</v>
      </c>
      <c r="C29" s="19">
        <v>173</v>
      </c>
      <c r="D29" s="24">
        <v>12</v>
      </c>
      <c r="E29" s="19">
        <f t="shared" si="1"/>
        <v>2076</v>
      </c>
      <c r="H29"/>
      <c r="I29"/>
    </row>
    <row r="30" spans="1:9" s="56" customFormat="1" ht="18.75" customHeight="1" x14ac:dyDescent="0.3">
      <c r="A30" s="18"/>
      <c r="B30" s="11" t="s">
        <v>78</v>
      </c>
      <c r="C30" s="10">
        <v>90</v>
      </c>
      <c r="D30" s="63">
        <v>12</v>
      </c>
      <c r="E30" s="10">
        <f t="shared" si="1"/>
        <v>1080</v>
      </c>
    </row>
    <row r="31" spans="1:9" s="56" customFormat="1" ht="18.75" customHeight="1" x14ac:dyDescent="0.3">
      <c r="A31" s="16" t="s">
        <v>7</v>
      </c>
      <c r="B31" s="57"/>
      <c r="C31" s="17"/>
      <c r="D31" s="58"/>
      <c r="E31" s="15">
        <f>SUM(E32:E35)</f>
        <v>4350</v>
      </c>
    </row>
    <row r="32" spans="1:9" s="56" customFormat="1" ht="18.75" customHeight="1" x14ac:dyDescent="0.3">
      <c r="A32" s="9"/>
      <c r="B32" s="62" t="s">
        <v>34</v>
      </c>
      <c r="C32" s="10">
        <v>100</v>
      </c>
      <c r="D32" s="63">
        <v>12</v>
      </c>
      <c r="E32" s="10">
        <f>C32*D32</f>
        <v>1200</v>
      </c>
    </row>
    <row r="33" spans="1:7" s="56" customFormat="1" ht="18.75" customHeight="1" x14ac:dyDescent="0.3">
      <c r="A33" s="9"/>
      <c r="B33" s="89" t="s">
        <v>86</v>
      </c>
      <c r="C33" s="90">
        <v>225</v>
      </c>
      <c r="D33" s="91">
        <v>2</v>
      </c>
      <c r="E33" s="90">
        <f>C33*D33</f>
        <v>450</v>
      </c>
    </row>
    <row r="34" spans="1:7" s="56" customFormat="1" ht="18.75" customHeight="1" x14ac:dyDescent="0.3">
      <c r="A34" s="9"/>
      <c r="B34" s="89" t="s">
        <v>73</v>
      </c>
      <c r="C34" s="90">
        <v>600</v>
      </c>
      <c r="D34" s="91">
        <v>1</v>
      </c>
      <c r="E34" s="90">
        <f>C34*D34</f>
        <v>600</v>
      </c>
    </row>
    <row r="35" spans="1:7" s="56" customFormat="1" ht="18.75" customHeight="1" x14ac:dyDescent="0.3">
      <c r="A35" s="115"/>
      <c r="B35" s="116" t="s">
        <v>155</v>
      </c>
      <c r="C35" s="90"/>
      <c r="D35" s="91"/>
      <c r="E35" s="90">
        <v>2100</v>
      </c>
    </row>
    <row r="36" spans="1:7" s="56" customFormat="1" ht="18.75" customHeight="1" x14ac:dyDescent="0.3">
      <c r="A36" s="16" t="s">
        <v>10</v>
      </c>
      <c r="B36" s="57"/>
      <c r="C36" s="17"/>
      <c r="D36" s="58"/>
      <c r="E36" s="15">
        <f>SUM(E37:E38)</f>
        <v>4500</v>
      </c>
    </row>
    <row r="37" spans="1:7" s="56" customFormat="1" ht="18.75" customHeight="1" x14ac:dyDescent="0.3">
      <c r="A37" s="115"/>
      <c r="B37" s="116" t="s">
        <v>88</v>
      </c>
      <c r="C37" s="90"/>
      <c r="D37" s="91"/>
      <c r="E37" s="90">
        <v>4000</v>
      </c>
    </row>
    <row r="38" spans="1:7" s="56" customFormat="1" ht="18.75" customHeight="1" x14ac:dyDescent="0.3">
      <c r="A38" s="115"/>
      <c r="B38" s="89" t="s">
        <v>65</v>
      </c>
      <c r="C38" s="90"/>
      <c r="D38" s="91"/>
      <c r="E38" s="90">
        <v>500</v>
      </c>
    </row>
    <row r="39" spans="1:7" s="56" customFormat="1" ht="18.75" customHeight="1" x14ac:dyDescent="0.3">
      <c r="A39" s="16" t="s">
        <v>8</v>
      </c>
      <c r="B39" s="57"/>
      <c r="C39" s="17"/>
      <c r="D39" s="58"/>
      <c r="E39" s="162">
        <f>SUM(E40:E48)</f>
        <v>14189</v>
      </c>
    </row>
    <row r="40" spans="1:7" s="56" customFormat="1" ht="18.75" customHeight="1" x14ac:dyDescent="0.3">
      <c r="A40" s="9"/>
      <c r="B40" s="62" t="s">
        <v>133</v>
      </c>
      <c r="C40" s="10">
        <v>590</v>
      </c>
      <c r="D40" s="63">
        <v>12</v>
      </c>
      <c r="E40" s="10">
        <f t="shared" si="1"/>
        <v>7080</v>
      </c>
    </row>
    <row r="41" spans="1:7" s="56" customFormat="1" ht="18.75" customHeight="1" x14ac:dyDescent="0.3">
      <c r="A41" s="9"/>
      <c r="B41" s="62" t="s">
        <v>19</v>
      </c>
      <c r="C41" s="10">
        <v>30</v>
      </c>
      <c r="D41" s="63">
        <v>12</v>
      </c>
      <c r="E41" s="10">
        <f t="shared" si="1"/>
        <v>360</v>
      </c>
    </row>
    <row r="42" spans="1:7" s="56" customFormat="1" ht="18.75" customHeight="1" x14ac:dyDescent="0.3">
      <c r="A42" s="9"/>
      <c r="B42" s="62" t="s">
        <v>20</v>
      </c>
      <c r="C42" s="10">
        <v>170</v>
      </c>
      <c r="D42" s="63">
        <v>12</v>
      </c>
      <c r="E42" s="10">
        <f t="shared" si="1"/>
        <v>2040</v>
      </c>
    </row>
    <row r="43" spans="1:7" s="56" customFormat="1" ht="18.75" customHeight="1" x14ac:dyDescent="0.3">
      <c r="A43" s="9"/>
      <c r="B43" s="62" t="s">
        <v>25</v>
      </c>
      <c r="C43" s="10">
        <v>50</v>
      </c>
      <c r="D43" s="63">
        <v>12</v>
      </c>
      <c r="E43" s="10">
        <f t="shared" si="1"/>
        <v>600</v>
      </c>
    </row>
    <row r="44" spans="1:7" s="56" customFormat="1" ht="18.75" customHeight="1" x14ac:dyDescent="0.3">
      <c r="A44" s="9"/>
      <c r="B44" s="23" t="s">
        <v>91</v>
      </c>
      <c r="C44" s="10">
        <v>65</v>
      </c>
      <c r="D44" s="63">
        <v>4</v>
      </c>
      <c r="E44" s="10">
        <f t="shared" si="1"/>
        <v>260</v>
      </c>
    </row>
    <row r="45" spans="1:7" s="56" customFormat="1" ht="18.75" customHeight="1" x14ac:dyDescent="0.3">
      <c r="A45" s="9"/>
      <c r="B45" s="62" t="s">
        <v>144</v>
      </c>
      <c r="C45" s="10">
        <v>132</v>
      </c>
      <c r="D45" s="63">
        <v>12</v>
      </c>
      <c r="E45" s="10">
        <f t="shared" si="1"/>
        <v>1584</v>
      </c>
    </row>
    <row r="46" spans="1:7" s="56" customFormat="1" ht="18.75" customHeight="1" x14ac:dyDescent="0.3">
      <c r="A46" s="9"/>
      <c r="B46" s="62" t="s">
        <v>145</v>
      </c>
      <c r="C46" s="10"/>
      <c r="D46" s="63"/>
      <c r="E46" s="10">
        <v>1365</v>
      </c>
      <c r="G46" s="56">
        <v>165</v>
      </c>
    </row>
    <row r="47" spans="1:7" s="56" customFormat="1" ht="18.75" customHeight="1" x14ac:dyDescent="0.3">
      <c r="A47" s="9"/>
      <c r="B47" s="62" t="s">
        <v>29</v>
      </c>
      <c r="C47" s="10">
        <v>200</v>
      </c>
      <c r="D47" s="63">
        <v>2</v>
      </c>
      <c r="E47" s="10">
        <f t="shared" si="1"/>
        <v>400</v>
      </c>
    </row>
    <row r="48" spans="1:7" s="56" customFormat="1" ht="18.75" customHeight="1" x14ac:dyDescent="0.3">
      <c r="A48" s="9"/>
      <c r="B48" s="62" t="s">
        <v>57</v>
      </c>
      <c r="C48" s="10">
        <v>500</v>
      </c>
      <c r="D48" s="63">
        <v>1</v>
      </c>
      <c r="E48" s="10">
        <f t="shared" si="1"/>
        <v>500</v>
      </c>
    </row>
    <row r="49" spans="1:8" s="56" customFormat="1" ht="18.75" customHeight="1" x14ac:dyDescent="0.3">
      <c r="A49" s="16" t="s">
        <v>9</v>
      </c>
      <c r="B49" s="57"/>
      <c r="C49" s="17"/>
      <c r="D49" s="58"/>
      <c r="E49" s="15">
        <f>SUM(E50:E60)+5</f>
        <v>13919</v>
      </c>
    </row>
    <row r="50" spans="1:8" s="56" customFormat="1" ht="18.75" customHeight="1" x14ac:dyDescent="0.3">
      <c r="A50" s="9"/>
      <c r="B50" s="62" t="s">
        <v>30</v>
      </c>
      <c r="C50" s="10">
        <v>111</v>
      </c>
      <c r="D50" s="63">
        <v>4</v>
      </c>
      <c r="E50" s="92">
        <f t="shared" si="1"/>
        <v>444</v>
      </c>
    </row>
    <row r="51" spans="1:8" s="56" customFormat="1" ht="18.75" customHeight="1" x14ac:dyDescent="0.3">
      <c r="A51" s="9"/>
      <c r="B51" s="62" t="s">
        <v>24</v>
      </c>
      <c r="C51" s="10">
        <v>325</v>
      </c>
      <c r="D51" s="63">
        <v>12</v>
      </c>
      <c r="E51" s="92">
        <f t="shared" si="1"/>
        <v>3900</v>
      </c>
      <c r="G51" s="59"/>
    </row>
    <row r="52" spans="1:8" s="56" customFormat="1" ht="18.75" customHeight="1" x14ac:dyDescent="0.3">
      <c r="A52" s="9"/>
      <c r="B52" s="62" t="s">
        <v>26</v>
      </c>
      <c r="C52" s="10">
        <v>100</v>
      </c>
      <c r="D52" s="63">
        <v>12</v>
      </c>
      <c r="E52" s="92">
        <f t="shared" si="1"/>
        <v>1200</v>
      </c>
    </row>
    <row r="53" spans="1:8" s="56" customFormat="1" ht="18.75" customHeight="1" x14ac:dyDescent="0.3">
      <c r="A53" s="9"/>
      <c r="B53" s="62" t="s">
        <v>31</v>
      </c>
      <c r="C53" s="10">
        <v>30</v>
      </c>
      <c r="D53" s="63">
        <v>1</v>
      </c>
      <c r="E53" s="92">
        <f t="shared" si="1"/>
        <v>30</v>
      </c>
    </row>
    <row r="54" spans="1:8" s="56" customFormat="1" ht="18.75" customHeight="1" x14ac:dyDescent="0.3">
      <c r="A54" s="9"/>
      <c r="B54" s="62" t="s">
        <v>61</v>
      </c>
      <c r="C54" s="10">
        <v>600</v>
      </c>
      <c r="D54" s="63">
        <v>4</v>
      </c>
      <c r="E54" s="160">
        <f t="shared" si="1"/>
        <v>2400</v>
      </c>
      <c r="F54" s="59">
        <f>+E54+E56+E57+E58+E59</f>
        <v>7728</v>
      </c>
    </row>
    <row r="55" spans="1:8" s="56" customFormat="1" ht="18.75" customHeight="1" x14ac:dyDescent="0.3">
      <c r="A55" s="9"/>
      <c r="B55" s="62" t="s">
        <v>112</v>
      </c>
      <c r="C55" s="10">
        <v>28</v>
      </c>
      <c r="D55" s="63">
        <v>4</v>
      </c>
      <c r="E55" s="19">
        <f t="shared" si="1"/>
        <v>112</v>
      </c>
    </row>
    <row r="56" spans="1:8" s="56" customFormat="1" ht="18.75" customHeight="1" x14ac:dyDescent="0.3">
      <c r="A56" s="9"/>
      <c r="B56" s="62" t="s">
        <v>85</v>
      </c>
      <c r="C56" s="10">
        <v>45</v>
      </c>
      <c r="D56" s="63">
        <v>12</v>
      </c>
      <c r="E56" s="161">
        <f t="shared" si="1"/>
        <v>540</v>
      </c>
    </row>
    <row r="57" spans="1:8" s="56" customFormat="1" ht="18.75" customHeight="1" x14ac:dyDescent="0.3">
      <c r="A57" s="93"/>
      <c r="B57" s="62" t="s">
        <v>114</v>
      </c>
      <c r="C57" s="10">
        <v>15</v>
      </c>
      <c r="D57" s="63">
        <v>12</v>
      </c>
      <c r="E57" s="161">
        <f t="shared" si="1"/>
        <v>180</v>
      </c>
      <c r="F57" s="107" t="s">
        <v>153</v>
      </c>
    </row>
    <row r="58" spans="1:8" s="56" customFormat="1" ht="18.75" customHeight="1" x14ac:dyDescent="0.3">
      <c r="A58" s="9"/>
      <c r="B58" s="62" t="s">
        <v>58</v>
      </c>
      <c r="C58" s="10">
        <v>334</v>
      </c>
      <c r="D58" s="63">
        <v>12</v>
      </c>
      <c r="E58" s="161">
        <f t="shared" si="1"/>
        <v>4008</v>
      </c>
    </row>
    <row r="59" spans="1:8" s="56" customFormat="1" ht="18.75" customHeight="1" x14ac:dyDescent="0.3">
      <c r="A59" s="18"/>
      <c r="B59" s="62" t="s">
        <v>27</v>
      </c>
      <c r="C59" s="10">
        <v>50</v>
      </c>
      <c r="D59" s="63">
        <v>12</v>
      </c>
      <c r="E59" s="161">
        <f>C59*D59</f>
        <v>600</v>
      </c>
    </row>
    <row r="60" spans="1:8" s="56" customFormat="1" ht="18.75" customHeight="1" x14ac:dyDescent="0.3">
      <c r="A60" s="18"/>
      <c r="B60" s="62" t="s">
        <v>157</v>
      </c>
      <c r="C60" s="10">
        <v>250</v>
      </c>
      <c r="D60" s="63">
        <v>2</v>
      </c>
      <c r="E60" s="92">
        <f t="shared" si="1"/>
        <v>500</v>
      </c>
      <c r="H60" s="64"/>
    </row>
    <row r="61" spans="1:8" s="56" customFormat="1" ht="18.75" customHeight="1" x14ac:dyDescent="0.3">
      <c r="A61" s="16" t="s">
        <v>6</v>
      </c>
      <c r="B61" s="57"/>
      <c r="C61" s="17"/>
      <c r="D61" s="58"/>
      <c r="E61" s="15">
        <f>SUM(E62:E62)</f>
        <v>0</v>
      </c>
    </row>
    <row r="62" spans="1:8" s="56" customFormat="1" ht="18.75" customHeight="1" x14ac:dyDescent="0.3">
      <c r="A62" s="115"/>
      <c r="B62" s="116" t="s">
        <v>55</v>
      </c>
      <c r="C62" s="90"/>
      <c r="D62" s="91"/>
      <c r="E62" s="90">
        <v>0</v>
      </c>
      <c r="G62" s="20"/>
    </row>
    <row r="63" spans="1:8" s="56" customFormat="1" ht="18.75" customHeight="1" x14ac:dyDescent="0.3">
      <c r="A63" s="16" t="s">
        <v>11</v>
      </c>
      <c r="B63" s="57"/>
      <c r="C63" s="17"/>
      <c r="D63" s="58"/>
      <c r="E63" s="15">
        <f>SUM(E64:E66)</f>
        <v>5660</v>
      </c>
    </row>
    <row r="64" spans="1:8" s="56" customFormat="1" ht="18.75" customHeight="1" x14ac:dyDescent="0.3">
      <c r="A64" s="9"/>
      <c r="B64" s="62" t="s">
        <v>54</v>
      </c>
      <c r="C64" s="10">
        <v>280</v>
      </c>
      <c r="D64" s="63">
        <v>12</v>
      </c>
      <c r="E64" s="10">
        <f>C64*D64</f>
        <v>3360</v>
      </c>
    </row>
    <row r="65" spans="1:14" s="56" customFormat="1" ht="18.75" customHeight="1" x14ac:dyDescent="0.3">
      <c r="A65" s="9"/>
      <c r="B65" s="62" t="s">
        <v>117</v>
      </c>
      <c r="C65" s="10"/>
      <c r="D65" s="63"/>
      <c r="E65" s="10">
        <v>300</v>
      </c>
    </row>
    <row r="66" spans="1:14" s="56" customFormat="1" ht="18.75" customHeight="1" x14ac:dyDescent="0.3">
      <c r="A66" s="9"/>
      <c r="B66" s="62" t="s">
        <v>156</v>
      </c>
      <c r="C66" s="10"/>
      <c r="D66" s="63"/>
      <c r="E66" s="19">
        <v>2000</v>
      </c>
    </row>
    <row r="67" spans="1:14" s="56" customFormat="1" ht="18.75" customHeight="1" x14ac:dyDescent="0.3">
      <c r="A67" s="16" t="s">
        <v>12</v>
      </c>
      <c r="B67" s="57"/>
      <c r="C67" s="17"/>
      <c r="D67" s="58"/>
      <c r="E67" s="15">
        <f>SUM(E68:E69)</f>
        <v>3500</v>
      </c>
    </row>
    <row r="68" spans="1:14" s="56" customFormat="1" ht="18.75" customHeight="1" x14ac:dyDescent="0.3">
      <c r="A68" s="9"/>
      <c r="B68" s="62" t="s">
        <v>69</v>
      </c>
      <c r="C68" s="20">
        <v>2810</v>
      </c>
      <c r="D68" s="63"/>
      <c r="E68" s="19">
        <v>3000</v>
      </c>
      <c r="F68" s="108" t="s">
        <v>152</v>
      </c>
      <c r="G68" s="108"/>
      <c r="H68" s="108"/>
      <c r="I68" s="108"/>
      <c r="J68" s="108"/>
      <c r="K68" s="108"/>
      <c r="L68" s="108"/>
      <c r="M68" s="108"/>
      <c r="N68" s="108"/>
    </row>
    <row r="69" spans="1:14" s="56" customFormat="1" ht="18.75" customHeight="1" x14ac:dyDescent="0.3">
      <c r="A69" s="9"/>
      <c r="B69" s="62" t="s">
        <v>68</v>
      </c>
      <c r="C69" s="10"/>
      <c r="D69" s="63"/>
      <c r="E69" s="19">
        <v>500</v>
      </c>
    </row>
    <row r="70" spans="1:14" s="56" customFormat="1" ht="18.75" customHeight="1" x14ac:dyDescent="0.3">
      <c r="A70" s="16" t="s">
        <v>13</v>
      </c>
      <c r="B70" s="57"/>
      <c r="C70" s="17"/>
      <c r="D70" s="58"/>
      <c r="E70" s="15">
        <f>SUM(E71:E80)</f>
        <v>6075</v>
      </c>
    </row>
    <row r="71" spans="1:14" s="56" customFormat="1" ht="18.75" customHeight="1" x14ac:dyDescent="0.3">
      <c r="A71" s="9"/>
      <c r="B71" s="62" t="s">
        <v>74</v>
      </c>
      <c r="C71" s="10">
        <v>100</v>
      </c>
      <c r="D71" s="63">
        <v>1</v>
      </c>
      <c r="E71" s="90">
        <f t="shared" ref="E71:E79" si="2">C71*D71</f>
        <v>100</v>
      </c>
      <c r="F71" s="56" t="s">
        <v>76</v>
      </c>
    </row>
    <row r="72" spans="1:14" s="56" customFormat="1" ht="18.75" customHeight="1" x14ac:dyDescent="0.3">
      <c r="A72" s="9"/>
      <c r="B72" s="62" t="s">
        <v>75</v>
      </c>
      <c r="C72" s="10">
        <v>60</v>
      </c>
      <c r="D72" s="63">
        <v>1</v>
      </c>
      <c r="E72" s="122">
        <f t="shared" si="2"/>
        <v>60</v>
      </c>
      <c r="F72" s="56" t="s">
        <v>66</v>
      </c>
    </row>
    <row r="73" spans="1:14" s="56" customFormat="1" ht="18.75" customHeight="1" x14ac:dyDescent="0.3">
      <c r="A73" s="9"/>
      <c r="B73" s="62" t="s">
        <v>51</v>
      </c>
      <c r="C73" s="10">
        <v>275</v>
      </c>
      <c r="D73" s="63">
        <v>1</v>
      </c>
      <c r="E73" s="122">
        <f t="shared" si="2"/>
        <v>275</v>
      </c>
      <c r="F73" s="56" t="s">
        <v>66</v>
      </c>
    </row>
    <row r="74" spans="1:14" s="56" customFormat="1" ht="18.75" customHeight="1" x14ac:dyDescent="0.3">
      <c r="A74" s="9"/>
      <c r="B74" s="62" t="s">
        <v>113</v>
      </c>
      <c r="C74" s="10">
        <v>25</v>
      </c>
      <c r="D74" s="63">
        <v>1</v>
      </c>
      <c r="E74" s="90">
        <f t="shared" si="2"/>
        <v>25</v>
      </c>
      <c r="F74" s="56" t="s">
        <v>64</v>
      </c>
    </row>
    <row r="75" spans="1:14" s="56" customFormat="1" ht="18.75" customHeight="1" x14ac:dyDescent="0.3">
      <c r="A75" s="9"/>
      <c r="B75" s="56" t="s">
        <v>59</v>
      </c>
      <c r="C75" s="10">
        <v>200</v>
      </c>
      <c r="D75" s="63">
        <v>1</v>
      </c>
      <c r="E75" s="90">
        <f t="shared" si="2"/>
        <v>200</v>
      </c>
      <c r="F75" s="56" t="s">
        <v>64</v>
      </c>
    </row>
    <row r="76" spans="1:14" s="56" customFormat="1" ht="18.75" customHeight="1" x14ac:dyDescent="0.3">
      <c r="A76" s="9"/>
      <c r="B76" s="62" t="s">
        <v>87</v>
      </c>
      <c r="C76" s="10">
        <v>50</v>
      </c>
      <c r="D76" s="63">
        <v>1</v>
      </c>
      <c r="E76" s="122">
        <f t="shared" si="2"/>
        <v>50</v>
      </c>
      <c r="F76" s="56" t="s">
        <v>67</v>
      </c>
    </row>
    <row r="77" spans="1:14" s="56" customFormat="1" ht="18.75" customHeight="1" x14ac:dyDescent="0.3">
      <c r="A77" s="9"/>
      <c r="B77" s="62" t="s">
        <v>90</v>
      </c>
      <c r="C77" s="10">
        <v>175</v>
      </c>
      <c r="D77" s="63">
        <v>1</v>
      </c>
      <c r="E77" s="122">
        <f t="shared" si="2"/>
        <v>175</v>
      </c>
      <c r="F77" s="65" t="s">
        <v>107</v>
      </c>
    </row>
    <row r="78" spans="1:14" s="56" customFormat="1" ht="18.75" customHeight="1" x14ac:dyDescent="0.3">
      <c r="A78" s="9"/>
      <c r="B78" s="62" t="s">
        <v>28</v>
      </c>
      <c r="C78" s="10">
        <v>350</v>
      </c>
      <c r="D78" s="63">
        <v>1</v>
      </c>
      <c r="E78" s="122">
        <f t="shared" si="2"/>
        <v>350</v>
      </c>
      <c r="F78" s="56" t="s">
        <v>115</v>
      </c>
    </row>
    <row r="79" spans="1:14" ht="18.75" customHeight="1" x14ac:dyDescent="0.3">
      <c r="A79" s="9"/>
      <c r="B79" s="62" t="s">
        <v>106</v>
      </c>
      <c r="C79" s="10">
        <v>500</v>
      </c>
      <c r="D79" s="63">
        <v>1</v>
      </c>
      <c r="E79" s="122">
        <f t="shared" si="2"/>
        <v>500</v>
      </c>
      <c r="F79" s="65" t="s">
        <v>108</v>
      </c>
      <c r="G79" s="56"/>
    </row>
    <row r="80" spans="1:14" ht="18.75" customHeight="1" x14ac:dyDescent="0.3">
      <c r="A80" s="9"/>
      <c r="B80" s="62" t="s">
        <v>148</v>
      </c>
      <c r="C80" s="10">
        <v>360</v>
      </c>
      <c r="D80" s="63">
        <v>12</v>
      </c>
      <c r="E80" s="90">
        <f>C80*D80+20</f>
        <v>4340</v>
      </c>
      <c r="F80" s="65"/>
      <c r="G80" s="56"/>
    </row>
    <row r="81" spans="1:7" ht="18.75" customHeight="1" x14ac:dyDescent="0.3">
      <c r="A81" s="16" t="s">
        <v>14</v>
      </c>
      <c r="B81" s="57"/>
      <c r="C81" s="17"/>
      <c r="D81" s="58"/>
      <c r="E81" s="15">
        <v>8000</v>
      </c>
      <c r="F81" s="123">
        <f>+E81-5656</f>
        <v>2344</v>
      </c>
      <c r="G81" s="56"/>
    </row>
  </sheetData>
  <sortState xmlns:xlrd2="http://schemas.microsoft.com/office/spreadsheetml/2017/richdata2" ref="B71:F79">
    <sortCondition ref="F71:F79"/>
  </sortState>
  <printOptions horizontalCentered="1"/>
  <pageMargins left="0" right="0" top="0.25" bottom="0" header="0.3" footer="0.3"/>
  <pageSetup orientation="portrait" r:id="rId1"/>
  <headerFooter>
    <oddHeader>&amp;R&amp;D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5:B23"/>
  <sheetViews>
    <sheetView topLeftCell="A10" workbookViewId="0">
      <selection activeCell="R22" sqref="R22"/>
    </sheetView>
  </sheetViews>
  <sheetFormatPr defaultRowHeight="14.4" x14ac:dyDescent="0.3"/>
  <cols>
    <col min="1" max="1" width="25.6640625" customWidth="1"/>
    <col min="2" max="2" width="11.5546875" bestFit="1" customWidth="1"/>
  </cols>
  <sheetData>
    <row r="5" spans="1:2" x14ac:dyDescent="0.3">
      <c r="A5" s="21" t="s">
        <v>77</v>
      </c>
      <c r="B5" s="27">
        <v>148832</v>
      </c>
    </row>
    <row r="6" spans="1:2" x14ac:dyDescent="0.3">
      <c r="A6" s="21" t="s">
        <v>1</v>
      </c>
      <c r="B6" s="27">
        <v>175000</v>
      </c>
    </row>
    <row r="7" spans="1:2" x14ac:dyDescent="0.3">
      <c r="A7" s="21" t="s">
        <v>53</v>
      </c>
      <c r="B7" s="27">
        <v>100000</v>
      </c>
    </row>
    <row r="8" spans="1:2" x14ac:dyDescent="0.3">
      <c r="A8" s="21" t="s">
        <v>52</v>
      </c>
      <c r="B8" s="27">
        <v>115000</v>
      </c>
    </row>
    <row r="9" spans="1:2" x14ac:dyDescent="0.3">
      <c r="A9" s="21" t="s">
        <v>126</v>
      </c>
      <c r="B9" s="27">
        <v>224000</v>
      </c>
    </row>
    <row r="10" spans="1:2" x14ac:dyDescent="0.3">
      <c r="A10" s="22" t="s">
        <v>122</v>
      </c>
      <c r="B10" s="27">
        <v>23000</v>
      </c>
    </row>
    <row r="11" spans="1:2" x14ac:dyDescent="0.3">
      <c r="A11" s="21" t="s">
        <v>79</v>
      </c>
      <c r="B11" s="27">
        <v>22320</v>
      </c>
    </row>
    <row r="12" spans="1:2" x14ac:dyDescent="0.3">
      <c r="A12" s="21"/>
      <c r="B12" s="80">
        <f>SUM(B5:B11)</f>
        <v>808152</v>
      </c>
    </row>
    <row r="18" spans="1:2" x14ac:dyDescent="0.3">
      <c r="A18" s="21" t="s">
        <v>123</v>
      </c>
      <c r="B18" s="27">
        <f>BDG!B21+BDG!B22</f>
        <v>639331</v>
      </c>
    </row>
    <row r="19" spans="1:2" x14ac:dyDescent="0.3">
      <c r="A19" s="21" t="s">
        <v>82</v>
      </c>
      <c r="B19" s="27">
        <f>BDG!B24</f>
        <v>50650</v>
      </c>
    </row>
    <row r="20" spans="1:2" x14ac:dyDescent="0.3">
      <c r="A20" s="21" t="s">
        <v>81</v>
      </c>
      <c r="B20" s="27">
        <f>BDG!B25</f>
        <v>14610</v>
      </c>
    </row>
    <row r="21" spans="1:2" x14ac:dyDescent="0.3">
      <c r="A21" s="21" t="s">
        <v>80</v>
      </c>
      <c r="B21" s="27">
        <f>SUM(BDG!B26:B39)</f>
        <v>179322</v>
      </c>
    </row>
    <row r="22" spans="1:2" x14ac:dyDescent="0.3">
      <c r="A22" s="21" t="s">
        <v>124</v>
      </c>
      <c r="B22" s="27">
        <f>BDG!C41</f>
        <v>0</v>
      </c>
    </row>
    <row r="23" spans="1:2" x14ac:dyDescent="0.3">
      <c r="B23" s="80">
        <f>SUM(B18:B22)</f>
        <v>883913</v>
      </c>
    </row>
  </sheetData>
  <pageMargins left="0.7" right="0.7" top="0.75" bottom="0.75" header="0.3" footer="0.3"/>
  <pageSetup orientation="portrait" verticalDpi="0" r:id="rId1"/>
  <colBreaks count="1" manualBreakCount="1">
    <brk id="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D2622A6157D843AF8652E16E4D595A" ma:contentTypeVersion="13" ma:contentTypeDescription="Create a new document." ma:contentTypeScope="" ma:versionID="d864fad7748c7a917caf4873f7d61c16">
  <xsd:schema xmlns:xsd="http://www.w3.org/2001/XMLSchema" xmlns:xs="http://www.w3.org/2001/XMLSchema" xmlns:p="http://schemas.microsoft.com/office/2006/metadata/properties" xmlns:ns2="4258366f-1721-4dbb-a7ba-75f15e128a1c" xmlns:ns3="712b62cb-ed00-42aa-9082-7aa44228310c" targetNamespace="http://schemas.microsoft.com/office/2006/metadata/properties" ma:root="true" ma:fieldsID="b490a4aded5bf352681403dd613b597a" ns2:_="" ns3:_="">
    <xsd:import namespace="4258366f-1721-4dbb-a7ba-75f15e128a1c"/>
    <xsd:import namespace="712b62cb-ed00-42aa-9082-7aa4422831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8366f-1721-4dbb-a7ba-75f15e128a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2b62cb-ed00-42aa-9082-7aa44228310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1D865E-7715-41A7-8446-210627803E90}"/>
</file>

<file path=customXml/itemProps2.xml><?xml version="1.0" encoding="utf-8"?>
<ds:datastoreItem xmlns:ds="http://schemas.openxmlformats.org/officeDocument/2006/customXml" ds:itemID="{EB7A72B0-3C3A-4C47-877F-2BF30873F152}"/>
</file>

<file path=customXml/itemProps3.xml><?xml version="1.0" encoding="utf-8"?>
<ds:datastoreItem xmlns:ds="http://schemas.openxmlformats.org/officeDocument/2006/customXml" ds:itemID="{197AA053-46C9-40B9-9122-DC70D31FC3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BDG</vt:lpstr>
      <vt:lpstr>BDG (rev)</vt:lpstr>
      <vt:lpstr>Personnel</vt:lpstr>
      <vt:lpstr>Detail</vt:lpstr>
      <vt:lpstr>charts</vt:lpstr>
      <vt:lpstr>BDG!Print_Area</vt:lpstr>
      <vt:lpstr>'BDG (rev)'!Print_Area</vt:lpstr>
      <vt:lpstr>Detail!Print_Area</vt:lpstr>
      <vt:lpstr>Personnel!Print_Area</vt:lpstr>
      <vt:lpstr>Detail!Print_Titles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Cruz</dc:creator>
  <cp:lastModifiedBy>Julieanna Huddle</cp:lastModifiedBy>
  <cp:lastPrinted>2019-08-21T14:55:58Z</cp:lastPrinted>
  <dcterms:created xsi:type="dcterms:W3CDTF">2015-12-07T15:29:48Z</dcterms:created>
  <dcterms:modified xsi:type="dcterms:W3CDTF">2021-06-16T21:04:44Z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0x01010098D2622A6157D843AF8652E16E4D595A</vt:lpwstr>
  </property>
</Properties>
</file>