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echling\Downloads\"/>
    </mc:Choice>
  </mc:AlternateContent>
  <xr:revisionPtr revIDLastSave="0" documentId="8_{1C161690-20E7-4085-8949-D013CE17E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fit and Los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" l="1"/>
  <c r="D46" i="1"/>
  <c r="C25" i="1"/>
  <c r="C22" i="1"/>
  <c r="C19" i="1"/>
  <c r="E14" i="1" l="1"/>
  <c r="E98" i="1"/>
  <c r="E91" i="1"/>
  <c r="E84" i="1"/>
  <c r="E73" i="1"/>
  <c r="E67" i="1"/>
  <c r="E64" i="1"/>
  <c r="E54" i="1"/>
  <c r="E60" i="1" s="1"/>
  <c r="E32" i="1"/>
  <c r="E25" i="1"/>
  <c r="E19" i="1"/>
  <c r="D101" i="1"/>
  <c r="C54" i="1"/>
  <c r="C60" i="1" s="1"/>
  <c r="C84" i="1"/>
  <c r="C73" i="1"/>
  <c r="C64" i="1"/>
  <c r="C96" i="1"/>
  <c r="C98" i="1" s="1"/>
  <c r="C77" i="1"/>
  <c r="C78" i="1" s="1"/>
  <c r="C65" i="1"/>
  <c r="C67" i="1" s="1"/>
  <c r="C32" i="1"/>
  <c r="C14" i="1"/>
  <c r="C46" i="1" s="1"/>
  <c r="B99" i="1"/>
  <c r="B97" i="1"/>
  <c r="B95" i="1"/>
  <c r="B93" i="1"/>
  <c r="B92" i="1"/>
  <c r="B91" i="1"/>
  <c r="B90" i="1"/>
  <c r="B89" i="1"/>
  <c r="B87" i="1"/>
  <c r="B86" i="1"/>
  <c r="B82" i="1"/>
  <c r="B80" i="1"/>
  <c r="B79" i="1"/>
  <c r="B77" i="1"/>
  <c r="B76" i="1"/>
  <c r="B75" i="1"/>
  <c r="B71" i="1"/>
  <c r="B70" i="1"/>
  <c r="B69" i="1"/>
  <c r="B66" i="1"/>
  <c r="B63" i="1"/>
  <c r="B62" i="1"/>
  <c r="B64" i="1" s="1"/>
  <c r="B59" i="1"/>
  <c r="B57" i="1"/>
  <c r="B56" i="1"/>
  <c r="B55" i="1"/>
  <c r="B52" i="1"/>
  <c r="B50" i="1"/>
  <c r="B44" i="1"/>
  <c r="B42" i="1"/>
  <c r="B43" i="1" s="1"/>
  <c r="B39" i="1"/>
  <c r="B38" i="1"/>
  <c r="B37" i="1"/>
  <c r="B36" i="1"/>
  <c r="B35" i="1"/>
  <c r="B34" i="1"/>
  <c r="B33" i="1"/>
  <c r="B31" i="1"/>
  <c r="B32" i="1" s="1"/>
  <c r="B28" i="1"/>
  <c r="B27" i="1"/>
  <c r="B26" i="1"/>
  <c r="B24" i="1"/>
  <c r="B23" i="1"/>
  <c r="B21" i="1"/>
  <c r="B20" i="1"/>
  <c r="B18" i="1"/>
  <c r="B17" i="1"/>
  <c r="B13" i="1"/>
  <c r="B12" i="1"/>
  <c r="B8" i="1"/>
  <c r="B9" i="1" s="1"/>
  <c r="E46" i="1" l="1"/>
  <c r="E100" i="1"/>
  <c r="C100" i="1"/>
  <c r="B40" i="1"/>
  <c r="B25" i="1"/>
  <c r="B88" i="1"/>
  <c r="B78" i="1"/>
  <c r="B14" i="1"/>
  <c r="B84" i="1"/>
  <c r="B19" i="1"/>
  <c r="B54" i="1"/>
  <c r="B60" i="1" s="1"/>
  <c r="B22" i="1"/>
  <c r="B67" i="1"/>
  <c r="B98" i="1"/>
  <c r="B73" i="1"/>
  <c r="B46" i="1" l="1"/>
  <c r="E101" i="1"/>
  <c r="C101" i="1"/>
  <c r="C102" i="1" s="1"/>
  <c r="B100" i="1"/>
  <c r="B45" i="1"/>
  <c r="B101" i="1" l="1"/>
  <c r="B102" i="1" s="1"/>
</calcChain>
</file>

<file path=xl/sharedStrings.xml><?xml version="1.0" encoding="utf-8"?>
<sst xmlns="http://schemas.openxmlformats.org/spreadsheetml/2006/main" count="104" uniqueCount="103">
  <si>
    <t>Income</t>
  </si>
  <si>
    <t xml:space="preserve">   Baby Bottles</t>
  </si>
  <si>
    <t xml:space="preserve">      2021</t>
  </si>
  <si>
    <t xml:space="preserve">   Total Baby Bottles</t>
  </si>
  <si>
    <t xml:space="preserve">   Banquet</t>
  </si>
  <si>
    <t xml:space="preserve">      2021 Banquet</t>
  </si>
  <si>
    <t xml:space="preserve">         One Time Gift</t>
  </si>
  <si>
    <t xml:space="preserve">         Underwriting</t>
  </si>
  <si>
    <t xml:space="preserve">      Total 2021 Banquet</t>
  </si>
  <si>
    <t xml:space="preserve">   Community Events</t>
  </si>
  <si>
    <t xml:space="preserve">      Amazon Smile Account</t>
  </si>
  <si>
    <t xml:space="preserve">      Kroger Community Rewards</t>
  </si>
  <si>
    <t xml:space="preserve">   Total Community Events</t>
  </si>
  <si>
    <t xml:space="preserve">   Employee-Campaign Giving</t>
  </si>
  <si>
    <t xml:space="preserve">      United Way-Metro Nash</t>
  </si>
  <si>
    <t xml:space="preserve">   Total Employee-Campaign Giving</t>
  </si>
  <si>
    <t xml:space="preserve">   Interest Earned</t>
  </si>
  <si>
    <t xml:space="preserve">      CD Interest</t>
  </si>
  <si>
    <t xml:space="preserve">   Total Interest Earned</t>
  </si>
  <si>
    <t xml:space="preserve">   LifeStream Sponsor</t>
  </si>
  <si>
    <t xml:space="preserve">   LifeStream Virtual Fundraiser</t>
  </si>
  <si>
    <t xml:space="preserve">   Memorial / Honorary</t>
  </si>
  <si>
    <t xml:space="preserve">   Monthly Support</t>
  </si>
  <si>
    <t xml:space="preserve">      Church donations</t>
  </si>
  <si>
    <t xml:space="preserve">      Individual</t>
  </si>
  <si>
    <t xml:space="preserve">   Total Monthly Support</t>
  </si>
  <si>
    <t xml:space="preserve">   PPP Income</t>
  </si>
  <si>
    <t xml:space="preserve">   Reimbursements</t>
  </si>
  <si>
    <t xml:space="preserve">   Speaking Engagements</t>
  </si>
  <si>
    <t xml:space="preserve">   The Big Payback</t>
  </si>
  <si>
    <t xml:space="preserve">   Unpledged</t>
  </si>
  <si>
    <t xml:space="preserve">      New</t>
  </si>
  <si>
    <t xml:space="preserve">      Sporatic</t>
  </si>
  <si>
    <t xml:space="preserve">   Total Unpledged</t>
  </si>
  <si>
    <t xml:space="preserve">   Walk for Life</t>
  </si>
  <si>
    <t xml:space="preserve">      Walk for Life 2021</t>
  </si>
  <si>
    <t xml:space="preserve">   Total Walk for Life</t>
  </si>
  <si>
    <t xml:space="preserve">   Year End Gifts</t>
  </si>
  <si>
    <t>Total Income</t>
  </si>
  <si>
    <t>Gross Profit</t>
  </si>
  <si>
    <t>Expenses</t>
  </si>
  <si>
    <t xml:space="preserve">   Client Programs</t>
  </si>
  <si>
    <t xml:space="preserve">      Advertising</t>
  </si>
  <si>
    <t xml:space="preserve">      Client Brochures</t>
  </si>
  <si>
    <t xml:space="preserve">      Group Parenting Class</t>
  </si>
  <si>
    <t xml:space="preserve">      Parent Support</t>
  </si>
  <si>
    <t xml:space="preserve">         Fatherhood</t>
  </si>
  <si>
    <t xml:space="preserve">      Total Parent Support</t>
  </si>
  <si>
    <t xml:space="preserve">      Pregnancy Decisions</t>
  </si>
  <si>
    <t xml:space="preserve">      Pregnancy Tests</t>
  </si>
  <si>
    <t xml:space="preserve">      Sexual Risk Avoidance</t>
  </si>
  <si>
    <t xml:space="preserve">      Ultrasound - Mobile Unit</t>
  </si>
  <si>
    <t xml:space="preserve">      Website</t>
  </si>
  <si>
    <t xml:space="preserve">   Total Client Programs</t>
  </si>
  <si>
    <t xml:space="preserve">   Community Engagement/PR</t>
  </si>
  <si>
    <t xml:space="preserve">      Chamber Meetings and Lunches</t>
  </si>
  <si>
    <t xml:space="preserve">      Printing and Reproduction</t>
  </si>
  <si>
    <t xml:space="preserve">   Total Community Engagement/PR</t>
  </si>
  <si>
    <t xml:space="preserve">   Computer Expense</t>
  </si>
  <si>
    <t xml:space="preserve">      Internet</t>
  </si>
  <si>
    <t xml:space="preserve">   Total Computer Expense</t>
  </si>
  <si>
    <t xml:space="preserve">   Fundraising expense</t>
  </si>
  <si>
    <t xml:space="preserve">      Baby Bottles</t>
  </si>
  <si>
    <t xml:space="preserve">      Banquet 2021</t>
  </si>
  <si>
    <t xml:space="preserve">      The Big Payback</t>
  </si>
  <si>
    <t xml:space="preserve">   Total Fundraising expense</t>
  </si>
  <si>
    <t xml:space="preserve">   Insurance</t>
  </si>
  <si>
    <t xml:space="preserve">      D &amp; O and General Liability</t>
  </si>
  <si>
    <t xml:space="preserve">      Property</t>
  </si>
  <si>
    <t xml:space="preserve">      Worker's Comp</t>
  </si>
  <si>
    <t xml:space="preserve">   Total Insurance</t>
  </si>
  <si>
    <t xml:space="preserve">   Licenses,Permits &amp; Fees</t>
  </si>
  <si>
    <t xml:space="preserve">   Membership Dues</t>
  </si>
  <si>
    <t xml:space="preserve">   Office expense</t>
  </si>
  <si>
    <t xml:space="preserve">      Office equipment &amp; maintenance</t>
  </si>
  <si>
    <t xml:space="preserve">      Office Supplies</t>
  </si>
  <si>
    <t xml:space="preserve">   Total Office expense</t>
  </si>
  <si>
    <t xml:space="preserve">   Payroll Expenses</t>
  </si>
  <si>
    <t xml:space="preserve">      Taxes</t>
  </si>
  <si>
    <t xml:space="preserve">      Wages</t>
  </si>
  <si>
    <t xml:space="preserve">   Total Payroll Expenses</t>
  </si>
  <si>
    <t xml:space="preserve">   Post Office Box</t>
  </si>
  <si>
    <t xml:space="preserve">   Postage</t>
  </si>
  <si>
    <t xml:space="preserve">   Rent</t>
  </si>
  <si>
    <t xml:space="preserve">   Telephone</t>
  </si>
  <si>
    <t xml:space="preserve">   Training</t>
  </si>
  <si>
    <t xml:space="preserve">   Utilities</t>
  </si>
  <si>
    <t xml:space="preserve">      Electricity</t>
  </si>
  <si>
    <t xml:space="preserve">      Pest Control</t>
  </si>
  <si>
    <t xml:space="preserve">      Security System</t>
  </si>
  <si>
    <t xml:space="preserve">   Total Utilities</t>
  </si>
  <si>
    <t xml:space="preserve">   Volunteer Appreciation</t>
  </si>
  <si>
    <t>Total Expenses</t>
  </si>
  <si>
    <t>Net Operating Income</t>
  </si>
  <si>
    <t>Net Income</t>
  </si>
  <si>
    <t>Pregnancy Care Center</t>
  </si>
  <si>
    <t>Profit and Loss</t>
  </si>
  <si>
    <t>January - October, 2021</t>
  </si>
  <si>
    <t>As of 10/31/2021</t>
  </si>
  <si>
    <t>Est for 12/31/2021</t>
  </si>
  <si>
    <t>2021 Budget</t>
  </si>
  <si>
    <t>2022 Budget</t>
  </si>
  <si>
    <t>Church Love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</si>
</sst>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0" fillId="0" borderId="1" xfId="1" applyFont="1" applyBorder="1" applyAlignment="1">
      <alignment horizontal="right" wrapText="1"/>
    </xf>
    <xf numFmtId="44" fontId="2" fillId="0" borderId="1" xfId="1" applyFont="1" applyBorder="1" applyAlignment="1">
      <alignment horizontal="right" wrapText="1"/>
    </xf>
    <xf numFmtId="44" fontId="0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workbookViewId="0">
      <selection activeCell="F82" sqref="F82"/>
    </sheetView>
  </sheetViews>
  <sheetFormatPr defaultRowHeight="15" x14ac:dyDescent="0.25"/>
  <cols>
    <col min="1" max="1" width="34.42578125" customWidth="1"/>
    <col min="2" max="2" width="0.7109375" style="1" customWidth="1"/>
    <col min="3" max="4" width="0.85546875" style="1" customWidth="1"/>
    <col min="5" max="5" width="13.28515625" style="1" bestFit="1" customWidth="1"/>
  </cols>
  <sheetData>
    <row r="1" spans="1:5" ht="18.75" x14ac:dyDescent="0.3">
      <c r="A1" s="15" t="s">
        <v>95</v>
      </c>
      <c r="B1" s="16"/>
    </row>
    <row r="2" spans="1:5" ht="18.75" x14ac:dyDescent="0.3">
      <c r="A2" s="15" t="s">
        <v>96</v>
      </c>
      <c r="B2" s="16"/>
    </row>
    <row r="3" spans="1:5" ht="18.75" x14ac:dyDescent="0.3">
      <c r="A3" s="15" t="s">
        <v>97</v>
      </c>
      <c r="B3" s="16"/>
    </row>
    <row r="5" spans="1:5" s="5" customFormat="1" ht="225" x14ac:dyDescent="0.25">
      <c r="A5" s="4"/>
      <c r="B5" s="6" t="s">
        <v>98</v>
      </c>
      <c r="C5" s="3" t="s">
        <v>99</v>
      </c>
      <c r="D5" s="3" t="s">
        <v>100</v>
      </c>
      <c r="E5" s="3" t="s">
        <v>101</v>
      </c>
    </row>
    <row r="6" spans="1:5" x14ac:dyDescent="0.25">
      <c r="A6" s="11" t="s">
        <v>0</v>
      </c>
      <c r="B6" s="7"/>
      <c r="C6" s="2"/>
      <c r="D6" s="2"/>
      <c r="E6" s="2"/>
    </row>
    <row r="7" spans="1:5" x14ac:dyDescent="0.25">
      <c r="A7" s="11" t="s">
        <v>1</v>
      </c>
      <c r="B7" s="7"/>
      <c r="C7" s="2"/>
      <c r="D7" s="2"/>
      <c r="E7" s="2"/>
    </row>
    <row r="8" spans="1:5" x14ac:dyDescent="0.25">
      <c r="A8" s="11" t="s">
        <v>2</v>
      </c>
      <c r="B8" s="8">
        <f>39156.21</f>
        <v>39156.21</v>
      </c>
      <c r="C8" s="2"/>
      <c r="D8" s="2"/>
      <c r="E8" s="2"/>
    </row>
    <row r="9" spans="1:5" x14ac:dyDescent="0.25">
      <c r="A9" s="11" t="s">
        <v>3</v>
      </c>
      <c r="B9" s="9">
        <f>(B7)+(B8)</f>
        <v>39156.21</v>
      </c>
      <c r="C9" s="3">
        <v>39156.21</v>
      </c>
      <c r="D9" s="3">
        <v>30000</v>
      </c>
      <c r="E9" s="3">
        <v>42000</v>
      </c>
    </row>
    <row r="10" spans="1:5" x14ac:dyDescent="0.25">
      <c r="A10" s="11" t="s">
        <v>4</v>
      </c>
      <c r="B10" s="7"/>
      <c r="C10" s="2"/>
      <c r="D10" s="2"/>
      <c r="E10" s="2"/>
    </row>
    <row r="11" spans="1:5" x14ac:dyDescent="0.25">
      <c r="A11" s="11" t="s">
        <v>5</v>
      </c>
      <c r="B11" s="7"/>
      <c r="C11" s="2"/>
      <c r="D11" s="2"/>
      <c r="E11" s="2"/>
    </row>
    <row r="12" spans="1:5" x14ac:dyDescent="0.25">
      <c r="A12" s="11" t="s">
        <v>6</v>
      </c>
      <c r="B12" s="8">
        <f>105181.92</f>
        <v>105181.92</v>
      </c>
      <c r="C12" s="2">
        <v>107816.76</v>
      </c>
      <c r="D12" s="2">
        <v>60000</v>
      </c>
      <c r="E12" s="2">
        <v>85000</v>
      </c>
    </row>
    <row r="13" spans="1:5" x14ac:dyDescent="0.25">
      <c r="A13" s="11" t="s">
        <v>7</v>
      </c>
      <c r="B13" s="8">
        <f>23952.89</f>
        <v>23952.89</v>
      </c>
      <c r="C13" s="2">
        <v>23952.89</v>
      </c>
      <c r="D13" s="2">
        <v>23000</v>
      </c>
      <c r="E13" s="2">
        <v>30000</v>
      </c>
    </row>
    <row r="14" spans="1:5" x14ac:dyDescent="0.25">
      <c r="A14" s="11" t="s">
        <v>8</v>
      </c>
      <c r="B14" s="9">
        <f>((B11)+(B12))+(B13)</f>
        <v>129134.81</v>
      </c>
      <c r="C14" s="3">
        <f>C12+C13</f>
        <v>131769.65</v>
      </c>
      <c r="D14" s="3">
        <v>83000</v>
      </c>
      <c r="E14" s="3">
        <f>E12+E13</f>
        <v>115000</v>
      </c>
    </row>
    <row r="15" spans="1:5" x14ac:dyDescent="0.25">
      <c r="A15" s="11" t="s">
        <v>102</v>
      </c>
      <c r="B15" s="7">
        <v>6685</v>
      </c>
      <c r="C15" s="2">
        <v>6685</v>
      </c>
      <c r="D15" s="2">
        <v>500</v>
      </c>
      <c r="E15" s="2">
        <v>1000</v>
      </c>
    </row>
    <row r="16" spans="1:5" x14ac:dyDescent="0.25">
      <c r="A16" s="11" t="s">
        <v>9</v>
      </c>
      <c r="B16" s="7"/>
      <c r="C16" s="2"/>
      <c r="D16" s="2"/>
      <c r="E16" s="2">
        <v>5000</v>
      </c>
    </row>
    <row r="17" spans="1:5" x14ac:dyDescent="0.25">
      <c r="A17" s="11" t="s">
        <v>10</v>
      </c>
      <c r="B17" s="8">
        <f>253.89</f>
        <v>253.89</v>
      </c>
      <c r="C17" s="2">
        <v>328</v>
      </c>
      <c r="D17" s="2"/>
      <c r="E17" s="2">
        <v>350</v>
      </c>
    </row>
    <row r="18" spans="1:5" x14ac:dyDescent="0.25">
      <c r="A18" s="11" t="s">
        <v>11</v>
      </c>
      <c r="B18" s="8">
        <f>643.77</f>
        <v>643.77</v>
      </c>
      <c r="C18" s="2">
        <v>859</v>
      </c>
      <c r="D18" s="2"/>
      <c r="E18" s="2">
        <v>700</v>
      </c>
    </row>
    <row r="19" spans="1:5" x14ac:dyDescent="0.25">
      <c r="A19" s="11" t="s">
        <v>12</v>
      </c>
      <c r="B19" s="9">
        <f>((B16)+(B17))+(B18)</f>
        <v>897.66</v>
      </c>
      <c r="C19" s="3">
        <f>C17+C18</f>
        <v>1187</v>
      </c>
      <c r="D19" s="3">
        <v>3630</v>
      </c>
      <c r="E19" s="3">
        <f>E17+E18+E16</f>
        <v>6050</v>
      </c>
    </row>
    <row r="20" spans="1:5" x14ac:dyDescent="0.25">
      <c r="A20" s="11" t="s">
        <v>13</v>
      </c>
      <c r="B20" s="8">
        <f>4056.28</f>
        <v>4056.28</v>
      </c>
      <c r="C20" s="2">
        <v>5000</v>
      </c>
      <c r="D20" s="2"/>
      <c r="E20" s="2"/>
    </row>
    <row r="21" spans="1:5" x14ac:dyDescent="0.25">
      <c r="A21" s="11" t="s">
        <v>14</v>
      </c>
      <c r="B21" s="8">
        <f>56.29</f>
        <v>56.29</v>
      </c>
      <c r="C21" s="2">
        <v>75</v>
      </c>
      <c r="D21" s="2"/>
      <c r="E21" s="2"/>
    </row>
    <row r="22" spans="1:5" x14ac:dyDescent="0.25">
      <c r="A22" s="11" t="s">
        <v>15</v>
      </c>
      <c r="B22" s="9">
        <f>(B20)+(B21)</f>
        <v>4112.5700000000006</v>
      </c>
      <c r="C22" s="3">
        <f>C20+C21</f>
        <v>5075</v>
      </c>
      <c r="D22" s="3">
        <v>4500</v>
      </c>
      <c r="E22" s="3">
        <v>5000</v>
      </c>
    </row>
    <row r="23" spans="1:5" x14ac:dyDescent="0.25">
      <c r="A23" s="11" t="s">
        <v>16</v>
      </c>
      <c r="B23" s="8">
        <f>61.77</f>
        <v>61.77</v>
      </c>
      <c r="C23" s="2">
        <v>82</v>
      </c>
      <c r="D23" s="2"/>
      <c r="E23" s="2">
        <v>90</v>
      </c>
    </row>
    <row r="24" spans="1:5" x14ac:dyDescent="0.25">
      <c r="A24" s="11" t="s">
        <v>17</v>
      </c>
      <c r="B24" s="8">
        <f>637.16</f>
        <v>637.16</v>
      </c>
      <c r="C24" s="2">
        <v>2000</v>
      </c>
      <c r="D24" s="2"/>
      <c r="E24" s="2">
        <v>1500</v>
      </c>
    </row>
    <row r="25" spans="1:5" x14ac:dyDescent="0.25">
      <c r="A25" s="11" t="s">
        <v>18</v>
      </c>
      <c r="B25" s="9">
        <f>(B23)+(B24)</f>
        <v>698.93</v>
      </c>
      <c r="C25" s="3">
        <f>C23+C24</f>
        <v>2082</v>
      </c>
      <c r="D25" s="3">
        <v>2200</v>
      </c>
      <c r="E25" s="3">
        <f>E23+E24</f>
        <v>1590</v>
      </c>
    </row>
    <row r="26" spans="1:5" x14ac:dyDescent="0.25">
      <c r="A26" s="11" t="s">
        <v>19</v>
      </c>
      <c r="B26" s="8">
        <f>1000</f>
        <v>1000</v>
      </c>
      <c r="C26" s="2">
        <v>1000</v>
      </c>
      <c r="D26" s="2">
        <v>0</v>
      </c>
      <c r="E26" s="2">
        <v>0</v>
      </c>
    </row>
    <row r="27" spans="1:5" x14ac:dyDescent="0.25">
      <c r="A27" s="11" t="s">
        <v>20</v>
      </c>
      <c r="B27" s="8">
        <f>250</f>
        <v>250</v>
      </c>
      <c r="C27" s="2">
        <v>250</v>
      </c>
      <c r="D27" s="2">
        <v>0</v>
      </c>
      <c r="E27" s="2">
        <v>0</v>
      </c>
    </row>
    <row r="28" spans="1:5" x14ac:dyDescent="0.25">
      <c r="A28" s="11" t="s">
        <v>21</v>
      </c>
      <c r="B28" s="8">
        <f>2689.55</f>
        <v>2689.55</v>
      </c>
      <c r="C28" s="2">
        <v>2689.55</v>
      </c>
      <c r="D28" s="2">
        <v>0</v>
      </c>
      <c r="E28" s="2">
        <v>0</v>
      </c>
    </row>
    <row r="29" spans="1:5" x14ac:dyDescent="0.25">
      <c r="A29" s="11" t="s">
        <v>22</v>
      </c>
      <c r="B29" s="7"/>
      <c r="C29" s="2"/>
      <c r="D29" s="2"/>
      <c r="E29" s="2"/>
    </row>
    <row r="30" spans="1:5" x14ac:dyDescent="0.25">
      <c r="A30" s="11" t="s">
        <v>23</v>
      </c>
      <c r="B30" s="8">
        <v>26436.58</v>
      </c>
      <c r="C30" s="2">
        <v>31725</v>
      </c>
      <c r="D30" s="2"/>
      <c r="E30" s="2">
        <v>34000</v>
      </c>
    </row>
    <row r="31" spans="1:5" x14ac:dyDescent="0.25">
      <c r="A31" s="11" t="s">
        <v>24</v>
      </c>
      <c r="B31" s="8">
        <f>81812.79</f>
        <v>81812.789999999994</v>
      </c>
      <c r="C31" s="2">
        <v>101379.17</v>
      </c>
      <c r="D31" s="2"/>
      <c r="E31" s="2">
        <v>116000</v>
      </c>
    </row>
    <row r="32" spans="1:5" x14ac:dyDescent="0.25">
      <c r="A32" s="11" t="s">
        <v>25</v>
      </c>
      <c r="B32" s="9">
        <f>((B29)+(B30))+(B31)</f>
        <v>108249.37</v>
      </c>
      <c r="C32" s="3">
        <f>C30+C31</f>
        <v>133104.16999999998</v>
      </c>
      <c r="D32" s="3">
        <v>122000</v>
      </c>
      <c r="E32" s="3">
        <f>E30+E31</f>
        <v>150000</v>
      </c>
    </row>
    <row r="33" spans="1:5" x14ac:dyDescent="0.25">
      <c r="A33" s="11" t="s">
        <v>26</v>
      </c>
      <c r="B33" s="8">
        <f>27582</f>
        <v>27582</v>
      </c>
      <c r="C33" s="2">
        <v>27582</v>
      </c>
      <c r="D33" s="2">
        <v>0</v>
      </c>
      <c r="E33" s="2">
        <v>0</v>
      </c>
    </row>
    <row r="34" spans="1:5" x14ac:dyDescent="0.25">
      <c r="A34" s="11" t="s">
        <v>27</v>
      </c>
      <c r="B34" s="8">
        <f>69</f>
        <v>69</v>
      </c>
      <c r="C34" s="2">
        <v>69</v>
      </c>
      <c r="D34" s="2">
        <v>100</v>
      </c>
      <c r="E34" s="2">
        <v>100</v>
      </c>
    </row>
    <row r="35" spans="1:5" x14ac:dyDescent="0.25">
      <c r="A35" s="11" t="s">
        <v>28</v>
      </c>
      <c r="B35" s="8">
        <f>50</f>
        <v>50</v>
      </c>
      <c r="C35" s="2">
        <v>50</v>
      </c>
      <c r="D35" s="2">
        <v>0</v>
      </c>
      <c r="E35" s="2">
        <v>100</v>
      </c>
    </row>
    <row r="36" spans="1:5" x14ac:dyDescent="0.25">
      <c r="A36" s="11" t="s">
        <v>29</v>
      </c>
      <c r="B36" s="8">
        <f>5805.29</f>
        <v>5805.29</v>
      </c>
      <c r="C36" s="2">
        <v>5805.29</v>
      </c>
      <c r="D36" s="2">
        <v>8000</v>
      </c>
      <c r="E36" s="2">
        <v>6000</v>
      </c>
    </row>
    <row r="37" spans="1:5" x14ac:dyDescent="0.25">
      <c r="A37" s="11" t="s">
        <v>30</v>
      </c>
      <c r="B37" s="8">
        <f>738.49</f>
        <v>738.49</v>
      </c>
      <c r="C37" s="2"/>
      <c r="D37" s="2"/>
      <c r="E37" s="2"/>
    </row>
    <row r="38" spans="1:5" x14ac:dyDescent="0.25">
      <c r="A38" s="11" t="s">
        <v>31</v>
      </c>
      <c r="B38" s="8">
        <f>5102.74</f>
        <v>5102.74</v>
      </c>
      <c r="C38" s="2"/>
      <c r="D38" s="2"/>
      <c r="E38" s="2"/>
    </row>
    <row r="39" spans="1:5" x14ac:dyDescent="0.25">
      <c r="A39" s="11" t="s">
        <v>32</v>
      </c>
      <c r="B39" s="8">
        <f>10917.95</f>
        <v>10917.95</v>
      </c>
      <c r="C39" s="2"/>
      <c r="D39" s="2"/>
      <c r="E39" s="2"/>
    </row>
    <row r="40" spans="1:5" x14ac:dyDescent="0.25">
      <c r="A40" s="11" t="s">
        <v>33</v>
      </c>
      <c r="B40" s="9">
        <f>((B37)+(B38))+(B39)</f>
        <v>16759.18</v>
      </c>
      <c r="C40" s="3">
        <v>17000</v>
      </c>
      <c r="D40" s="3">
        <v>5000</v>
      </c>
      <c r="E40" s="3">
        <v>10000</v>
      </c>
    </row>
    <row r="41" spans="1:5" x14ac:dyDescent="0.25">
      <c r="A41" s="11" t="s">
        <v>34</v>
      </c>
      <c r="B41" s="7"/>
      <c r="C41" s="2"/>
      <c r="D41" s="2"/>
      <c r="E41" s="2"/>
    </row>
    <row r="42" spans="1:5" x14ac:dyDescent="0.25">
      <c r="A42" s="11" t="s">
        <v>35</v>
      </c>
      <c r="B42" s="8">
        <f>25249.3</f>
        <v>25249.3</v>
      </c>
      <c r="C42" s="2"/>
      <c r="D42" s="2"/>
      <c r="E42" s="2"/>
    </row>
    <row r="43" spans="1:5" x14ac:dyDescent="0.25">
      <c r="A43" s="11" t="s">
        <v>36</v>
      </c>
      <c r="B43" s="9">
        <f>(B41)+(B42)</f>
        <v>25249.3</v>
      </c>
      <c r="C43" s="3">
        <v>25249.3</v>
      </c>
      <c r="D43" s="3">
        <v>17000</v>
      </c>
      <c r="E43" s="3">
        <v>25000</v>
      </c>
    </row>
    <row r="44" spans="1:5" x14ac:dyDescent="0.25">
      <c r="A44" s="11" t="s">
        <v>37</v>
      </c>
      <c r="B44" s="8">
        <f>5833.37</f>
        <v>5833.37</v>
      </c>
      <c r="C44" s="3">
        <v>10000</v>
      </c>
      <c r="D44" s="3">
        <v>5000</v>
      </c>
      <c r="E44" s="3">
        <v>8000</v>
      </c>
    </row>
    <row r="45" spans="1:5" x14ac:dyDescent="0.25">
      <c r="A45" s="11" t="s">
        <v>38</v>
      </c>
      <c r="B45" s="9">
        <f>(((((((((((((((B9)+(B19))+(B22))+(B25))+(B26))+(B27))+(B28))+(B32))+(B33))+(B34))+(B35))+(B36))+(B40))+(B43))+(B44))</f>
        <v>238402.43</v>
      </c>
      <c r="C45" s="2"/>
      <c r="D45" s="2"/>
      <c r="E45" s="2"/>
    </row>
    <row r="46" spans="1:5" x14ac:dyDescent="0.25">
      <c r="A46" s="11" t="s">
        <v>39</v>
      </c>
      <c r="B46" s="3">
        <f>SUM(B9+B14+B15+B19+B22+B25+B26+B27+B28+B32+B33+B34+B35+B36+B40+B43+B44)</f>
        <v>374222.23999999993</v>
      </c>
      <c r="C46" s="3">
        <f>SUM(C9+C14+C15+C19+C22+C25+C26+C27+C28+C32+C33+C34+C35+C36+C40+C43+C44)</f>
        <v>408754.16999999993</v>
      </c>
      <c r="D46" s="3">
        <f>SUM(D9+D14+D15+D19+D22+D25+D26+D27+D28+D32+D33+D34+D35+D36+D40+D43+D44)</f>
        <v>280930</v>
      </c>
      <c r="E46" s="3">
        <f>SUM(E9+E14+E15+E19+E22+E25+E26+E27+E28+E32+E33+E34+E35+E36+E40+E43+E44)</f>
        <v>369840</v>
      </c>
    </row>
    <row r="47" spans="1:5" x14ac:dyDescent="0.25">
      <c r="A47" s="11" t="s">
        <v>40</v>
      </c>
      <c r="B47" s="7"/>
      <c r="C47" s="2"/>
      <c r="D47" s="2"/>
      <c r="E47" s="2"/>
    </row>
    <row r="48" spans="1:5" x14ac:dyDescent="0.25">
      <c r="A48" s="11" t="s">
        <v>41</v>
      </c>
      <c r="B48" s="7"/>
      <c r="C48" s="2"/>
      <c r="D48" s="2"/>
      <c r="E48" s="2"/>
    </row>
    <row r="49" spans="1:5" x14ac:dyDescent="0.25">
      <c r="A49" s="11" t="s">
        <v>42</v>
      </c>
      <c r="B49" s="8">
        <v>10785</v>
      </c>
      <c r="C49" s="2">
        <v>13505</v>
      </c>
      <c r="D49" s="2"/>
      <c r="E49" s="2">
        <v>18570</v>
      </c>
    </row>
    <row r="50" spans="1:5" x14ac:dyDescent="0.25">
      <c r="A50" s="11" t="s">
        <v>43</v>
      </c>
      <c r="B50" s="8">
        <f>20</f>
        <v>20</v>
      </c>
      <c r="C50" s="2">
        <v>20</v>
      </c>
      <c r="D50" s="2"/>
      <c r="E50" s="2">
        <v>0</v>
      </c>
    </row>
    <row r="51" spans="1:5" x14ac:dyDescent="0.25">
      <c r="A51" s="11" t="s">
        <v>44</v>
      </c>
      <c r="B51" s="8">
        <v>1040</v>
      </c>
      <c r="C51" s="2">
        <v>1280</v>
      </c>
      <c r="D51" s="2"/>
      <c r="E51" s="2">
        <v>1440</v>
      </c>
    </row>
    <row r="52" spans="1:5" x14ac:dyDescent="0.25">
      <c r="A52" s="11" t="s">
        <v>45</v>
      </c>
      <c r="B52" s="8">
        <f>1285.64</f>
        <v>1285.6400000000001</v>
      </c>
      <c r="C52" s="2">
        <v>1285.6400000000001</v>
      </c>
      <c r="D52" s="2"/>
      <c r="E52" s="2">
        <v>1600</v>
      </c>
    </row>
    <row r="53" spans="1:5" x14ac:dyDescent="0.25">
      <c r="A53" s="11" t="s">
        <v>46</v>
      </c>
      <c r="B53" s="8">
        <v>199</v>
      </c>
      <c r="C53" s="2">
        <v>199</v>
      </c>
      <c r="D53" s="2"/>
      <c r="E53" s="2">
        <v>200</v>
      </c>
    </row>
    <row r="54" spans="1:5" x14ac:dyDescent="0.25">
      <c r="A54" s="11" t="s">
        <v>47</v>
      </c>
      <c r="B54" s="9">
        <f>(B52)+(B53)</f>
        <v>1484.64</v>
      </c>
      <c r="C54" s="9">
        <f>(C52)+(C53)</f>
        <v>1484.64</v>
      </c>
      <c r="D54" s="2"/>
      <c r="E54" s="9">
        <f>(E52)+(E53)</f>
        <v>1800</v>
      </c>
    </row>
    <row r="55" spans="1:5" x14ac:dyDescent="0.25">
      <c r="A55" s="11" t="s">
        <v>48</v>
      </c>
      <c r="B55" s="8">
        <f>790.68</f>
        <v>790.68</v>
      </c>
      <c r="C55" s="2">
        <v>900</v>
      </c>
      <c r="D55" s="2"/>
      <c r="E55" s="2">
        <v>1150</v>
      </c>
    </row>
    <row r="56" spans="1:5" x14ac:dyDescent="0.25">
      <c r="A56" s="11" t="s">
        <v>49</v>
      </c>
      <c r="B56" s="8">
        <f>452.91</f>
        <v>452.91</v>
      </c>
      <c r="C56" s="2">
        <v>452.91</v>
      </c>
      <c r="D56" s="2"/>
      <c r="E56" s="2">
        <v>500</v>
      </c>
    </row>
    <row r="57" spans="1:5" x14ac:dyDescent="0.25">
      <c r="A57" s="11" t="s">
        <v>50</v>
      </c>
      <c r="B57" s="8">
        <f>1223.78</f>
        <v>1223.78</v>
      </c>
      <c r="C57" s="2">
        <v>1323.78</v>
      </c>
      <c r="D57" s="2"/>
      <c r="E57" s="2">
        <v>1500</v>
      </c>
    </row>
    <row r="58" spans="1:5" x14ac:dyDescent="0.25">
      <c r="A58" s="11" t="s">
        <v>51</v>
      </c>
      <c r="B58" s="8">
        <v>6000</v>
      </c>
      <c r="C58" s="2">
        <v>7200</v>
      </c>
      <c r="D58" s="2"/>
      <c r="E58" s="2">
        <v>10800</v>
      </c>
    </row>
    <row r="59" spans="1:5" x14ac:dyDescent="0.25">
      <c r="A59" s="11" t="s">
        <v>52</v>
      </c>
      <c r="B59" s="8">
        <f>600</f>
        <v>600</v>
      </c>
      <c r="C59" s="2">
        <v>600</v>
      </c>
      <c r="D59" s="2"/>
      <c r="E59" s="2">
        <v>600</v>
      </c>
    </row>
    <row r="60" spans="1:5" x14ac:dyDescent="0.25">
      <c r="A60" s="11" t="s">
        <v>53</v>
      </c>
      <c r="B60" s="9">
        <f>(((((((((B48)+(B49))+(B50))+(B51))+(B54))+(B55))+(B56))+(B57))+(B58))+(B59)</f>
        <v>22397.010000000002</v>
      </c>
      <c r="C60" s="9">
        <f>(((((((((C48)+(C49))+(C50))+(C51))+(C54))+(C55))+(C56))+(C57))+(C58))+(C59)</f>
        <v>26766.329999999998</v>
      </c>
      <c r="D60" s="3">
        <v>35650</v>
      </c>
      <c r="E60" s="9">
        <f>(((((((((E48)+(E49))+(E50))+(E51))+(E54))+(E55))+(E56))+(E57))+(E58))+(E59)</f>
        <v>36360</v>
      </c>
    </row>
    <row r="61" spans="1:5" x14ac:dyDescent="0.25">
      <c r="A61" s="11" t="s">
        <v>54</v>
      </c>
      <c r="B61" s="8">
        <v>2982.01</v>
      </c>
      <c r="C61" s="2">
        <v>3580.01</v>
      </c>
      <c r="D61" s="2"/>
      <c r="E61" s="2">
        <v>3588</v>
      </c>
    </row>
    <row r="62" spans="1:5" x14ac:dyDescent="0.25">
      <c r="A62" s="11" t="s">
        <v>55</v>
      </c>
      <c r="B62" s="8">
        <f>60</f>
        <v>60</v>
      </c>
      <c r="C62" s="2">
        <v>60</v>
      </c>
      <c r="D62" s="2"/>
      <c r="E62" s="2">
        <v>720</v>
      </c>
    </row>
    <row r="63" spans="1:5" x14ac:dyDescent="0.25">
      <c r="A63" s="11" t="s">
        <v>56</v>
      </c>
      <c r="B63" s="8">
        <f>1480</f>
        <v>1480</v>
      </c>
      <c r="C63" s="2">
        <v>1480</v>
      </c>
      <c r="D63" s="2"/>
      <c r="E63" s="2">
        <v>1500</v>
      </c>
    </row>
    <row r="64" spans="1:5" x14ac:dyDescent="0.25">
      <c r="A64" s="11" t="s">
        <v>57</v>
      </c>
      <c r="B64" s="9">
        <f>((B61)+(B62))+(B63)</f>
        <v>4522.01</v>
      </c>
      <c r="C64" s="3">
        <f>SUM(C61:C63)</f>
        <v>5120.01</v>
      </c>
      <c r="D64" s="3">
        <v>8050</v>
      </c>
      <c r="E64" s="3">
        <f>SUM(E61:E63)</f>
        <v>5808</v>
      </c>
    </row>
    <row r="65" spans="1:5" x14ac:dyDescent="0.25">
      <c r="A65" s="11" t="s">
        <v>58</v>
      </c>
      <c r="B65" s="8">
        <v>716.51</v>
      </c>
      <c r="C65" s="2">
        <f>716.51+7.95+7.95</f>
        <v>732.41000000000008</v>
      </c>
      <c r="D65" s="2"/>
      <c r="E65" s="2">
        <v>1400</v>
      </c>
    </row>
    <row r="66" spans="1:5" x14ac:dyDescent="0.25">
      <c r="A66" s="11" t="s">
        <v>59</v>
      </c>
      <c r="B66" s="8">
        <f>1235.12</f>
        <v>1235.1199999999999</v>
      </c>
      <c r="C66" s="2">
        <v>1629.36</v>
      </c>
      <c r="D66" s="2"/>
      <c r="E66" s="2">
        <v>2400</v>
      </c>
    </row>
    <row r="67" spans="1:5" x14ac:dyDescent="0.25">
      <c r="A67" s="11" t="s">
        <v>60</v>
      </c>
      <c r="B67" s="9">
        <f>(B65)+(B66)</f>
        <v>1951.6299999999999</v>
      </c>
      <c r="C67" s="3">
        <f>C65+C66</f>
        <v>2361.77</v>
      </c>
      <c r="D67" s="3">
        <v>1875</v>
      </c>
      <c r="E67" s="3">
        <f>E65+E66</f>
        <v>3800</v>
      </c>
    </row>
    <row r="68" spans="1:5" x14ac:dyDescent="0.25">
      <c r="A68" s="11" t="s">
        <v>61</v>
      </c>
      <c r="B68" s="8">
        <v>0</v>
      </c>
      <c r="C68" s="2"/>
      <c r="D68" s="2"/>
      <c r="E68" s="2"/>
    </row>
    <row r="69" spans="1:5" x14ac:dyDescent="0.25">
      <c r="A69" s="11" t="s">
        <v>62</v>
      </c>
      <c r="B69" s="8">
        <f>94.82</f>
        <v>94.82</v>
      </c>
      <c r="C69" s="2">
        <v>94.82</v>
      </c>
      <c r="D69" s="2"/>
      <c r="E69" s="2">
        <v>200</v>
      </c>
    </row>
    <row r="70" spans="1:5" x14ac:dyDescent="0.25">
      <c r="A70" s="11" t="s">
        <v>63</v>
      </c>
      <c r="B70" s="8">
        <f>30007.79</f>
        <v>30007.79</v>
      </c>
      <c r="C70" s="2">
        <v>30007.79</v>
      </c>
      <c r="D70" s="2"/>
      <c r="E70" s="2">
        <v>30000</v>
      </c>
    </row>
    <row r="71" spans="1:5" x14ac:dyDescent="0.25">
      <c r="A71" s="11" t="s">
        <v>64</v>
      </c>
      <c r="B71" s="8">
        <f>15</f>
        <v>15</v>
      </c>
      <c r="C71" s="2">
        <v>15</v>
      </c>
      <c r="D71" s="2"/>
      <c r="E71" s="2">
        <v>50</v>
      </c>
    </row>
    <row r="72" spans="1:5" x14ac:dyDescent="0.25">
      <c r="A72" s="11" t="s">
        <v>35</v>
      </c>
      <c r="B72" s="8">
        <v>4287</v>
      </c>
      <c r="C72" s="2">
        <v>4287</v>
      </c>
      <c r="D72" s="2"/>
      <c r="E72" s="2">
        <v>4500</v>
      </c>
    </row>
    <row r="73" spans="1:5" x14ac:dyDescent="0.25">
      <c r="A73" s="11" t="s">
        <v>65</v>
      </c>
      <c r="B73" s="9">
        <f>((((B68)+(B69))+(B70))+(B71))+(B72)</f>
        <v>34404.61</v>
      </c>
      <c r="C73" s="3">
        <f>SUM(C69:C72)</f>
        <v>34404.61</v>
      </c>
      <c r="D73" s="3">
        <v>27600</v>
      </c>
      <c r="E73" s="3">
        <f>SUM(E69:E72)</f>
        <v>34750</v>
      </c>
    </row>
    <row r="74" spans="1:5" x14ac:dyDescent="0.25">
      <c r="A74" s="11" t="s">
        <v>66</v>
      </c>
      <c r="B74" s="7"/>
      <c r="C74" s="2"/>
      <c r="D74" s="2"/>
      <c r="E74" s="2"/>
    </row>
    <row r="75" spans="1:5" x14ac:dyDescent="0.25">
      <c r="A75" s="11" t="s">
        <v>67</v>
      </c>
      <c r="B75" s="8">
        <f>1853</f>
        <v>1853</v>
      </c>
      <c r="C75" s="2">
        <v>1853</v>
      </c>
      <c r="D75" s="2"/>
      <c r="E75" s="2"/>
    </row>
    <row r="76" spans="1:5" x14ac:dyDescent="0.25">
      <c r="A76" s="11" t="s">
        <v>68</v>
      </c>
      <c r="B76" s="8">
        <f>3548</f>
        <v>3548</v>
      </c>
      <c r="C76" s="2">
        <v>3548</v>
      </c>
      <c r="D76" s="2"/>
      <c r="E76" s="2"/>
    </row>
    <row r="77" spans="1:5" x14ac:dyDescent="0.25">
      <c r="A77" s="11" t="s">
        <v>69</v>
      </c>
      <c r="B77" s="8">
        <f>547</f>
        <v>547</v>
      </c>
      <c r="C77" s="2">
        <f>547+168</f>
        <v>715</v>
      </c>
      <c r="D77" s="2"/>
      <c r="E77" s="2"/>
    </row>
    <row r="78" spans="1:5" x14ac:dyDescent="0.25">
      <c r="A78" s="11" t="s">
        <v>70</v>
      </c>
      <c r="B78" s="9">
        <f>(((B74)+(B75))+(B76))+(B77)</f>
        <v>5948</v>
      </c>
      <c r="C78" s="3">
        <f>SUM(C75:C77)</f>
        <v>6116</v>
      </c>
      <c r="D78" s="3">
        <v>6070</v>
      </c>
      <c r="E78" s="3">
        <v>6500</v>
      </c>
    </row>
    <row r="79" spans="1:5" x14ac:dyDescent="0.25">
      <c r="A79" s="11" t="s">
        <v>71</v>
      </c>
      <c r="B79" s="8">
        <f>3210.62</f>
        <v>3210.62</v>
      </c>
      <c r="C79" s="2">
        <v>3875</v>
      </c>
      <c r="D79" s="2">
        <v>3500</v>
      </c>
      <c r="E79" s="2">
        <v>4000</v>
      </c>
    </row>
    <row r="80" spans="1:5" x14ac:dyDescent="0.25">
      <c r="A80" s="11" t="s">
        <v>72</v>
      </c>
      <c r="B80" s="8">
        <f>1210</f>
        <v>1210</v>
      </c>
      <c r="C80" s="2">
        <v>1260</v>
      </c>
      <c r="D80" s="2">
        <v>1400</v>
      </c>
      <c r="E80" s="2">
        <v>1475</v>
      </c>
    </row>
    <row r="81" spans="1:5" x14ac:dyDescent="0.25">
      <c r="A81" s="11" t="s">
        <v>73</v>
      </c>
      <c r="B81" s="8">
        <v>1496.02</v>
      </c>
      <c r="C81" s="2">
        <v>1808.48</v>
      </c>
      <c r="D81" s="2"/>
      <c r="E81" s="1">
        <v>1950</v>
      </c>
    </row>
    <row r="82" spans="1:5" ht="30.75" customHeight="1" x14ac:dyDescent="0.25">
      <c r="A82" s="11" t="s">
        <v>74</v>
      </c>
      <c r="B82" s="8">
        <f>3126.45</f>
        <v>3126.45</v>
      </c>
      <c r="C82" s="2">
        <v>3126.45</v>
      </c>
      <c r="D82" s="2"/>
      <c r="E82" s="2">
        <v>3000</v>
      </c>
    </row>
    <row r="83" spans="1:5" x14ac:dyDescent="0.25">
      <c r="A83" s="11" t="s">
        <v>75</v>
      </c>
      <c r="B83" s="8">
        <v>3527.64</v>
      </c>
      <c r="C83" s="2">
        <v>3700</v>
      </c>
      <c r="D83" s="2"/>
      <c r="E83" s="2">
        <v>3800</v>
      </c>
    </row>
    <row r="84" spans="1:5" x14ac:dyDescent="0.25">
      <c r="A84" s="11" t="s">
        <v>76</v>
      </c>
      <c r="B84" s="9">
        <f>((B81)+(B82))+(B83)</f>
        <v>8150.1099999999988</v>
      </c>
      <c r="C84" s="3">
        <f>SUM(C81:C83)</f>
        <v>8634.93</v>
      </c>
      <c r="D84" s="3">
        <v>7250</v>
      </c>
      <c r="E84" s="3">
        <f>SUM(E81:E83)</f>
        <v>8750</v>
      </c>
    </row>
    <row r="85" spans="1:5" x14ac:dyDescent="0.25">
      <c r="A85" s="11" t="s">
        <v>77</v>
      </c>
      <c r="B85" s="7"/>
      <c r="C85" s="2"/>
      <c r="D85" s="2"/>
      <c r="E85" s="2"/>
    </row>
    <row r="86" spans="1:5" x14ac:dyDescent="0.25">
      <c r="A86" s="11" t="s">
        <v>78</v>
      </c>
      <c r="B86" s="8">
        <f>9693.56</f>
        <v>9693.56</v>
      </c>
      <c r="C86" s="2"/>
      <c r="D86" s="2"/>
      <c r="E86" s="2"/>
    </row>
    <row r="87" spans="1:5" x14ac:dyDescent="0.25">
      <c r="A87" s="11" t="s">
        <v>79</v>
      </c>
      <c r="B87" s="8">
        <f>121470.45</f>
        <v>121470.45</v>
      </c>
      <c r="C87" s="2"/>
      <c r="D87" s="2"/>
      <c r="E87" s="2"/>
    </row>
    <row r="88" spans="1:5" x14ac:dyDescent="0.25">
      <c r="A88" s="11" t="s">
        <v>80</v>
      </c>
      <c r="B88" s="9">
        <f>((B85)+(B86))+(B87)</f>
        <v>131164.01</v>
      </c>
      <c r="C88" s="3">
        <v>145840.31</v>
      </c>
      <c r="D88" s="3">
        <v>155850</v>
      </c>
      <c r="E88" s="3">
        <v>160200</v>
      </c>
    </row>
    <row r="89" spans="1:5" x14ac:dyDescent="0.25">
      <c r="A89" s="11" t="s">
        <v>81</v>
      </c>
      <c r="B89" s="8">
        <f>204</f>
        <v>204</v>
      </c>
      <c r="C89" s="2">
        <v>204</v>
      </c>
      <c r="D89" s="2">
        <v>175</v>
      </c>
      <c r="E89" s="2">
        <v>204</v>
      </c>
    </row>
    <row r="90" spans="1:5" x14ac:dyDescent="0.25">
      <c r="A90" s="11" t="s">
        <v>82</v>
      </c>
      <c r="B90" s="8">
        <f>894.32</f>
        <v>894.32</v>
      </c>
      <c r="C90" s="2">
        <v>1194</v>
      </c>
      <c r="D90" s="2">
        <v>1500</v>
      </c>
      <c r="E90" s="2">
        <v>1500</v>
      </c>
    </row>
    <row r="91" spans="1:5" x14ac:dyDescent="0.25">
      <c r="A91" s="11" t="s">
        <v>83</v>
      </c>
      <c r="B91" s="8">
        <f>33070.98</f>
        <v>33070.980000000003</v>
      </c>
      <c r="C91" s="2">
        <v>39975.730000000003</v>
      </c>
      <c r="D91" s="2">
        <v>41400</v>
      </c>
      <c r="E91" s="2">
        <f>34765+9756</f>
        <v>44521</v>
      </c>
    </row>
    <row r="92" spans="1:5" x14ac:dyDescent="0.25">
      <c r="A92" s="11" t="s">
        <v>84</v>
      </c>
      <c r="B92" s="8">
        <f>2959.81</f>
        <v>2959.81</v>
      </c>
      <c r="C92" s="2">
        <v>3365</v>
      </c>
      <c r="D92" s="2">
        <v>3000</v>
      </c>
      <c r="E92" s="2">
        <v>2500</v>
      </c>
    </row>
    <row r="93" spans="1:5" x14ac:dyDescent="0.25">
      <c r="A93" s="11" t="s">
        <v>85</v>
      </c>
      <c r="B93" s="8">
        <f>3345.81</f>
        <v>3345.81</v>
      </c>
      <c r="C93" s="2">
        <v>3345.81</v>
      </c>
      <c r="D93" s="2">
        <v>5000</v>
      </c>
      <c r="E93" s="2">
        <v>5000</v>
      </c>
    </row>
    <row r="94" spans="1:5" x14ac:dyDescent="0.25">
      <c r="A94" s="11" t="s">
        <v>86</v>
      </c>
      <c r="B94" s="7"/>
      <c r="C94" s="2"/>
      <c r="D94" s="2"/>
      <c r="E94" s="2"/>
    </row>
    <row r="95" spans="1:5" x14ac:dyDescent="0.25">
      <c r="A95" s="11" t="s">
        <v>87</v>
      </c>
      <c r="B95" s="8">
        <f>3621.22</f>
        <v>3621.22</v>
      </c>
      <c r="C95" s="2">
        <v>4828</v>
      </c>
      <c r="D95" s="2"/>
      <c r="E95" s="2">
        <v>5000</v>
      </c>
    </row>
    <row r="96" spans="1:5" x14ac:dyDescent="0.25">
      <c r="A96" s="11" t="s">
        <v>88</v>
      </c>
      <c r="B96" s="8">
        <v>450</v>
      </c>
      <c r="C96" s="2">
        <f>450+45+45</f>
        <v>540</v>
      </c>
      <c r="D96" s="2"/>
      <c r="E96" s="2">
        <v>540</v>
      </c>
    </row>
    <row r="97" spans="1:5" x14ac:dyDescent="0.25">
      <c r="A97" s="11" t="s">
        <v>89</v>
      </c>
      <c r="B97" s="8">
        <f>248.4</f>
        <v>248.4</v>
      </c>
      <c r="C97" s="2">
        <v>250</v>
      </c>
      <c r="D97" s="2"/>
      <c r="E97" s="2">
        <v>250</v>
      </c>
    </row>
    <row r="98" spans="1:5" x14ac:dyDescent="0.25">
      <c r="A98" s="11" t="s">
        <v>90</v>
      </c>
      <c r="B98" s="9">
        <f>(((B94)+(B95))+(B96))+(B97)</f>
        <v>4319.62</v>
      </c>
      <c r="C98" s="3">
        <f>SUM(C95:C97)</f>
        <v>5618</v>
      </c>
      <c r="D98" s="3">
        <v>5859.4</v>
      </c>
      <c r="E98" s="3">
        <f>SUM(E95:E97)</f>
        <v>5790</v>
      </c>
    </row>
    <row r="99" spans="1:5" x14ac:dyDescent="0.25">
      <c r="A99" s="11" t="s">
        <v>91</v>
      </c>
      <c r="B99" s="8">
        <f>1650.75</f>
        <v>1650.75</v>
      </c>
      <c r="C99" s="2">
        <v>3000</v>
      </c>
      <c r="D99" s="2">
        <v>5000</v>
      </c>
      <c r="E99" s="2">
        <v>5000</v>
      </c>
    </row>
    <row r="100" spans="1:5" x14ac:dyDescent="0.25">
      <c r="A100" s="11" t="s">
        <v>92</v>
      </c>
      <c r="B100" s="9">
        <f>(((((((((((((((+(B60))+(B64))+(B67))+(B73))+(B78))+(B79))+(B80))+(B84))+(B88))+(B89))+(B90))+(B91))+(B92))+(B93))+(B98))+(B99)</f>
        <v>259403.29</v>
      </c>
      <c r="C100" s="9">
        <f>(((((((((((((((+(C60))+(C64))+(C67))+(C73))+(C78))+(C79))+(C80))+(C84))+(C88))+(C89))+(C90))+(C91))+(C92))+(C93))+(C98))+(C99)</f>
        <v>291081.5</v>
      </c>
      <c r="D100" s="9">
        <f>(((((((((((((((+(D60))+(D64))+(D67))+(D73))+(D78))+(D79))+(D80))+(D84))+(D88))+(D89))+(D90))+(D91))+(D92))+(D93))+(D98))+(D99)</f>
        <v>309179.40000000002</v>
      </c>
      <c r="E100" s="9">
        <f>(((((((((((((((+(E60))+(E64))+(E67))+(E73))+(E78))+(E79))+(E80))+(E84))+(E88))+(E89))+(E90))+(E91))+(E92))+(E93))+(E98))+(E99)</f>
        <v>326158</v>
      </c>
    </row>
    <row r="101" spans="1:5" x14ac:dyDescent="0.25">
      <c r="A101" s="11" t="s">
        <v>93</v>
      </c>
      <c r="B101" s="9">
        <f>(B46)-(B100)</f>
        <v>114818.94999999992</v>
      </c>
      <c r="C101" s="9">
        <f>(C46)-(C100)</f>
        <v>117672.66999999993</v>
      </c>
      <c r="D101" s="9">
        <f>(D46)-(D100)</f>
        <v>-28249.400000000023</v>
      </c>
      <c r="E101" s="9">
        <f>(E46)-(E100)</f>
        <v>43682</v>
      </c>
    </row>
    <row r="102" spans="1:5" x14ac:dyDescent="0.25">
      <c r="A102" s="11" t="s">
        <v>94</v>
      </c>
      <c r="B102" s="9">
        <f>(B101)+(0)</f>
        <v>114818.94999999992</v>
      </c>
      <c r="C102" s="9">
        <f>(C101)+(0)</f>
        <v>117672.66999999993</v>
      </c>
      <c r="D102" s="2"/>
      <c r="E102" s="2"/>
    </row>
    <row r="103" spans="1:5" x14ac:dyDescent="0.25">
      <c r="A103" s="12"/>
      <c r="B103" s="10"/>
    </row>
    <row r="106" spans="1:5" x14ac:dyDescent="0.25">
      <c r="A106" s="13"/>
      <c r="B106" s="14"/>
    </row>
  </sheetData>
  <mergeCells count="4">
    <mergeCell ref="A106:B106"/>
    <mergeCell ref="A1:B1"/>
    <mergeCell ref="A2:B2"/>
    <mergeCell ref="A3:B3"/>
  </mergeCells>
  <pageMargins left="0.2" right="0.2" top="0" bottom="0.2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Carmela Mechling</cp:lastModifiedBy>
  <cp:lastPrinted>2021-11-08T13:57:08Z</cp:lastPrinted>
  <dcterms:created xsi:type="dcterms:W3CDTF">2021-11-07T21:13:52Z</dcterms:created>
  <dcterms:modified xsi:type="dcterms:W3CDTF">2022-10-31T15:44:24Z</dcterms:modified>
</cp:coreProperties>
</file>