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Z:\Financials\2023 Financials\"/>
    </mc:Choice>
  </mc:AlternateContent>
  <xr:revisionPtr revIDLastSave="0" documentId="8_{C4D34A36-451F-40DF-AD69-63E933D6EECA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 Cash Basis P&amp;L" sheetId="12" r:id="rId1"/>
    <sheet name="March 2022 Accrual Basis BS" sheetId="10" r:id="rId2"/>
    <sheet name="Statement of Activity" sheetId="4" state="hidden" r:id="rId3"/>
    <sheet name="Sheet2" sheetId="2" state="hidden" r:id="rId4"/>
  </sheets>
  <definedNames>
    <definedName name="_xlnm.Print_Titles" localSheetId="0">' Cash Basis P&amp;L'!$4:$5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1" i="12" l="1"/>
  <c r="W100" i="12"/>
  <c r="W98" i="12"/>
  <c r="W79" i="12"/>
  <c r="W68" i="12"/>
  <c r="W36" i="12"/>
  <c r="W28" i="12"/>
  <c r="W21" i="12"/>
  <c r="W23" i="12" s="1"/>
  <c r="W38" i="12" s="1"/>
  <c r="W102" i="12" s="1"/>
  <c r="W13" i="12"/>
  <c r="T21" i="12" l="1"/>
  <c r="S98" i="12"/>
  <c r="R97" i="12"/>
  <c r="R96" i="12"/>
  <c r="R94" i="12"/>
  <c r="R93" i="12"/>
  <c r="R92" i="12"/>
  <c r="R91" i="12"/>
  <c r="R90" i="12"/>
  <c r="R89" i="12"/>
  <c r="R98" i="12" s="1"/>
  <c r="R88" i="12"/>
  <c r="R87" i="12"/>
  <c r="R86" i="12"/>
  <c r="R85" i="12"/>
  <c r="R84" i="12"/>
  <c r="R83" i="12"/>
  <c r="R82" i="12"/>
  <c r="S79" i="12"/>
  <c r="S100" i="12" s="1"/>
  <c r="R78" i="12"/>
  <c r="R77" i="12"/>
  <c r="R76" i="12"/>
  <c r="R75" i="12"/>
  <c r="R74" i="12"/>
  <c r="R73" i="12"/>
  <c r="R72" i="12"/>
  <c r="R71" i="12"/>
  <c r="R79" i="12" s="1"/>
  <c r="S68" i="12"/>
  <c r="R67" i="12"/>
  <c r="R66" i="12"/>
  <c r="R65" i="12"/>
  <c r="R68" i="12" s="1"/>
  <c r="R100" i="12" s="1"/>
  <c r="S36" i="12"/>
  <c r="R35" i="12"/>
  <c r="R33" i="12"/>
  <c r="R32" i="12"/>
  <c r="R31" i="12"/>
  <c r="R36" i="12" s="1"/>
  <c r="S28" i="12"/>
  <c r="S38" i="12" s="1"/>
  <c r="S102" i="12" s="1"/>
  <c r="S107" i="12" s="1"/>
  <c r="S109" i="12" s="1"/>
  <c r="R28" i="12"/>
  <c r="R27" i="12"/>
  <c r="R26" i="12"/>
  <c r="S23" i="12"/>
  <c r="R21" i="12"/>
  <c r="R19" i="12"/>
  <c r="R18" i="12"/>
  <c r="R17" i="12"/>
  <c r="R23" i="12" s="1"/>
  <c r="S16" i="12"/>
  <c r="R16" i="12"/>
  <c r="S13" i="12"/>
  <c r="R12" i="12"/>
  <c r="R11" i="12"/>
  <c r="R10" i="12"/>
  <c r="R8" i="12"/>
  <c r="R13" i="12" s="1"/>
  <c r="T13" i="12"/>
  <c r="T28" i="12"/>
  <c r="T36" i="12"/>
  <c r="T68" i="12"/>
  <c r="T79" i="12"/>
  <c r="T98" i="12"/>
  <c r="T100" i="12" l="1"/>
  <c r="T23" i="12"/>
  <c r="T38" i="12" s="1"/>
  <c r="R38" i="12"/>
  <c r="R102" i="12" s="1"/>
  <c r="X98" i="12"/>
  <c r="X79" i="12"/>
  <c r="X68" i="12"/>
  <c r="X31" i="12"/>
  <c r="X36" i="12" s="1"/>
  <c r="X28" i="12"/>
  <c r="X13" i="12"/>
  <c r="T102" i="12" l="1"/>
  <c r="X22" i="12" s="1"/>
  <c r="X100" i="12"/>
  <c r="F39" i="10"/>
  <c r="F38" i="10"/>
  <c r="F37" i="10"/>
  <c r="F25" i="10"/>
  <c r="V68" i="12" l="1"/>
  <c r="F82" i="10" l="1"/>
  <c r="F89" i="10"/>
  <c r="F32" i="10" l="1"/>
  <c r="P98" i="12" l="1"/>
  <c r="O98" i="12"/>
  <c r="P79" i="12"/>
  <c r="O79" i="12"/>
  <c r="P68" i="12"/>
  <c r="O68" i="12"/>
  <c r="P36" i="12"/>
  <c r="O36" i="12"/>
  <c r="P28" i="12"/>
  <c r="O28" i="12"/>
  <c r="O23" i="12"/>
  <c r="P23" i="12"/>
  <c r="O13" i="12"/>
  <c r="P100" i="12" l="1"/>
  <c r="P13" i="12"/>
  <c r="P38" i="12" s="1"/>
  <c r="O38" i="12"/>
  <c r="O100" i="12"/>
  <c r="V98" i="12"/>
  <c r="N98" i="12"/>
  <c r="M97" i="12"/>
  <c r="M96" i="12"/>
  <c r="M95" i="12"/>
  <c r="M94" i="12"/>
  <c r="M93" i="12"/>
  <c r="M92" i="12"/>
  <c r="M91" i="12"/>
  <c r="M89" i="12"/>
  <c r="M88" i="12"/>
  <c r="L88" i="12"/>
  <c r="K88" i="12"/>
  <c r="J88" i="12"/>
  <c r="I88" i="12"/>
  <c r="M87" i="12"/>
  <c r="M86" i="12"/>
  <c r="L86" i="12"/>
  <c r="M85" i="12"/>
  <c r="M84" i="12"/>
  <c r="M83" i="12"/>
  <c r="L83" i="12"/>
  <c r="M82" i="12"/>
  <c r="L82" i="12"/>
  <c r="K82" i="12"/>
  <c r="K79" i="12" s="1"/>
  <c r="J82" i="12"/>
  <c r="J79" i="12" s="1"/>
  <c r="I82" i="12"/>
  <c r="I79" i="12" s="1"/>
  <c r="G82" i="12"/>
  <c r="G79" i="12" s="1"/>
  <c r="V79" i="12"/>
  <c r="N79" i="12"/>
  <c r="L79" i="12"/>
  <c r="H79" i="12"/>
  <c r="F79" i="12"/>
  <c r="F98" i="12" s="1"/>
  <c r="M77" i="12"/>
  <c r="M73" i="12"/>
  <c r="K73" i="12"/>
  <c r="J73" i="12"/>
  <c r="I73" i="12"/>
  <c r="H73" i="12"/>
  <c r="G73" i="12"/>
  <c r="M72" i="12"/>
  <c r="M71" i="12"/>
  <c r="N68" i="12"/>
  <c r="M66" i="12"/>
  <c r="M68" i="12" s="1"/>
  <c r="L66" i="12"/>
  <c r="L68" i="12" s="1"/>
  <c r="K66" i="12"/>
  <c r="K68" i="12" s="1"/>
  <c r="J66" i="12"/>
  <c r="J68" i="12" s="1"/>
  <c r="I66" i="12"/>
  <c r="I68" i="12" s="1"/>
  <c r="H66" i="12"/>
  <c r="H68" i="12" s="1"/>
  <c r="G66" i="12"/>
  <c r="G68" i="12" s="1"/>
  <c r="F66" i="12"/>
  <c r="F68" i="12" s="1"/>
  <c r="V36" i="12"/>
  <c r="N36" i="12"/>
  <c r="K36" i="12"/>
  <c r="J36" i="12"/>
  <c r="I36" i="12"/>
  <c r="G36" i="12"/>
  <c r="F36" i="12"/>
  <c r="M35" i="12"/>
  <c r="H35" i="12"/>
  <c r="H36" i="12" s="1"/>
  <c r="M32" i="12"/>
  <c r="M31" i="12"/>
  <c r="L31" i="12"/>
  <c r="L36" i="12" s="1"/>
  <c r="V28" i="12"/>
  <c r="N28" i="12"/>
  <c r="H28" i="12"/>
  <c r="G28" i="12"/>
  <c r="M27" i="12"/>
  <c r="M26" i="12"/>
  <c r="L26" i="12"/>
  <c r="L28" i="12" s="1"/>
  <c r="K26" i="12"/>
  <c r="K28" i="12" s="1"/>
  <c r="J26" i="12"/>
  <c r="J28" i="12" s="1"/>
  <c r="I26" i="12"/>
  <c r="I28" i="12" s="1"/>
  <c r="F26" i="12"/>
  <c r="F28" i="12" s="1"/>
  <c r="V23" i="12"/>
  <c r="N23" i="12"/>
  <c r="F23" i="12"/>
  <c r="M21" i="12"/>
  <c r="M19" i="12"/>
  <c r="J19" i="12"/>
  <c r="I19" i="12"/>
  <c r="I23" i="12" s="1"/>
  <c r="M17" i="12"/>
  <c r="L17" i="12"/>
  <c r="L23" i="12" s="1"/>
  <c r="J17" i="12"/>
  <c r="H17" i="12"/>
  <c r="G17" i="12"/>
  <c r="M16" i="12"/>
  <c r="K16" i="12"/>
  <c r="K23" i="12" s="1"/>
  <c r="H16" i="12"/>
  <c r="G16" i="12"/>
  <c r="V13" i="12"/>
  <c r="N13" i="12"/>
  <c r="L13" i="12"/>
  <c r="K13" i="12"/>
  <c r="J13" i="12"/>
  <c r="I13" i="12"/>
  <c r="H13" i="12"/>
  <c r="G13" i="12"/>
  <c r="F13" i="12"/>
  <c r="M12" i="12"/>
  <c r="M9" i="12"/>
  <c r="M8" i="12"/>
  <c r="J23" i="12" l="1"/>
  <c r="J38" i="12" s="1"/>
  <c r="H23" i="12"/>
  <c r="H38" i="12" s="1"/>
  <c r="P102" i="12"/>
  <c r="P110" i="12" s="1"/>
  <c r="P112" i="12" s="1"/>
  <c r="O102" i="12"/>
  <c r="G23" i="12"/>
  <c r="G38" i="12" s="1"/>
  <c r="L98" i="12"/>
  <c r="L100" i="12" s="1"/>
  <c r="M23" i="12"/>
  <c r="G98" i="12"/>
  <c r="G100" i="12" s="1"/>
  <c r="H98" i="12"/>
  <c r="H100" i="12" s="1"/>
  <c r="F38" i="12"/>
  <c r="M79" i="12"/>
  <c r="I98" i="12"/>
  <c r="I100" i="12" s="1"/>
  <c r="J98" i="12"/>
  <c r="J100" i="12" s="1"/>
  <c r="N100" i="12"/>
  <c r="N38" i="12"/>
  <c r="M13" i="12"/>
  <c r="M36" i="12"/>
  <c r="M98" i="12"/>
  <c r="K98" i="12"/>
  <c r="K100" i="12" s="1"/>
  <c r="M28" i="12"/>
  <c r="V100" i="12"/>
  <c r="V38" i="12"/>
  <c r="I38" i="12"/>
  <c r="F100" i="12"/>
  <c r="L38" i="12"/>
  <c r="K38" i="12"/>
  <c r="M100" i="12" l="1"/>
  <c r="L102" i="12"/>
  <c r="F102" i="12"/>
  <c r="H102" i="12"/>
  <c r="N102" i="12"/>
  <c r="J102" i="12"/>
  <c r="I102" i="12"/>
  <c r="M38" i="12"/>
  <c r="M102" i="12" s="1"/>
  <c r="V102" i="12"/>
  <c r="G102" i="12"/>
  <c r="K102" i="12"/>
  <c r="X23" i="12"/>
  <c r="X38" i="12" s="1"/>
  <c r="X102" i="12" s="1"/>
  <c r="X107" i="12" s="1"/>
  <c r="X109" i="12" s="1"/>
  <c r="F76" i="10" l="1"/>
  <c r="F73" i="10"/>
  <c r="F41" i="10"/>
  <c r="F15" i="10"/>
  <c r="F20" i="10" s="1"/>
  <c r="F77" i="10" l="1"/>
  <c r="F26" i="10"/>
  <c r="F55" i="10"/>
  <c r="F57" i="10" l="1"/>
  <c r="F80" i="10" s="1"/>
  <c r="F83" i="10" l="1"/>
  <c r="F90" i="10" s="1"/>
  <c r="F92" i="10" s="1"/>
  <c r="B90" i="4" l="1"/>
  <c r="B91" i="4" s="1"/>
  <c r="B92" i="4" s="1"/>
  <c r="B85" i="4"/>
  <c r="B84" i="4"/>
  <c r="B83" i="4"/>
  <c r="B82" i="4"/>
  <c r="B81" i="4"/>
  <c r="B80" i="4"/>
  <c r="B78" i="4"/>
  <c r="B79" i="4" s="1"/>
  <c r="B75" i="4"/>
  <c r="B74" i="4"/>
  <c r="B73" i="4"/>
  <c r="B72" i="4"/>
  <c r="B71" i="4"/>
  <c r="B70" i="4"/>
  <c r="B67" i="4"/>
  <c r="B66" i="4"/>
  <c r="B65" i="4"/>
  <c r="B64" i="4"/>
  <c r="B63" i="4"/>
  <c r="B62" i="4"/>
  <c r="B61" i="4"/>
  <c r="B60" i="4"/>
  <c r="B59" i="4"/>
  <c r="B56" i="4"/>
  <c r="B55" i="4"/>
  <c r="B52" i="4"/>
  <c r="B51" i="4"/>
  <c r="B50" i="4"/>
  <c r="B49" i="4"/>
  <c r="B48" i="4"/>
  <c r="B47" i="4"/>
  <c r="B46" i="4"/>
  <c r="B45" i="4"/>
  <c r="B42" i="4"/>
  <c r="B41" i="4"/>
  <c r="B40" i="4"/>
  <c r="B39" i="4"/>
  <c r="B38" i="4"/>
  <c r="B37" i="4"/>
  <c r="B35" i="4"/>
  <c r="B34" i="4"/>
  <c r="B33" i="4"/>
  <c r="B32" i="4"/>
  <c r="B31" i="4"/>
  <c r="B26" i="4"/>
  <c r="B25" i="4"/>
  <c r="B24" i="4"/>
  <c r="B23" i="4"/>
  <c r="B22" i="4"/>
  <c r="B21" i="4"/>
  <c r="B18" i="4"/>
  <c r="B17" i="4"/>
  <c r="B16" i="4"/>
  <c r="B15" i="4"/>
  <c r="B12" i="4"/>
  <c r="B10" i="4"/>
  <c r="B9" i="4"/>
  <c r="B8" i="4"/>
  <c r="B68" i="4" l="1"/>
  <c r="B36" i="4"/>
  <c r="B76" i="4"/>
  <c r="B11" i="4"/>
  <c r="B13" i="4" s="1"/>
  <c r="B27" i="4"/>
  <c r="B53" i="4"/>
  <c r="B57" i="4"/>
  <c r="B86" i="4"/>
  <c r="B19" i="4"/>
  <c r="B43" i="4"/>
  <c r="B90" i="2"/>
  <c r="B91" i="2" s="1"/>
  <c r="B92" i="2" s="1"/>
  <c r="B85" i="2"/>
  <c r="B84" i="2"/>
  <c r="B83" i="2"/>
  <c r="B82" i="2"/>
  <c r="B81" i="2"/>
  <c r="B80" i="2"/>
  <c r="B78" i="2"/>
  <c r="B79" i="2" s="1"/>
  <c r="B75" i="2"/>
  <c r="B74" i="2"/>
  <c r="B73" i="2"/>
  <c r="B72" i="2"/>
  <c r="B71" i="2"/>
  <c r="B70" i="2"/>
  <c r="B67" i="2"/>
  <c r="B66" i="2"/>
  <c r="B65" i="2"/>
  <c r="B64" i="2"/>
  <c r="B63" i="2"/>
  <c r="B62" i="2"/>
  <c r="B61" i="2"/>
  <c r="B60" i="2"/>
  <c r="B59" i="2"/>
  <c r="B56" i="2"/>
  <c r="B55" i="2"/>
  <c r="B52" i="2"/>
  <c r="B51" i="2"/>
  <c r="B50" i="2"/>
  <c r="B49" i="2"/>
  <c r="B48" i="2"/>
  <c r="B47" i="2"/>
  <c r="B46" i="2"/>
  <c r="B45" i="2"/>
  <c r="B42" i="2"/>
  <c r="B41" i="2"/>
  <c r="B40" i="2"/>
  <c r="B39" i="2"/>
  <c r="B38" i="2"/>
  <c r="B37" i="2"/>
  <c r="B35" i="2"/>
  <c r="B34" i="2"/>
  <c r="B33" i="2"/>
  <c r="B32" i="2"/>
  <c r="B31" i="2"/>
  <c r="B26" i="2"/>
  <c r="B25" i="2"/>
  <c r="B24" i="2"/>
  <c r="B23" i="2"/>
  <c r="B22" i="2"/>
  <c r="B21" i="2"/>
  <c r="B18" i="2"/>
  <c r="B17" i="2"/>
  <c r="B16" i="2"/>
  <c r="B15" i="2"/>
  <c r="B12" i="2"/>
  <c r="B10" i="2"/>
  <c r="B9" i="2"/>
  <c r="B8" i="2"/>
  <c r="B36" i="2" l="1"/>
  <c r="B87" i="4"/>
  <c r="B28" i="4"/>
  <c r="B29" i="4" s="1"/>
  <c r="B88" i="4" s="1"/>
  <c r="B93" i="4" s="1"/>
  <c r="B76" i="2"/>
  <c r="B11" i="2"/>
  <c r="B13" i="2" s="1"/>
  <c r="B57" i="2"/>
  <c r="B27" i="2"/>
  <c r="B53" i="2"/>
  <c r="B86" i="2"/>
  <c r="B43" i="2"/>
  <c r="B19" i="2"/>
  <c r="B28" i="2" s="1"/>
  <c r="B29" i="2" s="1"/>
  <c r="B68" i="2"/>
  <c r="C29" i="4"/>
  <c r="B87" i="2" l="1"/>
  <c r="B88" i="2" s="1"/>
  <c r="B93" i="2" s="1"/>
</calcChain>
</file>

<file path=xl/sharedStrings.xml><?xml version="1.0" encoding="utf-8"?>
<sst xmlns="http://schemas.openxmlformats.org/spreadsheetml/2006/main" count="512" uniqueCount="339">
  <si>
    <t>Federation</t>
  </si>
  <si>
    <t>NCJW</t>
  </si>
  <si>
    <t>Grants and Cosponsorships</t>
  </si>
  <si>
    <t>Total Foundations</t>
  </si>
  <si>
    <t>Pledged/Large Donations</t>
  </si>
  <si>
    <t>Other Donations</t>
  </si>
  <si>
    <t>Board Fundraiser</t>
  </si>
  <si>
    <t>Private Foundation Grants</t>
  </si>
  <si>
    <t>Total Donations</t>
  </si>
  <si>
    <t>Weinberg/VU Endowments</t>
  </si>
  <si>
    <t>Total Endowments</t>
  </si>
  <si>
    <t>Program Fees</t>
  </si>
  <si>
    <t>Total Other</t>
  </si>
  <si>
    <t>Total Revenues</t>
  </si>
  <si>
    <t>Total Staffing</t>
  </si>
  <si>
    <t>Speakers</t>
  </si>
  <si>
    <t>Meals</t>
  </si>
  <si>
    <t>Programs</t>
  </si>
  <si>
    <t>Shabbat Dinners</t>
  </si>
  <si>
    <t>Total Programs &amp; Events</t>
  </si>
  <si>
    <t>Telephones</t>
  </si>
  <si>
    <t>Company Insurance</t>
  </si>
  <si>
    <t>Parking</t>
  </si>
  <si>
    <t>Building Maintenance</t>
  </si>
  <si>
    <t>Building Repairs/Service Maint.</t>
  </si>
  <si>
    <t>Advertising</t>
  </si>
  <si>
    <t>Printing and Office Supplies</t>
  </si>
  <si>
    <t>Other Office Expenses</t>
  </si>
  <si>
    <t>Administrative Fees</t>
  </si>
  <si>
    <t>Gifts/Donations</t>
  </si>
  <si>
    <t>Development Expenses</t>
  </si>
  <si>
    <t>Clergy Support/Religious Support</t>
  </si>
  <si>
    <t>Miscellaneous</t>
  </si>
  <si>
    <t>Total Building &amp; Operations</t>
  </si>
  <si>
    <t>Total Expenses</t>
  </si>
  <si>
    <t>July 2014 - February 2015</t>
  </si>
  <si>
    <t>Vanderbilt Hillel, Inc.</t>
  </si>
  <si>
    <t>Statement of Activity</t>
  </si>
  <si>
    <t>TOTAL</t>
  </si>
  <si>
    <t>Revenue</t>
  </si>
  <si>
    <t xml:space="preserve">   4 Contributed support</t>
  </si>
  <si>
    <t xml:space="preserve">      4015 Annual Campaign #4-46-300-9702</t>
  </si>
  <si>
    <t xml:space="preserve">         4015A Annual Fund-Spring Break</t>
  </si>
  <si>
    <t xml:space="preserve">         4015D High Holiday Meals</t>
  </si>
  <si>
    <t xml:space="preserve">      Total 4015 Annual Campaign #4-46-300-9702</t>
  </si>
  <si>
    <t xml:space="preserve">      4243 Gesher Fund</t>
  </si>
  <si>
    <t xml:space="preserve">   Total 4 Contributed support</t>
  </si>
  <si>
    <t xml:space="preserve">   4.2 Other Contributed Support</t>
  </si>
  <si>
    <t xml:space="preserve">      4235 Federation allocation</t>
  </si>
  <si>
    <t xml:space="preserve">      4240 Foundation Grant</t>
  </si>
  <si>
    <t xml:space="preserve">      4247 NCJW Grant</t>
  </si>
  <si>
    <t xml:space="preserve">      4250 Nonprofit organization grants</t>
  </si>
  <si>
    <t xml:space="preserve">   Total 4.2 Other Contributed Support</t>
  </si>
  <si>
    <t xml:space="preserve">   5 #44995 Other Rev/Income</t>
  </si>
  <si>
    <t xml:space="preserve">      5055 Rental income</t>
  </si>
  <si>
    <t xml:space="preserve">      5120 Shabbat Meals</t>
  </si>
  <si>
    <t xml:space="preserve">      5180 Program service fees</t>
  </si>
  <si>
    <t xml:space="preserve">      5490 Miscellaneous revenue</t>
  </si>
  <si>
    <t xml:space="preserve">      5600 Endowment Fund @ Vandy</t>
  </si>
  <si>
    <t xml:space="preserve">      5625 Weinberg Fund. #4-46-300-7902</t>
  </si>
  <si>
    <t xml:space="preserve">   Total 5 #44995 Other Rev/Income</t>
  </si>
  <si>
    <t>Total Revenue</t>
  </si>
  <si>
    <t>Gross Profit</t>
  </si>
  <si>
    <t>Expenditures</t>
  </si>
  <si>
    <t xml:space="preserve">   6560 Payroll Expenses</t>
  </si>
  <si>
    <t xml:space="preserve">   7100 #61450, #61457 Programming exp</t>
  </si>
  <si>
    <t xml:space="preserve">      7105 Undergraduate programs</t>
  </si>
  <si>
    <t xml:space="preserve">         7105A Spring Break</t>
  </si>
  <si>
    <t xml:space="preserve">         7105B Major Speakers</t>
  </si>
  <si>
    <t xml:space="preserve">      Total 7105 Undergraduate programs</t>
  </si>
  <si>
    <t xml:space="preserve">      7115 Pesach and Holidays</t>
  </si>
  <si>
    <t xml:space="preserve">      7118 Shabbat dinners</t>
  </si>
  <si>
    <t xml:space="preserve">      7125 Advertising / PR</t>
  </si>
  <si>
    <t xml:space="preserve">      7135 Grad Student Groups</t>
  </si>
  <si>
    <t xml:space="preserve">      7140 T-shirts</t>
  </si>
  <si>
    <t xml:space="preserve">      7150 Executive board</t>
  </si>
  <si>
    <t xml:space="preserve">   Total 7100 #61450, #61457 Programming exp</t>
  </si>
  <si>
    <t xml:space="preserve">   7200 #82900 Salaries &amp; related exp</t>
  </si>
  <si>
    <t xml:space="preserve">      7210 Staff and Support salary</t>
  </si>
  <si>
    <t xml:space="preserve">      7225 Moving/Recruitment. #62410</t>
  </si>
  <si>
    <t xml:space="preserve">      7230 Pension,403B</t>
  </si>
  <si>
    <t xml:space="preserve">      7240 Employee benefits - not pension</t>
  </si>
  <si>
    <t xml:space="preserve">      7250 Payroll taxes</t>
  </si>
  <si>
    <t xml:space="preserve">      7260 Health insurance</t>
  </si>
  <si>
    <t xml:space="preserve">      7265 Long Term Disability</t>
  </si>
  <si>
    <t xml:space="preserve">      7280 Student Workers  #71301</t>
  </si>
  <si>
    <t xml:space="preserve">   Total 7200 #82900 Salaries &amp; related exp</t>
  </si>
  <si>
    <t xml:space="preserve">   7500 Other personnel expenses</t>
  </si>
  <si>
    <t xml:space="preserve">      7520 Accounting fees</t>
  </si>
  <si>
    <t xml:space="preserve">      7570 Meals/Travel</t>
  </si>
  <si>
    <t xml:space="preserve">   Total 7500 Other personnel expenses</t>
  </si>
  <si>
    <t xml:space="preserve">   8100 Non-personnel expenses</t>
  </si>
  <si>
    <t xml:space="preserve">      8110 Supplies</t>
  </si>
  <si>
    <t xml:space="preserve">      8130 Tel&amp; Telecom.#61300</t>
  </si>
  <si>
    <t xml:space="preserve">      8132 Cell phone.#61315</t>
  </si>
  <si>
    <t xml:space="preserve">      8135 Office supplies. #60040</t>
  </si>
  <si>
    <t xml:space="preserve">      8140 Postage, shipping, del. #60030</t>
  </si>
  <si>
    <t xml:space="preserve">      8160 Equip rental &amp; maint. #70090</t>
  </si>
  <si>
    <t xml:space="preserve">      8170 Printing &amp; copying. #60000</t>
  </si>
  <si>
    <t xml:space="preserve">      8185 Parking permits. #61401</t>
  </si>
  <si>
    <t xml:space="preserve">      8192 Developmental expenses.#62670</t>
  </si>
  <si>
    <t xml:space="preserve">   Total 8100 Non-personnel expenses</t>
  </si>
  <si>
    <t xml:space="preserve">   8200 Occupancy expenses</t>
  </si>
  <si>
    <t xml:space="preserve">      8215 Furniture storage. #71255</t>
  </si>
  <si>
    <t xml:space="preserve">      8245 Business Owner's Ins. #6100</t>
  </si>
  <si>
    <t xml:space="preserve">      8285 General maintenance. #81100</t>
  </si>
  <si>
    <t xml:space="preserve">      8290 Service maintenance other</t>
  </si>
  <si>
    <t xml:space="preserve">      8292 Building Imp/Maintenance</t>
  </si>
  <si>
    <t xml:space="preserve">      8295 Plant incidentals</t>
  </si>
  <si>
    <t xml:space="preserve">   Total 8200 Occupancy expenses</t>
  </si>
  <si>
    <t xml:space="preserve">   8300 Student travel &amp; mtg expenses</t>
  </si>
  <si>
    <t xml:space="preserve">      8320 Conference,convention,meeting</t>
  </si>
  <si>
    <t xml:space="preserve">   Total 8300 Student travel &amp; mtg expenses</t>
  </si>
  <si>
    <t xml:space="preserve">   8500 Misc Expenses</t>
  </si>
  <si>
    <t xml:space="preserve">      8505 Bank/charge card fees</t>
  </si>
  <si>
    <t xml:space="preserve">      8560 Outside computer services</t>
  </si>
  <si>
    <t xml:space="preserve">      8570 Advertising expenses</t>
  </si>
  <si>
    <t xml:space="preserve">      8585 Administrative fees</t>
  </si>
  <si>
    <t xml:space="preserve">      8590 Other expenses</t>
  </si>
  <si>
    <t xml:space="preserve">   Total 8500 Misc Expenses</t>
  </si>
  <si>
    <t>Total Expenditures</t>
  </si>
  <si>
    <t>Net Operating Revenue</t>
  </si>
  <si>
    <t>Other Expenditures</t>
  </si>
  <si>
    <t xml:space="preserve">   Reconciliation Discrepancies</t>
  </si>
  <si>
    <t>Total Other Expenditures</t>
  </si>
  <si>
    <t>Net Other Revenue</t>
  </si>
  <si>
    <t>Net Revenue</t>
  </si>
  <si>
    <t>Tuesday, Mar 17, 2015 09:34:15 PM PDT GMT-4 - Accrual Basis</t>
  </si>
  <si>
    <t>July 2013 - February 2014</t>
  </si>
  <si>
    <t xml:space="preserve">         4015F Winter Reception</t>
  </si>
  <si>
    <t xml:space="preserve">      4205 Grants and Co-Sponsorship</t>
  </si>
  <si>
    <t xml:space="preserve">      7117 Fundraiser 3/18/13</t>
  </si>
  <si>
    <t xml:space="preserve">      7515 Clergy Suppport/Religious Fees</t>
  </si>
  <si>
    <t xml:space="preserve">      8150 Mailing services</t>
  </si>
  <si>
    <t xml:space="preserve">      8175 Gifts &amp; Contrib. Expense</t>
  </si>
  <si>
    <t xml:space="preserve">      8195 Other office costs</t>
  </si>
  <si>
    <t xml:space="preserve">      8210 Rent, parking, other occupancy</t>
  </si>
  <si>
    <t xml:space="preserve">      8520 Insurance - Director &amp; officer</t>
  </si>
  <si>
    <t>Tuesday, Mar 17, 2015 09:52:22 PM PDT GMT-4 - Accrual Basis</t>
  </si>
  <si>
    <t>July 2014 - March 2015</t>
  </si>
  <si>
    <t>Total</t>
  </si>
  <si>
    <t>Wednesday, Apr 22, 2015 09:22:06 PM PDT GMT-4 - Accrual Basis</t>
  </si>
  <si>
    <t>Banking and Accounting Fees</t>
  </si>
  <si>
    <t>Previous Year Carryover</t>
  </si>
  <si>
    <t>Rental</t>
  </si>
  <si>
    <t>Salaries (gross pay + taxes)</t>
  </si>
  <si>
    <t>Benefits</t>
  </si>
  <si>
    <t>Bank Interest/Cash Back</t>
  </si>
  <si>
    <t>High Holidays/Passover</t>
  </si>
  <si>
    <t>Vanderbilt Hillel</t>
  </si>
  <si>
    <t>ASSETS</t>
  </si>
  <si>
    <t>Current Assets</t>
  </si>
  <si>
    <t>Checking/Savings</t>
  </si>
  <si>
    <t>Checking - Truxton</t>
  </si>
  <si>
    <t>Petty Cash</t>
  </si>
  <si>
    <t>Total Checking/Savings</t>
  </si>
  <si>
    <t>Accounts Receivable</t>
  </si>
  <si>
    <t>Pledges Receivable</t>
  </si>
  <si>
    <t>Grants Receivable</t>
  </si>
  <si>
    <t>Total Current Assets</t>
  </si>
  <si>
    <t>Fixed Assets</t>
  </si>
  <si>
    <t>Leasehold Improvements</t>
  </si>
  <si>
    <t>Furniture, fixtures, &amp; equip</t>
  </si>
  <si>
    <t>Accumulated Depreciation</t>
  </si>
  <si>
    <t>Total Fixed Assets</t>
  </si>
  <si>
    <t>Other Assets</t>
  </si>
  <si>
    <t>Prepaid Expenses</t>
  </si>
  <si>
    <t>Prepaid Programming Expense</t>
  </si>
  <si>
    <t>End. Fund-Moskovitz @ Federation</t>
  </si>
  <si>
    <t>End. Fund--Barney Doyne @Federation</t>
  </si>
  <si>
    <t>Hillel Fund held @ Federation</t>
  </si>
  <si>
    <t>Endow Fund--Weinberg @ Federation</t>
  </si>
  <si>
    <t>Endow Fund - Fleischer @ Federation</t>
  </si>
  <si>
    <t>Hillel Jewish Student Life @ Federation</t>
  </si>
  <si>
    <t>End. Fund--Hassenfeld @ Federation</t>
  </si>
  <si>
    <t>1051 · End.Fund-Weinberg (7901) contra</t>
  </si>
  <si>
    <t>1071 · Endow Fund--Bldg  (0002) contra</t>
  </si>
  <si>
    <t>1081 · Hillel fund contra@ Federation</t>
  </si>
  <si>
    <t>1086 · End. Fund Hassenfeld  (contra)</t>
  </si>
  <si>
    <t>1088 · End. Fund-Barney Doyne (contra)</t>
  </si>
  <si>
    <t>1091 · Endow Fund--Moskovitz (contra)</t>
  </si>
  <si>
    <t>1470 · Savings Acc't. Vandy (9752)</t>
  </si>
  <si>
    <t>1470-D · Gesher Fund.  Restricted</t>
  </si>
  <si>
    <t>1470-C · Interest</t>
  </si>
  <si>
    <t>1470-E · Hillel Cash Reserves</t>
  </si>
  <si>
    <t>Total 1470 · Savings Acc't. Vandy (9752)</t>
  </si>
  <si>
    <t>1471 · Savings Acc't  (9752) contra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</si>
  <si>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</si>
  <si>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</si>
  <si>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</si>
  <si>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</si>
  <si>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</si>
  <si>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</si>
  <si>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Payroll Payable</t>
  </si>
  <si>
    <t>BOA Credit Card</t>
  </si>
  <si>
    <t>Visa Credit Card</t>
  </si>
  <si>
    <t>Accrued Vacation</t>
  </si>
  <si>
    <t>Due to Vanderbilt</t>
  </si>
  <si>
    <t>Deferred Revenue</t>
  </si>
  <si>
    <t>Line of Credit Payable</t>
  </si>
  <si>
    <t>Total Current Liabilities</t>
  </si>
  <si>
    <t>Long Term Liabilities</t>
  </si>
  <si>
    <t>Due to Ben Schulman</t>
  </si>
  <si>
    <t>Total Long Term Liabilities</t>
  </si>
  <si>
    <t>Total Liabilities</t>
  </si>
  <si>
    <t>Net Assets</t>
  </si>
  <si>
    <t>Total Net Assets</t>
  </si>
  <si>
    <t>TOTAL LIABILITIES &amp; NET ASSETS</t>
  </si>
  <si>
    <t>Undesignated Net Assets</t>
  </si>
  <si>
    <t>Accrual Basis</t>
  </si>
  <si>
    <t>Accrual Basis Balance Sheet</t>
  </si>
  <si>
    <t>Board Designated Net Assets</t>
  </si>
  <si>
    <t>Endowment Designated Net Assets</t>
  </si>
  <si>
    <t>Total Unrestricted Net Assets</t>
  </si>
  <si>
    <t>Total Prepaid Expenses</t>
  </si>
  <si>
    <t>Federation/Fleischer Endowments</t>
  </si>
  <si>
    <t>Endowment-Unrestricted Funds</t>
  </si>
  <si>
    <t>Total Endowment-Unrestricted Funds</t>
  </si>
  <si>
    <t>Hillel - Vanderbilt</t>
  </si>
  <si>
    <t>FY 2013-14</t>
  </si>
  <si>
    <t>YTD Actuals (12/31/13)</t>
  </si>
  <si>
    <t>YTD Budget (12/31/13)</t>
  </si>
  <si>
    <t>Annual Budget</t>
  </si>
  <si>
    <t>YTD Actuals</t>
  </si>
  <si>
    <t>Line 1</t>
  </si>
  <si>
    <t>Revenues:</t>
  </si>
  <si>
    <t>Line 2</t>
  </si>
  <si>
    <t>Foundations:</t>
  </si>
  <si>
    <t>Line 3</t>
  </si>
  <si>
    <t>Line 4</t>
  </si>
  <si>
    <t>Line 5</t>
  </si>
  <si>
    <t>Line 8</t>
  </si>
  <si>
    <t>Line 9</t>
  </si>
  <si>
    <t>Line 10</t>
  </si>
  <si>
    <t>Donations:</t>
  </si>
  <si>
    <t>Line 11</t>
  </si>
  <si>
    <t>Line 12</t>
  </si>
  <si>
    <t>Line 13</t>
  </si>
  <si>
    <t>Line 14</t>
  </si>
  <si>
    <t>Line 16</t>
  </si>
  <si>
    <t>Line 17</t>
  </si>
  <si>
    <t>Line 18</t>
  </si>
  <si>
    <t>Endowments:</t>
  </si>
  <si>
    <t>Line 19</t>
  </si>
  <si>
    <t>Line 20</t>
  </si>
  <si>
    <t>Line 21</t>
  </si>
  <si>
    <t>Line 22</t>
  </si>
  <si>
    <t>Line 23</t>
  </si>
  <si>
    <t>Other:</t>
  </si>
  <si>
    <t>Line 24</t>
  </si>
  <si>
    <t>Line 26</t>
  </si>
  <si>
    <t>Swipes/Meal Payments</t>
  </si>
  <si>
    <t>Line 28</t>
  </si>
  <si>
    <t>Line 29</t>
  </si>
  <si>
    <t>Line 30</t>
  </si>
  <si>
    <t>Line 31</t>
  </si>
  <si>
    <t>Line 33</t>
  </si>
  <si>
    <t>Expenses:</t>
  </si>
  <si>
    <t>Line 34</t>
  </si>
  <si>
    <t>Staffing:</t>
  </si>
  <si>
    <t>7210+7250+7260</t>
  </si>
  <si>
    <t>Line 36</t>
  </si>
  <si>
    <t>Line 37</t>
  </si>
  <si>
    <t>Line 38</t>
  </si>
  <si>
    <t>Line 39</t>
  </si>
  <si>
    <t>Programs and Events:</t>
  </si>
  <si>
    <t>Line 40</t>
  </si>
  <si>
    <t>Line 41</t>
  </si>
  <si>
    <t>Line 42</t>
  </si>
  <si>
    <t>Line 43</t>
  </si>
  <si>
    <t>Line 45</t>
  </si>
  <si>
    <t>Line 46</t>
  </si>
  <si>
    <t>Line 47</t>
  </si>
  <si>
    <t>Line 48</t>
  </si>
  <si>
    <t>Building and Operations:</t>
  </si>
  <si>
    <t>8130+8132</t>
  </si>
  <si>
    <t>Line 49</t>
  </si>
  <si>
    <t>8245+8520</t>
  </si>
  <si>
    <t>Line 50</t>
  </si>
  <si>
    <t>8185+8210</t>
  </si>
  <si>
    <t>Line 51</t>
  </si>
  <si>
    <t>Line 52</t>
  </si>
  <si>
    <t>Line 54</t>
  </si>
  <si>
    <t>Line 55</t>
  </si>
  <si>
    <t>8135+8170</t>
  </si>
  <si>
    <t>Line 56</t>
  </si>
  <si>
    <t>Line 57</t>
  </si>
  <si>
    <t>Line 58</t>
  </si>
  <si>
    <t>Line 59</t>
  </si>
  <si>
    <t>Line 60</t>
  </si>
  <si>
    <t>Line 61</t>
  </si>
  <si>
    <t>Line 62</t>
  </si>
  <si>
    <t>Line 63</t>
  </si>
  <si>
    <t>8140+8160+8175+8195</t>
  </si>
  <si>
    <t>Line 64</t>
  </si>
  <si>
    <t>Line 65</t>
  </si>
  <si>
    <t>Line 66</t>
  </si>
  <si>
    <t>Line 67</t>
  </si>
  <si>
    <t>Line 68</t>
  </si>
  <si>
    <t>Line 69</t>
  </si>
  <si>
    <t>Maccabee Task Force Trip</t>
  </si>
  <si>
    <t>Maccabee Task Force Expenses</t>
  </si>
  <si>
    <t>Kitchen Expansion</t>
  </si>
  <si>
    <t>Net Assets with Donor Restrictions</t>
  </si>
  <si>
    <t>SBA Loan Proceeds</t>
  </si>
  <si>
    <t>SBA PPP Loan Payable</t>
  </si>
  <si>
    <t>Hillel Giving Week/Big Payback</t>
  </si>
  <si>
    <t>FY21 Budget</t>
  </si>
  <si>
    <t>Subtract FY2020 surplus</t>
  </si>
  <si>
    <t>Difference, pass, immt.</t>
  </si>
  <si>
    <t>Subtract 2nd PPP Loan Proceeds</t>
  </si>
  <si>
    <t>Add 1st PPP Loan Forgiveness</t>
  </si>
  <si>
    <t>July 2020 - June 2021</t>
  </si>
  <si>
    <t>Net Income per Quickbooks at 06/30/21</t>
  </si>
  <si>
    <t>FY19 Actuals</t>
  </si>
  <si>
    <t>FY22 Budget</t>
  </si>
  <si>
    <t>Conferences/Educational Expenses</t>
  </si>
  <si>
    <t>Surplus (Deficit) c/o to next FY</t>
  </si>
  <si>
    <t>Security</t>
  </si>
  <si>
    <t>Add FY2021 MTF funds received</t>
  </si>
  <si>
    <t>Subtract reported MTF revenue</t>
  </si>
  <si>
    <t>Subtract reported MTF general support grants</t>
  </si>
  <si>
    <t>Add Singer restricted donation</t>
  </si>
  <si>
    <t>Depreciation</t>
  </si>
  <si>
    <t>Subtract FY2021 surplus</t>
  </si>
  <si>
    <t>Difference</t>
  </si>
  <si>
    <t>FY21 Singer restricted donation used in FY22</t>
  </si>
  <si>
    <t>SBA Loan Proceeds forgiven</t>
  </si>
  <si>
    <t>Add Singer FY22 restricted donation (1,601 used)</t>
  </si>
  <si>
    <t>Payroll Advance</t>
  </si>
  <si>
    <t>March 31, 2022</t>
  </si>
  <si>
    <t>Actuals @ 03/31/22</t>
  </si>
  <si>
    <t>Ari Dubin receivable</t>
  </si>
  <si>
    <t>Projected Actuals</t>
  </si>
  <si>
    <t>Proposed FY23</t>
  </si>
  <si>
    <t>July 2021 - May 2022</t>
  </si>
  <si>
    <t>Net Income per Quickbooks at 05/31/22</t>
  </si>
  <si>
    <t>COVID Relief Payments</t>
  </si>
  <si>
    <t>FY22 Tentative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</si>
</sst>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* #,##0.00"/>
    <numFmt numFmtId="166" formatCode="#,##0.00\ _€"/>
    <numFmt numFmtId="167" formatCode="&quot;$&quot;* #,##0.00\ _€"/>
    <numFmt numFmtId="168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4"/>
      <name val="Tahoma"/>
      <family val="2"/>
    </font>
    <font>
      <sz val="11"/>
      <color theme="1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b/>
      <sz val="8"/>
      <color indexed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0"/>
      <color theme="1"/>
      <name val="Tahoma"/>
      <family val="2"/>
    </font>
    <font>
      <sz val="10"/>
      <color indexed="8"/>
      <name val="Tahoma"/>
      <family val="2"/>
    </font>
    <font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16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5" fillId="0" borderId="0"/>
    <xf numFmtId="0" fontId="9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</cellStyleXfs>
  <cellXfs count="170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6" fillId="0" borderId="7" xfId="0" applyFont="1" applyBorder="1" applyAlignment="1">
      <alignment horizontal="center" wrapText="1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 horizontal="right" wrapText="1"/>
    </xf>
    <xf numFmtId="165" fontId="7" fillId="0" borderId="8" xfId="0" applyNumberFormat="1" applyFont="1" applyBorder="1" applyAlignment="1">
      <alignment horizontal="right" wrapText="1"/>
    </xf>
    <xf numFmtId="0" fontId="9" fillId="0" borderId="0" xfId="3"/>
    <xf numFmtId="0" fontId="9" fillId="0" borderId="0" xfId="3" applyAlignment="1">
      <alignment wrapText="1"/>
    </xf>
    <xf numFmtId="0" fontId="12" fillId="0" borderId="7" xfId="3" applyFont="1" applyBorder="1" applyAlignment="1">
      <alignment horizontal="center" wrapText="1"/>
    </xf>
    <xf numFmtId="0" fontId="13" fillId="0" borderId="0" xfId="3" applyFont="1" applyAlignment="1">
      <alignment horizontal="left" wrapText="1"/>
    </xf>
    <xf numFmtId="166" fontId="14" fillId="0" borderId="0" xfId="3" applyNumberFormat="1" applyFont="1" applyAlignment="1">
      <alignment wrapText="1"/>
    </xf>
    <xf numFmtId="166" fontId="14" fillId="0" borderId="0" xfId="3" applyNumberFormat="1" applyFont="1" applyAlignment="1">
      <alignment horizontal="right" wrapText="1"/>
    </xf>
    <xf numFmtId="167" fontId="13" fillId="0" borderId="8" xfId="3" applyNumberFormat="1" applyFont="1" applyBorder="1" applyAlignment="1">
      <alignment horizontal="right" wrapText="1"/>
    </xf>
    <xf numFmtId="166" fontId="14" fillId="2" borderId="0" xfId="3" applyNumberFormat="1" applyFont="1" applyFill="1" applyAlignment="1">
      <alignment horizontal="right" wrapText="1"/>
    </xf>
    <xf numFmtId="6" fontId="9" fillId="0" borderId="0" xfId="3" applyNumberFormat="1"/>
    <xf numFmtId="0" fontId="16" fillId="0" borderId="0" xfId="0" applyFont="1"/>
    <xf numFmtId="0" fontId="17" fillId="0" borderId="0" xfId="0" applyFont="1"/>
    <xf numFmtId="43" fontId="8" fillId="0" borderId="0" xfId="3" applyNumberFormat="1" applyFont="1"/>
    <xf numFmtId="168" fontId="2" fillId="0" borderId="0" xfId="7" applyNumberFormat="1" applyFont="1"/>
    <xf numFmtId="0" fontId="18" fillId="0" borderId="0" xfId="3" applyFont="1"/>
    <xf numFmtId="0" fontId="19" fillId="0" borderId="0" xfId="3" applyFont="1"/>
    <xf numFmtId="0" fontId="19" fillId="0" borderId="0" xfId="3" applyFont="1" applyAlignment="1">
      <alignment horizontal="center"/>
    </xf>
    <xf numFmtId="43" fontId="0" fillId="0" borderId="0" xfId="0" applyNumberFormat="1"/>
    <xf numFmtId="0" fontId="20" fillId="0" borderId="0" xfId="3" applyFont="1"/>
    <xf numFmtId="43" fontId="21" fillId="0" borderId="0" xfId="0" applyNumberFormat="1" applyFont="1" applyAlignment="1">
      <alignment horizontal="center" wrapText="1"/>
    </xf>
    <xf numFmtId="49" fontId="20" fillId="0" borderId="0" xfId="3" applyNumberFormat="1" applyFont="1" applyAlignment="1">
      <alignment horizontal="center"/>
    </xf>
    <xf numFmtId="43" fontId="19" fillId="0" borderId="0" xfId="3" applyNumberFormat="1" applyFont="1" applyAlignment="1">
      <alignment horizontal="center"/>
    </xf>
    <xf numFmtId="49" fontId="20" fillId="0" borderId="0" xfId="3" applyNumberFormat="1" applyFont="1"/>
    <xf numFmtId="43" fontId="19" fillId="0" borderId="0" xfId="3" applyNumberFormat="1" applyFont="1"/>
    <xf numFmtId="43" fontId="19" fillId="0" borderId="12" xfId="3" applyNumberFormat="1" applyFont="1" applyBorder="1"/>
    <xf numFmtId="43" fontId="22" fillId="0" borderId="0" xfId="3" applyNumberFormat="1" applyFont="1"/>
    <xf numFmtId="43" fontId="20" fillId="0" borderId="0" xfId="3" applyNumberFormat="1" applyFont="1"/>
    <xf numFmtId="43" fontId="19" fillId="0" borderId="11" xfId="3" applyNumberFormat="1" applyFont="1" applyBorder="1"/>
    <xf numFmtId="43" fontId="20" fillId="0" borderId="12" xfId="3" applyNumberFormat="1" applyFont="1" applyBorder="1"/>
    <xf numFmtId="43" fontId="20" fillId="0" borderId="14" xfId="3" applyNumberFormat="1" applyFont="1" applyBorder="1"/>
    <xf numFmtId="43" fontId="22" fillId="0" borderId="13" xfId="3" applyNumberFormat="1" applyFont="1" applyBorder="1"/>
    <xf numFmtId="43" fontId="19" fillId="0" borderId="0" xfId="7" applyFont="1"/>
    <xf numFmtId="43" fontId="19" fillId="0" borderId="0" xfId="7" applyFont="1" applyFill="1"/>
    <xf numFmtId="43" fontId="5" fillId="0" borderId="12" xfId="7" applyFont="1" applyBorder="1"/>
    <xf numFmtId="43" fontId="5" fillId="0" borderId="14" xfId="3" applyNumberFormat="1" applyFont="1" applyBorder="1"/>
    <xf numFmtId="0" fontId="23" fillId="0" borderId="0" xfId="0" applyFont="1"/>
    <xf numFmtId="44" fontId="23" fillId="0" borderId="0" xfId="1" applyFont="1" applyFill="1" applyBorder="1"/>
    <xf numFmtId="0" fontId="23" fillId="0" borderId="1" xfId="0" applyFont="1" applyBorder="1"/>
    <xf numFmtId="41" fontId="23" fillId="0" borderId="5" xfId="2" applyNumberFormat="1" applyFont="1" applyFill="1" applyBorder="1"/>
    <xf numFmtId="0" fontId="21" fillId="0" borderId="1" xfId="0" applyFont="1" applyBorder="1" applyAlignment="1">
      <alignment horizontal="right"/>
    </xf>
    <xf numFmtId="6" fontId="21" fillId="0" borderId="2" xfId="1" applyNumberFormat="1" applyFont="1" applyFill="1" applyBorder="1"/>
    <xf numFmtId="164" fontId="23" fillId="0" borderId="0" xfId="1" applyNumberFormat="1" applyFont="1" applyFill="1" applyBorder="1"/>
    <xf numFmtId="37" fontId="23" fillId="0" borderId="5" xfId="2" applyNumberFormat="1" applyFont="1" applyFill="1" applyBorder="1"/>
    <xf numFmtId="6" fontId="21" fillId="0" borderId="2" xfId="1" applyNumberFormat="1" applyFont="1" applyFill="1" applyBorder="1" applyAlignment="1">
      <alignment horizontal="right"/>
    </xf>
    <xf numFmtId="6" fontId="21" fillId="0" borderId="5" xfId="2" applyNumberFormat="1" applyFont="1" applyFill="1" applyBorder="1" applyAlignment="1">
      <alignment horizontal="right"/>
    </xf>
    <xf numFmtId="0" fontId="21" fillId="0" borderId="3" xfId="0" applyFont="1" applyBorder="1"/>
    <xf numFmtId="164" fontId="21" fillId="0" borderId="4" xfId="2" applyNumberFormat="1" applyFont="1" applyFill="1" applyBorder="1"/>
    <xf numFmtId="0" fontId="21" fillId="0" borderId="0" xfId="0" applyFont="1"/>
    <xf numFmtId="164" fontId="21" fillId="0" borderId="0" xfId="2" applyNumberFormat="1" applyFont="1" applyFill="1" applyBorder="1"/>
    <xf numFmtId="6" fontId="21" fillId="0" borderId="1" xfId="1" applyNumberFormat="1" applyFont="1" applyFill="1" applyBorder="1"/>
    <xf numFmtId="168" fontId="21" fillId="0" borderId="1" xfId="1" applyNumberFormat="1" applyFont="1" applyFill="1" applyBorder="1"/>
    <xf numFmtId="0" fontId="23" fillId="0" borderId="5" xfId="0" applyFont="1" applyBorder="1"/>
    <xf numFmtId="0" fontId="21" fillId="0" borderId="5" xfId="0" applyFont="1" applyBorder="1" applyAlignment="1">
      <alignment horizontal="right"/>
    </xf>
    <xf numFmtId="164" fontId="21" fillId="0" borderId="5" xfId="1" applyNumberFormat="1" applyFont="1" applyFill="1" applyBorder="1"/>
    <xf numFmtId="41" fontId="19" fillId="0" borderId="5" xfId="2" applyNumberFormat="1" applyFont="1" applyFill="1" applyBorder="1"/>
    <xf numFmtId="6" fontId="21" fillId="0" borderId="5" xfId="2" applyNumberFormat="1" applyFont="1" applyFill="1" applyBorder="1"/>
    <xf numFmtId="0" fontId="21" fillId="0" borderId="6" xfId="0" applyFont="1" applyBorder="1"/>
    <xf numFmtId="164" fontId="21" fillId="0" borderId="9" xfId="2" applyNumberFormat="1" applyFont="1" applyFill="1" applyBorder="1"/>
    <xf numFmtId="164" fontId="21" fillId="0" borderId="6" xfId="1" applyNumberFormat="1" applyFont="1" applyFill="1" applyBorder="1"/>
    <xf numFmtId="41" fontId="21" fillId="0" borderId="0" xfId="2" applyNumberFormat="1" applyFont="1" applyFill="1" applyBorder="1"/>
    <xf numFmtId="41" fontId="21" fillId="0" borderId="11" xfId="2" applyNumberFormat="1" applyFont="1" applyFill="1" applyBorder="1"/>
    <xf numFmtId="164" fontId="23" fillId="0" borderId="0" xfId="0" applyNumberFormat="1" applyFont="1"/>
    <xf numFmtId="17" fontId="21" fillId="0" borderId="0" xfId="0" quotePrefix="1" applyNumberFormat="1" applyFont="1"/>
    <xf numFmtId="0" fontId="25" fillId="0" borderId="0" xfId="0" applyFont="1"/>
    <xf numFmtId="0" fontId="24" fillId="0" borderId="0" xfId="0" applyFont="1"/>
    <xf numFmtId="0" fontId="21" fillId="0" borderId="0" xfId="0" applyFont="1" applyAlignment="1">
      <alignment horizontal="center"/>
    </xf>
    <xf numFmtId="14" fontId="21" fillId="0" borderId="18" xfId="0" applyNumberFormat="1" applyFont="1" applyBorder="1" applyAlignment="1">
      <alignment horizontal="center"/>
    </xf>
    <xf numFmtId="0" fontId="21" fillId="0" borderId="20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21" fillId="0" borderId="22" xfId="0" applyFont="1" applyBorder="1" applyAlignment="1">
      <alignment horizontal="center" wrapText="1"/>
    </xf>
    <xf numFmtId="44" fontId="23" fillId="0" borderId="0" xfId="1" applyFont="1" applyBorder="1"/>
    <xf numFmtId="164" fontId="23" fillId="0" borderId="1" xfId="1" applyNumberFormat="1" applyFont="1" applyBorder="1"/>
    <xf numFmtId="164" fontId="23" fillId="0" borderId="24" xfId="1" applyNumberFormat="1" applyFont="1" applyBorder="1"/>
    <xf numFmtId="6" fontId="23" fillId="0" borderId="2" xfId="2" applyNumberFormat="1" applyFont="1" applyFill="1" applyBorder="1"/>
    <xf numFmtId="168" fontId="23" fillId="0" borderId="2" xfId="7" applyNumberFormat="1" applyFont="1" applyFill="1" applyBorder="1"/>
    <xf numFmtId="6" fontId="23" fillId="0" borderId="0" xfId="2" applyNumberFormat="1" applyFont="1" applyFill="1" applyBorder="1"/>
    <xf numFmtId="164" fontId="21" fillId="0" borderId="1" xfId="1" applyNumberFormat="1" applyFont="1" applyBorder="1"/>
    <xf numFmtId="164" fontId="21" fillId="0" borderId="24" xfId="1" applyNumberFormat="1" applyFont="1" applyBorder="1"/>
    <xf numFmtId="164" fontId="21" fillId="0" borderId="2" xfId="1" applyNumberFormat="1" applyFont="1" applyFill="1" applyBorder="1"/>
    <xf numFmtId="164" fontId="21" fillId="0" borderId="0" xfId="1" applyNumberFormat="1" applyFont="1" applyFill="1" applyBorder="1"/>
    <xf numFmtId="164" fontId="23" fillId="0" borderId="0" xfId="1" applyNumberFormat="1" applyFont="1" applyBorder="1"/>
    <xf numFmtId="0" fontId="23" fillId="0" borderId="0" xfId="0" quotePrefix="1" applyFont="1"/>
    <xf numFmtId="164" fontId="23" fillId="0" borderId="24" xfId="1" applyNumberFormat="1" applyFont="1" applyFill="1" applyBorder="1"/>
    <xf numFmtId="164" fontId="21" fillId="0" borderId="1" xfId="1" applyNumberFormat="1" applyFont="1" applyBorder="1" applyAlignment="1">
      <alignment horizontal="right"/>
    </xf>
    <xf numFmtId="164" fontId="21" fillId="0" borderId="24" xfId="1" applyNumberFormat="1" applyFont="1" applyBorder="1" applyAlignment="1">
      <alignment horizontal="right"/>
    </xf>
    <xf numFmtId="164" fontId="21" fillId="0" borderId="2" xfId="1" applyNumberFormat="1" applyFont="1" applyFill="1" applyBorder="1" applyAlignment="1">
      <alignment horizontal="right"/>
    </xf>
    <xf numFmtId="164" fontId="21" fillId="0" borderId="0" xfId="1" applyNumberFormat="1" applyFont="1" applyFill="1" applyBorder="1" applyAlignment="1">
      <alignment horizontal="right"/>
    </xf>
    <xf numFmtId="0" fontId="21" fillId="0" borderId="0" xfId="0" quotePrefix="1" applyFont="1"/>
    <xf numFmtId="0" fontId="21" fillId="0" borderId="0" xfId="0" applyFont="1" applyAlignment="1">
      <alignment horizontal="right"/>
    </xf>
    <xf numFmtId="6" fontId="21" fillId="0" borderId="2" xfId="2" applyNumberFormat="1" applyFont="1" applyFill="1" applyBorder="1" applyAlignment="1">
      <alignment horizontal="right"/>
    </xf>
    <xf numFmtId="6" fontId="21" fillId="0" borderId="0" xfId="2" applyNumberFormat="1" applyFont="1" applyFill="1" applyBorder="1" applyAlignment="1">
      <alignment horizontal="right"/>
    </xf>
    <xf numFmtId="164" fontId="21" fillId="0" borderId="4" xfId="1" applyNumberFormat="1" applyFont="1" applyBorder="1"/>
    <xf numFmtId="6" fontId="21" fillId="0" borderId="4" xfId="2" applyNumberFormat="1" applyFont="1" applyFill="1" applyBorder="1"/>
    <xf numFmtId="6" fontId="21" fillId="0" borderId="0" xfId="2" applyNumberFormat="1" applyFont="1" applyFill="1" applyBorder="1"/>
    <xf numFmtId="164" fontId="21" fillId="0" borderId="0" xfId="1" applyNumberFormat="1" applyFont="1" applyBorder="1"/>
    <xf numFmtId="0" fontId="5" fillId="0" borderId="0" xfId="0" applyFont="1"/>
    <xf numFmtId="164" fontId="23" fillId="0" borderId="2" xfId="1" applyNumberFormat="1" applyFont="1" applyBorder="1"/>
    <xf numFmtId="0" fontId="23" fillId="0" borderId="0" xfId="0" applyFont="1" applyAlignment="1">
      <alignment horizontal="right"/>
    </xf>
    <xf numFmtId="164" fontId="21" fillId="0" borderId="2" xfId="1" applyNumberFormat="1" applyFont="1" applyBorder="1"/>
    <xf numFmtId="10" fontId="23" fillId="0" borderId="2" xfId="2" applyNumberFormat="1" applyFont="1" applyFill="1" applyBorder="1"/>
    <xf numFmtId="6" fontId="21" fillId="0" borderId="2" xfId="2" applyNumberFormat="1" applyFont="1" applyFill="1" applyBorder="1"/>
    <xf numFmtId="164" fontId="21" fillId="0" borderId="6" xfId="1" applyNumberFormat="1" applyFont="1" applyBorder="1"/>
    <xf numFmtId="6" fontId="21" fillId="0" borderId="6" xfId="2" applyNumberFormat="1" applyFont="1" applyFill="1" applyBorder="1"/>
    <xf numFmtId="164" fontId="21" fillId="0" borderId="6" xfId="2" applyNumberFormat="1" applyFont="1" applyFill="1" applyBorder="1"/>
    <xf numFmtId="164" fontId="23" fillId="0" borderId="0" xfId="1" applyNumberFormat="1" applyFont="1"/>
    <xf numFmtId="10" fontId="23" fillId="0" borderId="0" xfId="2" applyNumberFormat="1" applyFont="1" applyFill="1"/>
    <xf numFmtId="10" fontId="23" fillId="0" borderId="0" xfId="2" applyNumberFormat="1" applyFont="1" applyFill="1" applyBorder="1"/>
    <xf numFmtId="41" fontId="23" fillId="0" borderId="0" xfId="2" applyNumberFormat="1" applyFont="1" applyFill="1"/>
    <xf numFmtId="44" fontId="23" fillId="0" borderId="0" xfId="1" applyFont="1"/>
    <xf numFmtId="43" fontId="23" fillId="0" borderId="0" xfId="7" applyFont="1" applyFill="1" applyBorder="1"/>
    <xf numFmtId="5" fontId="5" fillId="0" borderId="2" xfId="1" applyNumberFormat="1" applyFont="1" applyFill="1" applyBorder="1" applyAlignment="1">
      <alignment horizontal="right"/>
    </xf>
    <xf numFmtId="164" fontId="24" fillId="0" borderId="0" xfId="2" applyNumberFormat="1" applyFont="1" applyFill="1" applyBorder="1"/>
    <xf numFmtId="0" fontId="25" fillId="0" borderId="0" xfId="3" applyFont="1"/>
    <xf numFmtId="14" fontId="17" fillId="0" borderId="0" xfId="0" quotePrefix="1" applyNumberFormat="1" applyFont="1"/>
    <xf numFmtId="43" fontId="21" fillId="0" borderId="11" xfId="0" applyNumberFormat="1" applyFont="1" applyBorder="1" applyAlignment="1">
      <alignment horizontal="center"/>
    </xf>
    <xf numFmtId="43" fontId="19" fillId="0" borderId="11" xfId="7" applyFont="1" applyFill="1" applyBorder="1"/>
    <xf numFmtId="43" fontId="19" fillId="0" borderId="12" xfId="7" applyFont="1" applyFill="1" applyBorder="1"/>
    <xf numFmtId="168" fontId="21" fillId="0" borderId="0" xfId="7" applyNumberFormat="1" applyFont="1" applyFill="1" applyBorder="1"/>
    <xf numFmtId="41" fontId="21" fillId="0" borderId="10" xfId="2" applyNumberFormat="1" applyFont="1" applyFill="1" applyBorder="1"/>
    <xf numFmtId="0" fontId="26" fillId="0" borderId="0" xfId="0" applyFont="1"/>
    <xf numFmtId="6" fontId="23" fillId="0" borderId="25" xfId="2" applyNumberFormat="1" applyFont="1" applyFill="1" applyBorder="1"/>
    <xf numFmtId="164" fontId="21" fillId="0" borderId="25" xfId="1" applyNumberFormat="1" applyFont="1" applyFill="1" applyBorder="1"/>
    <xf numFmtId="5" fontId="23" fillId="0" borderId="25" xfId="2" applyNumberFormat="1" applyFont="1" applyFill="1" applyBorder="1"/>
    <xf numFmtId="164" fontId="21" fillId="0" borderId="25" xfId="1" applyNumberFormat="1" applyFont="1" applyFill="1" applyBorder="1" applyAlignment="1">
      <alignment horizontal="right"/>
    </xf>
    <xf numFmtId="6" fontId="21" fillId="0" borderId="25" xfId="2" applyNumberFormat="1" applyFont="1" applyFill="1" applyBorder="1" applyAlignment="1">
      <alignment horizontal="right"/>
    </xf>
    <xf numFmtId="164" fontId="21" fillId="0" borderId="26" xfId="2" applyNumberFormat="1" applyFont="1" applyFill="1" applyBorder="1"/>
    <xf numFmtId="6" fontId="21" fillId="0" borderId="25" xfId="2" applyNumberFormat="1" applyFont="1" applyFill="1" applyBorder="1"/>
    <xf numFmtId="164" fontId="21" fillId="0" borderId="18" xfId="2" applyNumberFormat="1" applyFont="1" applyFill="1" applyBorder="1"/>
    <xf numFmtId="164" fontId="21" fillId="0" borderId="18" xfId="1" applyNumberFormat="1" applyFont="1" applyBorder="1"/>
    <xf numFmtId="6" fontId="23" fillId="0" borderId="27" xfId="2" applyNumberFormat="1" applyFont="1" applyFill="1" applyBorder="1"/>
    <xf numFmtId="44" fontId="23" fillId="0" borderId="25" xfId="2" applyNumberFormat="1" applyFont="1" applyFill="1" applyBorder="1"/>
    <xf numFmtId="42" fontId="23" fillId="0" borderId="25" xfId="2" applyNumberFormat="1" applyFont="1" applyFill="1" applyBorder="1"/>
    <xf numFmtId="168" fontId="23" fillId="0" borderId="1" xfId="7" applyNumberFormat="1" applyFont="1" applyFill="1" applyBorder="1"/>
    <xf numFmtId="41" fontId="23" fillId="0" borderId="1" xfId="2" applyNumberFormat="1" applyFont="1" applyFill="1" applyBorder="1"/>
    <xf numFmtId="44" fontId="23" fillId="0" borderId="1" xfId="2" applyNumberFormat="1" applyFont="1" applyFill="1" applyBorder="1"/>
    <xf numFmtId="41" fontId="21" fillId="0" borderId="1" xfId="1" applyNumberFormat="1" applyFont="1" applyFill="1" applyBorder="1"/>
    <xf numFmtId="3" fontId="0" fillId="0" borderId="0" xfId="0" applyNumberFormat="1"/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17" fontId="21" fillId="0" borderId="18" xfId="0" quotePrefix="1" applyNumberFormat="1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17" fontId="21" fillId="0" borderId="13" xfId="0" quotePrefix="1" applyNumberFormat="1" applyFont="1" applyBorder="1" applyAlignment="1">
      <alignment horizontal="center" wrapText="1"/>
    </xf>
    <xf numFmtId="0" fontId="10" fillId="0" borderId="0" xfId="3" applyFont="1" applyAlignment="1">
      <alignment horizontal="center"/>
    </xf>
    <xf numFmtId="0" fontId="9" fillId="0" borderId="0" xfId="3"/>
    <xf numFmtId="0" fontId="11" fillId="0" borderId="0" xfId="3" applyFont="1" applyAlignment="1">
      <alignment horizontal="center"/>
    </xf>
    <xf numFmtId="0" fontId="14" fillId="0" borderId="0" xfId="3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1" fillId="2" borderId="22" xfId="0" applyFont="1" applyFill="1" applyBorder="1" applyAlignment="1">
      <alignment horizontal="center" wrapText="1"/>
    </xf>
    <xf numFmtId="0" fontId="23" fillId="2" borderId="0" xfId="0" applyFont="1" applyFill="1"/>
    <xf numFmtId="44" fontId="23" fillId="2" borderId="0" xfId="1" applyFont="1" applyFill="1" applyBorder="1"/>
    <xf numFmtId="41" fontId="23" fillId="2" borderId="5" xfId="2" applyNumberFormat="1" applyFont="1" applyFill="1" applyBorder="1"/>
    <xf numFmtId="6" fontId="21" fillId="2" borderId="2" xfId="1" applyNumberFormat="1" applyFont="1" applyFill="1" applyBorder="1"/>
    <xf numFmtId="164" fontId="23" fillId="2" borderId="0" xfId="1" applyNumberFormat="1" applyFont="1" applyFill="1" applyBorder="1"/>
    <xf numFmtId="37" fontId="23" fillId="2" borderId="5" xfId="2" applyNumberFormat="1" applyFont="1" applyFill="1" applyBorder="1"/>
    <xf numFmtId="5" fontId="5" fillId="2" borderId="2" xfId="1" applyNumberFormat="1" applyFont="1" applyFill="1" applyBorder="1" applyAlignment="1">
      <alignment horizontal="right"/>
    </xf>
    <xf numFmtId="6" fontId="21" fillId="2" borderId="5" xfId="2" applyNumberFormat="1" applyFont="1" applyFill="1" applyBorder="1" applyAlignment="1">
      <alignment horizontal="right"/>
    </xf>
    <xf numFmtId="164" fontId="21" fillId="2" borderId="4" xfId="2" applyNumberFormat="1" applyFont="1" applyFill="1" applyBorder="1"/>
  </cellXfs>
  <cellStyles count="9">
    <cellStyle name="Comma" xfId="7" builtinId="3"/>
    <cellStyle name="Currency" xfId="1" builtinId="4"/>
    <cellStyle name="Currency 2" xfId="6" xr:uid="{00000000-0005-0000-0000-000002000000}"/>
    <cellStyle name="Normal" xfId="0" builtinId="0"/>
    <cellStyle name="Normal 2" xfId="3" xr:uid="{00000000-0005-0000-0000-000004000000}"/>
    <cellStyle name="Normal 2 2" xfId="5" xr:uid="{00000000-0005-0000-0000-000005000000}"/>
    <cellStyle name="Normal 2 3" xfId="4" xr:uid="{00000000-0005-0000-0000-000006000000}"/>
    <cellStyle name="Normal 2 3 2" xfId="8" xr:uid="{E574A5C3-47EF-4A21-AF13-9B187BAFBFB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61"/>
  <sheetViews>
    <sheetView tabSelected="1" topLeftCell="E3" workbookViewId="0">
      <pane xSplit="10" ySplit="3" topLeftCell="O6" activePane="bottomRight" state="frozen"/>
      <selection activeCell="E3" sqref="E3"/>
      <selection pane="topRight" activeCell="O3" sqref="O3"/>
      <selection pane="bottomLeft" activeCell="E6" sqref="E6"/>
      <selection pane="bottomRight" activeCell="Z14" sqref="Z14"/>
    </sheetView>
  </sheetViews>
  <sheetFormatPr defaultColWidth="8.796875" defaultRowHeight="12.75" x14ac:dyDescent="0.35"/>
  <cols>
    <col min="1" max="1" width="0" style="43" hidden="1" customWidth="1"/>
    <col min="2" max="2" width="5.796875" style="43" hidden="1" customWidth="1"/>
    <col min="3" max="3" width="7.46484375" style="55" customWidth="1"/>
    <col min="4" max="4" width="20.19921875" style="55" bestFit="1" customWidth="1"/>
    <col min="5" max="5" width="31.19921875" style="43" customWidth="1"/>
    <col min="6" max="11" width="14.796875" style="43" hidden="1" customWidth="1"/>
    <col min="12" max="13" width="14.19921875" style="43" hidden="1" customWidth="1"/>
    <col min="14" max="14" width="12.796875" style="43" hidden="1" customWidth="1"/>
    <col min="15" max="15" width="14.19921875" style="43" customWidth="1"/>
    <col min="16" max="16" width="14.19921875" style="43" bestFit="1" customWidth="1"/>
    <col min="17" max="17" width="5.796875" style="43" customWidth="1"/>
    <col min="18" max="18" width="12.796875" style="43" customWidth="1"/>
    <col min="19" max="20" width="13.19921875" style="43" bestFit="1" customWidth="1"/>
    <col min="21" max="21" width="5.796875" style="43" customWidth="1"/>
    <col min="22" max="22" width="12.796875" style="43" customWidth="1"/>
    <col min="23" max="24" width="13.19921875" style="43" bestFit="1" customWidth="1"/>
    <col min="25" max="16384" width="8.796875" style="43"/>
  </cols>
  <sheetData>
    <row r="1" spans="2:26" x14ac:dyDescent="0.35">
      <c r="C1" s="55" t="s">
        <v>218</v>
      </c>
      <c r="P1" s="69"/>
      <c r="Q1" s="69"/>
      <c r="R1" s="69"/>
    </row>
    <row r="2" spans="2:26" ht="10.5" customHeight="1" x14ac:dyDescent="0.35">
      <c r="C2" s="70" t="s">
        <v>330</v>
      </c>
      <c r="E2" s="71"/>
      <c r="O2" s="72"/>
    </row>
    <row r="3" spans="2:26" ht="13.15" thickBot="1" x14ac:dyDescent="0.4"/>
    <row r="4" spans="2:26" ht="15.75" customHeight="1" thickBot="1" x14ac:dyDescent="0.4">
      <c r="L4" s="146" t="s">
        <v>219</v>
      </c>
      <c r="M4" s="147"/>
      <c r="N4" s="148"/>
      <c r="O4" s="149" t="s">
        <v>312</v>
      </c>
      <c r="P4" s="150"/>
      <c r="Q4" s="73"/>
      <c r="R4" s="149" t="s">
        <v>335</v>
      </c>
      <c r="S4" s="151"/>
      <c r="T4" s="150"/>
      <c r="W4" s="113"/>
    </row>
    <row r="5" spans="2:26" ht="25.9" thickBot="1" x14ac:dyDescent="0.4">
      <c r="F5" s="74">
        <v>41486</v>
      </c>
      <c r="G5" s="74">
        <v>41516</v>
      </c>
      <c r="H5" s="74">
        <v>41547</v>
      </c>
      <c r="I5" s="74">
        <v>41578</v>
      </c>
      <c r="J5" s="74">
        <v>41608</v>
      </c>
      <c r="K5" s="74">
        <v>41639</v>
      </c>
      <c r="L5" s="75" t="s">
        <v>220</v>
      </c>
      <c r="M5" s="76" t="s">
        <v>221</v>
      </c>
      <c r="N5" s="76" t="s">
        <v>222</v>
      </c>
      <c r="O5" s="77" t="s">
        <v>307</v>
      </c>
      <c r="P5" s="78" t="s">
        <v>223</v>
      </c>
      <c r="Q5" s="73"/>
      <c r="R5" s="77" t="s">
        <v>315</v>
      </c>
      <c r="S5" s="78" t="s">
        <v>223</v>
      </c>
      <c r="T5" s="78" t="s">
        <v>333</v>
      </c>
      <c r="V5" s="76" t="s">
        <v>314</v>
      </c>
      <c r="W5" s="78" t="s">
        <v>338</v>
      </c>
      <c r="X5" s="160" t="s">
        <v>334</v>
      </c>
    </row>
    <row r="6" spans="2:26" x14ac:dyDescent="0.35">
      <c r="B6" s="43" t="s">
        <v>224</v>
      </c>
      <c r="C6" s="55" t="s">
        <v>225</v>
      </c>
      <c r="X6" s="161"/>
    </row>
    <row r="7" spans="2:26" x14ac:dyDescent="0.35">
      <c r="B7" s="43" t="s">
        <v>226</v>
      </c>
      <c r="D7" s="55" t="s">
        <v>227</v>
      </c>
      <c r="F7" s="79"/>
      <c r="G7" s="79"/>
      <c r="H7" s="79"/>
      <c r="I7" s="79"/>
      <c r="J7" s="79"/>
      <c r="K7" s="79"/>
      <c r="L7" s="44"/>
      <c r="M7" s="44"/>
      <c r="N7" s="44"/>
      <c r="O7" s="44"/>
      <c r="P7" s="44"/>
      <c r="Q7" s="44"/>
      <c r="R7" s="44"/>
      <c r="S7" s="44"/>
      <c r="T7" s="44"/>
      <c r="V7" s="44"/>
      <c r="W7" s="44"/>
      <c r="X7" s="162"/>
    </row>
    <row r="8" spans="2:26" x14ac:dyDescent="0.35">
      <c r="B8" s="43" t="s">
        <v>228</v>
      </c>
      <c r="E8" s="45" t="s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1">
        <v>0</v>
      </c>
      <c r="L8" s="82"/>
      <c r="M8" s="82">
        <f>+N8/2</f>
        <v>29750</v>
      </c>
      <c r="N8" s="82">
        <v>59500</v>
      </c>
      <c r="O8" s="83">
        <v>89000</v>
      </c>
      <c r="P8" s="46">
        <v>89000</v>
      </c>
      <c r="Q8" s="84"/>
      <c r="R8" s="83">
        <f>40500+41500</f>
        <v>82000</v>
      </c>
      <c r="S8" s="46">
        <v>70135</v>
      </c>
      <c r="T8" s="46">
        <v>91000</v>
      </c>
      <c r="V8" s="129">
        <v>100250</v>
      </c>
      <c r="W8" s="46">
        <v>91000</v>
      </c>
      <c r="X8" s="163">
        <v>96000</v>
      </c>
    </row>
    <row r="9" spans="2:26" ht="14.25" x14ac:dyDescent="0.45">
      <c r="B9" s="43" t="s">
        <v>229</v>
      </c>
      <c r="E9" s="45" t="s">
        <v>1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1">
        <v>0</v>
      </c>
      <c r="L9" s="82"/>
      <c r="M9" s="82">
        <f t="shared" ref="M9:M12" si="0">+N9/2</f>
        <v>2500</v>
      </c>
      <c r="N9" s="82">
        <v>5000</v>
      </c>
      <c r="O9" s="83">
        <v>6000</v>
      </c>
      <c r="P9" s="46">
        <v>6000</v>
      </c>
      <c r="Q9" s="84"/>
      <c r="R9" s="83">
        <v>6000</v>
      </c>
      <c r="S9" s="46">
        <v>6000</v>
      </c>
      <c r="T9" s="46">
        <v>6000</v>
      </c>
      <c r="V9" s="129">
        <v>5000</v>
      </c>
      <c r="W9" s="46">
        <v>6000</v>
      </c>
      <c r="X9" s="163">
        <v>6000</v>
      </c>
      <c r="Z9" s="145"/>
    </row>
    <row r="10" spans="2:26" x14ac:dyDescent="0.35">
      <c r="E10" s="45" t="s">
        <v>300</v>
      </c>
      <c r="F10" s="80"/>
      <c r="G10" s="80"/>
      <c r="H10" s="80"/>
      <c r="I10" s="80"/>
      <c r="J10" s="80"/>
      <c r="K10" s="81"/>
      <c r="L10" s="82"/>
      <c r="M10" s="82"/>
      <c r="N10" s="82"/>
      <c r="O10" s="83">
        <v>105000</v>
      </c>
      <c r="P10" s="46">
        <v>0</v>
      </c>
      <c r="Q10" s="84"/>
      <c r="R10" s="83">
        <f>90000+15000</f>
        <v>105000</v>
      </c>
      <c r="S10" s="46">
        <v>0</v>
      </c>
      <c r="T10" s="46">
        <v>0</v>
      </c>
      <c r="V10" s="129">
        <v>96500</v>
      </c>
      <c r="W10" s="46">
        <v>0</v>
      </c>
      <c r="X10" s="163">
        <v>105000</v>
      </c>
    </row>
    <row r="11" spans="2:26" x14ac:dyDescent="0.35">
      <c r="E11" s="45" t="s">
        <v>301</v>
      </c>
      <c r="F11" s="80"/>
      <c r="G11" s="80"/>
      <c r="H11" s="80"/>
      <c r="I11" s="80"/>
      <c r="J11" s="80"/>
      <c r="K11" s="81"/>
      <c r="L11" s="82"/>
      <c r="M11" s="82"/>
      <c r="N11" s="82"/>
      <c r="O11" s="83">
        <v>24000</v>
      </c>
      <c r="P11" s="46">
        <v>6205</v>
      </c>
      <c r="Q11" s="84"/>
      <c r="R11" s="83">
        <f>3500+3000+3500+3500+3500+3500+3500</f>
        <v>24000</v>
      </c>
      <c r="S11" s="46">
        <v>18705</v>
      </c>
      <c r="T11" s="46">
        <v>24500</v>
      </c>
      <c r="V11" s="129">
        <v>27793</v>
      </c>
      <c r="W11" s="46">
        <v>24000</v>
      </c>
      <c r="X11" s="163">
        <v>24000</v>
      </c>
    </row>
    <row r="12" spans="2:26" x14ac:dyDescent="0.35">
      <c r="B12" s="43" t="s">
        <v>230</v>
      </c>
      <c r="E12" s="45" t="s">
        <v>2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1">
        <v>0</v>
      </c>
      <c r="L12" s="82"/>
      <c r="M12" s="82">
        <f t="shared" si="0"/>
        <v>7500</v>
      </c>
      <c r="N12" s="82">
        <v>15000</v>
      </c>
      <c r="O12" s="83">
        <v>69000</v>
      </c>
      <c r="P12" s="46">
        <v>63242</v>
      </c>
      <c r="Q12" s="84"/>
      <c r="R12" s="83">
        <f>6000+7000+7000+7000+7000+6000+7000+6000</f>
        <v>53000</v>
      </c>
      <c r="S12" s="46">
        <v>35140</v>
      </c>
      <c r="T12" s="46">
        <v>43777</v>
      </c>
      <c r="V12" s="129">
        <v>65770</v>
      </c>
      <c r="W12" s="46">
        <v>43777</v>
      </c>
      <c r="X12" s="163">
        <v>70000</v>
      </c>
    </row>
    <row r="13" spans="2:26" x14ac:dyDescent="0.35">
      <c r="B13" s="43" t="s">
        <v>231</v>
      </c>
      <c r="E13" s="47" t="s">
        <v>3</v>
      </c>
      <c r="F13" s="85">
        <f t="shared" ref="F13:N13" si="1">SUM(F8:F12)</f>
        <v>0</v>
      </c>
      <c r="G13" s="85">
        <f t="shared" si="1"/>
        <v>0</v>
      </c>
      <c r="H13" s="85">
        <f t="shared" si="1"/>
        <v>0</v>
      </c>
      <c r="I13" s="85">
        <f t="shared" si="1"/>
        <v>0</v>
      </c>
      <c r="J13" s="85">
        <f t="shared" si="1"/>
        <v>0</v>
      </c>
      <c r="K13" s="86">
        <f t="shared" si="1"/>
        <v>0</v>
      </c>
      <c r="L13" s="87">
        <f t="shared" si="1"/>
        <v>0</v>
      </c>
      <c r="M13" s="87">
        <f t="shared" si="1"/>
        <v>39750</v>
      </c>
      <c r="N13" s="87">
        <f t="shared" si="1"/>
        <v>79500</v>
      </c>
      <c r="O13" s="48">
        <f>SUM(O8:O12)</f>
        <v>293000</v>
      </c>
      <c r="P13" s="48">
        <f>SUM(P8:P12)</f>
        <v>164447</v>
      </c>
      <c r="Q13" s="88"/>
      <c r="R13" s="48">
        <f>SUM(R8:R12)</f>
        <v>270000</v>
      </c>
      <c r="S13" s="48">
        <f>SUM(S8:S12)</f>
        <v>129980</v>
      </c>
      <c r="T13" s="48">
        <f>SUM(T8:T12)</f>
        <v>165277</v>
      </c>
      <c r="V13" s="130">
        <f>SUM(V8:V12)</f>
        <v>295313</v>
      </c>
      <c r="W13" s="48">
        <f>SUM(W8:W12)</f>
        <v>164777</v>
      </c>
      <c r="X13" s="164">
        <f>SUM(X8:X12)</f>
        <v>301000</v>
      </c>
    </row>
    <row r="14" spans="2:26" x14ac:dyDescent="0.35">
      <c r="B14" s="43" t="s">
        <v>232</v>
      </c>
      <c r="F14" s="89"/>
      <c r="G14" s="89"/>
      <c r="H14" s="89"/>
      <c r="I14" s="89"/>
      <c r="J14" s="89"/>
      <c r="K14" s="89"/>
      <c r="L14" s="49"/>
      <c r="M14" s="49"/>
      <c r="N14" s="49"/>
      <c r="O14" s="49"/>
      <c r="P14" s="49"/>
      <c r="Q14" s="49"/>
      <c r="R14" s="49"/>
      <c r="S14" s="49"/>
      <c r="T14" s="49"/>
      <c r="V14" s="49"/>
      <c r="W14" s="49"/>
      <c r="X14" s="165"/>
    </row>
    <row r="15" spans="2:26" x14ac:dyDescent="0.35">
      <c r="B15" s="43" t="s">
        <v>233</v>
      </c>
      <c r="D15" s="55" t="s">
        <v>234</v>
      </c>
      <c r="F15" s="89"/>
      <c r="G15" s="89"/>
      <c r="H15" s="89"/>
      <c r="I15" s="89"/>
      <c r="J15" s="89"/>
      <c r="K15" s="89"/>
      <c r="L15" s="49"/>
      <c r="M15" s="49"/>
      <c r="N15" s="49"/>
      <c r="O15" s="49"/>
      <c r="P15" s="49"/>
      <c r="Q15" s="49"/>
      <c r="R15" s="49"/>
      <c r="S15" s="49"/>
      <c r="T15" s="49"/>
      <c r="V15" s="49"/>
      <c r="W15" s="49"/>
      <c r="X15" s="165"/>
    </row>
    <row r="16" spans="2:26" x14ac:dyDescent="0.35">
      <c r="B16" s="43" t="s">
        <v>235</v>
      </c>
      <c r="C16" s="90"/>
      <c r="E16" s="45" t="s">
        <v>4</v>
      </c>
      <c r="F16" s="80">
        <v>0</v>
      </c>
      <c r="G16" s="80">
        <f>500+2025+4585+2500-2500-1567</f>
        <v>5543</v>
      </c>
      <c r="H16" s="80">
        <f>5000+5000+10000</f>
        <v>20000</v>
      </c>
      <c r="I16" s="80">
        <v>9400</v>
      </c>
      <c r="J16" s="80">
        <v>5764</v>
      </c>
      <c r="K16" s="91">
        <f>19390+500</f>
        <v>19890</v>
      </c>
      <c r="L16" s="82">
        <v>31300</v>
      </c>
      <c r="M16" s="82">
        <f t="shared" ref="M16:M21" si="2">+N16/2</f>
        <v>27500</v>
      </c>
      <c r="N16" s="82">
        <v>55000</v>
      </c>
      <c r="O16" s="83">
        <v>60000</v>
      </c>
      <c r="P16" s="46">
        <v>47291</v>
      </c>
      <c r="Q16" s="84"/>
      <c r="R16" s="83">
        <f>5000+5000+10000+10000+5000+6000+6000+10000+7000</f>
        <v>64000</v>
      </c>
      <c r="S16" s="46">
        <f>54225+2000+1601</f>
        <v>57826</v>
      </c>
      <c r="T16" s="46">
        <v>76826</v>
      </c>
      <c r="V16" s="129">
        <v>107709</v>
      </c>
      <c r="W16" s="46">
        <v>76826</v>
      </c>
      <c r="X16" s="163">
        <v>80000</v>
      </c>
    </row>
    <row r="17" spans="2:24" x14ac:dyDescent="0.35">
      <c r="B17" s="43" t="s">
        <v>236</v>
      </c>
      <c r="C17" s="90"/>
      <c r="E17" s="45" t="s">
        <v>5</v>
      </c>
      <c r="F17" s="80">
        <v>0</v>
      </c>
      <c r="G17" s="80">
        <f>19988-9000-500-2025-4585+1567</f>
        <v>5445</v>
      </c>
      <c r="H17" s="80">
        <f>27803-20000-2514-2500</f>
        <v>2789</v>
      </c>
      <c r="I17" s="80">
        <v>76</v>
      </c>
      <c r="J17" s="80">
        <f>-3200+3733</f>
        <v>533</v>
      </c>
      <c r="K17" s="91">
        <v>1151</v>
      </c>
      <c r="L17" s="82">
        <f>88904.82+5267.78</f>
        <v>94172.6</v>
      </c>
      <c r="M17" s="82">
        <f t="shared" si="2"/>
        <v>30755.58</v>
      </c>
      <c r="N17" s="82">
        <v>61511.16</v>
      </c>
      <c r="O17" s="83">
        <v>30000</v>
      </c>
      <c r="P17" s="46">
        <v>44195</v>
      </c>
      <c r="Q17" s="84"/>
      <c r="R17" s="83">
        <f>8000+7000+1000+1000+10000+1000+2000+5000+3000+1000</f>
        <v>39000</v>
      </c>
      <c r="S17" s="46">
        <v>39660</v>
      </c>
      <c r="T17" s="46">
        <v>41438</v>
      </c>
      <c r="V17" s="129">
        <v>38797</v>
      </c>
      <c r="W17" s="46">
        <v>41438</v>
      </c>
      <c r="X17" s="163">
        <v>45000</v>
      </c>
    </row>
    <row r="18" spans="2:24" x14ac:dyDescent="0.35">
      <c r="C18" s="90"/>
      <c r="E18" s="45" t="s">
        <v>306</v>
      </c>
      <c r="F18" s="80"/>
      <c r="G18" s="80"/>
      <c r="H18" s="80"/>
      <c r="I18" s="80"/>
      <c r="J18" s="80"/>
      <c r="K18" s="91"/>
      <c r="L18" s="82"/>
      <c r="M18" s="82"/>
      <c r="N18" s="82"/>
      <c r="O18" s="83">
        <v>0</v>
      </c>
      <c r="P18" s="46">
        <v>59515</v>
      </c>
      <c r="Q18" s="84"/>
      <c r="R18" s="83">
        <f>12500+12500</f>
        <v>25000</v>
      </c>
      <c r="S18" s="46">
        <v>61826</v>
      </c>
      <c r="T18" s="46">
        <v>80118</v>
      </c>
      <c r="V18" s="139">
        <v>0</v>
      </c>
      <c r="W18" s="46">
        <v>80118</v>
      </c>
      <c r="X18" s="163">
        <v>65000</v>
      </c>
    </row>
    <row r="19" spans="2:24" x14ac:dyDescent="0.35">
      <c r="B19" s="43" t="s">
        <v>237</v>
      </c>
      <c r="C19" s="90"/>
      <c r="E19" s="45" t="s">
        <v>6</v>
      </c>
      <c r="F19" s="80">
        <v>0</v>
      </c>
      <c r="G19" s="80">
        <v>2500</v>
      </c>
      <c r="H19" s="80">
        <v>2514</v>
      </c>
      <c r="I19" s="80">
        <f>8800+21700-1600</f>
        <v>28900</v>
      </c>
      <c r="J19" s="80">
        <f>3200+1351</f>
        <v>4551</v>
      </c>
      <c r="K19" s="91">
        <v>200</v>
      </c>
      <c r="L19" s="82">
        <v>23051</v>
      </c>
      <c r="M19" s="82">
        <f t="shared" si="2"/>
        <v>15000</v>
      </c>
      <c r="N19" s="82">
        <v>30000</v>
      </c>
      <c r="O19" s="83">
        <v>20000</v>
      </c>
      <c r="P19" s="46">
        <v>18551</v>
      </c>
      <c r="Q19" s="84"/>
      <c r="R19" s="83">
        <f>10000+10000</f>
        <v>20000</v>
      </c>
      <c r="S19" s="46">
        <v>30776</v>
      </c>
      <c r="T19" s="46">
        <v>37956</v>
      </c>
      <c r="V19" s="129">
        <v>29840</v>
      </c>
      <c r="W19" s="46">
        <v>37956</v>
      </c>
      <c r="X19" s="163">
        <v>50000</v>
      </c>
    </row>
    <row r="20" spans="2:24" x14ac:dyDescent="0.35">
      <c r="C20" s="90"/>
      <c r="E20" s="45" t="s">
        <v>302</v>
      </c>
      <c r="F20" s="80"/>
      <c r="G20" s="80"/>
      <c r="H20" s="80"/>
      <c r="I20" s="80"/>
      <c r="J20" s="80"/>
      <c r="K20" s="91"/>
      <c r="L20" s="82"/>
      <c r="M20" s="82"/>
      <c r="N20" s="82"/>
      <c r="O20" s="83">
        <v>0</v>
      </c>
      <c r="P20" s="46">
        <v>0</v>
      </c>
      <c r="Q20" s="84"/>
      <c r="R20" s="83">
        <v>0</v>
      </c>
      <c r="S20" s="46">
        <v>0</v>
      </c>
      <c r="T20" s="46">
        <v>0</v>
      </c>
      <c r="V20" s="139">
        <v>0</v>
      </c>
      <c r="W20" s="46">
        <v>0</v>
      </c>
      <c r="X20" s="163">
        <v>0</v>
      </c>
    </row>
    <row r="21" spans="2:24" x14ac:dyDescent="0.35">
      <c r="B21" s="43" t="s">
        <v>238</v>
      </c>
      <c r="E21" s="45" t="s">
        <v>7</v>
      </c>
      <c r="F21" s="80">
        <v>0</v>
      </c>
      <c r="G21" s="80">
        <v>0</v>
      </c>
      <c r="H21" s="80">
        <v>25000</v>
      </c>
      <c r="I21" s="80">
        <v>0</v>
      </c>
      <c r="J21" s="80">
        <v>0</v>
      </c>
      <c r="K21" s="81">
        <v>0</v>
      </c>
      <c r="L21" s="82"/>
      <c r="M21" s="82">
        <f t="shared" si="2"/>
        <v>22500</v>
      </c>
      <c r="N21" s="82">
        <v>45000</v>
      </c>
      <c r="O21" s="83">
        <v>120000</v>
      </c>
      <c r="P21" s="46">
        <v>127500</v>
      </c>
      <c r="Q21" s="84"/>
      <c r="R21" s="83">
        <f>25000+55000+25000+30000</f>
        <v>135000</v>
      </c>
      <c r="S21" s="46">
        <v>147500</v>
      </c>
      <c r="T21" s="46">
        <f>50000+17500+10000+40000+30000</f>
        <v>147500</v>
      </c>
      <c r="V21" s="129">
        <v>142500</v>
      </c>
      <c r="W21" s="46">
        <f>50000+17500+10000+40000+30000</f>
        <v>147500</v>
      </c>
      <c r="X21" s="163">
        <f>50000+17500+10000+40000+30000+11000</f>
        <v>158500</v>
      </c>
    </row>
    <row r="22" spans="2:24" x14ac:dyDescent="0.35">
      <c r="E22" s="45" t="s">
        <v>143</v>
      </c>
      <c r="F22" s="80"/>
      <c r="G22" s="80"/>
      <c r="H22" s="80"/>
      <c r="I22" s="80"/>
      <c r="J22" s="80"/>
      <c r="K22" s="81"/>
      <c r="L22" s="82"/>
      <c r="M22" s="82"/>
      <c r="N22" s="82"/>
      <c r="O22" s="83">
        <v>122250</v>
      </c>
      <c r="P22" s="50">
        <v>122250</v>
      </c>
      <c r="Q22" s="84"/>
      <c r="R22" s="83">
        <v>189819</v>
      </c>
      <c r="S22" s="50">
        <v>189819</v>
      </c>
      <c r="T22" s="50">
        <v>189819</v>
      </c>
      <c r="V22" s="131">
        <v>-983</v>
      </c>
      <c r="W22" s="50">
        <v>189819</v>
      </c>
      <c r="X22" s="166">
        <f>T102</f>
        <v>176442.55000000005</v>
      </c>
    </row>
    <row r="23" spans="2:24" x14ac:dyDescent="0.35">
      <c r="B23" s="43" t="s">
        <v>239</v>
      </c>
      <c r="E23" s="47" t="s">
        <v>8</v>
      </c>
      <c r="F23" s="92">
        <f t="shared" ref="F23:N23" si="3">SUM(F16:F21)</f>
        <v>0</v>
      </c>
      <c r="G23" s="92">
        <f t="shared" si="3"/>
        <v>13488</v>
      </c>
      <c r="H23" s="92">
        <f t="shared" si="3"/>
        <v>50303</v>
      </c>
      <c r="I23" s="92">
        <f t="shared" si="3"/>
        <v>38376</v>
      </c>
      <c r="J23" s="92">
        <f t="shared" si="3"/>
        <v>10848</v>
      </c>
      <c r="K23" s="93">
        <f t="shared" si="3"/>
        <v>21241</v>
      </c>
      <c r="L23" s="94">
        <f t="shared" si="3"/>
        <v>148523.6</v>
      </c>
      <c r="M23" s="94">
        <f t="shared" si="3"/>
        <v>95755.58</v>
      </c>
      <c r="N23" s="94">
        <f t="shared" si="3"/>
        <v>191511.16</v>
      </c>
      <c r="O23" s="51">
        <f>SUM(O16:O22)</f>
        <v>352250</v>
      </c>
      <c r="P23" s="51">
        <f>SUM(P16:P22)</f>
        <v>419302</v>
      </c>
      <c r="Q23" s="95"/>
      <c r="R23" s="119">
        <f>SUM(R16:R22)</f>
        <v>472819</v>
      </c>
      <c r="S23" s="119">
        <f>SUM(S16:S22)</f>
        <v>527407</v>
      </c>
      <c r="T23" s="119">
        <f>SUM(T16:T22)</f>
        <v>573657</v>
      </c>
      <c r="V23" s="132">
        <f>SUM(V16:V22)</f>
        <v>317863</v>
      </c>
      <c r="W23" s="119">
        <f>SUM(W16:W22)</f>
        <v>573657</v>
      </c>
      <c r="X23" s="167">
        <f>SUM(X16:X22)</f>
        <v>574942.55000000005</v>
      </c>
    </row>
    <row r="24" spans="2:24" x14ac:dyDescent="0.35">
      <c r="B24" s="43" t="s">
        <v>240</v>
      </c>
      <c r="F24" s="89"/>
      <c r="G24" s="89"/>
      <c r="H24" s="89"/>
      <c r="I24" s="89"/>
      <c r="J24" s="89"/>
      <c r="K24" s="89"/>
      <c r="L24" s="49"/>
      <c r="M24" s="49"/>
      <c r="N24" s="49"/>
      <c r="O24" s="49"/>
      <c r="P24" s="49"/>
      <c r="Q24" s="49"/>
      <c r="R24" s="49"/>
      <c r="S24" s="49"/>
      <c r="T24" s="49"/>
      <c r="V24" s="49"/>
      <c r="W24" s="49"/>
      <c r="X24" s="165"/>
    </row>
    <row r="25" spans="2:24" x14ac:dyDescent="0.35">
      <c r="B25" s="43" t="s">
        <v>241</v>
      </c>
      <c r="D25" s="55" t="s">
        <v>242</v>
      </c>
      <c r="F25" s="89"/>
      <c r="G25" s="89"/>
      <c r="H25" s="89"/>
      <c r="I25" s="89"/>
      <c r="J25" s="89"/>
      <c r="K25" s="89"/>
      <c r="L25" s="49"/>
      <c r="M25" s="49"/>
      <c r="N25" s="49"/>
      <c r="O25" s="49"/>
      <c r="P25" s="49"/>
      <c r="Q25" s="49"/>
      <c r="R25" s="49"/>
      <c r="S25" s="49"/>
      <c r="T25" s="49"/>
      <c r="V25" s="49"/>
      <c r="W25" s="49"/>
      <c r="X25" s="165"/>
    </row>
    <row r="26" spans="2:24" x14ac:dyDescent="0.35">
      <c r="B26" s="43" t="s">
        <v>243</v>
      </c>
      <c r="C26" s="96"/>
      <c r="E26" s="45" t="s">
        <v>9</v>
      </c>
      <c r="F26" s="80">
        <f>740.99+8776.94</f>
        <v>9517.93</v>
      </c>
      <c r="G26" s="80">
        <v>9518</v>
      </c>
      <c r="H26" s="80">
        <v>9518</v>
      </c>
      <c r="I26" s="80">
        <f>741.01+8777.2</f>
        <v>9518.2100000000009</v>
      </c>
      <c r="J26" s="80">
        <f>740.99+8776.94</f>
        <v>9517.93</v>
      </c>
      <c r="K26" s="81">
        <f>8777.2+741.01</f>
        <v>9518.2100000000009</v>
      </c>
      <c r="L26" s="82">
        <f>4445.98+52662.12</f>
        <v>57108.100000000006</v>
      </c>
      <c r="M26" s="82">
        <f t="shared" ref="M26:M27" si="4">+N26/2</f>
        <v>4378.42</v>
      </c>
      <c r="N26" s="82">
        <v>8756.84</v>
      </c>
      <c r="O26" s="83">
        <v>140040</v>
      </c>
      <c r="P26" s="46">
        <v>140040</v>
      </c>
      <c r="Q26" s="84"/>
      <c r="R26" s="83">
        <f>13169+13169+16423+13169+13169+16423+13169+13169+16423+13169+13169</f>
        <v>154621</v>
      </c>
      <c r="S26" s="46">
        <v>141452</v>
      </c>
      <c r="T26" s="46">
        <v>171043</v>
      </c>
      <c r="V26" s="129">
        <v>147077</v>
      </c>
      <c r="W26" s="46">
        <v>171043</v>
      </c>
      <c r="X26" s="163">
        <v>155000</v>
      </c>
    </row>
    <row r="27" spans="2:24" x14ac:dyDescent="0.35">
      <c r="B27" s="43" t="s">
        <v>244</v>
      </c>
      <c r="E27" s="45" t="s">
        <v>215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1">
        <v>0</v>
      </c>
      <c r="L27" s="82"/>
      <c r="M27" s="82">
        <f t="shared" si="4"/>
        <v>70000</v>
      </c>
      <c r="N27" s="82">
        <v>140000</v>
      </c>
      <c r="O27" s="83">
        <v>86296</v>
      </c>
      <c r="P27" s="46">
        <v>86296</v>
      </c>
      <c r="Q27" s="84"/>
      <c r="R27" s="83">
        <f>5655+5655+14270+5655+5655+14269+5655+5655+14269+5655+5655</f>
        <v>88048</v>
      </c>
      <c r="S27" s="46">
        <v>82393</v>
      </c>
      <c r="T27" s="46">
        <v>102317</v>
      </c>
      <c r="V27" s="129">
        <v>83645</v>
      </c>
      <c r="W27" s="46">
        <v>102317</v>
      </c>
      <c r="X27" s="163">
        <v>95000</v>
      </c>
    </row>
    <row r="28" spans="2:24" x14ac:dyDescent="0.35">
      <c r="B28" s="43" t="s">
        <v>245</v>
      </c>
      <c r="E28" s="47" t="s">
        <v>10</v>
      </c>
      <c r="F28" s="85">
        <f t="shared" ref="F28:K28" si="5">SUM(F26:F27)</f>
        <v>9517.93</v>
      </c>
      <c r="G28" s="85">
        <f t="shared" si="5"/>
        <v>9518</v>
      </c>
      <c r="H28" s="85">
        <f t="shared" si="5"/>
        <v>9518</v>
      </c>
      <c r="I28" s="85">
        <f t="shared" si="5"/>
        <v>9518.2100000000009</v>
      </c>
      <c r="J28" s="85">
        <f t="shared" si="5"/>
        <v>9517.93</v>
      </c>
      <c r="K28" s="86">
        <f t="shared" si="5"/>
        <v>9518.2100000000009</v>
      </c>
      <c r="L28" s="87">
        <f t="shared" ref="L28:M28" si="6">SUM(L26:L27)</f>
        <v>57108.100000000006</v>
      </c>
      <c r="M28" s="87">
        <f t="shared" si="6"/>
        <v>74378.42</v>
      </c>
      <c r="N28" s="87">
        <f>SUM(N26:N27)</f>
        <v>148756.84</v>
      </c>
      <c r="O28" s="48">
        <f>SUM(O26:O27)</f>
        <v>226336</v>
      </c>
      <c r="P28" s="48">
        <f>SUM(P26:P27)</f>
        <v>226336</v>
      </c>
      <c r="Q28" s="88"/>
      <c r="R28" s="48">
        <f>SUM(R26:R27)</f>
        <v>242669</v>
      </c>
      <c r="S28" s="48">
        <f>SUM(S26:S27)</f>
        <v>223845</v>
      </c>
      <c r="T28" s="48">
        <f>SUM(T26:T27)</f>
        <v>273360</v>
      </c>
      <c r="V28" s="130">
        <f>SUM(V26:V27)</f>
        <v>230722</v>
      </c>
      <c r="W28" s="48">
        <f>SUM(W26:W27)</f>
        <v>273360</v>
      </c>
      <c r="X28" s="164">
        <f>SUM(X26:X27)</f>
        <v>250000</v>
      </c>
    </row>
    <row r="29" spans="2:24" x14ac:dyDescent="0.35">
      <c r="B29" s="43" t="s">
        <v>246</v>
      </c>
      <c r="F29" s="89"/>
      <c r="G29" s="89"/>
      <c r="H29" s="89"/>
      <c r="I29" s="89"/>
      <c r="J29" s="89"/>
      <c r="K29" s="89"/>
      <c r="L29" s="49"/>
      <c r="M29" s="49"/>
      <c r="N29" s="49"/>
      <c r="O29" s="49"/>
      <c r="P29" s="49"/>
      <c r="Q29" s="49"/>
      <c r="R29" s="49"/>
      <c r="S29" s="49"/>
      <c r="T29" s="49"/>
      <c r="V29" s="49"/>
      <c r="W29" s="49"/>
      <c r="X29" s="165"/>
    </row>
    <row r="30" spans="2:24" x14ac:dyDescent="0.35">
      <c r="B30" s="43" t="s">
        <v>247</v>
      </c>
      <c r="D30" s="55" t="s">
        <v>248</v>
      </c>
      <c r="F30" s="89"/>
      <c r="G30" s="89"/>
      <c r="H30" s="89"/>
      <c r="I30" s="89"/>
      <c r="J30" s="89"/>
      <c r="K30" s="89"/>
      <c r="L30" s="49"/>
      <c r="M30" s="49"/>
      <c r="N30" s="49"/>
      <c r="O30" s="49"/>
      <c r="P30" s="49"/>
      <c r="Q30" s="49"/>
      <c r="R30" s="49"/>
      <c r="S30" s="49"/>
      <c r="T30" s="49"/>
      <c r="V30" s="49"/>
      <c r="W30" s="49"/>
      <c r="X30" s="165"/>
    </row>
    <row r="31" spans="2:24" x14ac:dyDescent="0.35">
      <c r="B31" s="43" t="s">
        <v>249</v>
      </c>
      <c r="E31" s="45" t="s">
        <v>144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1">
        <v>0</v>
      </c>
      <c r="L31" s="82">
        <f>6946.43-5000</f>
        <v>1946.4300000000003</v>
      </c>
      <c r="M31" s="82">
        <f t="shared" ref="M31:M35" si="7">+N31/2</f>
        <v>7500</v>
      </c>
      <c r="N31" s="82">
        <v>15000</v>
      </c>
      <c r="O31" s="83">
        <v>25000</v>
      </c>
      <c r="P31" s="46">
        <v>25000</v>
      </c>
      <c r="Q31" s="84"/>
      <c r="R31" s="83">
        <f>2083+2084+2083+2083+2083+2083+2083+2083+2083+2084+2084</f>
        <v>22916</v>
      </c>
      <c r="S31" s="46">
        <v>22917</v>
      </c>
      <c r="T31" s="46">
        <v>23400</v>
      </c>
      <c r="V31" s="129">
        <v>25315</v>
      </c>
      <c r="W31" s="46">
        <v>23400</v>
      </c>
      <c r="X31" s="163">
        <f>W31+6250</f>
        <v>29650</v>
      </c>
    </row>
    <row r="32" spans="2:24" x14ac:dyDescent="0.35">
      <c r="B32" s="43" t="s">
        <v>250</v>
      </c>
      <c r="D32" s="97"/>
      <c r="E32" s="45" t="s">
        <v>251</v>
      </c>
      <c r="F32" s="80">
        <v>0</v>
      </c>
      <c r="G32" s="80">
        <v>1167.98</v>
      </c>
      <c r="H32" s="80">
        <v>645.98</v>
      </c>
      <c r="I32" s="80">
        <v>756.9</v>
      </c>
      <c r="J32" s="80">
        <v>991.5</v>
      </c>
      <c r="K32" s="81">
        <v>326.25</v>
      </c>
      <c r="L32" s="82">
        <v>3888.61</v>
      </c>
      <c r="M32" s="82">
        <f t="shared" si="7"/>
        <v>4000</v>
      </c>
      <c r="N32" s="82">
        <v>8000</v>
      </c>
      <c r="O32" s="83">
        <v>8000</v>
      </c>
      <c r="P32" s="46">
        <v>20636</v>
      </c>
      <c r="Q32" s="84"/>
      <c r="R32" s="83">
        <f>571+2000+571+571+287+287+571+571+2000+571</f>
        <v>8000</v>
      </c>
      <c r="S32" s="46">
        <v>8567</v>
      </c>
      <c r="T32" s="46">
        <v>8567</v>
      </c>
      <c r="V32" s="129">
        <v>8338</v>
      </c>
      <c r="W32" s="46">
        <v>8567</v>
      </c>
      <c r="X32" s="163">
        <v>9000</v>
      </c>
    </row>
    <row r="33" spans="2:24" x14ac:dyDescent="0.35">
      <c r="E33" s="45" t="s">
        <v>147</v>
      </c>
      <c r="F33" s="80"/>
      <c r="G33" s="80"/>
      <c r="H33" s="80"/>
      <c r="I33" s="80"/>
      <c r="J33" s="80"/>
      <c r="K33" s="81"/>
      <c r="L33" s="82"/>
      <c r="M33" s="82"/>
      <c r="N33" s="82"/>
      <c r="O33" s="83">
        <v>1300</v>
      </c>
      <c r="P33" s="46">
        <v>5470</v>
      </c>
      <c r="Q33" s="84"/>
      <c r="R33" s="83">
        <f>25+25+25+25+25+25+25+25+25+925+25</f>
        <v>1175</v>
      </c>
      <c r="S33" s="46">
        <v>1736</v>
      </c>
      <c r="T33" s="46">
        <v>1803</v>
      </c>
      <c r="V33" s="129">
        <v>1196</v>
      </c>
      <c r="W33" s="46">
        <v>1803</v>
      </c>
      <c r="X33" s="163">
        <v>900</v>
      </c>
    </row>
    <row r="34" spans="2:24" x14ac:dyDescent="0.35">
      <c r="E34" s="45" t="s">
        <v>337</v>
      </c>
      <c r="F34" s="80"/>
      <c r="G34" s="80"/>
      <c r="H34" s="80"/>
      <c r="I34" s="80"/>
      <c r="J34" s="80"/>
      <c r="K34" s="81"/>
      <c r="L34" s="82"/>
      <c r="M34" s="82"/>
      <c r="N34" s="82"/>
      <c r="O34" s="83">
        <v>0</v>
      </c>
      <c r="P34" s="46">
        <v>77302</v>
      </c>
      <c r="Q34" s="84"/>
      <c r="R34" s="83">
        <v>0</v>
      </c>
      <c r="S34" s="46">
        <v>4918</v>
      </c>
      <c r="T34" s="46">
        <v>4917.55</v>
      </c>
      <c r="V34" s="140">
        <v>0</v>
      </c>
      <c r="W34" s="46">
        <v>4917.55</v>
      </c>
      <c r="X34" s="163">
        <v>0</v>
      </c>
    </row>
    <row r="35" spans="2:24" x14ac:dyDescent="0.35">
      <c r="B35" s="43" t="s">
        <v>252</v>
      </c>
      <c r="E35" s="45" t="s">
        <v>11</v>
      </c>
      <c r="F35" s="80">
        <v>0</v>
      </c>
      <c r="G35" s="80">
        <v>958.56</v>
      </c>
      <c r="H35" s="80">
        <f>2674.8+5267.78</f>
        <v>7942.58</v>
      </c>
      <c r="I35" s="80">
        <v>0</v>
      </c>
      <c r="J35" s="80">
        <v>0</v>
      </c>
      <c r="K35" s="81">
        <v>0</v>
      </c>
      <c r="L35" s="82">
        <v>3633.26</v>
      </c>
      <c r="M35" s="82">
        <f t="shared" si="7"/>
        <v>12500</v>
      </c>
      <c r="N35" s="82">
        <v>25000</v>
      </c>
      <c r="O35" s="83">
        <v>1000</v>
      </c>
      <c r="P35" s="46">
        <v>1869</v>
      </c>
      <c r="Q35" s="84"/>
      <c r="R35" s="83">
        <f>100+100+100+100+100+100+100+100+100+100</f>
        <v>1000</v>
      </c>
      <c r="S35" s="46">
        <v>574</v>
      </c>
      <c r="T35" s="46">
        <v>574</v>
      </c>
      <c r="V35" s="129">
        <v>1567</v>
      </c>
      <c r="W35" s="46">
        <v>574</v>
      </c>
      <c r="X35" s="163">
        <v>600</v>
      </c>
    </row>
    <row r="36" spans="2:24" x14ac:dyDescent="0.35">
      <c r="B36" s="43" t="s">
        <v>253</v>
      </c>
      <c r="E36" s="47" t="s">
        <v>12</v>
      </c>
      <c r="F36" s="92">
        <f t="shared" ref="F36:M36" si="8">SUM(F30:F35)</f>
        <v>0</v>
      </c>
      <c r="G36" s="92">
        <f t="shared" si="8"/>
        <v>2126.54</v>
      </c>
      <c r="H36" s="92">
        <f t="shared" si="8"/>
        <v>8588.56</v>
      </c>
      <c r="I36" s="92">
        <f t="shared" si="8"/>
        <v>756.9</v>
      </c>
      <c r="J36" s="92">
        <f t="shared" si="8"/>
        <v>991.5</v>
      </c>
      <c r="K36" s="93">
        <f t="shared" si="8"/>
        <v>326.25</v>
      </c>
      <c r="L36" s="98">
        <f t="shared" si="8"/>
        <v>9468.3000000000011</v>
      </c>
      <c r="M36" s="98">
        <f t="shared" si="8"/>
        <v>24000</v>
      </c>
      <c r="N36" s="98">
        <f>SUM(N31:N35)</f>
        <v>48000</v>
      </c>
      <c r="O36" s="98">
        <f>SUM(O31:O35)</f>
        <v>35300</v>
      </c>
      <c r="P36" s="52">
        <f>SUM(P31:P35)</f>
        <v>130277</v>
      </c>
      <c r="Q36" s="99"/>
      <c r="R36" s="98">
        <f>SUM(R31:R35)</f>
        <v>33091</v>
      </c>
      <c r="S36" s="52">
        <f>SUM(S31:S35)</f>
        <v>38712</v>
      </c>
      <c r="T36" s="52">
        <f>SUM(T31:T35)</f>
        <v>39261.550000000003</v>
      </c>
      <c r="V36" s="133">
        <f>SUM(V31:V35)</f>
        <v>36416</v>
      </c>
      <c r="W36" s="52">
        <f>SUM(W31:W35)</f>
        <v>39261.550000000003</v>
      </c>
      <c r="X36" s="168">
        <f>SUM(X31:X35)</f>
        <v>40150</v>
      </c>
    </row>
    <row r="37" spans="2:24" ht="13.15" thickBot="1" x14ac:dyDescent="0.4">
      <c r="B37" s="43" t="s">
        <v>254</v>
      </c>
      <c r="F37" s="89"/>
      <c r="G37" s="89"/>
      <c r="H37" s="89"/>
      <c r="I37" s="89"/>
      <c r="J37" s="89"/>
      <c r="K37" s="89"/>
      <c r="L37" s="49"/>
      <c r="M37" s="49"/>
      <c r="N37" s="49"/>
      <c r="O37" s="49"/>
      <c r="P37" s="49"/>
      <c r="Q37" s="49"/>
      <c r="R37" s="49"/>
      <c r="S37" s="49"/>
      <c r="T37" s="49"/>
      <c r="V37" s="49"/>
      <c r="W37" s="49"/>
      <c r="X37" s="165"/>
    </row>
    <row r="38" spans="2:24" ht="13.15" thickBot="1" x14ac:dyDescent="0.4">
      <c r="B38" s="43" t="s">
        <v>255</v>
      </c>
      <c r="E38" s="53" t="s">
        <v>13</v>
      </c>
      <c r="F38" s="100" t="e">
        <f>+#REF!+F36+F28+F23+F13</f>
        <v>#REF!</v>
      </c>
      <c r="G38" s="100" t="e">
        <f>+#REF!+G36+G28+G23+G13</f>
        <v>#REF!</v>
      </c>
      <c r="H38" s="100" t="e">
        <f>+#REF!+H36+H28+H23+H13</f>
        <v>#REF!</v>
      </c>
      <c r="I38" s="100" t="e">
        <f>+#REF!+I36+I28+I23+I13</f>
        <v>#REF!</v>
      </c>
      <c r="J38" s="100" t="e">
        <f>+#REF!+J36+J28+J23+J13</f>
        <v>#REF!</v>
      </c>
      <c r="K38" s="100" t="e">
        <f>+#REF!+K36+K28+K23+K13</f>
        <v>#REF!</v>
      </c>
      <c r="L38" s="101">
        <f>L36+L28+L23+L13</f>
        <v>215100</v>
      </c>
      <c r="M38" s="101">
        <f>M36+M28+M23+M13</f>
        <v>233884</v>
      </c>
      <c r="N38" s="101">
        <f>+N13+N23+N28+N36</f>
        <v>467768</v>
      </c>
      <c r="O38" s="54">
        <f>+O13+O23+O28+O36</f>
        <v>906886</v>
      </c>
      <c r="P38" s="54">
        <f>+P13+P23+P28+P36</f>
        <v>940362</v>
      </c>
      <c r="Q38" s="102"/>
      <c r="R38" s="54">
        <f>+R13+R23+R28+R36</f>
        <v>1018579</v>
      </c>
      <c r="S38" s="54">
        <f>+S13+S23+S28+S36</f>
        <v>919944</v>
      </c>
      <c r="T38" s="54">
        <f>+T13+T23+T28+T36</f>
        <v>1051555.55</v>
      </c>
      <c r="V38" s="134">
        <f>+V13+V23+V28+V36</f>
        <v>880314</v>
      </c>
      <c r="W38" s="54">
        <f>+W13+W23+W28+W36</f>
        <v>1051055.55</v>
      </c>
      <c r="X38" s="169">
        <f>+X13+X23+X28+X36</f>
        <v>1166092.55</v>
      </c>
    </row>
    <row r="39" spans="2:24" x14ac:dyDescent="0.35">
      <c r="E39" s="55"/>
      <c r="F39" s="103"/>
      <c r="G39" s="103"/>
      <c r="H39" s="103"/>
      <c r="I39" s="103"/>
      <c r="J39" s="103"/>
      <c r="K39" s="103"/>
      <c r="L39" s="102"/>
      <c r="M39" s="102"/>
      <c r="N39" s="102"/>
      <c r="O39" s="49"/>
      <c r="P39" s="49"/>
      <c r="Q39" s="49"/>
      <c r="R39" s="56"/>
      <c r="S39" s="56"/>
      <c r="T39" s="56"/>
      <c r="V39" s="56"/>
      <c r="W39" s="56"/>
      <c r="X39" s="56"/>
    </row>
    <row r="40" spans="2:24" x14ac:dyDescent="0.35">
      <c r="E40" s="55"/>
      <c r="F40" s="103"/>
      <c r="G40" s="103"/>
      <c r="H40" s="103"/>
      <c r="I40" s="103"/>
      <c r="J40" s="103"/>
      <c r="K40" s="103"/>
      <c r="L40" s="102"/>
      <c r="M40" s="102"/>
      <c r="N40" s="102"/>
      <c r="O40" s="49"/>
      <c r="P40" s="49"/>
      <c r="Q40" s="49"/>
      <c r="R40" s="56"/>
      <c r="S40" s="56"/>
      <c r="T40" s="56"/>
      <c r="V40" s="56"/>
      <c r="W40" s="56"/>
      <c r="X40" s="56"/>
    </row>
    <row r="41" spans="2:24" x14ac:dyDescent="0.35">
      <c r="E41" s="55"/>
      <c r="F41" s="103"/>
      <c r="G41" s="103"/>
      <c r="H41" s="103"/>
      <c r="I41" s="103"/>
      <c r="J41" s="103"/>
      <c r="K41" s="103"/>
      <c r="L41" s="102"/>
      <c r="M41" s="102"/>
      <c r="N41" s="102"/>
      <c r="O41" s="49"/>
      <c r="P41" s="49"/>
      <c r="Q41" s="49"/>
      <c r="R41" s="56"/>
      <c r="V41" s="56"/>
    </row>
    <row r="42" spans="2:24" x14ac:dyDescent="0.35">
      <c r="E42" s="55"/>
      <c r="F42" s="103"/>
      <c r="G42" s="103"/>
      <c r="H42" s="103"/>
      <c r="I42" s="103"/>
      <c r="J42" s="103"/>
      <c r="K42" s="103"/>
      <c r="L42" s="102"/>
      <c r="M42" s="102"/>
      <c r="N42" s="102"/>
      <c r="O42" s="49"/>
      <c r="P42" s="49"/>
      <c r="Q42" s="49"/>
      <c r="R42" s="56"/>
      <c r="V42" s="56"/>
    </row>
    <row r="43" spans="2:24" x14ac:dyDescent="0.35">
      <c r="E43" s="104"/>
      <c r="F43" s="103"/>
      <c r="G43" s="103"/>
      <c r="H43" s="103"/>
      <c r="I43" s="103"/>
      <c r="J43" s="103"/>
      <c r="K43" s="103"/>
      <c r="L43" s="102"/>
      <c r="M43" s="102"/>
      <c r="N43" s="102"/>
      <c r="O43" s="49"/>
      <c r="P43" s="49"/>
      <c r="Q43" s="49"/>
      <c r="R43" s="56"/>
      <c r="V43" s="56"/>
    </row>
    <row r="44" spans="2:24" x14ac:dyDescent="0.35">
      <c r="E44" s="104"/>
      <c r="F44" s="103"/>
      <c r="G44" s="103"/>
      <c r="H44" s="103"/>
      <c r="I44" s="103"/>
      <c r="J44" s="103"/>
      <c r="K44" s="103"/>
      <c r="L44" s="102"/>
      <c r="M44" s="102"/>
      <c r="N44" s="102"/>
      <c r="O44" s="49"/>
      <c r="P44" s="49"/>
      <c r="Q44" s="49"/>
      <c r="R44" s="55"/>
      <c r="V44" s="56"/>
    </row>
    <row r="45" spans="2:24" x14ac:dyDescent="0.35">
      <c r="E45" s="56"/>
      <c r="F45" s="103"/>
      <c r="G45" s="103"/>
      <c r="H45" s="103"/>
      <c r="I45" s="103"/>
      <c r="J45" s="103"/>
      <c r="K45" s="103"/>
      <c r="L45" s="102"/>
      <c r="M45" s="102"/>
      <c r="N45" s="102"/>
      <c r="O45" s="49"/>
      <c r="P45" s="49"/>
      <c r="Q45" s="49"/>
      <c r="R45" s="56"/>
      <c r="V45" s="56"/>
    </row>
    <row r="46" spans="2:24" x14ac:dyDescent="0.35">
      <c r="E46" s="56"/>
      <c r="F46" s="103"/>
      <c r="G46" s="103"/>
      <c r="H46" s="103"/>
      <c r="I46" s="103"/>
      <c r="J46" s="103"/>
      <c r="K46" s="103"/>
      <c r="L46" s="102"/>
      <c r="M46" s="102"/>
      <c r="N46" s="102"/>
      <c r="O46" s="49"/>
      <c r="P46" s="49"/>
      <c r="R46" s="55"/>
    </row>
    <row r="47" spans="2:24" x14ac:dyDescent="0.35">
      <c r="E47" s="55"/>
      <c r="F47" s="103"/>
      <c r="G47" s="103"/>
      <c r="H47" s="103"/>
      <c r="I47" s="103"/>
      <c r="J47" s="103"/>
      <c r="K47" s="103"/>
      <c r="L47" s="102"/>
      <c r="M47" s="102"/>
      <c r="N47" s="102"/>
      <c r="O47" s="49"/>
      <c r="P47" s="49"/>
      <c r="Q47" s="49"/>
      <c r="R47" s="55"/>
      <c r="V47" s="56"/>
    </row>
    <row r="48" spans="2:24" x14ac:dyDescent="0.35">
      <c r="E48" s="55"/>
      <c r="F48" s="103"/>
      <c r="G48" s="103"/>
      <c r="H48" s="103"/>
      <c r="I48" s="103"/>
      <c r="J48" s="103"/>
      <c r="K48" s="103"/>
      <c r="L48" s="102"/>
      <c r="M48" s="102"/>
      <c r="N48" s="102"/>
      <c r="O48" s="49"/>
      <c r="P48" s="49"/>
      <c r="Q48" s="49"/>
      <c r="R48" s="56"/>
      <c r="V48" s="56"/>
    </row>
    <row r="49" spans="2:24" x14ac:dyDescent="0.35">
      <c r="E49" s="55"/>
      <c r="F49" s="103"/>
      <c r="G49" s="103"/>
      <c r="H49" s="103"/>
      <c r="I49" s="103"/>
      <c r="J49" s="103"/>
      <c r="K49" s="103"/>
      <c r="L49" s="102"/>
      <c r="M49" s="102"/>
      <c r="N49" s="102"/>
      <c r="O49" s="49"/>
      <c r="P49" s="49"/>
      <c r="Q49" s="49"/>
      <c r="R49" s="56"/>
      <c r="V49" s="56"/>
    </row>
    <row r="50" spans="2:24" x14ac:dyDescent="0.35">
      <c r="E50" s="55"/>
      <c r="F50" s="103"/>
      <c r="G50" s="103"/>
      <c r="H50" s="103"/>
      <c r="I50" s="103"/>
      <c r="J50" s="103"/>
      <c r="K50" s="103"/>
      <c r="L50" s="102"/>
      <c r="M50" s="102"/>
      <c r="N50" s="102"/>
      <c r="O50" s="49"/>
      <c r="P50" s="49"/>
      <c r="Q50" s="49"/>
      <c r="R50" s="56"/>
      <c r="V50" s="56"/>
    </row>
    <row r="51" spans="2:24" x14ac:dyDescent="0.35">
      <c r="E51" s="55"/>
      <c r="F51" s="103"/>
      <c r="G51" s="103"/>
      <c r="H51" s="103"/>
      <c r="I51" s="103"/>
      <c r="J51" s="103"/>
      <c r="K51" s="103"/>
      <c r="L51" s="102"/>
      <c r="M51" s="102"/>
      <c r="N51" s="102"/>
      <c r="O51" s="49"/>
      <c r="P51" s="49"/>
      <c r="Q51" s="49"/>
      <c r="R51" s="56"/>
      <c r="V51" s="56"/>
    </row>
    <row r="52" spans="2:24" x14ac:dyDescent="0.35">
      <c r="E52" s="55"/>
      <c r="F52" s="103"/>
      <c r="G52" s="103"/>
      <c r="H52" s="103"/>
      <c r="I52" s="103"/>
      <c r="J52" s="103"/>
      <c r="K52" s="103"/>
      <c r="L52" s="102"/>
      <c r="M52" s="102"/>
      <c r="N52" s="102"/>
      <c r="O52" s="49"/>
      <c r="P52" s="49"/>
      <c r="Q52" s="49"/>
      <c r="R52" s="56"/>
      <c r="V52" s="56"/>
    </row>
    <row r="53" spans="2:24" x14ac:dyDescent="0.35">
      <c r="E53" s="55"/>
      <c r="F53" s="103"/>
      <c r="G53" s="103"/>
      <c r="H53" s="103"/>
      <c r="I53" s="103"/>
      <c r="J53" s="103"/>
      <c r="K53" s="103"/>
      <c r="L53" s="102"/>
      <c r="M53" s="102"/>
      <c r="N53" s="102"/>
      <c r="O53" s="49"/>
      <c r="P53" s="49"/>
      <c r="Q53" s="49"/>
      <c r="R53" s="120"/>
      <c r="V53" s="56"/>
    </row>
    <row r="54" spans="2:24" x14ac:dyDescent="0.35">
      <c r="E54" s="55"/>
      <c r="F54" s="103"/>
      <c r="G54" s="103"/>
      <c r="H54" s="103"/>
      <c r="I54" s="103"/>
      <c r="J54" s="103"/>
      <c r="K54" s="103"/>
      <c r="L54" s="102"/>
      <c r="M54" s="102"/>
      <c r="N54" s="102"/>
      <c r="O54" s="49"/>
      <c r="P54" s="49"/>
      <c r="Q54" s="49"/>
      <c r="R54" s="120"/>
      <c r="V54" s="56"/>
    </row>
    <row r="55" spans="2:24" x14ac:dyDescent="0.35">
      <c r="E55" s="55"/>
      <c r="F55" s="103"/>
      <c r="G55" s="103"/>
      <c r="H55" s="103"/>
      <c r="I55" s="103"/>
      <c r="J55" s="103"/>
      <c r="K55" s="103"/>
      <c r="L55" s="102"/>
      <c r="M55" s="102"/>
      <c r="N55" s="102"/>
      <c r="O55" s="49"/>
      <c r="P55" s="49"/>
      <c r="Q55" s="49"/>
      <c r="R55" s="120"/>
      <c r="V55" s="56"/>
    </row>
    <row r="56" spans="2:24" x14ac:dyDescent="0.35">
      <c r="E56" s="55"/>
      <c r="F56" s="103"/>
      <c r="G56" s="103"/>
      <c r="H56" s="103"/>
      <c r="I56" s="103"/>
      <c r="J56" s="103"/>
      <c r="K56" s="103"/>
      <c r="L56" s="102"/>
      <c r="M56" s="102"/>
      <c r="N56" s="102"/>
      <c r="O56" s="49"/>
      <c r="P56" s="49"/>
      <c r="Q56" s="49"/>
      <c r="R56" s="120"/>
      <c r="V56" s="56"/>
    </row>
    <row r="57" spans="2:24" x14ac:dyDescent="0.35">
      <c r="E57" s="55"/>
      <c r="F57" s="103"/>
      <c r="G57" s="103"/>
      <c r="H57" s="103"/>
      <c r="I57" s="103"/>
      <c r="J57" s="103"/>
      <c r="K57" s="103"/>
      <c r="L57" s="102"/>
      <c r="M57" s="102"/>
      <c r="N57" s="102"/>
      <c r="O57" s="49"/>
      <c r="P57" s="49"/>
      <c r="Q57" s="49"/>
      <c r="R57" s="120"/>
      <c r="V57" s="56"/>
    </row>
    <row r="58" spans="2:24" x14ac:dyDescent="0.35">
      <c r="E58" s="55"/>
      <c r="F58" s="103"/>
      <c r="G58" s="103"/>
      <c r="H58" s="103"/>
      <c r="I58" s="103"/>
      <c r="J58" s="103"/>
      <c r="K58" s="103"/>
      <c r="L58" s="102"/>
      <c r="M58" s="102"/>
      <c r="N58" s="102"/>
      <c r="O58" s="49"/>
      <c r="P58" s="49"/>
      <c r="Q58" s="49"/>
      <c r="S58" s="56"/>
      <c r="T58" s="56"/>
      <c r="V58" s="56"/>
      <c r="W58" s="56"/>
      <c r="X58" s="56"/>
    </row>
    <row r="59" spans="2:24" x14ac:dyDescent="0.35">
      <c r="E59" s="55"/>
      <c r="F59" s="103"/>
      <c r="G59" s="103"/>
      <c r="H59" s="103"/>
      <c r="I59" s="103"/>
      <c r="J59" s="103"/>
      <c r="K59" s="103"/>
      <c r="L59" s="102"/>
      <c r="M59" s="102"/>
      <c r="N59" s="102"/>
      <c r="O59" s="49"/>
      <c r="P59" s="49"/>
      <c r="Q59" s="49"/>
      <c r="S59" s="56"/>
      <c r="T59" s="56"/>
      <c r="V59" s="56"/>
      <c r="W59" s="56"/>
      <c r="X59" s="56"/>
    </row>
    <row r="60" spans="2:24" x14ac:dyDescent="0.35">
      <c r="E60" s="55"/>
      <c r="F60" s="103"/>
      <c r="G60" s="103"/>
      <c r="H60" s="103"/>
      <c r="I60" s="103"/>
      <c r="J60" s="103"/>
      <c r="K60" s="103"/>
      <c r="L60" s="102"/>
      <c r="M60" s="102"/>
      <c r="N60" s="102"/>
      <c r="O60" s="49"/>
      <c r="P60" s="49"/>
      <c r="Q60" s="49"/>
      <c r="R60" s="56"/>
      <c r="S60" s="56"/>
      <c r="T60" s="56"/>
      <c r="V60" s="56"/>
      <c r="W60" s="56"/>
      <c r="X60" s="56"/>
    </row>
    <row r="61" spans="2:24" x14ac:dyDescent="0.35">
      <c r="E61" s="55"/>
      <c r="F61" s="103"/>
      <c r="G61" s="103"/>
      <c r="H61" s="103"/>
      <c r="I61" s="103"/>
      <c r="J61" s="103"/>
      <c r="K61" s="103"/>
      <c r="L61" s="102"/>
      <c r="M61" s="102"/>
      <c r="N61" s="102"/>
      <c r="O61" s="49"/>
      <c r="P61" s="49"/>
      <c r="Q61" s="49"/>
      <c r="R61" s="56"/>
      <c r="S61" s="56"/>
      <c r="T61" s="56"/>
      <c r="V61" s="56"/>
      <c r="W61" s="56"/>
      <c r="X61" s="56"/>
    </row>
    <row r="62" spans="2:24" x14ac:dyDescent="0.35">
      <c r="F62" s="89"/>
      <c r="G62" s="89"/>
      <c r="H62" s="89"/>
      <c r="I62" s="89"/>
      <c r="J62" s="89"/>
      <c r="K62" s="89"/>
      <c r="L62" s="49"/>
      <c r="M62" s="49"/>
      <c r="N62" s="49"/>
      <c r="R62" s="49"/>
      <c r="S62" s="49"/>
      <c r="T62" s="49"/>
      <c r="V62" s="49"/>
      <c r="W62" s="49"/>
      <c r="X62" s="49"/>
    </row>
    <row r="63" spans="2:24" x14ac:dyDescent="0.35">
      <c r="B63" s="43" t="s">
        <v>256</v>
      </c>
      <c r="C63" s="55" t="s">
        <v>257</v>
      </c>
      <c r="F63" s="89"/>
      <c r="G63" s="89"/>
      <c r="H63" s="89"/>
      <c r="I63" s="89"/>
      <c r="J63" s="89"/>
      <c r="K63" s="89"/>
      <c r="L63" s="49"/>
      <c r="M63" s="49"/>
      <c r="N63" s="49"/>
      <c r="R63" s="49"/>
      <c r="S63" s="49"/>
      <c r="T63" s="49"/>
      <c r="V63" s="49"/>
      <c r="W63" s="49"/>
      <c r="X63" s="49"/>
    </row>
    <row r="64" spans="2:24" x14ac:dyDescent="0.35">
      <c r="B64" s="43" t="s">
        <v>258</v>
      </c>
      <c r="D64" s="55" t="s">
        <v>259</v>
      </c>
      <c r="F64" s="89"/>
      <c r="G64" s="89"/>
      <c r="H64" s="89"/>
      <c r="I64" s="89"/>
      <c r="J64" s="89"/>
      <c r="K64" s="89"/>
      <c r="L64" s="49"/>
      <c r="M64" s="49"/>
      <c r="N64" s="49"/>
      <c r="R64" s="49"/>
      <c r="S64" s="49"/>
      <c r="T64" s="49"/>
      <c r="V64" s="49"/>
      <c r="W64" s="49"/>
      <c r="X64" s="49"/>
    </row>
    <row r="65" spans="1:24" x14ac:dyDescent="0.35">
      <c r="A65" s="55"/>
      <c r="E65" s="45" t="s">
        <v>145</v>
      </c>
      <c r="F65" s="80"/>
      <c r="G65" s="80"/>
      <c r="H65" s="80"/>
      <c r="I65" s="80"/>
      <c r="J65" s="80"/>
      <c r="K65" s="81"/>
      <c r="L65" s="82"/>
      <c r="M65" s="82"/>
      <c r="N65" s="82"/>
      <c r="O65" s="83">
        <v>436384</v>
      </c>
      <c r="P65" s="46">
        <v>427029</v>
      </c>
      <c r="Q65" s="84"/>
      <c r="R65" s="83">
        <f>36583+36583+36583+36583+36583+36583+36583+36583+36584+36584+36584</f>
        <v>402416</v>
      </c>
      <c r="S65" s="46">
        <v>395358</v>
      </c>
      <c r="T65" s="46">
        <v>427984</v>
      </c>
      <c r="V65" s="129">
        <v>387782</v>
      </c>
      <c r="W65" s="46">
        <v>427984</v>
      </c>
      <c r="X65" s="46">
        <v>513357.5</v>
      </c>
    </row>
    <row r="66" spans="1:24" x14ac:dyDescent="0.35">
      <c r="A66" s="55" t="s">
        <v>260</v>
      </c>
      <c r="B66" s="43" t="s">
        <v>261</v>
      </c>
      <c r="E66" s="45" t="s">
        <v>146</v>
      </c>
      <c r="F66" s="80" t="e">
        <f>17989.25-#REF!</f>
        <v>#REF!</v>
      </c>
      <c r="G66" s="80" t="e">
        <f>27990.46-#REF!</f>
        <v>#REF!</v>
      </c>
      <c r="H66" s="80" t="e">
        <f>30897.37-#REF!</f>
        <v>#REF!</v>
      </c>
      <c r="I66" s="80">
        <f>18701.45+1572.15</f>
        <v>20273.600000000002</v>
      </c>
      <c r="J66" s="80">
        <f>18258.51+1572.15</f>
        <v>19830.66</v>
      </c>
      <c r="K66" s="81">
        <f>18015.61+1572.15+1188.22</f>
        <v>20775.980000000003</v>
      </c>
      <c r="L66" s="82">
        <f>123696.15+3421.04+9645.7</f>
        <v>136762.88999999998</v>
      </c>
      <c r="M66" s="82">
        <f t="shared" ref="M66" si="9">+N66/2</f>
        <v>127500</v>
      </c>
      <c r="N66" s="82">
        <v>255000</v>
      </c>
      <c r="O66" s="83">
        <v>54788</v>
      </c>
      <c r="P66" s="46">
        <v>54079</v>
      </c>
      <c r="Q66" s="84"/>
      <c r="R66" s="83">
        <f>3667+3667+3667+3667+3667+3667+3667+3667+3666+3666+3666</f>
        <v>40334</v>
      </c>
      <c r="S66" s="46">
        <v>36778</v>
      </c>
      <c r="T66" s="46">
        <v>39864</v>
      </c>
      <c r="V66" s="129">
        <v>46442</v>
      </c>
      <c r="W66" s="46">
        <v>39864</v>
      </c>
      <c r="X66" s="46">
        <v>22305.200000000001</v>
      </c>
    </row>
    <row r="67" spans="1:24" x14ac:dyDescent="0.35">
      <c r="A67" s="55"/>
      <c r="E67" s="45" t="s">
        <v>318</v>
      </c>
      <c r="F67" s="80"/>
      <c r="G67" s="80"/>
      <c r="H67" s="80"/>
      <c r="I67" s="80"/>
      <c r="J67" s="80"/>
      <c r="K67" s="81"/>
      <c r="L67" s="138"/>
      <c r="M67" s="138"/>
      <c r="N67" s="138"/>
      <c r="O67" s="141">
        <v>0</v>
      </c>
      <c r="P67" s="142">
        <v>0</v>
      </c>
      <c r="Q67" s="84"/>
      <c r="R67" s="141">
        <f>18180+4545+4545+4545+4545+4545+4545</f>
        <v>45450</v>
      </c>
      <c r="S67" s="142">
        <v>41743</v>
      </c>
      <c r="T67" s="142">
        <v>49169</v>
      </c>
      <c r="V67" s="143">
        <v>0</v>
      </c>
      <c r="W67" s="142">
        <v>49169</v>
      </c>
      <c r="X67" s="142">
        <v>60000</v>
      </c>
    </row>
    <row r="68" spans="1:24" x14ac:dyDescent="0.35">
      <c r="B68" s="43" t="s">
        <v>262</v>
      </c>
      <c r="E68" s="47" t="s">
        <v>14</v>
      </c>
      <c r="F68" s="85" t="e">
        <f>+#REF!+F66</f>
        <v>#REF!</v>
      </c>
      <c r="G68" s="85" t="e">
        <f>+#REF!+G66</f>
        <v>#REF!</v>
      </c>
      <c r="H68" s="85" t="e">
        <f>+#REF!+H66</f>
        <v>#REF!</v>
      </c>
      <c r="I68" s="85" t="e">
        <f>+#REF!+I66</f>
        <v>#REF!</v>
      </c>
      <c r="J68" s="85" t="e">
        <f>+#REF!+J66</f>
        <v>#REF!</v>
      </c>
      <c r="K68" s="86" t="e">
        <f>+#REF!+K66</f>
        <v>#REF!</v>
      </c>
      <c r="L68" s="85" t="e">
        <f>+#REF!+L66</f>
        <v>#REF!</v>
      </c>
      <c r="M68" s="85" t="e">
        <f>+#REF!+M66</f>
        <v>#REF!</v>
      </c>
      <c r="N68" s="85" t="e">
        <f>+#REF!+N66</f>
        <v>#REF!</v>
      </c>
      <c r="O68" s="57">
        <f>SUM(O65:O66)</f>
        <v>491172</v>
      </c>
      <c r="P68" s="57">
        <f>SUM(P65:P66)</f>
        <v>481108</v>
      </c>
      <c r="Q68" s="103"/>
      <c r="R68" s="58">
        <f>SUM(R65:R67)</f>
        <v>488200</v>
      </c>
      <c r="S68" s="144">
        <f>SUM(S65:S67)</f>
        <v>473879</v>
      </c>
      <c r="T68" s="144">
        <f>SUM(T65:T67)</f>
        <v>517017</v>
      </c>
      <c r="V68" s="86">
        <f>SUM(V65:V67)</f>
        <v>434224</v>
      </c>
      <c r="W68" s="144">
        <f>SUM(W65:W67)</f>
        <v>517017</v>
      </c>
      <c r="X68" s="144">
        <f>SUM(X65:X67)</f>
        <v>595662.69999999995</v>
      </c>
    </row>
    <row r="69" spans="1:24" x14ac:dyDescent="0.35">
      <c r="B69" s="43" t="s">
        <v>263</v>
      </c>
      <c r="F69" s="89"/>
      <c r="G69" s="89"/>
      <c r="H69" s="89"/>
      <c r="I69" s="89"/>
      <c r="J69" s="89"/>
      <c r="K69" s="89"/>
      <c r="L69" s="49"/>
      <c r="M69" s="49"/>
      <c r="N69" s="49"/>
      <c r="O69" s="49"/>
      <c r="P69" s="49"/>
      <c r="Q69" s="49"/>
      <c r="R69" s="49"/>
      <c r="S69" s="49"/>
      <c r="T69" s="49"/>
      <c r="V69" s="49"/>
      <c r="W69" s="49"/>
      <c r="X69" s="49"/>
    </row>
    <row r="70" spans="1:24" x14ac:dyDescent="0.35">
      <c r="B70" s="43" t="s">
        <v>264</v>
      </c>
      <c r="D70" s="55" t="s">
        <v>265</v>
      </c>
      <c r="F70" s="89"/>
      <c r="G70" s="89"/>
      <c r="H70" s="89"/>
      <c r="I70" s="89"/>
      <c r="J70" s="89"/>
      <c r="K70" s="89"/>
      <c r="L70" s="49"/>
      <c r="M70" s="49"/>
      <c r="N70" s="49"/>
      <c r="O70" s="49"/>
      <c r="P70" s="49"/>
      <c r="Q70" s="49"/>
      <c r="R70" s="49"/>
      <c r="S70" s="49"/>
      <c r="T70" s="49"/>
      <c r="V70" s="49"/>
      <c r="W70" s="49"/>
      <c r="X70" s="49"/>
    </row>
    <row r="71" spans="1:24" x14ac:dyDescent="0.35">
      <c r="B71" s="43" t="s">
        <v>266</v>
      </c>
      <c r="E71" s="59" t="s">
        <v>15</v>
      </c>
      <c r="F71" s="105">
        <v>0</v>
      </c>
      <c r="G71" s="105">
        <v>0</v>
      </c>
      <c r="H71" s="105">
        <v>0</v>
      </c>
      <c r="I71" s="105"/>
      <c r="J71" s="105"/>
      <c r="K71" s="105"/>
      <c r="L71" s="82">
        <v>6410.38</v>
      </c>
      <c r="M71" s="82">
        <f t="shared" ref="M71:M77" si="10">+N71/2</f>
        <v>7500</v>
      </c>
      <c r="N71" s="82">
        <v>15000</v>
      </c>
      <c r="O71" s="83">
        <v>5000</v>
      </c>
      <c r="P71" s="46">
        <v>0</v>
      </c>
      <c r="Q71" s="84"/>
      <c r="R71" s="83">
        <f>1000+1000+1000+1000+1000</f>
        <v>5000</v>
      </c>
      <c r="S71" s="46">
        <v>0</v>
      </c>
      <c r="T71" s="46">
        <v>0</v>
      </c>
      <c r="V71" s="129">
        <v>898</v>
      </c>
      <c r="W71" s="46">
        <v>0</v>
      </c>
      <c r="X71" s="46">
        <v>15000</v>
      </c>
    </row>
    <row r="72" spans="1:24" x14ac:dyDescent="0.35">
      <c r="B72" s="43" t="s">
        <v>267</v>
      </c>
      <c r="E72" s="59" t="s">
        <v>16</v>
      </c>
      <c r="F72" s="105">
        <v>0</v>
      </c>
      <c r="G72" s="105">
        <v>24.75</v>
      </c>
      <c r="H72" s="105">
        <v>0</v>
      </c>
      <c r="I72" s="105">
        <v>37.229999999999997</v>
      </c>
      <c r="J72" s="105">
        <v>123.94</v>
      </c>
      <c r="K72" s="105">
        <v>0</v>
      </c>
      <c r="L72" s="82"/>
      <c r="M72" s="82">
        <f t="shared" si="10"/>
        <v>755</v>
      </c>
      <c r="N72" s="82">
        <v>1510</v>
      </c>
      <c r="O72" s="83">
        <v>15000</v>
      </c>
      <c r="P72" s="46">
        <v>696</v>
      </c>
      <c r="Q72" s="84"/>
      <c r="R72" s="83">
        <f>500+500+500+500+500+500+500+500+500+500</f>
        <v>5000</v>
      </c>
      <c r="S72" s="46">
        <v>4956</v>
      </c>
      <c r="T72" s="46">
        <v>4956</v>
      </c>
      <c r="V72" s="129">
        <v>4872</v>
      </c>
      <c r="W72" s="46">
        <v>4956</v>
      </c>
      <c r="X72" s="46">
        <v>7500</v>
      </c>
    </row>
    <row r="73" spans="1:24" x14ac:dyDescent="0.35">
      <c r="B73" s="43" t="s">
        <v>268</v>
      </c>
      <c r="D73" s="106"/>
      <c r="E73" s="59" t="s">
        <v>17</v>
      </c>
      <c r="F73" s="105">
        <v>0</v>
      </c>
      <c r="G73" s="105">
        <f>-3894.68+7954.97</f>
        <v>4060.2900000000004</v>
      </c>
      <c r="H73" s="105">
        <f>14857-514</f>
        <v>14343</v>
      </c>
      <c r="I73" s="105">
        <f>1018.54+1933.38+2650.06+60</f>
        <v>5661.98</v>
      </c>
      <c r="J73" s="105">
        <f>1577.97+3914.91</f>
        <v>5492.88</v>
      </c>
      <c r="K73" s="105">
        <f>1581.78+562.09+46</f>
        <v>2189.87</v>
      </c>
      <c r="L73" s="82">
        <v>24967.91</v>
      </c>
      <c r="M73" s="82">
        <f t="shared" si="10"/>
        <v>32500</v>
      </c>
      <c r="N73" s="82">
        <v>65000</v>
      </c>
      <c r="O73" s="83">
        <v>25000</v>
      </c>
      <c r="P73" s="46">
        <v>15021</v>
      </c>
      <c r="Q73" s="84"/>
      <c r="R73" s="83">
        <f>7000+7000+7000+7000+2000+2000+7000+7000+7000+7000</f>
        <v>60000</v>
      </c>
      <c r="S73" s="46">
        <v>44090</v>
      </c>
      <c r="T73" s="46">
        <v>46840</v>
      </c>
      <c r="V73" s="129">
        <v>76436</v>
      </c>
      <c r="W73" s="46">
        <v>46840</v>
      </c>
      <c r="X73" s="46">
        <v>75000</v>
      </c>
    </row>
    <row r="74" spans="1:24" x14ac:dyDescent="0.35">
      <c r="D74" s="106"/>
      <c r="E74" s="59" t="s">
        <v>300</v>
      </c>
      <c r="F74" s="105"/>
      <c r="G74" s="105"/>
      <c r="H74" s="105"/>
      <c r="I74" s="105"/>
      <c r="J74" s="105"/>
      <c r="K74" s="105"/>
      <c r="L74" s="82"/>
      <c r="M74" s="82"/>
      <c r="N74" s="82"/>
      <c r="O74" s="83">
        <v>105000</v>
      </c>
      <c r="P74" s="46">
        <v>0</v>
      </c>
      <c r="Q74" s="84"/>
      <c r="R74" s="83">
        <f>90000+15000</f>
        <v>105000</v>
      </c>
      <c r="S74" s="46">
        <v>0</v>
      </c>
      <c r="T74" s="46">
        <v>0</v>
      </c>
      <c r="V74" s="129">
        <v>97706</v>
      </c>
      <c r="W74" s="46">
        <v>0</v>
      </c>
      <c r="X74" s="46">
        <v>105000</v>
      </c>
    </row>
    <row r="75" spans="1:24" x14ac:dyDescent="0.35">
      <c r="D75" s="106"/>
      <c r="E75" s="59" t="s">
        <v>301</v>
      </c>
      <c r="F75" s="105"/>
      <c r="G75" s="105"/>
      <c r="H75" s="105"/>
      <c r="I75" s="105"/>
      <c r="J75" s="105"/>
      <c r="K75" s="105"/>
      <c r="L75" s="82"/>
      <c r="M75" s="82"/>
      <c r="N75" s="82"/>
      <c r="O75" s="83">
        <v>24000</v>
      </c>
      <c r="P75" s="46">
        <v>6205</v>
      </c>
      <c r="Q75" s="84"/>
      <c r="R75" s="83">
        <f>2000+2000+2000+2000+2000+2000+2000</f>
        <v>14000</v>
      </c>
      <c r="S75" s="46">
        <v>18225</v>
      </c>
      <c r="T75" s="46">
        <v>18225</v>
      </c>
      <c r="V75" s="129">
        <v>22492</v>
      </c>
      <c r="W75" s="46">
        <v>18225</v>
      </c>
      <c r="X75" s="46">
        <v>24000</v>
      </c>
    </row>
    <row r="76" spans="1:24" x14ac:dyDescent="0.35">
      <c r="D76" s="106"/>
      <c r="E76" s="59" t="s">
        <v>148</v>
      </c>
      <c r="F76" s="105"/>
      <c r="G76" s="105"/>
      <c r="H76" s="105"/>
      <c r="I76" s="105"/>
      <c r="J76" s="105"/>
      <c r="K76" s="105"/>
      <c r="L76" s="82"/>
      <c r="M76" s="82"/>
      <c r="N76" s="82"/>
      <c r="O76" s="83">
        <v>50000</v>
      </c>
      <c r="P76" s="46">
        <v>29929</v>
      </c>
      <c r="Q76" s="84"/>
      <c r="R76" s="83">
        <f>26300+25000+8700</f>
        <v>60000</v>
      </c>
      <c r="S76" s="46">
        <v>50269</v>
      </c>
      <c r="T76" s="46">
        <v>50269</v>
      </c>
      <c r="V76" s="129">
        <v>56746</v>
      </c>
      <c r="W76" s="46">
        <v>50269</v>
      </c>
      <c r="X76" s="46">
        <v>60000</v>
      </c>
    </row>
    <row r="77" spans="1:24" x14ac:dyDescent="0.35">
      <c r="B77" s="43" t="s">
        <v>269</v>
      </c>
      <c r="E77" s="59" t="s">
        <v>18</v>
      </c>
      <c r="F77" s="105">
        <v>0</v>
      </c>
      <c r="G77" s="105">
        <v>3894.68</v>
      </c>
      <c r="H77" s="105">
        <v>7886.21</v>
      </c>
      <c r="I77" s="105">
        <v>7451.67</v>
      </c>
      <c r="J77" s="105">
        <v>4847.9399999999996</v>
      </c>
      <c r="K77" s="105">
        <v>2385.06</v>
      </c>
      <c r="L77" s="82">
        <v>26198.67</v>
      </c>
      <c r="M77" s="82">
        <f t="shared" si="10"/>
        <v>30000</v>
      </c>
      <c r="N77" s="82">
        <v>60000</v>
      </c>
      <c r="O77" s="83">
        <v>62250</v>
      </c>
      <c r="P77" s="46">
        <v>67498</v>
      </c>
      <c r="Q77" s="84"/>
      <c r="R77" s="83">
        <f>36000+8500+8500+8500+8500</f>
        <v>70000</v>
      </c>
      <c r="S77" s="46">
        <v>63747</v>
      </c>
      <c r="T77" s="46">
        <v>63977</v>
      </c>
      <c r="V77" s="129">
        <v>36950</v>
      </c>
      <c r="W77" s="46">
        <v>63977</v>
      </c>
      <c r="X77" s="46">
        <v>70000</v>
      </c>
    </row>
    <row r="78" spans="1:24" x14ac:dyDescent="0.35">
      <c r="B78" s="43" t="s">
        <v>270</v>
      </c>
      <c r="D78" s="97"/>
      <c r="E78" s="59" t="s">
        <v>6</v>
      </c>
      <c r="F78" s="105"/>
      <c r="G78" s="105"/>
      <c r="H78" s="105"/>
      <c r="I78" s="105"/>
      <c r="J78" s="105"/>
      <c r="K78" s="105"/>
      <c r="L78" s="82"/>
      <c r="M78" s="82"/>
      <c r="N78" s="82"/>
      <c r="O78" s="83">
        <v>3000</v>
      </c>
      <c r="P78" s="46">
        <v>4969</v>
      </c>
      <c r="Q78" s="84"/>
      <c r="R78" s="83">
        <f>2500+5000+2500</f>
        <v>10000</v>
      </c>
      <c r="S78" s="46">
        <v>12899</v>
      </c>
      <c r="T78" s="46">
        <v>13128</v>
      </c>
      <c r="V78" s="129">
        <v>7061</v>
      </c>
      <c r="W78" s="46">
        <v>13128</v>
      </c>
      <c r="X78" s="46">
        <v>15000</v>
      </c>
    </row>
    <row r="79" spans="1:24" x14ac:dyDescent="0.35">
      <c r="B79" s="43" t="s">
        <v>271</v>
      </c>
      <c r="E79" s="60" t="s">
        <v>19</v>
      </c>
      <c r="F79" s="107">
        <f t="shared" ref="F79:K79" si="11">SUM(F81:F86)</f>
        <v>8746.630000000001</v>
      </c>
      <c r="G79" s="107">
        <f t="shared" si="11"/>
        <v>9292.880000000001</v>
      </c>
      <c r="H79" s="107">
        <f t="shared" si="11"/>
        <v>11262.73</v>
      </c>
      <c r="I79" s="107">
        <f t="shared" si="11"/>
        <v>8981.14</v>
      </c>
      <c r="J79" s="107">
        <f t="shared" si="11"/>
        <v>8601.92</v>
      </c>
      <c r="K79" s="107">
        <f t="shared" si="11"/>
        <v>9080.9200000000019</v>
      </c>
      <c r="L79" s="87">
        <f>SUM(L71:L77)</f>
        <v>57576.959999999999</v>
      </c>
      <c r="M79" s="87">
        <f>SUM(M71:M77)</f>
        <v>70755</v>
      </c>
      <c r="N79" s="87">
        <f>SUM(N71:N77)</f>
        <v>141510</v>
      </c>
      <c r="O79" s="48">
        <f>SUM(O71:O78)</f>
        <v>289250</v>
      </c>
      <c r="P79" s="61">
        <f>SUM(P71:P78)</f>
        <v>124318</v>
      </c>
      <c r="Q79" s="88"/>
      <c r="R79" s="48">
        <f>SUM(R71:R78)</f>
        <v>329000</v>
      </c>
      <c r="S79" s="61">
        <f>SUM(S71:S78)</f>
        <v>194186</v>
      </c>
      <c r="T79" s="61">
        <f>SUM(T71:T78)</f>
        <v>197395</v>
      </c>
      <c r="V79" s="130">
        <f>SUM(V71:V78)</f>
        <v>303161</v>
      </c>
      <c r="W79" s="61">
        <f>SUM(W71:W78)</f>
        <v>197395</v>
      </c>
      <c r="X79" s="61">
        <f>SUM(X71:X78)</f>
        <v>371500</v>
      </c>
    </row>
    <row r="80" spans="1:24" x14ac:dyDescent="0.35">
      <c r="B80" s="43" t="s">
        <v>272</v>
      </c>
      <c r="F80" s="89"/>
      <c r="G80" s="89"/>
      <c r="H80" s="89"/>
      <c r="I80" s="89"/>
      <c r="J80" s="89"/>
      <c r="K80" s="89"/>
      <c r="L80" s="49"/>
      <c r="M80" s="49"/>
      <c r="N80" s="49"/>
      <c r="O80" s="49"/>
      <c r="P80" s="49"/>
      <c r="Q80" s="49"/>
      <c r="R80" s="49"/>
      <c r="S80" s="49"/>
      <c r="T80" s="49"/>
      <c r="V80" s="49"/>
      <c r="W80" s="49"/>
      <c r="X80" s="49"/>
    </row>
    <row r="81" spans="1:24" x14ac:dyDescent="0.35">
      <c r="B81" s="43" t="s">
        <v>273</v>
      </c>
      <c r="D81" s="55" t="s">
        <v>274</v>
      </c>
      <c r="F81" s="89"/>
      <c r="G81" s="89"/>
      <c r="H81" s="89"/>
      <c r="I81" s="89"/>
      <c r="J81" s="89"/>
      <c r="K81" s="89"/>
      <c r="L81" s="49"/>
      <c r="M81" s="49"/>
      <c r="N81" s="49"/>
      <c r="O81" s="49"/>
      <c r="P81" s="49"/>
      <c r="Q81" s="49"/>
      <c r="R81" s="49"/>
      <c r="S81" s="49"/>
      <c r="T81" s="49"/>
      <c r="V81" s="49"/>
      <c r="W81" s="49"/>
      <c r="X81" s="49"/>
    </row>
    <row r="82" spans="1:24" x14ac:dyDescent="0.35">
      <c r="A82" s="55" t="s">
        <v>275</v>
      </c>
      <c r="B82" s="43" t="s">
        <v>276</v>
      </c>
      <c r="E82" s="59" t="s">
        <v>20</v>
      </c>
      <c r="F82" s="105">
        <v>395.28</v>
      </c>
      <c r="G82" s="105">
        <f>77.08+424.2</f>
        <v>501.28</v>
      </c>
      <c r="H82" s="105">
        <v>461.72</v>
      </c>
      <c r="I82" s="105">
        <f>404.14+252.14</f>
        <v>656.28</v>
      </c>
      <c r="J82" s="105">
        <f>564.79+75.64</f>
        <v>640.42999999999995</v>
      </c>
      <c r="K82" s="105">
        <f>412.34+222.94</f>
        <v>635.28</v>
      </c>
      <c r="L82" s="82">
        <f>2662.51+627.8</f>
        <v>3290.3100000000004</v>
      </c>
      <c r="M82" s="82">
        <f t="shared" ref="M82:M97" si="12">+N82/2</f>
        <v>3253.75</v>
      </c>
      <c r="N82" s="82">
        <v>6507.5</v>
      </c>
      <c r="O82" s="83">
        <v>3500</v>
      </c>
      <c r="P82" s="46">
        <v>3412</v>
      </c>
      <c r="Q82" s="84"/>
      <c r="R82" s="83">
        <f>291+291+291+291+292+292+292+292+292+292+292</f>
        <v>3208</v>
      </c>
      <c r="S82" s="46">
        <v>2444</v>
      </c>
      <c r="T82" s="46">
        <v>3079</v>
      </c>
      <c r="V82" s="129">
        <v>3710</v>
      </c>
      <c r="W82" s="46">
        <v>3079</v>
      </c>
      <c r="X82" s="46">
        <v>3500</v>
      </c>
    </row>
    <row r="83" spans="1:24" x14ac:dyDescent="0.35">
      <c r="A83" s="55" t="s">
        <v>277</v>
      </c>
      <c r="B83" s="43" t="s">
        <v>278</v>
      </c>
      <c r="E83" s="59" t="s">
        <v>21</v>
      </c>
      <c r="F83" s="105">
        <v>856.75</v>
      </c>
      <c r="G83" s="105">
        <v>1198.8399999999999</v>
      </c>
      <c r="H83" s="105">
        <v>856.75</v>
      </c>
      <c r="I83" s="105">
        <v>0</v>
      </c>
      <c r="J83" s="105">
        <v>0</v>
      </c>
      <c r="K83" s="105">
        <v>814.75</v>
      </c>
      <c r="L83" s="82">
        <f>2870.34+856.75</f>
        <v>3727.09</v>
      </c>
      <c r="M83" s="82">
        <f t="shared" si="12"/>
        <v>1825</v>
      </c>
      <c r="N83" s="82">
        <v>3650</v>
      </c>
      <c r="O83" s="83">
        <v>3600</v>
      </c>
      <c r="P83" s="46">
        <v>3529</v>
      </c>
      <c r="Q83" s="84"/>
      <c r="R83" s="83">
        <f>712+749+713+713+713</f>
        <v>3600</v>
      </c>
      <c r="S83" s="46">
        <v>3640</v>
      </c>
      <c r="T83" s="46">
        <v>3640</v>
      </c>
      <c r="V83" s="129">
        <v>3491</v>
      </c>
      <c r="W83" s="46">
        <v>3640</v>
      </c>
      <c r="X83" s="46">
        <v>3640</v>
      </c>
    </row>
    <row r="84" spans="1:24" x14ac:dyDescent="0.35">
      <c r="A84" s="55" t="s">
        <v>279</v>
      </c>
      <c r="B84" s="43" t="s">
        <v>280</v>
      </c>
      <c r="E84" s="59" t="s">
        <v>22</v>
      </c>
      <c r="F84" s="105">
        <v>0</v>
      </c>
      <c r="G84" s="105">
        <v>0</v>
      </c>
      <c r="H84" s="105">
        <v>1770</v>
      </c>
      <c r="I84" s="105">
        <v>74.67</v>
      </c>
      <c r="J84" s="105">
        <v>94.67</v>
      </c>
      <c r="K84" s="105">
        <v>14.67</v>
      </c>
      <c r="L84" s="82">
        <v>1722</v>
      </c>
      <c r="M84" s="82">
        <f t="shared" si="12"/>
        <v>990.5</v>
      </c>
      <c r="N84" s="82">
        <v>1981</v>
      </c>
      <c r="O84" s="83">
        <v>100</v>
      </c>
      <c r="P84" s="46">
        <v>13</v>
      </c>
      <c r="Q84" s="84"/>
      <c r="R84" s="83">
        <f>12+12+12+12+13+13+13+13</f>
        <v>100</v>
      </c>
      <c r="S84" s="46">
        <v>35</v>
      </c>
      <c r="T84" s="46">
        <v>35</v>
      </c>
      <c r="V84" s="129">
        <v>10</v>
      </c>
      <c r="W84" s="46">
        <v>35</v>
      </c>
      <c r="X84" s="46">
        <v>35</v>
      </c>
    </row>
    <row r="85" spans="1:24" x14ac:dyDescent="0.35">
      <c r="A85" s="55">
        <v>8285</v>
      </c>
      <c r="B85" s="43" t="s">
        <v>281</v>
      </c>
      <c r="E85" s="59" t="s">
        <v>23</v>
      </c>
      <c r="F85" s="105">
        <v>7494.6</v>
      </c>
      <c r="G85" s="105">
        <v>7494.6</v>
      </c>
      <c r="H85" s="105">
        <v>7494.6</v>
      </c>
      <c r="I85" s="105">
        <v>7439.93</v>
      </c>
      <c r="J85" s="105">
        <v>7439.93</v>
      </c>
      <c r="K85" s="105">
        <v>7439.93</v>
      </c>
      <c r="L85" s="82">
        <v>44803.59</v>
      </c>
      <c r="M85" s="82">
        <f t="shared" si="12"/>
        <v>40000</v>
      </c>
      <c r="N85" s="82">
        <v>80000</v>
      </c>
      <c r="O85" s="83">
        <v>100000</v>
      </c>
      <c r="P85" s="46">
        <v>99186</v>
      </c>
      <c r="Q85" s="84"/>
      <c r="R85" s="83">
        <f>8584+8584+8584+8584+8583+8583+8583+8583+8583+8583</f>
        <v>85834</v>
      </c>
      <c r="S85" s="46">
        <v>85833</v>
      </c>
      <c r="T85" s="46">
        <v>103000</v>
      </c>
      <c r="V85" s="129">
        <v>86730</v>
      </c>
      <c r="W85" s="46">
        <v>103000</v>
      </c>
      <c r="X85" s="46">
        <v>106090</v>
      </c>
    </row>
    <row r="86" spans="1:24" x14ac:dyDescent="0.35">
      <c r="A86" s="55">
        <v>8290</v>
      </c>
      <c r="B86" s="43" t="s">
        <v>282</v>
      </c>
      <c r="E86" s="59" t="s">
        <v>24</v>
      </c>
      <c r="F86" s="105">
        <v>0</v>
      </c>
      <c r="G86" s="105">
        <v>98.16</v>
      </c>
      <c r="H86" s="105">
        <v>679.66</v>
      </c>
      <c r="I86" s="105">
        <v>810.26</v>
      </c>
      <c r="J86" s="105">
        <v>426.89</v>
      </c>
      <c r="K86" s="105">
        <v>176.29</v>
      </c>
      <c r="L86" s="82">
        <f>2191.26+1954.01</f>
        <v>4145.2700000000004</v>
      </c>
      <c r="M86" s="82">
        <f t="shared" si="12"/>
        <v>500</v>
      </c>
      <c r="N86" s="82">
        <v>1000</v>
      </c>
      <c r="O86" s="83">
        <v>4000</v>
      </c>
      <c r="P86" s="46">
        <v>5893</v>
      </c>
      <c r="Q86" s="84"/>
      <c r="R86" s="83">
        <f>500+500+500+500+500+500+500+500+500+500+500</f>
        <v>5500</v>
      </c>
      <c r="S86" s="46">
        <v>3417</v>
      </c>
      <c r="T86" s="46">
        <v>3417</v>
      </c>
      <c r="V86" s="129">
        <v>789</v>
      </c>
      <c r="W86" s="46">
        <v>3417</v>
      </c>
      <c r="X86" s="46">
        <v>6000</v>
      </c>
    </row>
    <row r="87" spans="1:24" x14ac:dyDescent="0.35">
      <c r="A87" s="55">
        <v>7125</v>
      </c>
      <c r="B87" s="43" t="s">
        <v>283</v>
      </c>
      <c r="E87" s="59" t="s">
        <v>25</v>
      </c>
      <c r="F87" s="105">
        <v>0</v>
      </c>
      <c r="G87" s="105">
        <v>0</v>
      </c>
      <c r="H87" s="105">
        <v>0</v>
      </c>
      <c r="I87" s="105">
        <v>149</v>
      </c>
      <c r="J87" s="105">
        <v>219.67</v>
      </c>
      <c r="K87" s="105">
        <v>113.3</v>
      </c>
      <c r="L87" s="82">
        <v>1012.79</v>
      </c>
      <c r="M87" s="82">
        <f t="shared" si="12"/>
        <v>200</v>
      </c>
      <c r="N87" s="82">
        <v>400</v>
      </c>
      <c r="O87" s="83">
        <v>3000</v>
      </c>
      <c r="P87" s="46">
        <v>0</v>
      </c>
      <c r="Q87" s="84"/>
      <c r="R87" s="83">
        <f>500+500+500+500+500+500</f>
        <v>3000</v>
      </c>
      <c r="S87" s="46">
        <v>1404</v>
      </c>
      <c r="T87" s="46">
        <v>1404</v>
      </c>
      <c r="V87" s="129">
        <v>1112</v>
      </c>
      <c r="W87" s="46">
        <v>1404</v>
      </c>
      <c r="X87" s="46">
        <v>3000</v>
      </c>
    </row>
    <row r="88" spans="1:24" x14ac:dyDescent="0.35">
      <c r="A88" s="55" t="s">
        <v>284</v>
      </c>
      <c r="B88" s="43" t="s">
        <v>285</v>
      </c>
      <c r="E88" s="59" t="s">
        <v>26</v>
      </c>
      <c r="F88" s="105">
        <v>0</v>
      </c>
      <c r="G88" s="105">
        <v>823.07</v>
      </c>
      <c r="H88" s="105">
        <v>0</v>
      </c>
      <c r="I88" s="105">
        <f>443.54+693.45</f>
        <v>1136.99</v>
      </c>
      <c r="J88" s="105">
        <f>146.83+1445.67</f>
        <v>1592.5</v>
      </c>
      <c r="K88" s="105">
        <f>2585+467.36</f>
        <v>3052.36</v>
      </c>
      <c r="L88" s="82">
        <f>5433.27+1880.8</f>
        <v>7314.0700000000006</v>
      </c>
      <c r="M88" s="82">
        <f t="shared" si="12"/>
        <v>4187.5</v>
      </c>
      <c r="N88" s="82">
        <v>8375</v>
      </c>
      <c r="O88" s="83">
        <v>8000</v>
      </c>
      <c r="P88" s="46">
        <v>4379</v>
      </c>
      <c r="Q88" s="84"/>
      <c r="R88" s="83">
        <f>888+889+889+889+889+889+889+889+889</f>
        <v>8000</v>
      </c>
      <c r="S88" s="46">
        <v>6288</v>
      </c>
      <c r="T88" s="46">
        <v>6372</v>
      </c>
      <c r="V88" s="129">
        <v>7970</v>
      </c>
      <c r="W88" s="46">
        <v>6372</v>
      </c>
      <c r="X88" s="46">
        <v>8500</v>
      </c>
    </row>
    <row r="89" spans="1:24" x14ac:dyDescent="0.35">
      <c r="A89" s="55"/>
      <c r="B89" s="43" t="s">
        <v>286</v>
      </c>
      <c r="E89" s="59" t="s">
        <v>27</v>
      </c>
      <c r="F89" s="105"/>
      <c r="G89" s="105"/>
      <c r="H89" s="105"/>
      <c r="I89" s="105"/>
      <c r="J89" s="105"/>
      <c r="K89" s="105"/>
      <c r="L89" s="82">
        <v>2779.69</v>
      </c>
      <c r="M89" s="82">
        <f t="shared" si="12"/>
        <v>0</v>
      </c>
      <c r="N89" s="82"/>
      <c r="O89" s="83">
        <v>9500</v>
      </c>
      <c r="P89" s="46">
        <v>5600</v>
      </c>
      <c r="Q89" s="84"/>
      <c r="R89" s="83">
        <f>391+391+391+391+392+392+392+392+392+392+392</f>
        <v>4308</v>
      </c>
      <c r="S89" s="46">
        <v>5790</v>
      </c>
      <c r="T89" s="46">
        <v>6011</v>
      </c>
      <c r="V89" s="129">
        <v>9683</v>
      </c>
      <c r="W89" s="46">
        <v>6011</v>
      </c>
      <c r="X89" s="46">
        <v>9500</v>
      </c>
    </row>
    <row r="90" spans="1:24" x14ac:dyDescent="0.35">
      <c r="A90" s="55"/>
      <c r="E90" s="59" t="s">
        <v>323</v>
      </c>
      <c r="F90" s="105"/>
      <c r="G90" s="105"/>
      <c r="H90" s="105"/>
      <c r="I90" s="105"/>
      <c r="J90" s="105"/>
      <c r="K90" s="105"/>
      <c r="L90" s="82"/>
      <c r="M90" s="82"/>
      <c r="N90" s="82"/>
      <c r="O90" s="83">
        <v>0</v>
      </c>
      <c r="P90" s="46">
        <v>3038</v>
      </c>
      <c r="Q90" s="84"/>
      <c r="R90" s="83">
        <f>400+400+400+400+400+400+400+400+400+400+400</f>
        <v>4400</v>
      </c>
      <c r="S90" s="46">
        <v>2637</v>
      </c>
      <c r="T90" s="46">
        <v>2804</v>
      </c>
      <c r="V90" s="129"/>
      <c r="W90" s="46">
        <v>2804</v>
      </c>
      <c r="X90" s="46">
        <v>2637</v>
      </c>
    </row>
    <row r="91" spans="1:24" x14ac:dyDescent="0.35">
      <c r="A91" s="55">
        <v>8320</v>
      </c>
      <c r="B91" s="43" t="s">
        <v>287</v>
      </c>
      <c r="E91" s="59" t="s">
        <v>316</v>
      </c>
      <c r="F91" s="105">
        <v>0</v>
      </c>
      <c r="G91" s="105">
        <v>0</v>
      </c>
      <c r="H91" s="105">
        <v>0</v>
      </c>
      <c r="I91" s="105">
        <v>727.98</v>
      </c>
      <c r="J91" s="105">
        <v>111.18</v>
      </c>
      <c r="K91" s="105">
        <v>0</v>
      </c>
      <c r="L91" s="82">
        <v>839.16</v>
      </c>
      <c r="M91" s="82">
        <f t="shared" si="12"/>
        <v>3400</v>
      </c>
      <c r="N91" s="82">
        <v>6800</v>
      </c>
      <c r="O91" s="83">
        <v>8000</v>
      </c>
      <c r="P91" s="46">
        <v>9673</v>
      </c>
      <c r="Q91" s="84"/>
      <c r="R91" s="83">
        <f>2000+2000+2000+2000+2000+2000+2000+2000+2000</f>
        <v>18000</v>
      </c>
      <c r="S91" s="46">
        <v>11251</v>
      </c>
      <c r="T91" s="46">
        <v>12922</v>
      </c>
      <c r="V91" s="129">
        <v>5739</v>
      </c>
      <c r="W91" s="46">
        <v>12922</v>
      </c>
      <c r="X91" s="46">
        <v>18000</v>
      </c>
    </row>
    <row r="92" spans="1:24" x14ac:dyDescent="0.35">
      <c r="A92" s="55">
        <v>8585</v>
      </c>
      <c r="B92" s="43" t="s">
        <v>288</v>
      </c>
      <c r="E92" s="59" t="s">
        <v>28</v>
      </c>
      <c r="F92" s="105">
        <v>0</v>
      </c>
      <c r="G92" s="105">
        <v>0</v>
      </c>
      <c r="H92" s="105">
        <v>0</v>
      </c>
      <c r="I92" s="105"/>
      <c r="J92" s="105"/>
      <c r="K92" s="105"/>
      <c r="L92" s="82">
        <v>590.01</v>
      </c>
      <c r="M92" s="82">
        <f t="shared" si="12"/>
        <v>0</v>
      </c>
      <c r="N92" s="82"/>
      <c r="O92" s="83">
        <v>1800</v>
      </c>
      <c r="P92" s="46">
        <v>1584</v>
      </c>
      <c r="Q92" s="84"/>
      <c r="R92" s="83">
        <f>150+150+150+150+150+150+150+150+150+150</f>
        <v>1500</v>
      </c>
      <c r="S92" s="46">
        <v>1320</v>
      </c>
      <c r="T92" s="46">
        <v>1584</v>
      </c>
      <c r="V92" s="129">
        <v>1553</v>
      </c>
      <c r="W92" s="46">
        <v>1584</v>
      </c>
      <c r="X92" s="46">
        <v>1500</v>
      </c>
    </row>
    <row r="93" spans="1:24" x14ac:dyDescent="0.35">
      <c r="A93" s="55"/>
      <c r="B93" s="43" t="s">
        <v>289</v>
      </c>
      <c r="E93" s="59" t="s">
        <v>29</v>
      </c>
      <c r="F93" s="105">
        <v>0</v>
      </c>
      <c r="G93" s="105">
        <v>0</v>
      </c>
      <c r="H93" s="105">
        <v>0</v>
      </c>
      <c r="I93" s="105"/>
      <c r="J93" s="105"/>
      <c r="K93" s="105"/>
      <c r="L93" s="108"/>
      <c r="M93" s="82">
        <f t="shared" si="12"/>
        <v>0</v>
      </c>
      <c r="N93" s="108"/>
      <c r="O93" s="83">
        <v>600</v>
      </c>
      <c r="P93" s="46">
        <v>0</v>
      </c>
      <c r="Q93" s="84"/>
      <c r="R93" s="83">
        <f>75+75+75+75+75+75+75+75</f>
        <v>600</v>
      </c>
      <c r="S93" s="46">
        <v>1527</v>
      </c>
      <c r="T93" s="46">
        <v>1630</v>
      </c>
      <c r="V93" s="129">
        <v>719</v>
      </c>
      <c r="W93" s="46">
        <v>1630</v>
      </c>
      <c r="X93" s="46">
        <v>1500</v>
      </c>
    </row>
    <row r="94" spans="1:24" x14ac:dyDescent="0.35">
      <c r="A94" s="55"/>
      <c r="B94" s="43" t="s">
        <v>290</v>
      </c>
      <c r="E94" s="59" t="s">
        <v>30</v>
      </c>
      <c r="F94" s="105">
        <v>0</v>
      </c>
      <c r="G94" s="105">
        <v>0</v>
      </c>
      <c r="H94" s="105">
        <v>0</v>
      </c>
      <c r="I94" s="105"/>
      <c r="J94" s="105"/>
      <c r="K94" s="105"/>
      <c r="L94" s="82"/>
      <c r="M94" s="82">
        <f t="shared" si="12"/>
        <v>0</v>
      </c>
      <c r="N94" s="108"/>
      <c r="O94" s="83">
        <v>4000</v>
      </c>
      <c r="P94" s="46">
        <v>618</v>
      </c>
      <c r="Q94" s="84"/>
      <c r="R94" s="83">
        <f>5000+2500+2500+2500+5000+2500</f>
        <v>20000</v>
      </c>
      <c r="S94" s="46">
        <v>3202</v>
      </c>
      <c r="T94" s="46">
        <v>3688</v>
      </c>
      <c r="V94" s="129">
        <v>16475</v>
      </c>
      <c r="W94" s="46">
        <v>3688</v>
      </c>
      <c r="X94" s="46">
        <v>15000</v>
      </c>
    </row>
    <row r="95" spans="1:24" x14ac:dyDescent="0.35">
      <c r="A95" s="55">
        <v>7515</v>
      </c>
      <c r="B95" s="43" t="s">
        <v>291</v>
      </c>
      <c r="E95" s="59" t="s">
        <v>31</v>
      </c>
      <c r="F95" s="105">
        <v>0</v>
      </c>
      <c r="G95" s="105">
        <v>622.6</v>
      </c>
      <c r="H95" s="105">
        <v>6006</v>
      </c>
      <c r="I95" s="105">
        <v>428.71</v>
      </c>
      <c r="J95" s="105">
        <v>0</v>
      </c>
      <c r="K95" s="105">
        <v>0</v>
      </c>
      <c r="L95" s="82">
        <v>7057.31</v>
      </c>
      <c r="M95" s="82">
        <f t="shared" si="12"/>
        <v>0</v>
      </c>
      <c r="N95" s="82">
        <v>0</v>
      </c>
      <c r="O95" s="83">
        <v>1000</v>
      </c>
      <c r="P95" s="46">
        <v>0</v>
      </c>
      <c r="Q95" s="84"/>
      <c r="R95" s="83">
        <v>6000</v>
      </c>
      <c r="S95" s="46">
        <v>1200</v>
      </c>
      <c r="T95" s="46">
        <v>1200</v>
      </c>
      <c r="V95" s="129">
        <v>5593</v>
      </c>
      <c r="W95" s="46">
        <v>1200</v>
      </c>
      <c r="X95" s="46">
        <v>10000</v>
      </c>
    </row>
    <row r="96" spans="1:24" x14ac:dyDescent="0.35">
      <c r="A96" s="55"/>
      <c r="B96" s="43" t="s">
        <v>292</v>
      </c>
      <c r="E96" s="59" t="s">
        <v>142</v>
      </c>
      <c r="F96" s="105"/>
      <c r="G96" s="105"/>
      <c r="H96" s="105"/>
      <c r="I96" s="105">
        <v>196.67</v>
      </c>
      <c r="J96" s="105">
        <v>196.67</v>
      </c>
      <c r="K96" s="105">
        <v>196.67</v>
      </c>
      <c r="L96" s="82">
        <v>222.75</v>
      </c>
      <c r="M96" s="82">
        <f t="shared" si="12"/>
        <v>2960</v>
      </c>
      <c r="N96" s="82">
        <v>5920</v>
      </c>
      <c r="O96" s="83">
        <v>9000</v>
      </c>
      <c r="P96" s="46">
        <v>7960</v>
      </c>
      <c r="Q96" s="84"/>
      <c r="R96" s="83">
        <f>100+100+100+100+4000+100+4000+100+100+100+100</f>
        <v>8900</v>
      </c>
      <c r="S96" s="46">
        <v>9054</v>
      </c>
      <c r="T96" s="46">
        <v>9175</v>
      </c>
      <c r="V96" s="129">
        <v>6668</v>
      </c>
      <c r="W96" s="46">
        <v>9175</v>
      </c>
      <c r="X96" s="46">
        <v>9000</v>
      </c>
    </row>
    <row r="97" spans="1:24" x14ac:dyDescent="0.35">
      <c r="A97" s="55" t="s">
        <v>293</v>
      </c>
      <c r="B97" s="43" t="s">
        <v>294</v>
      </c>
      <c r="E97" s="59" t="s">
        <v>32</v>
      </c>
      <c r="F97" s="105"/>
      <c r="G97" s="105"/>
      <c r="H97" s="105"/>
      <c r="I97" s="105">
        <v>196.67</v>
      </c>
      <c r="J97" s="105">
        <v>196.67</v>
      </c>
      <c r="K97" s="105">
        <v>196.67</v>
      </c>
      <c r="L97" s="82">
        <v>222.75</v>
      </c>
      <c r="M97" s="82">
        <f t="shared" si="12"/>
        <v>2960</v>
      </c>
      <c r="N97" s="82">
        <v>5920</v>
      </c>
      <c r="O97" s="83">
        <v>1200</v>
      </c>
      <c r="P97" s="62">
        <v>232</v>
      </c>
      <c r="Q97" s="84"/>
      <c r="R97" s="83">
        <f>100+100+100+100+100+100+100+100+100+100+100</f>
        <v>1100</v>
      </c>
      <c r="S97" s="62">
        <v>471</v>
      </c>
      <c r="T97" s="62">
        <v>740</v>
      </c>
      <c r="V97" s="129">
        <v>1234</v>
      </c>
      <c r="W97" s="62">
        <v>740</v>
      </c>
      <c r="X97" s="62">
        <v>500</v>
      </c>
    </row>
    <row r="98" spans="1:24" x14ac:dyDescent="0.35">
      <c r="B98" s="43" t="s">
        <v>295</v>
      </c>
      <c r="E98" s="60" t="s">
        <v>33</v>
      </c>
      <c r="F98" s="107">
        <f t="shared" ref="F98:K98" si="13">SUM(F71:F97)</f>
        <v>17493.260000000002</v>
      </c>
      <c r="G98" s="107">
        <f t="shared" si="13"/>
        <v>28011.149999999998</v>
      </c>
      <c r="H98" s="107">
        <f t="shared" si="13"/>
        <v>50760.670000000006</v>
      </c>
      <c r="I98" s="107">
        <f t="shared" si="13"/>
        <v>33949.179999999993</v>
      </c>
      <c r="J98" s="107">
        <f t="shared" si="13"/>
        <v>29985.289999999994</v>
      </c>
      <c r="K98" s="107">
        <f t="shared" si="13"/>
        <v>26295.77</v>
      </c>
      <c r="L98" s="109">
        <f>SUM(L82:L97)</f>
        <v>77726.789999999994</v>
      </c>
      <c r="M98" s="109">
        <f>SUM(M82:M97)</f>
        <v>60276.75</v>
      </c>
      <c r="N98" s="109">
        <f>SUM(N82:N97)</f>
        <v>120553.5</v>
      </c>
      <c r="O98" s="109">
        <f>SUM(O82:O97)</f>
        <v>157300</v>
      </c>
      <c r="P98" s="63">
        <f>SUM(P82:P97)</f>
        <v>145117</v>
      </c>
      <c r="Q98" s="102"/>
      <c r="R98" s="109">
        <f>SUM(R82:R97)</f>
        <v>174050</v>
      </c>
      <c r="S98" s="63">
        <f>SUM(S82:S97)</f>
        <v>139513</v>
      </c>
      <c r="T98" s="63">
        <f>SUM(T82:T97)</f>
        <v>160701</v>
      </c>
      <c r="V98" s="135">
        <f>SUM(V82:V97)</f>
        <v>151476</v>
      </c>
      <c r="W98" s="63">
        <f>SUM(W82:W97)</f>
        <v>160701</v>
      </c>
      <c r="X98" s="63">
        <f>SUM(X82:X97)</f>
        <v>198402</v>
      </c>
    </row>
    <row r="99" spans="1:24" ht="13.15" thickBot="1" x14ac:dyDescent="0.4">
      <c r="B99" s="43" t="s">
        <v>296</v>
      </c>
      <c r="F99" s="89"/>
      <c r="G99" s="89"/>
      <c r="H99" s="89"/>
      <c r="I99" s="89"/>
      <c r="J99" s="89"/>
      <c r="K99" s="89"/>
      <c r="L99" s="49"/>
      <c r="M99" s="49"/>
      <c r="N99" s="49"/>
      <c r="O99" s="49"/>
      <c r="P99" s="49"/>
      <c r="Q99" s="49"/>
      <c r="R99" s="49"/>
      <c r="S99" s="49"/>
      <c r="T99" s="49"/>
      <c r="V99" s="49"/>
      <c r="W99" s="49"/>
      <c r="X99" s="49"/>
    </row>
    <row r="100" spans="1:24" ht="13.15" thickBot="1" x14ac:dyDescent="0.4">
      <c r="B100" s="43" t="s">
        <v>297</v>
      </c>
      <c r="E100" s="64" t="s">
        <v>34</v>
      </c>
      <c r="F100" s="110" t="e">
        <f t="shared" ref="F100:M100" si="14">+F98+F79+F68</f>
        <v>#REF!</v>
      </c>
      <c r="G100" s="110" t="e">
        <f t="shared" si="14"/>
        <v>#REF!</v>
      </c>
      <c r="H100" s="110" t="e">
        <f t="shared" si="14"/>
        <v>#REF!</v>
      </c>
      <c r="I100" s="110" t="e">
        <f t="shared" si="14"/>
        <v>#REF!</v>
      </c>
      <c r="J100" s="110" t="e">
        <f t="shared" si="14"/>
        <v>#REF!</v>
      </c>
      <c r="K100" s="110" t="e">
        <f t="shared" si="14"/>
        <v>#REF!</v>
      </c>
      <c r="L100" s="111" t="e">
        <f t="shared" si="14"/>
        <v>#REF!</v>
      </c>
      <c r="M100" s="111" t="e">
        <f t="shared" si="14"/>
        <v>#REF!</v>
      </c>
      <c r="N100" s="111" t="e">
        <f>N98+N79+N68</f>
        <v>#REF!</v>
      </c>
      <c r="O100" s="112">
        <f>+O68+O79+O98</f>
        <v>937722</v>
      </c>
      <c r="P100" s="65">
        <f>+P68+P79+P98</f>
        <v>750543</v>
      </c>
      <c r="Q100" s="102"/>
      <c r="R100" s="112">
        <f>+R68+R79+R98</f>
        <v>991250</v>
      </c>
      <c r="S100" s="65">
        <f>+S68+S79+S98</f>
        <v>807578</v>
      </c>
      <c r="T100" s="65">
        <f>+T68+T79+T98</f>
        <v>875113</v>
      </c>
      <c r="V100" s="136">
        <f>+V68+V79+V98</f>
        <v>888861</v>
      </c>
      <c r="W100" s="65">
        <f>+W68+W79+W98</f>
        <v>875113</v>
      </c>
      <c r="X100" s="65">
        <f>+X68+X79+X98</f>
        <v>1165564.7</v>
      </c>
    </row>
    <row r="101" spans="1:24" ht="13.15" thickBot="1" x14ac:dyDescent="0.4">
      <c r="B101" s="43" t="s">
        <v>298</v>
      </c>
      <c r="F101" s="89"/>
      <c r="G101" s="89"/>
      <c r="H101" s="89"/>
      <c r="I101" s="89"/>
      <c r="J101" s="89"/>
      <c r="K101" s="89"/>
      <c r="L101" s="49"/>
      <c r="M101" s="49"/>
      <c r="N101" s="49"/>
      <c r="O101" s="49"/>
      <c r="P101" s="49"/>
      <c r="Q101" s="49"/>
      <c r="R101" s="49"/>
      <c r="S101" s="49"/>
      <c r="T101" s="49"/>
      <c r="V101" s="49"/>
      <c r="W101" s="49"/>
      <c r="X101" s="49"/>
    </row>
    <row r="102" spans="1:24" ht="13.15" thickBot="1" x14ac:dyDescent="0.4">
      <c r="B102" s="43" t="s">
        <v>299</v>
      </c>
      <c r="E102" s="53" t="s">
        <v>317</v>
      </c>
      <c r="F102" s="100" t="e">
        <f t="shared" ref="F102:P102" si="15">+F38-F100</f>
        <v>#REF!</v>
      </c>
      <c r="G102" s="100" t="e">
        <f t="shared" si="15"/>
        <v>#REF!</v>
      </c>
      <c r="H102" s="100" t="e">
        <f t="shared" si="15"/>
        <v>#REF!</v>
      </c>
      <c r="I102" s="100" t="e">
        <f t="shared" si="15"/>
        <v>#REF!</v>
      </c>
      <c r="J102" s="100" t="e">
        <f t="shared" si="15"/>
        <v>#REF!</v>
      </c>
      <c r="K102" s="100" t="e">
        <f t="shared" si="15"/>
        <v>#REF!</v>
      </c>
      <c r="L102" s="110" t="e">
        <f t="shared" si="15"/>
        <v>#REF!</v>
      </c>
      <c r="M102" s="110" t="e">
        <f t="shared" si="15"/>
        <v>#REF!</v>
      </c>
      <c r="N102" s="110" t="e">
        <f t="shared" si="15"/>
        <v>#REF!</v>
      </c>
      <c r="O102" s="66">
        <f t="shared" si="15"/>
        <v>-30836</v>
      </c>
      <c r="P102" s="66">
        <f t="shared" si="15"/>
        <v>189819</v>
      </c>
      <c r="Q102" s="103"/>
      <c r="R102" s="66">
        <f>+R38-R100</f>
        <v>27329</v>
      </c>
      <c r="S102" s="66">
        <f>+S38-S100</f>
        <v>112366</v>
      </c>
      <c r="T102" s="66">
        <f>+T38-T100</f>
        <v>176442.55000000005</v>
      </c>
      <c r="V102" s="137">
        <f>+V38-V100</f>
        <v>-8547</v>
      </c>
      <c r="W102" s="66">
        <f>+W38-W100</f>
        <v>175942.55000000005</v>
      </c>
      <c r="X102" s="66">
        <f>+X38-X100</f>
        <v>527.85000000009313</v>
      </c>
    </row>
    <row r="103" spans="1:24" ht="11.25" customHeight="1" x14ac:dyDescent="0.35">
      <c r="E103" s="55" t="s">
        <v>308</v>
      </c>
      <c r="F103" s="113"/>
      <c r="G103" s="113"/>
      <c r="H103" s="113"/>
      <c r="I103" s="113"/>
      <c r="J103" s="113"/>
      <c r="K103" s="113"/>
      <c r="L103" s="114"/>
      <c r="M103" s="114"/>
      <c r="N103" s="114"/>
      <c r="O103" s="114"/>
      <c r="P103" s="67">
        <v>-122250</v>
      </c>
      <c r="Q103" s="115"/>
      <c r="R103" s="118"/>
      <c r="S103" s="67">
        <v>-189819</v>
      </c>
      <c r="T103" s="55" t="s">
        <v>324</v>
      </c>
      <c r="V103" s="114"/>
      <c r="W103" s="55" t="s">
        <v>324</v>
      </c>
      <c r="X103" s="67">
        <v>-189819</v>
      </c>
    </row>
    <row r="104" spans="1:24" ht="11.25" customHeight="1" x14ac:dyDescent="0.35">
      <c r="E104" s="55" t="s">
        <v>319</v>
      </c>
      <c r="F104" s="113"/>
      <c r="G104" s="113"/>
      <c r="H104" s="113"/>
      <c r="I104" s="113"/>
      <c r="J104" s="113"/>
      <c r="K104" s="113"/>
      <c r="L104" s="114"/>
      <c r="M104" s="114"/>
      <c r="N104" s="114"/>
      <c r="O104" s="114"/>
      <c r="P104" s="67">
        <v>11849</v>
      </c>
      <c r="Q104" s="115"/>
      <c r="R104" s="118"/>
      <c r="S104" s="67">
        <v>77302</v>
      </c>
      <c r="T104" s="55" t="s">
        <v>327</v>
      </c>
      <c r="V104" s="114"/>
      <c r="W104" s="55" t="s">
        <v>327</v>
      </c>
      <c r="X104" s="67">
        <v>77302</v>
      </c>
    </row>
    <row r="105" spans="1:24" ht="11.25" customHeight="1" x14ac:dyDescent="0.35">
      <c r="E105" s="55" t="s">
        <v>320</v>
      </c>
      <c r="F105" s="113"/>
      <c r="G105" s="113"/>
      <c r="H105" s="113"/>
      <c r="I105" s="113"/>
      <c r="J105" s="113"/>
      <c r="K105" s="113"/>
      <c r="L105" s="114"/>
      <c r="M105" s="114"/>
      <c r="N105" s="114"/>
      <c r="O105" s="114"/>
      <c r="P105" s="67">
        <v>-6205</v>
      </c>
      <c r="Q105" s="115"/>
      <c r="R105" s="118"/>
      <c r="S105" s="67">
        <v>-2000</v>
      </c>
      <c r="T105" s="55" t="s">
        <v>326</v>
      </c>
      <c r="V105" s="114"/>
      <c r="W105" s="55" t="s">
        <v>326</v>
      </c>
      <c r="X105" s="67">
        <v>-2000</v>
      </c>
    </row>
    <row r="106" spans="1:24" ht="11.25" customHeight="1" x14ac:dyDescent="0.35">
      <c r="E106" s="55" t="s">
        <v>321</v>
      </c>
      <c r="F106" s="113"/>
      <c r="G106" s="113"/>
      <c r="H106" s="113"/>
      <c r="I106" s="113"/>
      <c r="J106" s="113"/>
      <c r="K106" s="113"/>
      <c r="L106" s="114"/>
      <c r="M106" s="114"/>
      <c r="N106" s="114"/>
      <c r="O106" s="114"/>
      <c r="P106" s="67">
        <v>-14500</v>
      </c>
      <c r="Q106" s="115"/>
      <c r="R106" s="118"/>
      <c r="S106" s="68">
        <v>1399</v>
      </c>
      <c r="T106" s="55" t="s">
        <v>328</v>
      </c>
      <c r="V106" s="114"/>
      <c r="W106" s="55" t="s">
        <v>328</v>
      </c>
      <c r="X106" s="68">
        <v>1399</v>
      </c>
    </row>
    <row r="107" spans="1:24" ht="11.25" customHeight="1" x14ac:dyDescent="0.35">
      <c r="E107" s="55" t="s">
        <v>322</v>
      </c>
      <c r="F107" s="113"/>
      <c r="G107" s="113"/>
      <c r="H107" s="113"/>
      <c r="I107" s="113"/>
      <c r="J107" s="113"/>
      <c r="K107" s="113"/>
      <c r="L107" s="114"/>
      <c r="M107" s="114"/>
      <c r="N107" s="114"/>
      <c r="O107" s="114"/>
      <c r="P107" s="67">
        <v>2000</v>
      </c>
      <c r="Q107" s="115"/>
      <c r="R107" s="118"/>
      <c r="S107" s="67">
        <f>SUM(S102:S106)</f>
        <v>-752</v>
      </c>
      <c r="T107" s="55"/>
      <c r="V107" s="114"/>
      <c r="W107" s="55"/>
      <c r="X107" s="67">
        <f>SUM(X102:X106)</f>
        <v>-112590.14999999991</v>
      </c>
    </row>
    <row r="108" spans="1:24" ht="11.25" customHeight="1" x14ac:dyDescent="0.35">
      <c r="E108" s="55" t="s">
        <v>310</v>
      </c>
      <c r="F108" s="113"/>
      <c r="G108" s="113"/>
      <c r="H108" s="113"/>
      <c r="I108" s="113"/>
      <c r="J108" s="113"/>
      <c r="K108" s="113"/>
      <c r="L108" s="114"/>
      <c r="M108" s="114"/>
      <c r="N108" s="114"/>
      <c r="O108" s="114"/>
      <c r="P108" s="67">
        <v>-77302</v>
      </c>
      <c r="Q108" s="115"/>
      <c r="R108" s="118"/>
      <c r="S108" s="68">
        <v>-754</v>
      </c>
      <c r="T108" s="55" t="s">
        <v>336</v>
      </c>
      <c r="V108" s="114"/>
      <c r="W108" s="55" t="s">
        <v>336</v>
      </c>
      <c r="X108" s="68">
        <v>-26691</v>
      </c>
    </row>
    <row r="109" spans="1:24" ht="11.25" customHeight="1" thickBot="1" x14ac:dyDescent="0.4">
      <c r="E109" s="55" t="s">
        <v>311</v>
      </c>
      <c r="F109" s="113"/>
      <c r="G109" s="113"/>
      <c r="H109" s="113"/>
      <c r="I109" s="113"/>
      <c r="J109" s="113"/>
      <c r="K109" s="113"/>
      <c r="L109" s="114"/>
      <c r="M109" s="114"/>
      <c r="N109" s="114"/>
      <c r="O109" s="114"/>
      <c r="P109" s="68">
        <v>68527</v>
      </c>
      <c r="Q109" s="115"/>
      <c r="R109" s="118"/>
      <c r="S109" s="127">
        <f>+S107-S108</f>
        <v>2</v>
      </c>
      <c r="T109" s="55" t="s">
        <v>325</v>
      </c>
      <c r="V109" s="114"/>
      <c r="W109" s="55" t="s">
        <v>325</v>
      </c>
      <c r="X109" s="127">
        <f>+X107-X108</f>
        <v>-85899.149999999907</v>
      </c>
    </row>
    <row r="110" spans="1:24" ht="11.25" customHeight="1" thickTop="1" x14ac:dyDescent="0.35">
      <c r="F110" s="113"/>
      <c r="G110" s="113"/>
      <c r="H110" s="113"/>
      <c r="I110" s="113"/>
      <c r="J110" s="113"/>
      <c r="K110" s="113"/>
      <c r="L110" s="114"/>
      <c r="M110" s="114"/>
      <c r="N110" s="114"/>
      <c r="O110" s="114"/>
      <c r="P110" s="67">
        <f>SUM(P102:P109)</f>
        <v>51938</v>
      </c>
      <c r="Q110" s="115"/>
      <c r="R110" s="118"/>
      <c r="S110" s="67"/>
      <c r="T110" s="67"/>
      <c r="U110" s="55"/>
      <c r="V110" s="114"/>
      <c r="W110" s="67"/>
      <c r="X110" s="67"/>
    </row>
    <row r="111" spans="1:24" ht="11.25" customHeight="1" x14ac:dyDescent="0.35">
      <c r="E111" s="55" t="s">
        <v>313</v>
      </c>
      <c r="F111" s="113"/>
      <c r="G111" s="113"/>
      <c r="H111" s="113"/>
      <c r="I111" s="113"/>
      <c r="J111" s="113"/>
      <c r="K111" s="113"/>
      <c r="L111" s="114"/>
      <c r="M111" s="114"/>
      <c r="N111" s="114"/>
      <c r="O111" s="116"/>
      <c r="P111" s="68">
        <v>51940</v>
      </c>
      <c r="Q111" s="115"/>
      <c r="R111" s="118"/>
      <c r="S111" s="67"/>
      <c r="T111" s="67"/>
      <c r="U111" s="55"/>
      <c r="V111" s="114"/>
      <c r="W111" s="67"/>
      <c r="X111" s="67"/>
    </row>
    <row r="112" spans="1:24" ht="11.25" customHeight="1" thickBot="1" x14ac:dyDescent="0.4">
      <c r="E112" s="55" t="s">
        <v>309</v>
      </c>
      <c r="F112" s="113"/>
      <c r="G112" s="113"/>
      <c r="H112" s="113"/>
      <c r="I112" s="113"/>
      <c r="J112" s="113"/>
      <c r="K112" s="113"/>
      <c r="L112" s="114"/>
      <c r="M112" s="114"/>
      <c r="N112" s="114"/>
      <c r="O112" s="116"/>
      <c r="P112" s="127">
        <f>+P110-P111</f>
        <v>-2</v>
      </c>
      <c r="Q112" s="115"/>
      <c r="R112" s="115"/>
      <c r="S112" s="67"/>
      <c r="T112" s="67"/>
      <c r="V112" s="114"/>
      <c r="W112" s="67"/>
      <c r="X112" s="67"/>
    </row>
    <row r="113" spans="6:24" ht="11.25" customHeight="1" thickTop="1" x14ac:dyDescent="0.35">
      <c r="F113" s="113"/>
      <c r="G113" s="113"/>
      <c r="H113" s="113"/>
      <c r="I113" s="113"/>
      <c r="J113" s="113"/>
      <c r="K113" s="113"/>
      <c r="L113" s="114"/>
      <c r="M113" s="114"/>
      <c r="N113" s="114"/>
      <c r="O113" s="114"/>
      <c r="P113" s="115"/>
      <c r="Q113" s="115"/>
      <c r="R113" s="115"/>
      <c r="S113" s="67"/>
      <c r="T113" s="67"/>
      <c r="U113" s="55"/>
      <c r="V113" s="114"/>
      <c r="W113" s="67"/>
      <c r="X113" s="67"/>
    </row>
    <row r="114" spans="6:24" x14ac:dyDescent="0.35">
      <c r="F114" s="113"/>
      <c r="G114" s="113"/>
      <c r="H114" s="113"/>
      <c r="I114" s="113"/>
      <c r="J114" s="113"/>
      <c r="K114" s="113"/>
      <c r="L114" s="114"/>
      <c r="M114" s="114"/>
      <c r="N114" s="114"/>
      <c r="O114" s="114"/>
      <c r="P114" s="114"/>
      <c r="Q114" s="115"/>
      <c r="R114" s="115"/>
      <c r="S114" s="67"/>
      <c r="T114" s="67"/>
      <c r="U114" s="55"/>
      <c r="V114" s="114"/>
      <c r="W114" s="67"/>
      <c r="X114" s="67"/>
    </row>
    <row r="115" spans="6:24" x14ac:dyDescent="0.35">
      <c r="F115" s="113"/>
      <c r="G115" s="113"/>
      <c r="H115" s="113"/>
      <c r="I115" s="113"/>
      <c r="J115" s="113"/>
      <c r="K115" s="113"/>
      <c r="L115" s="114"/>
      <c r="M115" s="114"/>
      <c r="N115" s="114"/>
      <c r="O115" s="114"/>
      <c r="P115" s="114"/>
      <c r="Q115" s="115"/>
      <c r="R115" s="115"/>
      <c r="S115" s="67"/>
      <c r="T115" s="67"/>
      <c r="U115" s="55"/>
      <c r="V115" s="114"/>
      <c r="W115" s="67"/>
      <c r="X115" s="67"/>
    </row>
    <row r="116" spans="6:24" x14ac:dyDescent="0.35">
      <c r="F116" s="113"/>
      <c r="G116" s="113"/>
      <c r="H116" s="113"/>
      <c r="I116" s="113"/>
      <c r="J116" s="113"/>
      <c r="K116" s="113"/>
      <c r="L116" s="114"/>
      <c r="M116" s="114"/>
      <c r="N116" s="114"/>
      <c r="O116" s="114"/>
      <c r="P116" s="114"/>
      <c r="Q116" s="115"/>
      <c r="R116" s="115"/>
      <c r="S116" s="67"/>
      <c r="T116" s="67"/>
      <c r="U116" s="55"/>
      <c r="V116" s="114"/>
      <c r="W116" s="67"/>
      <c r="X116" s="67"/>
    </row>
    <row r="117" spans="6:24" x14ac:dyDescent="0.35">
      <c r="F117" s="113"/>
      <c r="G117" s="113"/>
      <c r="H117" s="113"/>
      <c r="I117" s="113"/>
      <c r="J117" s="113"/>
      <c r="K117" s="113"/>
      <c r="L117" s="114"/>
      <c r="M117" s="114"/>
      <c r="N117" s="114"/>
      <c r="O117" s="114"/>
      <c r="P117" s="114"/>
      <c r="Q117" s="115"/>
      <c r="R117" s="115"/>
      <c r="S117" s="126"/>
      <c r="T117" s="126"/>
      <c r="V117" s="114"/>
      <c r="W117" s="126"/>
      <c r="X117" s="126"/>
    </row>
    <row r="118" spans="6:24" x14ac:dyDescent="0.35">
      <c r="F118" s="113"/>
      <c r="G118" s="113"/>
      <c r="H118" s="113"/>
      <c r="I118" s="113"/>
      <c r="J118" s="113"/>
      <c r="K118" s="113"/>
      <c r="L118" s="114"/>
      <c r="M118" s="114"/>
      <c r="N118" s="114"/>
      <c r="O118" s="114"/>
      <c r="P118" s="114"/>
      <c r="Q118" s="115"/>
      <c r="R118" s="115"/>
      <c r="S118" s="126"/>
      <c r="T118" s="126"/>
      <c r="V118" s="114"/>
      <c r="W118" s="126"/>
      <c r="X118" s="126"/>
    </row>
    <row r="119" spans="6:24" x14ac:dyDescent="0.35">
      <c r="F119" s="113"/>
      <c r="G119" s="113"/>
      <c r="H119" s="113"/>
      <c r="I119" s="113"/>
      <c r="J119" s="113"/>
      <c r="K119" s="113"/>
      <c r="L119" s="114"/>
      <c r="M119" s="114"/>
      <c r="N119" s="114"/>
      <c r="O119" s="114"/>
      <c r="P119" s="114"/>
      <c r="Q119" s="115"/>
      <c r="R119" s="115"/>
      <c r="S119" s="115"/>
      <c r="T119" s="115"/>
      <c r="V119" s="114"/>
      <c r="W119" s="115"/>
      <c r="X119" s="115"/>
    </row>
    <row r="120" spans="6:24" x14ac:dyDescent="0.35">
      <c r="F120" s="113"/>
      <c r="G120" s="113"/>
      <c r="H120" s="113"/>
      <c r="I120" s="113"/>
      <c r="J120" s="113"/>
      <c r="K120" s="113"/>
      <c r="L120" s="114"/>
      <c r="M120" s="114"/>
      <c r="N120" s="114"/>
      <c r="O120" s="114"/>
      <c r="P120" s="114"/>
      <c r="Q120" s="115"/>
      <c r="R120" s="115"/>
      <c r="S120" s="115"/>
      <c r="T120" s="115"/>
      <c r="V120" s="114"/>
      <c r="W120" s="115"/>
      <c r="X120" s="115"/>
    </row>
    <row r="121" spans="6:24" x14ac:dyDescent="0.35">
      <c r="F121" s="113"/>
      <c r="G121" s="113"/>
      <c r="H121" s="113"/>
      <c r="I121" s="113"/>
      <c r="J121" s="113"/>
      <c r="K121" s="113"/>
      <c r="L121" s="114"/>
      <c r="M121" s="114"/>
      <c r="N121" s="114"/>
      <c r="O121" s="114"/>
      <c r="P121" s="114"/>
      <c r="Q121" s="115"/>
      <c r="R121" s="115"/>
      <c r="S121" s="114"/>
      <c r="T121" s="114"/>
      <c r="V121" s="114"/>
      <c r="W121" s="114"/>
      <c r="X121" s="114"/>
    </row>
    <row r="122" spans="6:24" x14ac:dyDescent="0.35">
      <c r="F122" s="113"/>
      <c r="G122" s="113"/>
      <c r="H122" s="113"/>
      <c r="I122" s="113"/>
      <c r="J122" s="113"/>
      <c r="K122" s="113"/>
      <c r="L122" s="114"/>
      <c r="M122" s="114"/>
      <c r="N122" s="114"/>
      <c r="O122" s="114"/>
      <c r="P122" s="114"/>
      <c r="Q122" s="115"/>
      <c r="R122" s="115"/>
      <c r="S122" s="114"/>
      <c r="T122" s="114"/>
      <c r="V122" s="114"/>
      <c r="W122" s="114"/>
      <c r="X122" s="114"/>
    </row>
    <row r="123" spans="6:24" x14ac:dyDescent="0.35">
      <c r="F123" s="113"/>
      <c r="G123" s="113"/>
      <c r="H123" s="113"/>
      <c r="I123" s="113"/>
      <c r="J123" s="113"/>
      <c r="K123" s="113"/>
      <c r="L123" s="114"/>
      <c r="M123" s="114"/>
      <c r="N123" s="114"/>
      <c r="O123" s="114"/>
      <c r="P123" s="114"/>
      <c r="Q123" s="115"/>
      <c r="R123" s="115"/>
      <c r="S123" s="114"/>
      <c r="T123" s="114"/>
      <c r="V123" s="114"/>
      <c r="W123" s="114"/>
      <c r="X123" s="114"/>
    </row>
    <row r="124" spans="6:24" x14ac:dyDescent="0.35">
      <c r="F124" s="113"/>
      <c r="G124" s="113"/>
      <c r="H124" s="113"/>
      <c r="I124" s="113"/>
      <c r="J124" s="113"/>
      <c r="K124" s="113"/>
      <c r="L124" s="114"/>
      <c r="M124" s="114"/>
      <c r="N124" s="114"/>
      <c r="O124" s="114"/>
      <c r="P124" s="114"/>
      <c r="Q124" s="115"/>
      <c r="R124" s="115"/>
      <c r="S124" s="114"/>
      <c r="T124" s="114"/>
      <c r="V124" s="114"/>
      <c r="W124" s="114"/>
      <c r="X124" s="114"/>
    </row>
    <row r="125" spans="6:24" x14ac:dyDescent="0.35">
      <c r="F125" s="113"/>
      <c r="G125" s="113"/>
      <c r="H125" s="113"/>
      <c r="I125" s="113"/>
      <c r="J125" s="113"/>
      <c r="K125" s="113"/>
      <c r="L125" s="114"/>
      <c r="M125" s="114"/>
      <c r="N125" s="114"/>
      <c r="O125" s="114"/>
      <c r="P125" s="114"/>
      <c r="Q125" s="115"/>
      <c r="R125" s="115"/>
      <c r="S125" s="114"/>
      <c r="T125" s="114"/>
      <c r="V125" s="114"/>
      <c r="W125" s="114"/>
      <c r="X125" s="114"/>
    </row>
    <row r="126" spans="6:24" x14ac:dyDescent="0.35">
      <c r="F126" s="113"/>
      <c r="G126" s="113"/>
      <c r="H126" s="113"/>
      <c r="I126" s="113"/>
      <c r="J126" s="113"/>
      <c r="K126" s="113"/>
      <c r="L126" s="114"/>
      <c r="M126" s="114"/>
      <c r="N126" s="114"/>
      <c r="O126" s="114"/>
      <c r="P126" s="114"/>
      <c r="Q126" s="115"/>
      <c r="R126" s="115"/>
      <c r="S126" s="114"/>
      <c r="T126" s="114"/>
      <c r="V126" s="114"/>
      <c r="W126" s="114"/>
      <c r="X126" s="114"/>
    </row>
    <row r="127" spans="6:24" x14ac:dyDescent="0.35">
      <c r="F127" s="113"/>
      <c r="G127" s="113"/>
      <c r="H127" s="113"/>
      <c r="I127" s="113"/>
      <c r="J127" s="113"/>
      <c r="K127" s="113"/>
      <c r="L127" s="114"/>
      <c r="M127" s="114"/>
      <c r="N127" s="114"/>
      <c r="O127" s="114"/>
      <c r="P127" s="114"/>
      <c r="Q127" s="115"/>
      <c r="R127" s="115"/>
      <c r="S127" s="114"/>
      <c r="T127" s="114"/>
      <c r="V127" s="114"/>
      <c r="W127" s="114"/>
      <c r="X127" s="114"/>
    </row>
    <row r="128" spans="6:24" x14ac:dyDescent="0.35">
      <c r="F128" s="113"/>
      <c r="G128" s="113"/>
      <c r="H128" s="113"/>
      <c r="I128" s="113"/>
      <c r="J128" s="113"/>
      <c r="K128" s="113"/>
      <c r="L128" s="114"/>
      <c r="M128" s="114"/>
      <c r="N128" s="114"/>
      <c r="O128" s="114"/>
      <c r="P128" s="114"/>
      <c r="Q128" s="115"/>
      <c r="R128" s="115"/>
      <c r="S128" s="114"/>
      <c r="T128" s="114"/>
      <c r="V128" s="114"/>
      <c r="W128" s="114"/>
      <c r="X128" s="114"/>
    </row>
    <row r="129" spans="6:24" x14ac:dyDescent="0.35">
      <c r="F129" s="113"/>
      <c r="G129" s="113"/>
      <c r="H129" s="113"/>
      <c r="I129" s="113"/>
      <c r="J129" s="113"/>
      <c r="K129" s="113"/>
      <c r="L129" s="114"/>
      <c r="M129" s="114"/>
      <c r="N129" s="114"/>
      <c r="O129" s="114"/>
      <c r="P129" s="114"/>
      <c r="Q129" s="115"/>
      <c r="R129" s="115"/>
      <c r="S129" s="114"/>
      <c r="T129" s="114"/>
      <c r="V129" s="114"/>
      <c r="W129" s="114"/>
      <c r="X129" s="114"/>
    </row>
    <row r="130" spans="6:24" x14ac:dyDescent="0.35">
      <c r="F130" s="113"/>
      <c r="G130" s="113"/>
      <c r="H130" s="113"/>
      <c r="I130" s="113"/>
      <c r="J130" s="113"/>
      <c r="K130" s="113"/>
      <c r="L130" s="114"/>
      <c r="M130" s="114"/>
      <c r="N130" s="114"/>
      <c r="O130" s="114"/>
      <c r="P130" s="114"/>
      <c r="Q130" s="115"/>
      <c r="R130" s="115"/>
      <c r="S130" s="114"/>
      <c r="T130" s="114"/>
      <c r="V130" s="114"/>
      <c r="W130" s="114"/>
      <c r="X130" s="114"/>
    </row>
    <row r="131" spans="6:24" x14ac:dyDescent="0.35">
      <c r="F131" s="113"/>
      <c r="G131" s="113"/>
      <c r="H131" s="113"/>
      <c r="I131" s="113"/>
      <c r="J131" s="113"/>
      <c r="K131" s="113"/>
      <c r="L131" s="114"/>
      <c r="M131" s="114"/>
      <c r="N131" s="114"/>
      <c r="O131" s="114"/>
      <c r="P131" s="114"/>
      <c r="Q131" s="115"/>
      <c r="R131" s="115"/>
      <c r="S131" s="114"/>
      <c r="T131" s="114"/>
      <c r="V131" s="114"/>
      <c r="W131" s="114"/>
      <c r="X131" s="114"/>
    </row>
    <row r="132" spans="6:24" x14ac:dyDescent="0.35">
      <c r="F132" s="113"/>
      <c r="G132" s="113"/>
      <c r="H132" s="113"/>
      <c r="I132" s="113"/>
      <c r="J132" s="113"/>
      <c r="K132" s="113"/>
      <c r="L132" s="114"/>
      <c r="M132" s="114"/>
      <c r="N132" s="114"/>
      <c r="O132" s="114"/>
      <c r="P132" s="114"/>
      <c r="Q132" s="115"/>
      <c r="R132" s="115"/>
      <c r="S132" s="114"/>
      <c r="T132" s="114"/>
      <c r="V132" s="114"/>
      <c r="W132" s="114"/>
      <c r="X132" s="114"/>
    </row>
    <row r="133" spans="6:24" x14ac:dyDescent="0.35">
      <c r="F133" s="113"/>
      <c r="G133" s="113"/>
      <c r="H133" s="113"/>
      <c r="I133" s="113"/>
      <c r="J133" s="113"/>
      <c r="K133" s="113"/>
      <c r="L133" s="114"/>
      <c r="M133" s="114"/>
      <c r="N133" s="114"/>
      <c r="O133" s="114"/>
      <c r="P133" s="114"/>
      <c r="Q133" s="115"/>
      <c r="R133" s="115"/>
      <c r="S133" s="114"/>
      <c r="T133" s="114"/>
      <c r="V133" s="114"/>
      <c r="W133" s="114"/>
      <c r="X133" s="114"/>
    </row>
    <row r="134" spans="6:24" x14ac:dyDescent="0.35">
      <c r="F134" s="113"/>
      <c r="G134" s="113"/>
      <c r="H134" s="113"/>
      <c r="I134" s="113"/>
      <c r="J134" s="113"/>
      <c r="K134" s="113"/>
      <c r="L134" s="114"/>
      <c r="M134" s="114"/>
      <c r="N134" s="114"/>
      <c r="O134" s="114"/>
      <c r="P134" s="114"/>
      <c r="Q134" s="115"/>
      <c r="R134" s="115"/>
      <c r="S134" s="114"/>
      <c r="T134" s="114"/>
      <c r="V134" s="114"/>
      <c r="W134" s="114"/>
      <c r="X134" s="114"/>
    </row>
    <row r="135" spans="6:24" x14ac:dyDescent="0.35">
      <c r="F135" s="113"/>
      <c r="G135" s="113"/>
      <c r="H135" s="113"/>
      <c r="I135" s="113"/>
      <c r="J135" s="113"/>
      <c r="K135" s="113"/>
      <c r="L135" s="114"/>
      <c r="M135" s="114"/>
      <c r="N135" s="114"/>
      <c r="O135" s="114"/>
      <c r="P135" s="114"/>
      <c r="Q135" s="115"/>
      <c r="R135" s="115"/>
      <c r="S135" s="114"/>
      <c r="T135" s="114"/>
      <c r="V135" s="114"/>
      <c r="W135" s="114"/>
      <c r="X135" s="114"/>
    </row>
    <row r="136" spans="6:24" x14ac:dyDescent="0.35">
      <c r="F136" s="113"/>
      <c r="G136" s="113"/>
      <c r="H136" s="113"/>
      <c r="I136" s="113"/>
      <c r="J136" s="113"/>
      <c r="K136" s="113"/>
      <c r="L136" s="114"/>
      <c r="M136" s="114"/>
      <c r="N136" s="114"/>
      <c r="O136" s="114"/>
      <c r="P136" s="114"/>
      <c r="Q136" s="115"/>
      <c r="R136" s="115"/>
      <c r="S136" s="114"/>
      <c r="T136" s="114"/>
      <c r="V136" s="114"/>
      <c r="W136" s="114"/>
      <c r="X136" s="114"/>
    </row>
    <row r="137" spans="6:24" x14ac:dyDescent="0.35">
      <c r="F137" s="113"/>
      <c r="G137" s="113"/>
      <c r="H137" s="113"/>
      <c r="I137" s="113"/>
      <c r="J137" s="113"/>
      <c r="K137" s="113"/>
      <c r="L137" s="114"/>
      <c r="M137" s="114"/>
      <c r="N137" s="114"/>
      <c r="O137" s="114"/>
      <c r="P137" s="114"/>
      <c r="Q137" s="115"/>
      <c r="R137" s="115"/>
      <c r="S137" s="114"/>
      <c r="T137" s="114"/>
      <c r="V137" s="114"/>
      <c r="W137" s="114"/>
      <c r="X137" s="114"/>
    </row>
    <row r="138" spans="6:24" x14ac:dyDescent="0.35">
      <c r="F138" s="113"/>
      <c r="G138" s="113"/>
      <c r="H138" s="113"/>
      <c r="I138" s="113"/>
      <c r="J138" s="113"/>
      <c r="K138" s="113"/>
      <c r="L138" s="114"/>
      <c r="M138" s="114"/>
      <c r="N138" s="114"/>
      <c r="O138" s="114"/>
      <c r="P138" s="114"/>
      <c r="Q138" s="115"/>
      <c r="R138" s="115"/>
      <c r="S138" s="114"/>
      <c r="T138" s="114"/>
      <c r="V138" s="114"/>
      <c r="W138" s="114"/>
      <c r="X138" s="114"/>
    </row>
    <row r="139" spans="6:24" x14ac:dyDescent="0.35">
      <c r="F139" s="113"/>
      <c r="G139" s="113"/>
      <c r="H139" s="113"/>
      <c r="I139" s="113"/>
      <c r="J139" s="113"/>
      <c r="K139" s="113"/>
      <c r="L139" s="114"/>
      <c r="M139" s="114"/>
      <c r="N139" s="114"/>
      <c r="O139" s="114"/>
      <c r="P139" s="114"/>
      <c r="Q139" s="115"/>
      <c r="R139" s="115"/>
      <c r="S139" s="114"/>
      <c r="T139" s="114"/>
      <c r="V139" s="114"/>
      <c r="W139" s="114"/>
      <c r="X139" s="114"/>
    </row>
    <row r="140" spans="6:24" x14ac:dyDescent="0.35">
      <c r="F140" s="113"/>
      <c r="G140" s="113"/>
      <c r="H140" s="113"/>
      <c r="I140" s="113"/>
      <c r="J140" s="113"/>
      <c r="K140" s="113"/>
      <c r="L140" s="114"/>
      <c r="M140" s="114"/>
      <c r="N140" s="114"/>
      <c r="O140" s="114"/>
      <c r="P140" s="114"/>
      <c r="Q140" s="115"/>
      <c r="R140" s="115"/>
      <c r="S140" s="114"/>
      <c r="T140" s="114"/>
      <c r="V140" s="114"/>
      <c r="W140" s="114"/>
      <c r="X140" s="114"/>
    </row>
    <row r="141" spans="6:24" x14ac:dyDescent="0.35">
      <c r="F141" s="113"/>
      <c r="G141" s="113"/>
      <c r="H141" s="113"/>
      <c r="I141" s="113"/>
      <c r="J141" s="113"/>
      <c r="K141" s="113"/>
      <c r="L141" s="114"/>
      <c r="M141" s="114"/>
      <c r="N141" s="114"/>
      <c r="O141" s="114"/>
      <c r="P141" s="114"/>
      <c r="Q141" s="115"/>
      <c r="R141" s="115"/>
      <c r="S141" s="114"/>
      <c r="T141" s="114"/>
      <c r="V141" s="114"/>
      <c r="W141" s="114"/>
      <c r="X141" s="114"/>
    </row>
    <row r="142" spans="6:24" x14ac:dyDescent="0.35">
      <c r="F142" s="113"/>
      <c r="G142" s="113"/>
      <c r="H142" s="113"/>
      <c r="I142" s="113"/>
      <c r="J142" s="113"/>
      <c r="K142" s="113"/>
      <c r="L142" s="114"/>
      <c r="M142" s="114"/>
      <c r="N142" s="114"/>
      <c r="O142" s="114"/>
      <c r="P142" s="114"/>
      <c r="Q142" s="115"/>
      <c r="R142" s="115"/>
      <c r="S142" s="114"/>
      <c r="T142" s="114"/>
      <c r="V142" s="114"/>
      <c r="W142" s="114"/>
      <c r="X142" s="114"/>
    </row>
    <row r="143" spans="6:24" x14ac:dyDescent="0.35">
      <c r="F143" s="113"/>
      <c r="G143" s="113"/>
      <c r="H143" s="113"/>
      <c r="I143" s="113"/>
      <c r="J143" s="113"/>
      <c r="K143" s="113"/>
      <c r="L143" s="114"/>
      <c r="M143" s="114"/>
      <c r="N143" s="114"/>
      <c r="O143" s="114"/>
      <c r="P143" s="114"/>
      <c r="Q143" s="115"/>
      <c r="R143" s="115"/>
      <c r="S143" s="114"/>
      <c r="T143" s="114"/>
      <c r="V143" s="114"/>
      <c r="W143" s="114"/>
      <c r="X143" s="114"/>
    </row>
    <row r="144" spans="6:24" x14ac:dyDescent="0.35">
      <c r="F144" s="113"/>
      <c r="G144" s="113"/>
      <c r="H144" s="113"/>
      <c r="I144" s="113"/>
      <c r="J144" s="113"/>
      <c r="K144" s="113"/>
      <c r="L144" s="114"/>
      <c r="M144" s="114"/>
      <c r="N144" s="114"/>
      <c r="O144" s="114"/>
      <c r="P144" s="114"/>
      <c r="Q144" s="115"/>
      <c r="R144" s="115"/>
      <c r="S144" s="114"/>
      <c r="T144" s="114"/>
      <c r="V144" s="114"/>
      <c r="W144" s="114"/>
      <c r="X144" s="114"/>
    </row>
    <row r="145" spans="6:24" x14ac:dyDescent="0.35">
      <c r="F145" s="113"/>
      <c r="G145" s="113"/>
      <c r="H145" s="113"/>
      <c r="I145" s="113"/>
      <c r="J145" s="113"/>
      <c r="K145" s="113"/>
      <c r="L145" s="114"/>
      <c r="M145" s="114"/>
      <c r="N145" s="114"/>
      <c r="O145" s="114"/>
      <c r="P145" s="114"/>
      <c r="Q145" s="115"/>
      <c r="R145" s="115"/>
      <c r="S145" s="114"/>
      <c r="T145" s="114"/>
      <c r="V145" s="114"/>
      <c r="W145" s="114"/>
      <c r="X145" s="114"/>
    </row>
    <row r="146" spans="6:24" x14ac:dyDescent="0.35">
      <c r="F146" s="113"/>
      <c r="G146" s="113"/>
      <c r="H146" s="113"/>
      <c r="I146" s="113"/>
      <c r="J146" s="113"/>
      <c r="K146" s="113"/>
      <c r="L146" s="114"/>
      <c r="M146" s="114"/>
      <c r="N146" s="114"/>
      <c r="O146" s="114"/>
      <c r="P146" s="114"/>
      <c r="Q146" s="115"/>
      <c r="R146" s="115"/>
      <c r="S146" s="114"/>
      <c r="T146" s="114"/>
      <c r="V146" s="114"/>
      <c r="W146" s="114"/>
      <c r="X146" s="114"/>
    </row>
    <row r="147" spans="6:24" x14ac:dyDescent="0.35">
      <c r="F147" s="113"/>
      <c r="G147" s="113"/>
      <c r="H147" s="113"/>
      <c r="I147" s="113"/>
      <c r="J147" s="113"/>
      <c r="K147" s="113"/>
      <c r="L147" s="114"/>
      <c r="M147" s="114"/>
      <c r="N147" s="114"/>
      <c r="O147" s="114"/>
      <c r="P147" s="114"/>
      <c r="Q147" s="115"/>
      <c r="R147" s="115"/>
      <c r="S147" s="114"/>
      <c r="T147" s="114"/>
      <c r="V147" s="114"/>
      <c r="W147" s="114"/>
      <c r="X147" s="114"/>
    </row>
    <row r="148" spans="6:24" x14ac:dyDescent="0.35">
      <c r="F148" s="113"/>
      <c r="G148" s="113"/>
      <c r="H148" s="113"/>
      <c r="I148" s="113"/>
      <c r="J148" s="113"/>
      <c r="K148" s="113"/>
      <c r="L148" s="114"/>
      <c r="M148" s="114"/>
      <c r="N148" s="114"/>
      <c r="O148" s="114"/>
      <c r="P148" s="114"/>
      <c r="Q148" s="115"/>
      <c r="R148" s="115"/>
      <c r="S148" s="114"/>
      <c r="T148" s="114"/>
      <c r="V148" s="114"/>
      <c r="W148" s="114"/>
      <c r="X148" s="114"/>
    </row>
    <row r="149" spans="6:24" x14ac:dyDescent="0.35">
      <c r="F149" s="113"/>
      <c r="G149" s="113"/>
      <c r="H149" s="113"/>
      <c r="I149" s="113"/>
      <c r="J149" s="113"/>
      <c r="K149" s="113"/>
      <c r="L149" s="114"/>
      <c r="M149" s="114"/>
      <c r="N149" s="114"/>
      <c r="O149" s="114"/>
      <c r="P149" s="114"/>
      <c r="Q149" s="115"/>
      <c r="R149" s="115"/>
      <c r="S149" s="114"/>
      <c r="T149" s="114"/>
      <c r="V149" s="114"/>
      <c r="W149" s="114"/>
      <c r="X149" s="114"/>
    </row>
    <row r="150" spans="6:24" x14ac:dyDescent="0.35">
      <c r="F150" s="113"/>
      <c r="G150" s="113"/>
      <c r="H150" s="113"/>
      <c r="I150" s="113"/>
      <c r="J150" s="113"/>
      <c r="K150" s="113"/>
      <c r="L150" s="114"/>
      <c r="M150" s="114"/>
      <c r="N150" s="114"/>
      <c r="O150" s="114"/>
      <c r="P150" s="114"/>
      <c r="Q150" s="115"/>
      <c r="R150" s="115"/>
      <c r="S150" s="114"/>
      <c r="T150" s="114"/>
      <c r="V150" s="114"/>
      <c r="W150" s="114"/>
      <c r="X150" s="114"/>
    </row>
    <row r="151" spans="6:24" x14ac:dyDescent="0.35">
      <c r="F151" s="113"/>
      <c r="G151" s="113"/>
      <c r="H151" s="113"/>
      <c r="I151" s="113"/>
      <c r="J151" s="113"/>
      <c r="K151" s="113"/>
      <c r="L151" s="114"/>
      <c r="M151" s="114"/>
      <c r="N151" s="114"/>
      <c r="O151" s="114"/>
      <c r="P151" s="114"/>
      <c r="Q151" s="115"/>
      <c r="R151" s="115"/>
      <c r="S151" s="114"/>
      <c r="T151" s="114"/>
      <c r="V151" s="114"/>
      <c r="W151" s="114"/>
      <c r="X151" s="114"/>
    </row>
    <row r="152" spans="6:24" x14ac:dyDescent="0.35">
      <c r="F152" s="113"/>
      <c r="G152" s="113"/>
      <c r="H152" s="113"/>
      <c r="I152" s="113"/>
      <c r="J152" s="113"/>
      <c r="K152" s="113"/>
      <c r="L152" s="114"/>
      <c r="M152" s="114"/>
      <c r="N152" s="114"/>
      <c r="O152" s="114"/>
      <c r="P152" s="114"/>
      <c r="Q152" s="115"/>
      <c r="R152" s="115"/>
      <c r="S152" s="114"/>
      <c r="T152" s="114"/>
      <c r="V152" s="114"/>
      <c r="W152" s="114"/>
      <c r="X152" s="114"/>
    </row>
    <row r="153" spans="6:24" x14ac:dyDescent="0.35">
      <c r="F153" s="113"/>
      <c r="G153" s="113"/>
      <c r="H153" s="113"/>
      <c r="I153" s="113"/>
      <c r="J153" s="113"/>
      <c r="K153" s="113"/>
      <c r="L153" s="114"/>
      <c r="M153" s="114"/>
      <c r="N153" s="114"/>
      <c r="O153" s="114"/>
      <c r="P153" s="114"/>
      <c r="Q153" s="115"/>
      <c r="R153" s="115"/>
      <c r="S153" s="114"/>
      <c r="T153" s="114"/>
      <c r="V153" s="114"/>
      <c r="W153" s="114"/>
      <c r="X153" s="114"/>
    </row>
    <row r="154" spans="6:24" x14ac:dyDescent="0.35">
      <c r="F154" s="113"/>
      <c r="G154" s="113"/>
      <c r="H154" s="113"/>
      <c r="I154" s="113"/>
      <c r="J154" s="113"/>
      <c r="K154" s="113"/>
      <c r="L154" s="114"/>
      <c r="M154" s="114"/>
      <c r="N154" s="114"/>
      <c r="O154" s="114"/>
      <c r="P154" s="114"/>
      <c r="Q154" s="115"/>
      <c r="R154" s="115"/>
      <c r="S154" s="114"/>
      <c r="T154" s="114"/>
      <c r="V154" s="114"/>
      <c r="W154" s="114"/>
      <c r="X154" s="114"/>
    </row>
    <row r="155" spans="6:24" x14ac:dyDescent="0.35">
      <c r="F155" s="113"/>
      <c r="G155" s="113"/>
      <c r="H155" s="113"/>
      <c r="I155" s="113"/>
      <c r="J155" s="113"/>
      <c r="K155" s="113"/>
      <c r="L155" s="114"/>
      <c r="M155" s="114"/>
      <c r="N155" s="114"/>
      <c r="O155" s="114"/>
      <c r="P155" s="114"/>
      <c r="Q155" s="115"/>
      <c r="R155" s="115"/>
      <c r="S155" s="114"/>
      <c r="T155" s="114"/>
      <c r="V155" s="114"/>
      <c r="W155" s="114"/>
      <c r="X155" s="114"/>
    </row>
    <row r="156" spans="6:24" x14ac:dyDescent="0.35">
      <c r="F156" s="113"/>
      <c r="G156" s="113"/>
      <c r="H156" s="113"/>
      <c r="I156" s="113"/>
      <c r="J156" s="113"/>
      <c r="K156" s="113"/>
      <c r="L156" s="114"/>
      <c r="M156" s="114"/>
      <c r="N156" s="114"/>
      <c r="O156" s="114"/>
      <c r="P156" s="114"/>
      <c r="Q156" s="115"/>
      <c r="R156" s="115"/>
      <c r="S156" s="114"/>
      <c r="T156" s="114"/>
      <c r="V156" s="114"/>
      <c r="W156" s="114"/>
      <c r="X156" s="114"/>
    </row>
    <row r="157" spans="6:24" x14ac:dyDescent="0.35">
      <c r="F157" s="113"/>
      <c r="G157" s="113"/>
      <c r="H157" s="113"/>
      <c r="I157" s="113"/>
      <c r="J157" s="113"/>
      <c r="K157" s="113"/>
      <c r="L157" s="114"/>
      <c r="M157" s="114"/>
      <c r="N157" s="114"/>
      <c r="O157" s="114"/>
      <c r="P157" s="114"/>
      <c r="Q157" s="115"/>
      <c r="R157" s="115"/>
      <c r="S157" s="114"/>
      <c r="T157" s="114"/>
      <c r="V157" s="114"/>
      <c r="W157" s="114"/>
      <c r="X157" s="114"/>
    </row>
    <row r="158" spans="6:24" x14ac:dyDescent="0.35">
      <c r="F158" s="113"/>
      <c r="G158" s="113"/>
      <c r="H158" s="113"/>
      <c r="I158" s="113"/>
      <c r="J158" s="113"/>
      <c r="K158" s="113"/>
      <c r="L158" s="114"/>
      <c r="M158" s="114"/>
      <c r="N158" s="114"/>
      <c r="O158" s="114"/>
      <c r="P158" s="114"/>
      <c r="Q158" s="115"/>
      <c r="R158" s="115"/>
      <c r="S158" s="114"/>
      <c r="T158" s="114"/>
      <c r="V158" s="114"/>
      <c r="W158" s="114"/>
      <c r="X158" s="114"/>
    </row>
    <row r="159" spans="6:24" x14ac:dyDescent="0.35">
      <c r="F159" s="113"/>
      <c r="G159" s="113"/>
      <c r="H159" s="113"/>
      <c r="I159" s="113"/>
      <c r="J159" s="113"/>
      <c r="K159" s="113"/>
      <c r="L159" s="114"/>
      <c r="M159" s="114"/>
      <c r="N159" s="114"/>
      <c r="O159" s="114"/>
      <c r="P159" s="114"/>
      <c r="Q159" s="115"/>
      <c r="R159" s="115"/>
      <c r="S159" s="114"/>
      <c r="T159" s="114"/>
      <c r="V159" s="114"/>
      <c r="W159" s="114"/>
      <c r="X159" s="114"/>
    </row>
    <row r="160" spans="6:24" x14ac:dyDescent="0.35">
      <c r="F160" s="113"/>
      <c r="G160" s="113"/>
      <c r="H160" s="113"/>
      <c r="I160" s="113"/>
      <c r="J160" s="113"/>
      <c r="K160" s="113"/>
      <c r="L160" s="114"/>
      <c r="M160" s="114"/>
      <c r="N160" s="114"/>
      <c r="O160" s="114"/>
      <c r="P160" s="114"/>
      <c r="Q160" s="115"/>
      <c r="R160" s="115"/>
      <c r="S160" s="114"/>
      <c r="T160" s="114"/>
      <c r="V160" s="114"/>
      <c r="W160" s="114"/>
      <c r="X160" s="114"/>
    </row>
    <row r="161" spans="6:24" x14ac:dyDescent="0.35">
      <c r="F161" s="113"/>
      <c r="G161" s="113"/>
      <c r="H161" s="113"/>
      <c r="I161" s="113"/>
      <c r="J161" s="113"/>
      <c r="K161" s="113"/>
      <c r="L161" s="114"/>
      <c r="M161" s="114"/>
      <c r="N161" s="114"/>
      <c r="O161" s="114"/>
      <c r="P161" s="114"/>
      <c r="Q161" s="115"/>
      <c r="R161" s="115"/>
      <c r="S161" s="114"/>
      <c r="T161" s="114"/>
      <c r="V161" s="114"/>
      <c r="W161" s="114"/>
      <c r="X161" s="114"/>
    </row>
    <row r="162" spans="6:24" x14ac:dyDescent="0.35">
      <c r="F162" s="113"/>
      <c r="G162" s="113"/>
      <c r="H162" s="113"/>
      <c r="I162" s="113"/>
      <c r="J162" s="113"/>
      <c r="K162" s="113"/>
      <c r="L162" s="114"/>
      <c r="M162" s="114"/>
      <c r="N162" s="114"/>
      <c r="O162" s="114"/>
      <c r="P162" s="114"/>
      <c r="Q162" s="115"/>
      <c r="R162" s="115"/>
      <c r="S162" s="114"/>
      <c r="T162" s="114"/>
      <c r="V162" s="114"/>
      <c r="W162" s="114"/>
      <c r="X162" s="114"/>
    </row>
    <row r="163" spans="6:24" x14ac:dyDescent="0.35">
      <c r="F163" s="113"/>
      <c r="G163" s="113"/>
      <c r="H163" s="113"/>
      <c r="I163" s="113"/>
      <c r="J163" s="113"/>
      <c r="K163" s="113"/>
      <c r="L163" s="114"/>
      <c r="M163" s="114"/>
      <c r="N163" s="114"/>
      <c r="O163" s="114"/>
      <c r="P163" s="114"/>
      <c r="Q163" s="115"/>
      <c r="R163" s="115"/>
      <c r="S163" s="114"/>
      <c r="T163" s="114"/>
      <c r="V163" s="114"/>
      <c r="W163" s="114"/>
      <c r="X163" s="114"/>
    </row>
    <row r="164" spans="6:24" x14ac:dyDescent="0.35">
      <c r="F164" s="113"/>
      <c r="G164" s="113"/>
      <c r="H164" s="113"/>
      <c r="I164" s="113"/>
      <c r="J164" s="113"/>
      <c r="K164" s="113"/>
      <c r="L164" s="114"/>
      <c r="M164" s="114"/>
      <c r="N164" s="114"/>
      <c r="O164" s="114"/>
      <c r="P164" s="114"/>
      <c r="Q164" s="115"/>
      <c r="R164" s="115"/>
      <c r="S164" s="114"/>
      <c r="T164" s="114"/>
      <c r="V164" s="114"/>
      <c r="W164" s="114"/>
      <c r="X164" s="114"/>
    </row>
    <row r="165" spans="6:24" x14ac:dyDescent="0.35">
      <c r="F165" s="113"/>
      <c r="G165" s="113"/>
      <c r="H165" s="113"/>
      <c r="I165" s="113"/>
      <c r="J165" s="113"/>
      <c r="K165" s="113"/>
      <c r="L165" s="114"/>
      <c r="M165" s="114"/>
      <c r="N165" s="114"/>
      <c r="O165" s="114"/>
      <c r="P165" s="114"/>
      <c r="Q165" s="115"/>
      <c r="R165" s="115"/>
      <c r="S165" s="114"/>
      <c r="T165" s="114"/>
      <c r="V165" s="114"/>
      <c r="W165" s="114"/>
      <c r="X165" s="114"/>
    </row>
    <row r="166" spans="6:24" x14ac:dyDescent="0.35">
      <c r="F166" s="113"/>
      <c r="G166" s="113"/>
      <c r="H166" s="113"/>
      <c r="I166" s="113"/>
      <c r="J166" s="113"/>
      <c r="K166" s="113"/>
      <c r="L166" s="114"/>
      <c r="M166" s="114"/>
      <c r="N166" s="114"/>
      <c r="O166" s="114"/>
      <c r="P166" s="114"/>
      <c r="Q166" s="115"/>
      <c r="R166" s="115"/>
      <c r="S166" s="114"/>
      <c r="T166" s="114"/>
      <c r="V166" s="114"/>
      <c r="W166" s="114"/>
      <c r="X166" s="114"/>
    </row>
    <row r="167" spans="6:24" x14ac:dyDescent="0.35">
      <c r="F167" s="113"/>
      <c r="G167" s="113"/>
      <c r="H167" s="113"/>
      <c r="I167" s="113"/>
      <c r="J167" s="113"/>
      <c r="K167" s="113"/>
      <c r="L167" s="114"/>
      <c r="M167" s="114"/>
      <c r="N167" s="114"/>
      <c r="O167" s="114"/>
      <c r="P167" s="114"/>
      <c r="Q167" s="115"/>
      <c r="R167" s="115"/>
      <c r="S167" s="114"/>
      <c r="T167" s="114"/>
      <c r="V167" s="114"/>
      <c r="W167" s="114"/>
      <c r="X167" s="114"/>
    </row>
    <row r="168" spans="6:24" x14ac:dyDescent="0.35">
      <c r="F168" s="113"/>
      <c r="G168" s="113"/>
      <c r="H168" s="113"/>
      <c r="I168" s="113"/>
      <c r="J168" s="113"/>
      <c r="K168" s="113"/>
      <c r="L168" s="114"/>
      <c r="M168" s="114"/>
      <c r="N168" s="114"/>
      <c r="O168" s="114"/>
      <c r="P168" s="114"/>
      <c r="Q168" s="115"/>
      <c r="R168" s="115"/>
      <c r="S168" s="114"/>
      <c r="T168" s="114"/>
      <c r="V168" s="114"/>
      <c r="W168" s="114"/>
      <c r="X168" s="114"/>
    </row>
    <row r="169" spans="6:24" x14ac:dyDescent="0.35">
      <c r="F169" s="113"/>
      <c r="G169" s="113"/>
      <c r="H169" s="113"/>
      <c r="I169" s="113"/>
      <c r="J169" s="113"/>
      <c r="K169" s="113"/>
      <c r="L169" s="114"/>
      <c r="M169" s="114"/>
      <c r="N169" s="114"/>
      <c r="O169" s="114"/>
      <c r="P169" s="114"/>
      <c r="Q169" s="115"/>
      <c r="R169" s="115"/>
      <c r="S169" s="114"/>
      <c r="T169" s="114"/>
      <c r="V169" s="114"/>
      <c r="W169" s="114"/>
      <c r="X169" s="114"/>
    </row>
    <row r="170" spans="6:24" x14ac:dyDescent="0.35">
      <c r="F170" s="113"/>
      <c r="G170" s="113"/>
      <c r="H170" s="113"/>
      <c r="I170" s="113"/>
      <c r="J170" s="113"/>
      <c r="K170" s="113"/>
      <c r="L170" s="114"/>
      <c r="M170" s="114"/>
      <c r="N170" s="114"/>
      <c r="O170" s="114"/>
      <c r="P170" s="114"/>
      <c r="Q170" s="115"/>
      <c r="R170" s="115"/>
      <c r="S170" s="114"/>
      <c r="T170" s="114"/>
      <c r="V170" s="114"/>
      <c r="W170" s="114"/>
      <c r="X170" s="114"/>
    </row>
    <row r="171" spans="6:24" x14ac:dyDescent="0.35">
      <c r="F171" s="113"/>
      <c r="G171" s="113"/>
      <c r="H171" s="113"/>
      <c r="I171" s="113"/>
      <c r="J171" s="113"/>
      <c r="K171" s="113"/>
      <c r="L171" s="114"/>
      <c r="M171" s="114"/>
      <c r="N171" s="114"/>
      <c r="O171" s="114"/>
      <c r="P171" s="114"/>
      <c r="Q171" s="115"/>
      <c r="R171" s="115"/>
      <c r="S171" s="114"/>
      <c r="T171" s="114"/>
      <c r="V171" s="114"/>
      <c r="W171" s="114"/>
      <c r="X171" s="114"/>
    </row>
    <row r="172" spans="6:24" x14ac:dyDescent="0.35">
      <c r="F172" s="113"/>
      <c r="G172" s="113"/>
      <c r="H172" s="113"/>
      <c r="I172" s="113"/>
      <c r="J172" s="113"/>
      <c r="K172" s="113"/>
      <c r="L172" s="114"/>
      <c r="M172" s="114"/>
      <c r="N172" s="114"/>
      <c r="O172" s="114"/>
      <c r="P172" s="114"/>
      <c r="Q172" s="115"/>
      <c r="R172" s="115"/>
      <c r="S172" s="114"/>
      <c r="T172" s="114"/>
      <c r="V172" s="114"/>
      <c r="W172" s="114"/>
      <c r="X172" s="114"/>
    </row>
    <row r="173" spans="6:24" x14ac:dyDescent="0.35">
      <c r="F173" s="113"/>
      <c r="G173" s="113"/>
      <c r="H173" s="113"/>
      <c r="I173" s="113"/>
      <c r="J173" s="113"/>
      <c r="K173" s="113"/>
      <c r="L173" s="114"/>
      <c r="M173" s="114"/>
      <c r="N173" s="114"/>
      <c r="O173" s="114"/>
      <c r="P173" s="114"/>
      <c r="Q173" s="115"/>
      <c r="R173" s="115"/>
      <c r="S173" s="114"/>
      <c r="T173" s="114"/>
      <c r="V173" s="114"/>
      <c r="W173" s="114"/>
      <c r="X173" s="114"/>
    </row>
    <row r="174" spans="6:24" x14ac:dyDescent="0.35">
      <c r="F174" s="113"/>
      <c r="G174" s="113"/>
      <c r="H174" s="113"/>
      <c r="I174" s="113"/>
      <c r="J174" s="113"/>
      <c r="K174" s="113"/>
      <c r="L174" s="114"/>
      <c r="M174" s="114"/>
      <c r="N174" s="114"/>
      <c r="O174" s="114"/>
      <c r="P174" s="114"/>
      <c r="Q174" s="115"/>
      <c r="R174" s="115"/>
      <c r="S174" s="114"/>
      <c r="T174" s="114"/>
      <c r="V174" s="114"/>
      <c r="W174" s="114"/>
      <c r="X174" s="114"/>
    </row>
    <row r="175" spans="6:24" x14ac:dyDescent="0.35">
      <c r="F175" s="113"/>
      <c r="G175" s="113"/>
      <c r="H175" s="113"/>
      <c r="I175" s="113"/>
      <c r="J175" s="113"/>
      <c r="K175" s="113"/>
      <c r="L175" s="114"/>
      <c r="M175" s="114"/>
      <c r="N175" s="114"/>
      <c r="O175" s="114"/>
      <c r="P175" s="114"/>
      <c r="Q175" s="115"/>
      <c r="R175" s="115"/>
      <c r="S175" s="114"/>
      <c r="T175" s="114"/>
      <c r="V175" s="114"/>
      <c r="W175" s="114"/>
      <c r="X175" s="114"/>
    </row>
    <row r="176" spans="6:24" x14ac:dyDescent="0.35">
      <c r="F176" s="113"/>
      <c r="G176" s="113"/>
      <c r="H176" s="113"/>
      <c r="I176" s="113"/>
      <c r="J176" s="113"/>
      <c r="K176" s="113"/>
      <c r="L176" s="114"/>
      <c r="M176" s="114"/>
      <c r="N176" s="114"/>
      <c r="O176" s="114"/>
      <c r="P176" s="114"/>
      <c r="Q176" s="115"/>
      <c r="R176" s="115"/>
      <c r="S176" s="114"/>
      <c r="T176" s="114"/>
      <c r="V176" s="114"/>
      <c r="W176" s="114"/>
      <c r="X176" s="114"/>
    </row>
    <row r="177" spans="6:24" x14ac:dyDescent="0.35">
      <c r="F177" s="113"/>
      <c r="G177" s="113"/>
      <c r="H177" s="113"/>
      <c r="I177" s="113"/>
      <c r="J177" s="113"/>
      <c r="K177" s="113"/>
      <c r="L177" s="114"/>
      <c r="M177" s="114"/>
      <c r="N177" s="114"/>
      <c r="O177" s="114"/>
      <c r="P177" s="114"/>
      <c r="Q177" s="115"/>
      <c r="R177" s="115"/>
      <c r="S177" s="114"/>
      <c r="T177" s="114"/>
      <c r="V177" s="114"/>
      <c r="W177" s="114"/>
      <c r="X177" s="114"/>
    </row>
    <row r="178" spans="6:24" x14ac:dyDescent="0.35">
      <c r="F178" s="113"/>
      <c r="G178" s="113"/>
      <c r="H178" s="113"/>
      <c r="I178" s="113"/>
      <c r="J178" s="113"/>
      <c r="K178" s="113"/>
      <c r="L178" s="114"/>
      <c r="M178" s="114"/>
      <c r="N178" s="114"/>
      <c r="O178" s="114"/>
      <c r="P178" s="114"/>
      <c r="Q178" s="115"/>
      <c r="R178" s="115"/>
      <c r="S178" s="114"/>
      <c r="T178" s="114"/>
      <c r="V178" s="114"/>
      <c r="W178" s="114"/>
      <c r="X178" s="114"/>
    </row>
    <row r="179" spans="6:24" x14ac:dyDescent="0.35">
      <c r="F179" s="113"/>
      <c r="G179" s="113"/>
      <c r="H179" s="113"/>
      <c r="I179" s="113"/>
      <c r="J179" s="113"/>
      <c r="K179" s="113"/>
      <c r="L179" s="114"/>
      <c r="M179" s="114"/>
      <c r="N179" s="114"/>
      <c r="O179" s="114"/>
      <c r="P179" s="114"/>
      <c r="Q179" s="115"/>
      <c r="R179" s="115"/>
      <c r="S179" s="114"/>
      <c r="T179" s="114"/>
      <c r="V179" s="114"/>
      <c r="W179" s="114"/>
      <c r="X179" s="114"/>
    </row>
    <row r="180" spans="6:24" x14ac:dyDescent="0.35">
      <c r="F180" s="113"/>
      <c r="G180" s="113"/>
      <c r="H180" s="113"/>
      <c r="I180" s="113"/>
      <c r="J180" s="113"/>
      <c r="K180" s="113"/>
      <c r="L180" s="114"/>
      <c r="M180" s="114"/>
      <c r="N180" s="114"/>
      <c r="O180" s="114"/>
      <c r="P180" s="114"/>
      <c r="Q180" s="115"/>
      <c r="R180" s="115"/>
      <c r="S180" s="114"/>
      <c r="T180" s="114"/>
      <c r="V180" s="114"/>
      <c r="W180" s="114"/>
      <c r="X180" s="114"/>
    </row>
    <row r="181" spans="6:24" x14ac:dyDescent="0.35">
      <c r="F181" s="113"/>
      <c r="G181" s="113"/>
      <c r="H181" s="113"/>
      <c r="I181" s="113"/>
      <c r="J181" s="113"/>
      <c r="K181" s="113"/>
      <c r="L181" s="114"/>
      <c r="M181" s="114"/>
      <c r="N181" s="114"/>
      <c r="O181" s="114"/>
      <c r="P181" s="114"/>
      <c r="Q181" s="115"/>
      <c r="R181" s="115"/>
      <c r="S181" s="114"/>
      <c r="T181" s="114"/>
      <c r="V181" s="114"/>
      <c r="W181" s="114"/>
      <c r="X181" s="114"/>
    </row>
    <row r="182" spans="6:24" x14ac:dyDescent="0.35">
      <c r="F182" s="113"/>
      <c r="G182" s="113"/>
      <c r="H182" s="113"/>
      <c r="I182" s="113"/>
      <c r="J182" s="113"/>
      <c r="K182" s="113"/>
      <c r="L182" s="114"/>
      <c r="M182" s="114"/>
      <c r="N182" s="114"/>
      <c r="O182" s="114"/>
      <c r="P182" s="114"/>
      <c r="Q182" s="115"/>
      <c r="R182" s="115"/>
      <c r="S182" s="114"/>
      <c r="T182" s="114"/>
      <c r="V182" s="114"/>
      <c r="W182" s="114"/>
      <c r="X182" s="114"/>
    </row>
    <row r="183" spans="6:24" x14ac:dyDescent="0.35">
      <c r="F183" s="113"/>
      <c r="G183" s="113"/>
      <c r="H183" s="113"/>
      <c r="I183" s="113"/>
      <c r="J183" s="113"/>
      <c r="K183" s="113"/>
      <c r="L183" s="114"/>
      <c r="M183" s="114"/>
      <c r="N183" s="114"/>
      <c r="O183" s="114"/>
      <c r="P183" s="114"/>
      <c r="Q183" s="115"/>
      <c r="R183" s="115"/>
      <c r="S183" s="114"/>
      <c r="T183" s="114"/>
      <c r="V183" s="114"/>
      <c r="W183" s="114"/>
      <c r="X183" s="114"/>
    </row>
    <row r="184" spans="6:24" x14ac:dyDescent="0.35">
      <c r="F184" s="113"/>
      <c r="G184" s="113"/>
      <c r="H184" s="113"/>
      <c r="I184" s="113"/>
      <c r="J184" s="113"/>
      <c r="K184" s="113"/>
      <c r="L184" s="114"/>
      <c r="M184" s="114"/>
      <c r="N184" s="114"/>
      <c r="O184" s="114"/>
      <c r="P184" s="114"/>
      <c r="Q184" s="115"/>
      <c r="R184" s="115"/>
      <c r="S184" s="114"/>
      <c r="T184" s="114"/>
      <c r="V184" s="114"/>
      <c r="W184" s="114"/>
      <c r="X184" s="114"/>
    </row>
    <row r="185" spans="6:24" x14ac:dyDescent="0.35">
      <c r="F185" s="113"/>
      <c r="G185" s="113"/>
      <c r="H185" s="113"/>
      <c r="I185" s="113"/>
      <c r="J185" s="113"/>
      <c r="K185" s="113"/>
      <c r="L185" s="114"/>
      <c r="M185" s="114"/>
      <c r="N185" s="114"/>
      <c r="O185" s="114"/>
      <c r="P185" s="114"/>
      <c r="Q185" s="115"/>
      <c r="R185" s="115"/>
      <c r="S185" s="114"/>
      <c r="T185" s="114"/>
      <c r="V185" s="114"/>
      <c r="W185" s="114"/>
      <c r="X185" s="114"/>
    </row>
    <row r="186" spans="6:24" x14ac:dyDescent="0.35">
      <c r="F186" s="113"/>
      <c r="G186" s="113"/>
      <c r="H186" s="113"/>
      <c r="I186" s="113"/>
      <c r="J186" s="113"/>
      <c r="K186" s="113"/>
      <c r="L186" s="114"/>
      <c r="M186" s="114"/>
      <c r="N186" s="114"/>
      <c r="O186" s="114"/>
      <c r="P186" s="114"/>
      <c r="Q186" s="115"/>
      <c r="R186" s="115"/>
      <c r="S186" s="114"/>
      <c r="T186" s="114"/>
      <c r="V186" s="114"/>
      <c r="W186" s="114"/>
      <c r="X186" s="114"/>
    </row>
    <row r="187" spans="6:24" x14ac:dyDescent="0.35">
      <c r="F187" s="113"/>
      <c r="G187" s="113"/>
      <c r="H187" s="113"/>
      <c r="I187" s="113"/>
      <c r="J187" s="113"/>
      <c r="K187" s="113"/>
      <c r="L187" s="114"/>
      <c r="M187" s="114"/>
      <c r="N187" s="114"/>
      <c r="O187" s="114"/>
      <c r="P187" s="114"/>
      <c r="Q187" s="115"/>
      <c r="R187" s="115"/>
      <c r="S187" s="114"/>
      <c r="T187" s="114"/>
      <c r="V187" s="114"/>
      <c r="W187" s="114"/>
      <c r="X187" s="114"/>
    </row>
    <row r="188" spans="6:24" x14ac:dyDescent="0.35">
      <c r="F188" s="113"/>
      <c r="G188" s="113"/>
      <c r="H188" s="113"/>
      <c r="I188" s="113"/>
      <c r="J188" s="113"/>
      <c r="K188" s="113"/>
      <c r="L188" s="114"/>
      <c r="M188" s="114"/>
      <c r="N188" s="114"/>
      <c r="O188" s="114"/>
      <c r="P188" s="114"/>
      <c r="Q188" s="115"/>
      <c r="R188" s="115"/>
      <c r="S188" s="114"/>
      <c r="T188" s="114"/>
      <c r="V188" s="114"/>
      <c r="W188" s="114"/>
      <c r="X188" s="114"/>
    </row>
    <row r="189" spans="6:24" x14ac:dyDescent="0.35">
      <c r="F189" s="113"/>
      <c r="G189" s="113"/>
      <c r="H189" s="113"/>
      <c r="I189" s="113"/>
      <c r="J189" s="113"/>
      <c r="K189" s="113"/>
      <c r="L189" s="114"/>
      <c r="M189" s="114"/>
      <c r="N189" s="114"/>
      <c r="O189" s="114"/>
      <c r="P189" s="114"/>
      <c r="Q189" s="115"/>
      <c r="R189" s="115"/>
      <c r="S189" s="114"/>
      <c r="T189" s="114"/>
      <c r="V189" s="114"/>
      <c r="W189" s="114"/>
      <c r="X189" s="114"/>
    </row>
    <row r="190" spans="6:24" x14ac:dyDescent="0.35">
      <c r="F190" s="113"/>
      <c r="G190" s="113"/>
      <c r="H190" s="113"/>
      <c r="I190" s="113"/>
      <c r="J190" s="113"/>
      <c r="K190" s="113"/>
      <c r="L190" s="114"/>
      <c r="M190" s="114"/>
      <c r="N190" s="114"/>
      <c r="O190" s="114"/>
      <c r="P190" s="114"/>
      <c r="Q190" s="115"/>
      <c r="R190" s="115"/>
      <c r="S190" s="114"/>
      <c r="T190" s="114"/>
      <c r="V190" s="114"/>
      <c r="W190" s="114"/>
      <c r="X190" s="114"/>
    </row>
    <row r="191" spans="6:24" x14ac:dyDescent="0.35">
      <c r="F191" s="113"/>
      <c r="G191" s="113"/>
      <c r="H191" s="113"/>
      <c r="I191" s="113"/>
      <c r="J191" s="113"/>
      <c r="K191" s="113"/>
      <c r="L191" s="114"/>
      <c r="M191" s="114"/>
      <c r="N191" s="114"/>
      <c r="O191" s="114"/>
      <c r="P191" s="114"/>
      <c r="Q191" s="115"/>
      <c r="R191" s="115"/>
      <c r="S191" s="114"/>
      <c r="T191" s="114"/>
      <c r="V191" s="114"/>
      <c r="W191" s="114"/>
      <c r="X191" s="114"/>
    </row>
    <row r="192" spans="6:24" x14ac:dyDescent="0.35">
      <c r="F192" s="113"/>
      <c r="G192" s="113"/>
      <c r="H192" s="113"/>
      <c r="I192" s="113"/>
      <c r="J192" s="113"/>
      <c r="K192" s="113"/>
      <c r="L192" s="114"/>
      <c r="M192" s="114"/>
      <c r="N192" s="114"/>
      <c r="O192" s="114"/>
      <c r="P192" s="114"/>
      <c r="Q192" s="115"/>
      <c r="R192" s="115"/>
      <c r="S192" s="114"/>
      <c r="T192" s="114"/>
      <c r="V192" s="114"/>
      <c r="W192" s="114"/>
      <c r="X192" s="114"/>
    </row>
    <row r="193" spans="6:24" x14ac:dyDescent="0.35">
      <c r="F193" s="113"/>
      <c r="G193" s="113"/>
      <c r="H193" s="113"/>
      <c r="I193" s="113"/>
      <c r="J193" s="113"/>
      <c r="K193" s="113"/>
      <c r="L193" s="114"/>
      <c r="M193" s="114"/>
      <c r="N193" s="114"/>
      <c r="O193" s="114"/>
      <c r="P193" s="114"/>
      <c r="Q193" s="115"/>
      <c r="R193" s="115"/>
      <c r="S193" s="114"/>
      <c r="T193" s="114"/>
      <c r="V193" s="114"/>
      <c r="W193" s="114"/>
      <c r="X193" s="114"/>
    </row>
    <row r="194" spans="6:24" x14ac:dyDescent="0.35">
      <c r="F194" s="113"/>
      <c r="G194" s="113"/>
      <c r="H194" s="113"/>
      <c r="I194" s="113"/>
      <c r="J194" s="113"/>
      <c r="K194" s="113"/>
      <c r="L194" s="114"/>
      <c r="M194" s="114"/>
      <c r="N194" s="114"/>
      <c r="O194" s="114"/>
      <c r="P194" s="114"/>
      <c r="Q194" s="115"/>
      <c r="R194" s="115"/>
      <c r="S194" s="114"/>
      <c r="T194" s="114"/>
      <c r="V194" s="114"/>
      <c r="W194" s="114"/>
      <c r="X194" s="114"/>
    </row>
    <row r="195" spans="6:24" x14ac:dyDescent="0.35">
      <c r="F195" s="113"/>
      <c r="G195" s="113"/>
      <c r="H195" s="113"/>
      <c r="I195" s="113"/>
      <c r="J195" s="113"/>
      <c r="K195" s="113"/>
      <c r="L195" s="114"/>
      <c r="M195" s="114"/>
      <c r="N195" s="114"/>
      <c r="O195" s="114"/>
      <c r="P195" s="114"/>
      <c r="Q195" s="115"/>
      <c r="R195" s="115"/>
      <c r="S195" s="114"/>
      <c r="T195" s="114"/>
      <c r="V195" s="114"/>
      <c r="W195" s="114"/>
      <c r="X195" s="114"/>
    </row>
    <row r="196" spans="6:24" x14ac:dyDescent="0.35">
      <c r="F196" s="113"/>
      <c r="G196" s="113"/>
      <c r="H196" s="113"/>
      <c r="I196" s="113"/>
      <c r="J196" s="113"/>
      <c r="K196" s="113"/>
      <c r="L196" s="114"/>
      <c r="M196" s="114"/>
      <c r="N196" s="114"/>
      <c r="O196" s="114"/>
      <c r="P196" s="114"/>
      <c r="Q196" s="115"/>
      <c r="R196" s="115"/>
      <c r="S196" s="114"/>
      <c r="T196" s="114"/>
      <c r="V196" s="114"/>
      <c r="W196" s="114"/>
      <c r="X196" s="114"/>
    </row>
    <row r="197" spans="6:24" x14ac:dyDescent="0.35">
      <c r="F197" s="113"/>
      <c r="G197" s="113"/>
      <c r="H197" s="113"/>
      <c r="I197" s="113"/>
      <c r="J197" s="113"/>
      <c r="K197" s="113"/>
      <c r="L197" s="114"/>
      <c r="M197" s="114"/>
      <c r="N197" s="114"/>
      <c r="O197" s="114"/>
      <c r="P197" s="114"/>
      <c r="Q197" s="115"/>
      <c r="R197" s="115"/>
      <c r="S197" s="114"/>
      <c r="T197" s="114"/>
      <c r="V197" s="114"/>
      <c r="W197" s="114"/>
      <c r="X197" s="114"/>
    </row>
    <row r="198" spans="6:24" x14ac:dyDescent="0.35">
      <c r="F198" s="113"/>
      <c r="G198" s="113"/>
      <c r="H198" s="113"/>
      <c r="I198" s="113"/>
      <c r="J198" s="113"/>
      <c r="K198" s="113"/>
      <c r="L198" s="114"/>
      <c r="M198" s="114"/>
      <c r="N198" s="114"/>
      <c r="O198" s="114"/>
      <c r="P198" s="114"/>
      <c r="Q198" s="115"/>
      <c r="R198" s="115"/>
      <c r="S198" s="114"/>
      <c r="T198" s="114"/>
      <c r="V198" s="114"/>
      <c r="W198" s="114"/>
      <c r="X198" s="114"/>
    </row>
    <row r="199" spans="6:24" x14ac:dyDescent="0.35">
      <c r="F199" s="113"/>
      <c r="G199" s="113"/>
      <c r="H199" s="113"/>
      <c r="I199" s="113"/>
      <c r="J199" s="113"/>
      <c r="K199" s="113"/>
      <c r="L199" s="114"/>
      <c r="M199" s="114"/>
      <c r="N199" s="114"/>
      <c r="O199" s="114"/>
      <c r="P199" s="114"/>
      <c r="Q199" s="115"/>
      <c r="R199" s="115"/>
      <c r="S199" s="114"/>
      <c r="T199" s="114"/>
      <c r="V199" s="114"/>
      <c r="W199" s="114"/>
      <c r="X199" s="114"/>
    </row>
    <row r="200" spans="6:24" x14ac:dyDescent="0.35">
      <c r="F200" s="113"/>
      <c r="G200" s="113"/>
      <c r="H200" s="113"/>
      <c r="I200" s="113"/>
      <c r="J200" s="113"/>
      <c r="K200" s="113"/>
      <c r="L200" s="114"/>
      <c r="M200" s="114"/>
      <c r="N200" s="114"/>
      <c r="O200" s="114"/>
      <c r="P200" s="114"/>
      <c r="Q200" s="115"/>
      <c r="R200" s="115"/>
      <c r="S200" s="114"/>
      <c r="T200" s="114"/>
      <c r="V200" s="114"/>
      <c r="W200" s="114"/>
      <c r="X200" s="114"/>
    </row>
    <row r="201" spans="6:24" x14ac:dyDescent="0.35">
      <c r="F201" s="113"/>
      <c r="G201" s="113"/>
      <c r="H201" s="113"/>
      <c r="I201" s="113"/>
      <c r="J201" s="113"/>
      <c r="K201" s="113"/>
      <c r="L201" s="114"/>
      <c r="M201" s="114"/>
      <c r="N201" s="114"/>
      <c r="O201" s="114"/>
      <c r="P201" s="114"/>
      <c r="Q201" s="115"/>
      <c r="R201" s="115"/>
      <c r="S201" s="114"/>
      <c r="T201" s="114"/>
      <c r="V201" s="114"/>
      <c r="W201" s="114"/>
      <c r="X201" s="114"/>
    </row>
    <row r="202" spans="6:24" x14ac:dyDescent="0.35">
      <c r="F202" s="113"/>
      <c r="G202" s="113"/>
      <c r="H202" s="113"/>
      <c r="I202" s="113"/>
      <c r="J202" s="113"/>
      <c r="K202" s="113"/>
      <c r="L202" s="114"/>
      <c r="M202" s="114"/>
      <c r="N202" s="114"/>
      <c r="O202" s="114"/>
      <c r="P202" s="114"/>
      <c r="Q202" s="115"/>
      <c r="R202" s="115"/>
      <c r="S202" s="114"/>
      <c r="T202" s="114"/>
      <c r="V202" s="114"/>
      <c r="W202" s="114"/>
      <c r="X202" s="114"/>
    </row>
    <row r="203" spans="6:24" x14ac:dyDescent="0.35">
      <c r="F203" s="113"/>
      <c r="G203" s="113"/>
      <c r="H203" s="113"/>
      <c r="I203" s="113"/>
      <c r="J203" s="113"/>
      <c r="K203" s="113"/>
      <c r="L203" s="114"/>
      <c r="M203" s="114"/>
      <c r="N203" s="114"/>
      <c r="O203" s="114"/>
      <c r="P203" s="114"/>
      <c r="Q203" s="115"/>
      <c r="R203" s="115"/>
      <c r="S203" s="114"/>
      <c r="T203" s="114"/>
      <c r="V203" s="114"/>
      <c r="W203" s="114"/>
      <c r="X203" s="114"/>
    </row>
    <row r="204" spans="6:24" x14ac:dyDescent="0.35">
      <c r="F204" s="113"/>
      <c r="G204" s="113"/>
      <c r="H204" s="113"/>
      <c r="I204" s="113"/>
      <c r="J204" s="113"/>
      <c r="K204" s="113"/>
      <c r="L204" s="114"/>
      <c r="M204" s="114"/>
      <c r="N204" s="114"/>
      <c r="O204" s="114"/>
      <c r="P204" s="114"/>
      <c r="Q204" s="115"/>
      <c r="R204" s="115"/>
      <c r="S204" s="114"/>
      <c r="T204" s="114"/>
      <c r="V204" s="114"/>
      <c r="W204" s="114"/>
      <c r="X204" s="114"/>
    </row>
    <row r="205" spans="6:24" x14ac:dyDescent="0.35">
      <c r="F205" s="113"/>
      <c r="G205" s="113"/>
      <c r="H205" s="113"/>
      <c r="I205" s="113"/>
      <c r="J205" s="113"/>
      <c r="K205" s="113"/>
      <c r="L205" s="114"/>
      <c r="M205" s="114"/>
      <c r="N205" s="114"/>
      <c r="O205" s="114"/>
      <c r="P205" s="114"/>
      <c r="Q205" s="115"/>
      <c r="R205" s="115"/>
      <c r="S205" s="114"/>
      <c r="T205" s="114"/>
      <c r="V205" s="114"/>
      <c r="W205" s="114"/>
      <c r="X205" s="114"/>
    </row>
    <row r="206" spans="6:24" x14ac:dyDescent="0.35">
      <c r="F206" s="113"/>
      <c r="G206" s="113"/>
      <c r="H206" s="113"/>
      <c r="I206" s="113"/>
      <c r="J206" s="113"/>
      <c r="K206" s="113"/>
      <c r="L206" s="114"/>
      <c r="M206" s="114"/>
      <c r="N206" s="114"/>
      <c r="O206" s="114"/>
      <c r="P206" s="114"/>
      <c r="Q206" s="115"/>
      <c r="R206" s="115"/>
      <c r="S206" s="114"/>
      <c r="T206" s="114"/>
      <c r="V206" s="114"/>
      <c r="W206" s="114"/>
      <c r="X206" s="114"/>
    </row>
    <row r="207" spans="6:24" x14ac:dyDescent="0.35">
      <c r="F207" s="113"/>
      <c r="G207" s="113"/>
      <c r="H207" s="113"/>
      <c r="I207" s="113"/>
      <c r="J207" s="113"/>
      <c r="K207" s="113"/>
      <c r="L207" s="114"/>
      <c r="M207" s="114"/>
      <c r="N207" s="114"/>
      <c r="O207" s="114"/>
      <c r="P207" s="114"/>
      <c r="Q207" s="115"/>
      <c r="R207" s="115"/>
      <c r="S207" s="114"/>
      <c r="T207" s="114"/>
      <c r="V207" s="114"/>
      <c r="W207" s="114"/>
      <c r="X207" s="114"/>
    </row>
    <row r="208" spans="6:24" x14ac:dyDescent="0.35">
      <c r="F208" s="113"/>
      <c r="G208" s="113"/>
      <c r="H208" s="113"/>
      <c r="I208" s="113"/>
      <c r="J208" s="113"/>
      <c r="K208" s="113"/>
      <c r="L208" s="114"/>
      <c r="M208" s="114"/>
      <c r="N208" s="114"/>
      <c r="O208" s="114"/>
      <c r="P208" s="114"/>
      <c r="Q208" s="115"/>
      <c r="R208" s="115"/>
      <c r="S208" s="114"/>
      <c r="T208" s="114"/>
      <c r="V208" s="114"/>
      <c r="W208" s="114"/>
      <c r="X208" s="114"/>
    </row>
    <row r="209" spans="6:24" x14ac:dyDescent="0.35">
      <c r="F209" s="113"/>
      <c r="G209" s="113"/>
      <c r="H209" s="113"/>
      <c r="I209" s="113"/>
      <c r="J209" s="113"/>
      <c r="K209" s="113"/>
      <c r="L209" s="114"/>
      <c r="M209" s="114"/>
      <c r="N209" s="114"/>
      <c r="O209" s="114"/>
      <c r="P209" s="114"/>
      <c r="Q209" s="115"/>
      <c r="R209" s="115"/>
      <c r="S209" s="114"/>
      <c r="T209" s="114"/>
      <c r="V209" s="114"/>
      <c r="W209" s="114"/>
      <c r="X209" s="114"/>
    </row>
    <row r="210" spans="6:24" x14ac:dyDescent="0.35">
      <c r="F210" s="113"/>
      <c r="G210" s="113"/>
      <c r="H210" s="113"/>
      <c r="I210" s="113"/>
      <c r="J210" s="113"/>
      <c r="K210" s="113"/>
      <c r="L210" s="114"/>
      <c r="M210" s="114"/>
      <c r="N210" s="114"/>
      <c r="O210" s="114"/>
      <c r="P210" s="114"/>
      <c r="Q210" s="115"/>
      <c r="R210" s="115"/>
      <c r="S210" s="114"/>
      <c r="T210" s="114"/>
      <c r="V210" s="114"/>
      <c r="W210" s="114"/>
      <c r="X210" s="114"/>
    </row>
    <row r="211" spans="6:24" x14ac:dyDescent="0.35">
      <c r="F211" s="113"/>
      <c r="G211" s="113"/>
      <c r="H211" s="113"/>
      <c r="I211" s="113"/>
      <c r="J211" s="113"/>
      <c r="K211" s="113"/>
      <c r="L211" s="114"/>
      <c r="M211" s="114"/>
      <c r="N211" s="114"/>
      <c r="O211" s="114"/>
      <c r="P211" s="114"/>
      <c r="Q211" s="115"/>
      <c r="R211" s="115"/>
      <c r="S211" s="114"/>
      <c r="T211" s="114"/>
      <c r="V211" s="114"/>
      <c r="W211" s="114"/>
      <c r="X211" s="114"/>
    </row>
    <row r="212" spans="6:24" x14ac:dyDescent="0.35">
      <c r="F212" s="113"/>
      <c r="G212" s="113"/>
      <c r="H212" s="113"/>
      <c r="I212" s="113"/>
      <c r="J212" s="113"/>
      <c r="K212" s="113"/>
      <c r="L212" s="114"/>
      <c r="M212" s="114"/>
      <c r="N212" s="114"/>
      <c r="O212" s="114"/>
      <c r="P212" s="114"/>
      <c r="Q212" s="115"/>
      <c r="R212" s="115"/>
      <c r="S212" s="114"/>
      <c r="T212" s="114"/>
      <c r="V212" s="114"/>
      <c r="W212" s="114"/>
      <c r="X212" s="114"/>
    </row>
    <row r="213" spans="6:24" x14ac:dyDescent="0.35">
      <c r="F213" s="113"/>
      <c r="G213" s="113"/>
      <c r="H213" s="113"/>
      <c r="I213" s="113"/>
      <c r="J213" s="113"/>
      <c r="K213" s="113"/>
      <c r="L213" s="114"/>
      <c r="M213" s="114"/>
      <c r="N213" s="114"/>
      <c r="O213" s="114"/>
      <c r="P213" s="114"/>
      <c r="Q213" s="115"/>
      <c r="R213" s="115"/>
      <c r="S213" s="114"/>
      <c r="T213" s="114"/>
      <c r="V213" s="114"/>
      <c r="W213" s="114"/>
      <c r="X213" s="114"/>
    </row>
    <row r="214" spans="6:24" x14ac:dyDescent="0.35">
      <c r="F214" s="113"/>
      <c r="G214" s="113"/>
      <c r="H214" s="113"/>
      <c r="I214" s="113"/>
      <c r="J214" s="113"/>
      <c r="K214" s="113"/>
      <c r="L214" s="114"/>
      <c r="M214" s="114"/>
      <c r="N214" s="114"/>
      <c r="O214" s="114"/>
      <c r="P214" s="114"/>
      <c r="Q214" s="115"/>
      <c r="R214" s="115"/>
      <c r="S214" s="114"/>
      <c r="T214" s="114"/>
      <c r="V214" s="114"/>
      <c r="W214" s="114"/>
      <c r="X214" s="114"/>
    </row>
    <row r="215" spans="6:24" x14ac:dyDescent="0.35">
      <c r="F215" s="113"/>
      <c r="G215" s="113"/>
      <c r="H215" s="113"/>
      <c r="I215" s="113"/>
      <c r="J215" s="113"/>
      <c r="K215" s="113"/>
      <c r="L215" s="114"/>
      <c r="M215" s="114"/>
      <c r="N215" s="114"/>
      <c r="O215" s="114"/>
      <c r="P215" s="114"/>
      <c r="Q215" s="115"/>
      <c r="R215" s="115"/>
      <c r="S215" s="114"/>
      <c r="T215" s="114"/>
      <c r="V215" s="114"/>
      <c r="W215" s="114"/>
      <c r="X215" s="114"/>
    </row>
    <row r="216" spans="6:24" x14ac:dyDescent="0.35">
      <c r="F216" s="113"/>
      <c r="G216" s="113"/>
      <c r="H216" s="113"/>
      <c r="I216" s="113"/>
      <c r="J216" s="113"/>
      <c r="K216" s="113"/>
      <c r="L216" s="114"/>
      <c r="M216" s="114"/>
      <c r="N216" s="114"/>
      <c r="O216" s="114"/>
      <c r="P216" s="114"/>
      <c r="Q216" s="115"/>
      <c r="R216" s="115"/>
      <c r="S216" s="114"/>
      <c r="T216" s="114"/>
      <c r="V216" s="114"/>
      <c r="W216" s="114"/>
      <c r="X216" s="114"/>
    </row>
    <row r="217" spans="6:24" x14ac:dyDescent="0.35">
      <c r="F217" s="113"/>
      <c r="G217" s="113"/>
      <c r="H217" s="113"/>
      <c r="I217" s="113"/>
      <c r="J217" s="113"/>
      <c r="K217" s="113"/>
      <c r="L217" s="114"/>
      <c r="M217" s="114"/>
      <c r="N217" s="114"/>
      <c r="O217" s="114"/>
      <c r="P217" s="114"/>
      <c r="Q217" s="115"/>
      <c r="R217" s="115"/>
      <c r="S217" s="114"/>
      <c r="T217" s="114"/>
      <c r="V217" s="114"/>
      <c r="W217" s="114"/>
      <c r="X217" s="114"/>
    </row>
    <row r="218" spans="6:24" x14ac:dyDescent="0.35">
      <c r="F218" s="113"/>
      <c r="G218" s="113"/>
      <c r="H218" s="113"/>
      <c r="I218" s="113"/>
      <c r="J218" s="113"/>
      <c r="K218" s="113"/>
      <c r="L218" s="114"/>
      <c r="M218" s="114"/>
      <c r="N218" s="114"/>
      <c r="O218" s="114"/>
      <c r="P218" s="114"/>
      <c r="Q218" s="115"/>
      <c r="R218" s="115"/>
      <c r="S218" s="114"/>
      <c r="T218" s="114"/>
      <c r="V218" s="114"/>
      <c r="W218" s="114"/>
      <c r="X218" s="114"/>
    </row>
    <row r="219" spans="6:24" x14ac:dyDescent="0.35">
      <c r="F219" s="113"/>
      <c r="G219" s="113"/>
      <c r="H219" s="113"/>
      <c r="I219" s="113"/>
      <c r="J219" s="113"/>
      <c r="K219" s="113"/>
      <c r="L219" s="114"/>
      <c r="M219" s="114"/>
      <c r="N219" s="114"/>
      <c r="O219" s="114"/>
      <c r="P219" s="114"/>
      <c r="Q219" s="115"/>
      <c r="R219" s="115"/>
      <c r="S219" s="114"/>
      <c r="T219" s="114"/>
      <c r="V219" s="114"/>
      <c r="W219" s="114"/>
      <c r="X219" s="114"/>
    </row>
    <row r="220" spans="6:24" x14ac:dyDescent="0.35">
      <c r="F220" s="113"/>
      <c r="G220" s="113"/>
      <c r="H220" s="113"/>
      <c r="I220" s="113"/>
      <c r="J220" s="113"/>
      <c r="K220" s="113"/>
      <c r="L220" s="114"/>
      <c r="M220" s="114"/>
      <c r="N220" s="114"/>
      <c r="Q220" s="115"/>
      <c r="R220" s="115"/>
      <c r="S220" s="114"/>
      <c r="T220" s="114"/>
      <c r="V220" s="114"/>
      <c r="W220" s="114"/>
      <c r="X220" s="114"/>
    </row>
    <row r="221" spans="6:24" x14ac:dyDescent="0.35">
      <c r="F221" s="113"/>
      <c r="G221" s="113"/>
      <c r="H221" s="113"/>
      <c r="I221" s="113"/>
      <c r="J221" s="113"/>
      <c r="K221" s="113"/>
      <c r="L221" s="114"/>
      <c r="M221" s="114"/>
      <c r="N221" s="114"/>
      <c r="S221" s="114"/>
      <c r="T221" s="114"/>
      <c r="V221" s="114"/>
      <c r="W221" s="114"/>
      <c r="X221" s="114"/>
    </row>
    <row r="222" spans="6:24" x14ac:dyDescent="0.35">
      <c r="F222" s="113"/>
      <c r="G222" s="113"/>
      <c r="H222" s="113"/>
      <c r="I222" s="113"/>
      <c r="J222" s="113"/>
      <c r="K222" s="113"/>
      <c r="L222" s="114"/>
      <c r="M222" s="114"/>
      <c r="N222" s="114"/>
      <c r="S222" s="114"/>
      <c r="T222" s="114"/>
      <c r="V222" s="114"/>
      <c r="W222" s="114"/>
      <c r="X222" s="114"/>
    </row>
    <row r="223" spans="6:24" x14ac:dyDescent="0.35">
      <c r="F223" s="113"/>
      <c r="G223" s="113"/>
      <c r="H223" s="113"/>
      <c r="I223" s="113"/>
      <c r="J223" s="113"/>
      <c r="K223" s="113"/>
      <c r="L223" s="114"/>
      <c r="M223" s="114"/>
      <c r="N223" s="114"/>
      <c r="S223" s="114"/>
      <c r="T223" s="114"/>
      <c r="V223" s="114"/>
      <c r="W223" s="114"/>
      <c r="X223" s="114"/>
    </row>
    <row r="224" spans="6:24" x14ac:dyDescent="0.35">
      <c r="F224" s="113"/>
      <c r="G224" s="113"/>
      <c r="H224" s="113"/>
      <c r="I224" s="113"/>
      <c r="J224" s="113"/>
      <c r="K224" s="113"/>
      <c r="L224" s="114"/>
      <c r="M224" s="114"/>
      <c r="N224" s="114"/>
      <c r="S224" s="114"/>
      <c r="T224" s="114"/>
      <c r="V224" s="114"/>
      <c r="W224" s="114"/>
      <c r="X224" s="114"/>
    </row>
    <row r="225" spans="6:24" x14ac:dyDescent="0.35">
      <c r="F225" s="113"/>
      <c r="G225" s="113"/>
      <c r="H225" s="113"/>
      <c r="I225" s="113"/>
      <c r="J225" s="113"/>
      <c r="K225" s="113"/>
      <c r="L225" s="114"/>
      <c r="M225" s="114"/>
      <c r="N225" s="114"/>
      <c r="S225" s="114"/>
      <c r="T225" s="114"/>
      <c r="V225" s="114"/>
      <c r="W225" s="114"/>
      <c r="X225" s="114"/>
    </row>
    <row r="226" spans="6:24" x14ac:dyDescent="0.35">
      <c r="F226" s="113"/>
      <c r="G226" s="113"/>
      <c r="H226" s="113"/>
      <c r="I226" s="113"/>
      <c r="J226" s="113"/>
      <c r="K226" s="113"/>
      <c r="L226" s="114"/>
      <c r="M226" s="114"/>
      <c r="N226" s="114"/>
      <c r="S226" s="114"/>
      <c r="T226" s="114"/>
      <c r="V226" s="114"/>
      <c r="W226" s="114"/>
      <c r="X226" s="114"/>
    </row>
    <row r="227" spans="6:24" x14ac:dyDescent="0.35">
      <c r="F227" s="113"/>
      <c r="G227" s="113"/>
      <c r="H227" s="113"/>
      <c r="I227" s="113"/>
      <c r="J227" s="113"/>
      <c r="K227" s="113"/>
      <c r="L227" s="114"/>
      <c r="M227" s="114"/>
      <c r="N227" s="114"/>
      <c r="S227" s="114"/>
      <c r="T227" s="114"/>
      <c r="V227" s="114"/>
      <c r="W227" s="114"/>
      <c r="X227" s="114"/>
    </row>
    <row r="228" spans="6:24" x14ac:dyDescent="0.35">
      <c r="F228" s="113"/>
      <c r="G228" s="113"/>
      <c r="H228" s="113"/>
      <c r="I228" s="113"/>
      <c r="J228" s="113"/>
      <c r="K228" s="113"/>
      <c r="L228" s="114"/>
      <c r="M228" s="114"/>
      <c r="N228" s="114"/>
      <c r="S228" s="114"/>
      <c r="T228" s="114"/>
      <c r="V228" s="114"/>
      <c r="W228" s="114"/>
      <c r="X228" s="114"/>
    </row>
    <row r="229" spans="6:24" x14ac:dyDescent="0.35">
      <c r="F229" s="113"/>
      <c r="G229" s="113"/>
      <c r="H229" s="113"/>
      <c r="I229" s="113"/>
      <c r="J229" s="113"/>
      <c r="K229" s="113"/>
      <c r="L229" s="114"/>
      <c r="M229" s="114"/>
      <c r="N229" s="114"/>
      <c r="S229" s="114"/>
      <c r="T229" s="114"/>
      <c r="V229" s="114"/>
      <c r="W229" s="114"/>
      <c r="X229" s="114"/>
    </row>
    <row r="230" spans="6:24" x14ac:dyDescent="0.35">
      <c r="F230" s="113"/>
      <c r="G230" s="113"/>
      <c r="H230" s="113"/>
      <c r="I230" s="113"/>
      <c r="J230" s="113"/>
      <c r="K230" s="113"/>
      <c r="L230" s="114"/>
      <c r="M230" s="114"/>
      <c r="N230" s="114"/>
      <c r="S230" s="114"/>
      <c r="T230" s="114"/>
      <c r="V230" s="114"/>
      <c r="W230" s="114"/>
      <c r="X230" s="114"/>
    </row>
    <row r="231" spans="6:24" x14ac:dyDescent="0.35">
      <c r="F231" s="113"/>
      <c r="G231" s="113"/>
      <c r="H231" s="113"/>
      <c r="I231" s="113"/>
      <c r="J231" s="113"/>
      <c r="K231" s="113"/>
      <c r="L231" s="114"/>
      <c r="M231" s="114"/>
      <c r="N231" s="114"/>
      <c r="S231" s="114"/>
      <c r="T231" s="114"/>
      <c r="V231" s="114"/>
      <c r="W231" s="114"/>
      <c r="X231" s="114"/>
    </row>
    <row r="232" spans="6:24" x14ac:dyDescent="0.35">
      <c r="F232" s="113"/>
      <c r="G232" s="113"/>
      <c r="H232" s="113"/>
      <c r="I232" s="113"/>
      <c r="J232" s="113"/>
      <c r="K232" s="113"/>
      <c r="L232" s="114"/>
      <c r="M232" s="114"/>
      <c r="N232" s="114"/>
      <c r="S232" s="114"/>
      <c r="T232" s="114"/>
      <c r="V232" s="114"/>
      <c r="W232" s="114"/>
      <c r="X232" s="114"/>
    </row>
    <row r="233" spans="6:24" x14ac:dyDescent="0.35">
      <c r="F233" s="113"/>
      <c r="G233" s="113"/>
      <c r="H233" s="113"/>
      <c r="I233" s="113"/>
      <c r="J233" s="113"/>
      <c r="K233" s="113"/>
      <c r="L233" s="114"/>
      <c r="M233" s="114"/>
      <c r="N233" s="114"/>
      <c r="S233" s="114"/>
      <c r="T233" s="114"/>
      <c r="V233" s="114"/>
      <c r="W233" s="114"/>
      <c r="X233" s="114"/>
    </row>
    <row r="234" spans="6:24" x14ac:dyDescent="0.35">
      <c r="F234" s="113"/>
      <c r="G234" s="113"/>
      <c r="H234" s="113"/>
      <c r="I234" s="113"/>
      <c r="J234" s="113"/>
      <c r="K234" s="113"/>
      <c r="L234" s="114"/>
      <c r="M234" s="114"/>
      <c r="N234" s="114"/>
      <c r="S234" s="114"/>
      <c r="T234" s="114"/>
      <c r="V234" s="114"/>
      <c r="W234" s="114"/>
      <c r="X234" s="114"/>
    </row>
    <row r="235" spans="6:24" x14ac:dyDescent="0.35">
      <c r="F235" s="113"/>
      <c r="G235" s="113"/>
      <c r="H235" s="113"/>
      <c r="I235" s="113"/>
      <c r="J235" s="113"/>
      <c r="K235" s="113"/>
      <c r="L235" s="114"/>
      <c r="M235" s="114"/>
      <c r="N235" s="114"/>
      <c r="S235" s="114"/>
      <c r="T235" s="114"/>
      <c r="V235" s="114"/>
      <c r="W235" s="114"/>
      <c r="X235" s="114"/>
    </row>
    <row r="236" spans="6:24" x14ac:dyDescent="0.35">
      <c r="F236" s="113"/>
      <c r="G236" s="113"/>
      <c r="H236" s="113"/>
      <c r="I236" s="113"/>
      <c r="J236" s="113"/>
      <c r="K236" s="113"/>
      <c r="L236" s="114"/>
      <c r="M236" s="114"/>
      <c r="N236" s="114"/>
      <c r="S236" s="114"/>
      <c r="T236" s="114"/>
      <c r="V236" s="114"/>
      <c r="W236" s="114"/>
      <c r="X236" s="114"/>
    </row>
    <row r="237" spans="6:24" x14ac:dyDescent="0.35">
      <c r="F237" s="113"/>
      <c r="G237" s="113"/>
      <c r="H237" s="113"/>
      <c r="I237" s="113"/>
      <c r="J237" s="113"/>
      <c r="K237" s="113"/>
      <c r="L237" s="114"/>
      <c r="M237" s="114"/>
      <c r="N237" s="114"/>
      <c r="S237" s="114"/>
      <c r="T237" s="114"/>
      <c r="V237" s="114"/>
      <c r="W237" s="114"/>
      <c r="X237" s="114"/>
    </row>
    <row r="238" spans="6:24" x14ac:dyDescent="0.35">
      <c r="F238" s="113"/>
      <c r="G238" s="113"/>
      <c r="H238" s="113"/>
      <c r="I238" s="113"/>
      <c r="J238" s="113"/>
      <c r="K238" s="113"/>
      <c r="L238" s="114"/>
      <c r="M238" s="114"/>
      <c r="N238" s="114"/>
      <c r="S238" s="114"/>
      <c r="T238" s="114"/>
      <c r="V238" s="114"/>
      <c r="W238" s="114"/>
      <c r="X238" s="114"/>
    </row>
    <row r="239" spans="6:24" x14ac:dyDescent="0.35">
      <c r="F239" s="113"/>
      <c r="G239" s="113"/>
      <c r="H239" s="113"/>
      <c r="I239" s="113"/>
      <c r="J239" s="113"/>
      <c r="K239" s="113"/>
      <c r="L239" s="114"/>
      <c r="M239" s="114"/>
      <c r="N239" s="114"/>
      <c r="S239" s="114"/>
      <c r="T239" s="114"/>
      <c r="V239" s="114"/>
      <c r="W239" s="114"/>
      <c r="X239" s="114"/>
    </row>
    <row r="240" spans="6:24" x14ac:dyDescent="0.35">
      <c r="F240" s="113"/>
      <c r="G240" s="113"/>
      <c r="H240" s="113"/>
      <c r="I240" s="113"/>
      <c r="J240" s="113"/>
      <c r="K240" s="113"/>
      <c r="S240" s="114"/>
      <c r="T240" s="114"/>
      <c r="V240" s="114"/>
      <c r="W240" s="114"/>
      <c r="X240" s="114"/>
    </row>
    <row r="241" spans="6:24" x14ac:dyDescent="0.35">
      <c r="F241" s="113"/>
      <c r="G241" s="113"/>
      <c r="H241" s="113"/>
      <c r="I241" s="113"/>
      <c r="J241" s="113"/>
      <c r="K241" s="113"/>
      <c r="S241" s="114"/>
      <c r="T241" s="114"/>
      <c r="V241" s="114"/>
      <c r="W241" s="114"/>
      <c r="X241" s="114"/>
    </row>
    <row r="242" spans="6:24" x14ac:dyDescent="0.35">
      <c r="F242" s="113"/>
      <c r="G242" s="113"/>
      <c r="H242" s="113"/>
      <c r="I242" s="113"/>
      <c r="J242" s="113"/>
      <c r="K242" s="113"/>
      <c r="S242" s="114"/>
      <c r="T242" s="114"/>
      <c r="V242" s="114"/>
      <c r="W242" s="114"/>
      <c r="X242" s="114"/>
    </row>
    <row r="243" spans="6:24" x14ac:dyDescent="0.35">
      <c r="F243" s="113"/>
      <c r="G243" s="113"/>
      <c r="H243" s="113"/>
      <c r="I243" s="113"/>
      <c r="J243" s="113"/>
      <c r="K243" s="113"/>
      <c r="S243" s="114"/>
      <c r="T243" s="114"/>
      <c r="W243" s="114"/>
      <c r="X243" s="114"/>
    </row>
    <row r="244" spans="6:24" x14ac:dyDescent="0.35">
      <c r="F244" s="113"/>
      <c r="G244" s="113"/>
      <c r="H244" s="113"/>
      <c r="I244" s="113"/>
      <c r="J244" s="113"/>
      <c r="K244" s="113"/>
      <c r="S244" s="114"/>
      <c r="T244" s="114"/>
      <c r="W244" s="114"/>
      <c r="X244" s="114"/>
    </row>
    <row r="245" spans="6:24" x14ac:dyDescent="0.35">
      <c r="F245" s="113"/>
      <c r="G245" s="113"/>
      <c r="H245" s="113"/>
      <c r="I245" s="113"/>
      <c r="J245" s="113"/>
      <c r="K245" s="113"/>
      <c r="S245" s="114"/>
      <c r="T245" s="114"/>
      <c r="W245" s="114"/>
      <c r="X245" s="114"/>
    </row>
    <row r="246" spans="6:24" x14ac:dyDescent="0.35">
      <c r="F246" s="113"/>
      <c r="G246" s="113"/>
      <c r="H246" s="113"/>
      <c r="I246" s="113"/>
      <c r="J246" s="113"/>
      <c r="K246" s="113"/>
      <c r="S246" s="114"/>
      <c r="T246" s="114"/>
      <c r="W246" s="114"/>
      <c r="X246" s="114"/>
    </row>
    <row r="247" spans="6:24" x14ac:dyDescent="0.35">
      <c r="F247" s="113"/>
      <c r="G247" s="113"/>
      <c r="H247" s="113"/>
      <c r="I247" s="113"/>
      <c r="J247" s="113"/>
      <c r="K247" s="113"/>
    </row>
    <row r="248" spans="6:24" x14ac:dyDescent="0.35">
      <c r="F248" s="113"/>
      <c r="G248" s="113"/>
      <c r="H248" s="113"/>
      <c r="I248" s="113"/>
      <c r="J248" s="113"/>
      <c r="K248" s="113"/>
    </row>
    <row r="249" spans="6:24" x14ac:dyDescent="0.35">
      <c r="F249" s="113"/>
      <c r="G249" s="113"/>
      <c r="H249" s="113"/>
      <c r="I249" s="113"/>
      <c r="J249" s="113"/>
      <c r="K249" s="113"/>
    </row>
    <row r="250" spans="6:24" x14ac:dyDescent="0.35">
      <c r="F250" s="113"/>
      <c r="G250" s="113"/>
      <c r="H250" s="113"/>
      <c r="I250" s="113"/>
      <c r="J250" s="113"/>
      <c r="K250" s="113"/>
    </row>
    <row r="251" spans="6:24" x14ac:dyDescent="0.35">
      <c r="F251" s="113"/>
      <c r="G251" s="113"/>
      <c r="H251" s="113"/>
      <c r="I251" s="113"/>
      <c r="J251" s="113"/>
      <c r="K251" s="113"/>
    </row>
    <row r="252" spans="6:24" x14ac:dyDescent="0.35">
      <c r="F252" s="113"/>
      <c r="G252" s="113"/>
      <c r="H252" s="113"/>
      <c r="I252" s="113"/>
      <c r="J252" s="113"/>
      <c r="K252" s="113"/>
    </row>
    <row r="253" spans="6:24" x14ac:dyDescent="0.35">
      <c r="F253" s="113"/>
      <c r="G253" s="113"/>
      <c r="H253" s="113"/>
      <c r="I253" s="113"/>
      <c r="J253" s="113"/>
      <c r="K253" s="113"/>
    </row>
    <row r="254" spans="6:24" x14ac:dyDescent="0.35">
      <c r="F254" s="113"/>
      <c r="G254" s="113"/>
      <c r="H254" s="113"/>
      <c r="I254" s="113"/>
      <c r="J254" s="113"/>
      <c r="K254" s="113"/>
    </row>
    <row r="255" spans="6:24" x14ac:dyDescent="0.35">
      <c r="F255" s="113"/>
      <c r="G255" s="113"/>
      <c r="H255" s="113"/>
      <c r="I255" s="113"/>
      <c r="J255" s="113"/>
      <c r="K255" s="113"/>
    </row>
    <row r="256" spans="6:24" x14ac:dyDescent="0.35">
      <c r="F256" s="113"/>
      <c r="G256" s="113"/>
      <c r="H256" s="113"/>
      <c r="I256" s="113"/>
      <c r="J256" s="113"/>
      <c r="K256" s="113"/>
    </row>
    <row r="257" spans="6:11" x14ac:dyDescent="0.35">
      <c r="F257" s="113"/>
      <c r="G257" s="113"/>
      <c r="H257" s="113"/>
      <c r="I257" s="113"/>
      <c r="J257" s="113"/>
      <c r="K257" s="113"/>
    </row>
    <row r="258" spans="6:11" x14ac:dyDescent="0.35">
      <c r="F258" s="113"/>
      <c r="G258" s="113"/>
      <c r="H258" s="113"/>
      <c r="I258" s="113"/>
      <c r="J258" s="113"/>
      <c r="K258" s="113"/>
    </row>
    <row r="259" spans="6:11" x14ac:dyDescent="0.35">
      <c r="F259" s="113"/>
      <c r="G259" s="113"/>
      <c r="H259" s="113"/>
      <c r="I259" s="113"/>
      <c r="J259" s="113"/>
      <c r="K259" s="113"/>
    </row>
    <row r="260" spans="6:11" x14ac:dyDescent="0.35">
      <c r="F260" s="113"/>
      <c r="G260" s="113"/>
      <c r="H260" s="113"/>
      <c r="I260" s="113"/>
      <c r="J260" s="113"/>
      <c r="K260" s="113"/>
    </row>
    <row r="261" spans="6:11" x14ac:dyDescent="0.35">
      <c r="F261" s="117"/>
      <c r="G261" s="117"/>
      <c r="H261" s="117"/>
      <c r="I261" s="117"/>
      <c r="J261" s="117"/>
      <c r="K261" s="117"/>
    </row>
  </sheetData>
  <mergeCells count="3">
    <mergeCell ref="L4:N4"/>
    <mergeCell ref="O4:P4"/>
    <mergeCell ref="R4:T4"/>
  </mergeCells>
  <pageMargins left="0.7" right="0.7" top="0.75" bottom="0.75" header="0.3" footer="0.3"/>
  <pageSetup scale="62" fitToHeight="2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93"/>
  <sheetViews>
    <sheetView zoomScaleNormal="100" workbookViewId="0">
      <selection activeCell="G79" sqref="G79"/>
    </sheetView>
  </sheetViews>
  <sheetFormatPr defaultColWidth="9.19921875" defaultRowHeight="12.75" x14ac:dyDescent="0.35"/>
  <cols>
    <col min="1" max="4" width="3" style="22" customWidth="1"/>
    <col min="5" max="5" width="48.53125" style="22" customWidth="1"/>
    <col min="6" max="6" width="21.796875" style="20" bestFit="1" customWidth="1"/>
    <col min="7" max="16384" width="9.19921875" style="23"/>
  </cols>
  <sheetData>
    <row r="1" spans="1:9" customFormat="1" ht="15.4" x14ac:dyDescent="0.45">
      <c r="A1" s="18" t="s">
        <v>149</v>
      </c>
      <c r="C1" s="1"/>
      <c r="E1" s="21"/>
      <c r="F1" s="25"/>
    </row>
    <row r="2" spans="1:9" customFormat="1" ht="15.4" x14ac:dyDescent="0.45">
      <c r="A2" s="19" t="s">
        <v>210</v>
      </c>
      <c r="C2" s="1"/>
      <c r="E2" s="21"/>
      <c r="F2" s="25"/>
    </row>
    <row r="3" spans="1:9" customFormat="1" ht="15.6" customHeight="1" x14ac:dyDescent="0.5">
      <c r="A3" s="122" t="s">
        <v>330</v>
      </c>
      <c r="C3" s="1"/>
      <c r="E3" s="21"/>
      <c r="F3" s="25"/>
      <c r="I3" s="128"/>
    </row>
    <row r="4" spans="1:9" ht="18" customHeight="1" x14ac:dyDescent="0.35"/>
    <row r="5" spans="1:9" x14ac:dyDescent="0.35">
      <c r="A5" s="26"/>
      <c r="B5" s="26"/>
      <c r="C5" s="26"/>
      <c r="D5" s="26"/>
      <c r="E5" s="26"/>
      <c r="F5" s="27" t="s">
        <v>209</v>
      </c>
    </row>
    <row r="6" spans="1:9" ht="13.5" customHeight="1" x14ac:dyDescent="0.35">
      <c r="A6" s="26"/>
      <c r="B6" s="26"/>
      <c r="C6" s="26"/>
      <c r="D6" s="26"/>
      <c r="E6" s="26"/>
      <c r="F6" s="123" t="s">
        <v>331</v>
      </c>
    </row>
    <row r="7" spans="1:9" s="24" customFormat="1" ht="12.75" customHeight="1" x14ac:dyDescent="0.35">
      <c r="A7" s="28"/>
      <c r="B7" s="28"/>
      <c r="C7" s="28"/>
      <c r="D7" s="28"/>
      <c r="E7" s="28"/>
      <c r="F7" s="29"/>
    </row>
    <row r="8" spans="1:9" ht="12.75" customHeight="1" x14ac:dyDescent="0.35">
      <c r="A8" s="30" t="s">
        <v>150</v>
      </c>
      <c r="B8" s="30"/>
      <c r="C8" s="30"/>
      <c r="D8" s="30"/>
      <c r="E8" s="30"/>
      <c r="F8" s="31"/>
    </row>
    <row r="9" spans="1:9" ht="12.75" customHeight="1" x14ac:dyDescent="0.35">
      <c r="A9" s="30"/>
      <c r="B9" s="30"/>
      <c r="C9" s="30"/>
      <c r="D9" s="30"/>
      <c r="E9" s="30"/>
      <c r="F9" s="31"/>
    </row>
    <row r="10" spans="1:9" ht="12.75" customHeight="1" x14ac:dyDescent="0.35">
      <c r="A10" s="30"/>
      <c r="B10" s="30" t="s">
        <v>151</v>
      </c>
      <c r="C10" s="30"/>
      <c r="D10" s="30"/>
      <c r="E10" s="30"/>
      <c r="F10" s="31"/>
    </row>
    <row r="11" spans="1:9" ht="12.75" customHeight="1" x14ac:dyDescent="0.35">
      <c r="A11" s="30"/>
      <c r="B11" s="30"/>
      <c r="C11" s="30" t="s">
        <v>152</v>
      </c>
      <c r="D11" s="30"/>
      <c r="E11" s="30"/>
      <c r="F11" s="31"/>
    </row>
    <row r="12" spans="1:9" ht="12.75" customHeight="1" x14ac:dyDescent="0.35">
      <c r="A12" s="30"/>
      <c r="B12" s="30"/>
      <c r="C12" s="30"/>
      <c r="D12" s="30" t="s">
        <v>153</v>
      </c>
      <c r="E12" s="30"/>
      <c r="F12" s="31">
        <v>282576</v>
      </c>
    </row>
    <row r="13" spans="1:9" ht="12.75" customHeight="1" x14ac:dyDescent="0.35">
      <c r="A13" s="30"/>
      <c r="B13" s="30"/>
      <c r="C13" s="30"/>
      <c r="D13" s="30" t="s">
        <v>304</v>
      </c>
      <c r="E13" s="30"/>
      <c r="F13" s="31">
        <v>77302</v>
      </c>
    </row>
    <row r="14" spans="1:9" ht="12.75" customHeight="1" thickBot="1" x14ac:dyDescent="0.4">
      <c r="A14" s="30"/>
      <c r="B14" s="30"/>
      <c r="C14" s="30"/>
      <c r="D14" s="30" t="s">
        <v>154</v>
      </c>
      <c r="E14" s="30"/>
      <c r="F14" s="32">
        <v>120</v>
      </c>
    </row>
    <row r="15" spans="1:9" ht="12.75" customHeight="1" x14ac:dyDescent="0.35">
      <c r="A15" s="30"/>
      <c r="B15" s="30"/>
      <c r="C15" s="30" t="s">
        <v>155</v>
      </c>
      <c r="D15" s="30"/>
      <c r="E15" s="30"/>
      <c r="F15" s="33">
        <f>SUM(F12:F14)</f>
        <v>359998</v>
      </c>
    </row>
    <row r="16" spans="1:9" ht="12.75" customHeight="1" x14ac:dyDescent="0.35">
      <c r="A16" s="30"/>
      <c r="B16" s="30"/>
      <c r="C16" s="30" t="s">
        <v>156</v>
      </c>
      <c r="D16" s="30"/>
      <c r="E16" s="30"/>
      <c r="F16" s="31">
        <v>56.5</v>
      </c>
      <c r="G16" s="23" t="s">
        <v>332</v>
      </c>
    </row>
    <row r="17" spans="1:6" ht="12.75" customHeight="1" x14ac:dyDescent="0.35">
      <c r="A17" s="30"/>
      <c r="B17" s="30"/>
      <c r="C17" s="30" t="s">
        <v>329</v>
      </c>
      <c r="D17" s="30"/>
      <c r="E17" s="30"/>
      <c r="F17" s="31">
        <v>2940</v>
      </c>
    </row>
    <row r="18" spans="1:6" ht="12.75" customHeight="1" x14ac:dyDescent="0.35">
      <c r="A18" s="30"/>
      <c r="B18" s="30"/>
      <c r="C18" s="30" t="s">
        <v>157</v>
      </c>
      <c r="D18" s="30"/>
      <c r="E18" s="30"/>
      <c r="F18" s="31">
        <v>0</v>
      </c>
    </row>
    <row r="19" spans="1:6" ht="12.75" customHeight="1" thickBot="1" x14ac:dyDescent="0.4">
      <c r="A19" s="30"/>
      <c r="B19" s="30"/>
      <c r="C19" s="30" t="s">
        <v>158</v>
      </c>
      <c r="D19" s="30"/>
      <c r="E19" s="30"/>
      <c r="F19" s="32">
        <v>0</v>
      </c>
    </row>
    <row r="20" spans="1:6" ht="12.75" customHeight="1" x14ac:dyDescent="0.35">
      <c r="A20" s="30"/>
      <c r="B20" s="30" t="s">
        <v>159</v>
      </c>
      <c r="C20" s="30"/>
      <c r="D20" s="30"/>
      <c r="E20" s="30"/>
      <c r="F20" s="34">
        <f>SUM(F15:F19)</f>
        <v>362994.5</v>
      </c>
    </row>
    <row r="21" spans="1:6" ht="12.75" customHeight="1" x14ac:dyDescent="0.35">
      <c r="A21" s="30"/>
      <c r="B21" s="30"/>
      <c r="C21" s="30"/>
      <c r="D21" s="30"/>
      <c r="E21" s="30"/>
      <c r="F21" s="31"/>
    </row>
    <row r="22" spans="1:6" ht="12.75" customHeight="1" x14ac:dyDescent="0.35">
      <c r="A22" s="30"/>
      <c r="B22" s="30" t="s">
        <v>160</v>
      </c>
      <c r="C22" s="30"/>
      <c r="D22" s="30"/>
      <c r="E22" s="30"/>
      <c r="F22" s="31"/>
    </row>
    <row r="23" spans="1:6" ht="12.75" customHeight="1" x14ac:dyDescent="0.35">
      <c r="A23" s="30"/>
      <c r="B23" s="30"/>
      <c r="C23" s="30" t="s">
        <v>161</v>
      </c>
      <c r="D23" s="30"/>
      <c r="E23" s="30"/>
      <c r="F23" s="31">
        <v>3500</v>
      </c>
    </row>
    <row r="24" spans="1:6" ht="12.75" customHeight="1" x14ac:dyDescent="0.35">
      <c r="A24" s="30"/>
      <c r="B24" s="30"/>
      <c r="C24" s="30" t="s">
        <v>162</v>
      </c>
      <c r="D24" s="30"/>
      <c r="E24" s="30"/>
      <c r="F24" s="31">
        <v>19491.47</v>
      </c>
    </row>
    <row r="25" spans="1:6" ht="12.75" customHeight="1" thickBot="1" x14ac:dyDescent="0.4">
      <c r="A25" s="30"/>
      <c r="B25" s="30"/>
      <c r="C25" s="30" t="s">
        <v>163</v>
      </c>
      <c r="D25" s="23"/>
      <c r="E25" s="30"/>
      <c r="F25" s="32">
        <f>-12398.13-275.2-193.71-184.89-166.24-166.24-166.24-166.24-166.24</f>
        <v>-13883.129999999997</v>
      </c>
    </row>
    <row r="26" spans="1:6" ht="12.75" customHeight="1" x14ac:dyDescent="0.35">
      <c r="A26" s="30"/>
      <c r="B26" s="30" t="s">
        <v>164</v>
      </c>
      <c r="C26" s="30"/>
      <c r="D26" s="30"/>
      <c r="E26" s="30"/>
      <c r="F26" s="34">
        <f>SUM(F23:F25)</f>
        <v>9108.3400000000038</v>
      </c>
    </row>
    <row r="27" spans="1:6" ht="12.75" customHeight="1" x14ac:dyDescent="0.35">
      <c r="A27" s="30"/>
      <c r="B27" s="30"/>
      <c r="C27" s="30"/>
      <c r="D27" s="30"/>
      <c r="E27" s="30"/>
      <c r="F27" s="31"/>
    </row>
    <row r="28" spans="1:6" ht="12.75" customHeight="1" x14ac:dyDescent="0.35">
      <c r="A28" s="30"/>
      <c r="B28" s="30" t="s">
        <v>165</v>
      </c>
      <c r="C28" s="30"/>
      <c r="D28" s="30"/>
      <c r="E28" s="30"/>
      <c r="F28" s="31"/>
    </row>
    <row r="29" spans="1:6" ht="12.75" customHeight="1" x14ac:dyDescent="0.35">
      <c r="A29" s="30"/>
      <c r="B29" s="30"/>
      <c r="C29" s="30" t="s">
        <v>166</v>
      </c>
      <c r="D29" s="30"/>
      <c r="E29" s="30"/>
      <c r="F29" s="31"/>
    </row>
    <row r="30" spans="1:6" ht="12.75" customHeight="1" x14ac:dyDescent="0.35">
      <c r="A30" s="30"/>
      <c r="B30" s="30"/>
      <c r="C30" s="30"/>
      <c r="D30" s="30" t="s">
        <v>167</v>
      </c>
      <c r="E30" s="30"/>
      <c r="F30" s="31">
        <v>0</v>
      </c>
    </row>
    <row r="31" spans="1:6" ht="12.75" customHeight="1" x14ac:dyDescent="0.35">
      <c r="A31" s="30"/>
      <c r="B31" s="30"/>
      <c r="C31" s="30"/>
      <c r="D31" s="30" t="s">
        <v>166</v>
      </c>
      <c r="E31" s="30"/>
      <c r="F31" s="35">
        <v>0</v>
      </c>
    </row>
    <row r="32" spans="1:6" ht="12.75" customHeight="1" x14ac:dyDescent="0.35">
      <c r="A32" s="30"/>
      <c r="B32" s="30"/>
      <c r="C32" s="30"/>
      <c r="D32" s="30" t="s">
        <v>214</v>
      </c>
      <c r="E32" s="30"/>
      <c r="F32" s="33">
        <f>SUM(F30:F31)</f>
        <v>0</v>
      </c>
    </row>
    <row r="33" spans="1:7" ht="12.75" customHeight="1" x14ac:dyDescent="0.35">
      <c r="A33" s="30"/>
      <c r="B33" s="30"/>
      <c r="C33" s="30" t="s">
        <v>216</v>
      </c>
      <c r="D33" s="30"/>
      <c r="E33" s="30"/>
      <c r="F33" s="31"/>
    </row>
    <row r="34" spans="1:7" ht="12.75" customHeight="1" x14ac:dyDescent="0.35">
      <c r="A34" s="30"/>
      <c r="B34" s="30"/>
      <c r="C34" s="30"/>
      <c r="D34" s="30" t="s">
        <v>168</v>
      </c>
      <c r="E34" s="30"/>
      <c r="F34" s="31">
        <v>0</v>
      </c>
    </row>
    <row r="35" spans="1:7" ht="12.75" customHeight="1" x14ac:dyDescent="0.35">
      <c r="A35" s="30"/>
      <c r="B35" s="30"/>
      <c r="C35" s="30"/>
      <c r="D35" s="30" t="s">
        <v>169</v>
      </c>
      <c r="E35" s="30"/>
      <c r="F35" s="31">
        <v>0</v>
      </c>
    </row>
    <row r="36" spans="1:7" ht="12.75" customHeight="1" x14ac:dyDescent="0.35">
      <c r="A36" s="30"/>
      <c r="B36" s="30"/>
      <c r="C36" s="30"/>
      <c r="D36" s="30" t="s">
        <v>170</v>
      </c>
      <c r="E36" s="30"/>
      <c r="F36" s="31">
        <v>0</v>
      </c>
    </row>
    <row r="37" spans="1:7" ht="12.75" customHeight="1" x14ac:dyDescent="0.35">
      <c r="A37" s="30"/>
      <c r="B37" s="30"/>
      <c r="C37" s="30"/>
      <c r="D37" s="30" t="s">
        <v>171</v>
      </c>
      <c r="E37" s="30"/>
      <c r="F37" s="31">
        <f>3149879.21-105354.8+9593.98-72.24-1982.66+262913.97-149596.39-1969.71</f>
        <v>3163411.36</v>
      </c>
      <c r="G37" s="121"/>
    </row>
    <row r="38" spans="1:7" ht="12.75" customHeight="1" x14ac:dyDescent="0.35">
      <c r="A38" s="30"/>
      <c r="B38" s="30"/>
      <c r="C38" s="30"/>
      <c r="D38" s="30" t="s">
        <v>172</v>
      </c>
      <c r="E38" s="30"/>
      <c r="F38" s="31">
        <f>1352471.78-45241.6+3827.43+6452.09-850+94482.6-47770-847.85</f>
        <v>1362524.45</v>
      </c>
      <c r="G38" s="121"/>
    </row>
    <row r="39" spans="1:7" ht="12.75" customHeight="1" x14ac:dyDescent="0.35">
      <c r="A39" s="30"/>
      <c r="B39" s="30"/>
      <c r="C39" s="30"/>
      <c r="D39" s="30" t="s">
        <v>173</v>
      </c>
      <c r="E39" s="30"/>
      <c r="F39" s="31">
        <f>257502.78-6505.46+730.92+1221.27-162.53+18059.09-9154.14-161.84</f>
        <v>261530.09</v>
      </c>
      <c r="G39" s="121"/>
    </row>
    <row r="40" spans="1:7" ht="12.75" customHeight="1" x14ac:dyDescent="0.35">
      <c r="A40" s="30"/>
      <c r="B40" s="30"/>
      <c r="C40" s="30"/>
      <c r="D40" s="30" t="s">
        <v>174</v>
      </c>
      <c r="E40" s="30"/>
      <c r="F40" s="35">
        <v>0</v>
      </c>
      <c r="G40" s="121"/>
    </row>
    <row r="41" spans="1:7" ht="12.75" customHeight="1" x14ac:dyDescent="0.35">
      <c r="A41" s="30"/>
      <c r="B41" s="30"/>
      <c r="C41" s="30" t="s">
        <v>217</v>
      </c>
      <c r="D41" s="30"/>
      <c r="E41" s="30"/>
      <c r="F41" s="33">
        <f>SUM(F34:F40)</f>
        <v>4787465.8999999994</v>
      </c>
      <c r="G41" s="121"/>
    </row>
    <row r="42" spans="1:7" ht="1.5" hidden="1" customHeight="1" x14ac:dyDescent="0.35">
      <c r="A42" s="30"/>
      <c r="B42" s="30"/>
      <c r="C42" s="30" t="s">
        <v>175</v>
      </c>
      <c r="D42" s="30"/>
      <c r="E42" s="30"/>
      <c r="F42" s="31"/>
    </row>
    <row r="43" spans="1:7" ht="12.75" hidden="1" customHeight="1" x14ac:dyDescent="0.35">
      <c r="A43" s="30"/>
      <c r="B43" s="30"/>
      <c r="C43" s="30" t="s">
        <v>176</v>
      </c>
      <c r="D43" s="30"/>
      <c r="E43" s="30"/>
      <c r="F43" s="31"/>
    </row>
    <row r="44" spans="1:7" ht="12.75" hidden="1" customHeight="1" x14ac:dyDescent="0.35">
      <c r="A44" s="30"/>
      <c r="B44" s="30"/>
      <c r="C44" s="30" t="s">
        <v>177</v>
      </c>
      <c r="D44" s="30"/>
      <c r="E44" s="30"/>
      <c r="F44" s="31"/>
    </row>
    <row r="45" spans="1:7" ht="2.25" hidden="1" customHeight="1" x14ac:dyDescent="0.35">
      <c r="A45" s="30"/>
      <c r="B45" s="30"/>
      <c r="C45" s="30" t="s">
        <v>178</v>
      </c>
      <c r="D45" s="30"/>
      <c r="E45" s="30"/>
      <c r="F45" s="31"/>
    </row>
    <row r="46" spans="1:7" ht="12.75" hidden="1" customHeight="1" x14ac:dyDescent="0.35">
      <c r="A46" s="30"/>
      <c r="B46" s="30"/>
      <c r="C46" s="30" t="s">
        <v>179</v>
      </c>
      <c r="D46" s="30"/>
      <c r="E46" s="30"/>
      <c r="F46" s="31"/>
    </row>
    <row r="47" spans="1:7" ht="6.75" hidden="1" customHeight="1" x14ac:dyDescent="0.35">
      <c r="A47" s="30"/>
      <c r="B47" s="30"/>
      <c r="C47" s="30" t="s">
        <v>180</v>
      </c>
      <c r="D47" s="30"/>
      <c r="E47" s="30"/>
      <c r="F47" s="31"/>
    </row>
    <row r="48" spans="1:7" ht="12.75" hidden="1" customHeight="1" x14ac:dyDescent="0.35">
      <c r="A48" s="30"/>
      <c r="B48" s="30"/>
      <c r="C48" s="30" t="s">
        <v>181</v>
      </c>
      <c r="D48" s="30"/>
      <c r="E48" s="30"/>
      <c r="F48" s="31"/>
    </row>
    <row r="49" spans="1:6" ht="0.75" hidden="1" customHeight="1" x14ac:dyDescent="0.35">
      <c r="A49" s="30"/>
      <c r="B49" s="30"/>
      <c r="C49" s="30"/>
      <c r="D49" s="30" t="s">
        <v>182</v>
      </c>
      <c r="E49" s="30"/>
      <c r="F49" s="31"/>
    </row>
    <row r="50" spans="1:6" ht="12.75" hidden="1" customHeight="1" x14ac:dyDescent="0.35">
      <c r="A50" s="30"/>
      <c r="B50" s="30"/>
      <c r="C50" s="30"/>
      <c r="D50" s="30" t="s">
        <v>183</v>
      </c>
      <c r="E50" s="30"/>
      <c r="F50" s="31"/>
    </row>
    <row r="51" spans="1:6" ht="12.75" hidden="1" customHeight="1" x14ac:dyDescent="0.35">
      <c r="A51" s="30"/>
      <c r="B51" s="30"/>
      <c r="C51" s="30"/>
      <c r="D51" s="30" t="s">
        <v>184</v>
      </c>
      <c r="E51" s="30"/>
      <c r="F51" s="31"/>
    </row>
    <row r="52" spans="1:6" ht="12.75" hidden="1" customHeight="1" x14ac:dyDescent="0.35">
      <c r="A52" s="30"/>
      <c r="B52" s="30"/>
      <c r="C52" s="30" t="s">
        <v>185</v>
      </c>
      <c r="D52" s="30"/>
      <c r="E52" s="30"/>
      <c r="F52" s="31"/>
    </row>
    <row r="53" spans="1:6" ht="12.75" hidden="1" customHeight="1" x14ac:dyDescent="0.35">
      <c r="A53" s="30"/>
      <c r="B53" s="30"/>
      <c r="C53" s="30" t="s">
        <v>186</v>
      </c>
      <c r="D53" s="30"/>
      <c r="E53" s="30"/>
      <c r="F53" s="31"/>
    </row>
    <row r="54" spans="1:6" ht="12.75" customHeight="1" x14ac:dyDescent="0.35">
      <c r="A54" s="30"/>
      <c r="B54" s="30"/>
      <c r="C54" s="30"/>
      <c r="D54" s="30"/>
      <c r="E54" s="30"/>
      <c r="F54" s="31"/>
    </row>
    <row r="55" spans="1:6" ht="12.75" customHeight="1" thickBot="1" x14ac:dyDescent="0.4">
      <c r="A55" s="30"/>
      <c r="B55" s="30" t="s">
        <v>187</v>
      </c>
      <c r="C55" s="30"/>
      <c r="D55" s="30"/>
      <c r="E55" s="30"/>
      <c r="F55" s="36">
        <f>ROUND(SUM(F32:F32)+SUM(F41:F47)+SUM(F52:F53),5)</f>
        <v>4787465.9000000004</v>
      </c>
    </row>
    <row r="56" spans="1:6" ht="12.75" customHeight="1" x14ac:dyDescent="0.35">
      <c r="A56" s="30"/>
      <c r="B56" s="30"/>
      <c r="C56" s="30"/>
      <c r="D56" s="30"/>
      <c r="E56" s="30"/>
      <c r="F56" s="31"/>
    </row>
    <row r="57" spans="1:6" s="26" customFormat="1" ht="12.75" customHeight="1" thickBot="1" x14ac:dyDescent="0.4">
      <c r="A57" s="30" t="s">
        <v>188</v>
      </c>
      <c r="B57" s="30"/>
      <c r="C57" s="30"/>
      <c r="D57" s="30"/>
      <c r="E57" s="30"/>
      <c r="F57" s="37">
        <f>+F20+F26+F55</f>
        <v>5159568.74</v>
      </c>
    </row>
    <row r="58" spans="1:6" s="26" customFormat="1" ht="12.75" customHeight="1" thickTop="1" x14ac:dyDescent="0.35">
      <c r="A58" s="30"/>
      <c r="B58" s="30"/>
      <c r="C58" s="30"/>
      <c r="D58" s="30"/>
      <c r="E58" s="30"/>
      <c r="F58" s="34"/>
    </row>
    <row r="59" spans="1:6" s="26" customFormat="1" ht="12.75" customHeight="1" x14ac:dyDescent="0.35">
      <c r="A59" s="30"/>
      <c r="B59" s="30"/>
      <c r="C59" s="30"/>
      <c r="D59" s="30"/>
      <c r="E59" s="30"/>
      <c r="F59" s="34"/>
    </row>
    <row r="60" spans="1:6" ht="12.75" customHeight="1" x14ac:dyDescent="0.35">
      <c r="A60" s="30" t="s">
        <v>189</v>
      </c>
      <c r="B60" s="30"/>
      <c r="C60" s="30"/>
      <c r="D60" s="30"/>
      <c r="E60" s="30"/>
      <c r="F60" s="31"/>
    </row>
    <row r="61" spans="1:6" ht="12.75" customHeight="1" x14ac:dyDescent="0.35">
      <c r="A61" s="30"/>
      <c r="B61" s="30"/>
      <c r="C61" s="30"/>
      <c r="D61" s="30"/>
      <c r="E61" s="30"/>
      <c r="F61" s="31"/>
    </row>
    <row r="62" spans="1:6" ht="12.75" customHeight="1" x14ac:dyDescent="0.35">
      <c r="A62" s="30"/>
      <c r="B62" s="30" t="s">
        <v>190</v>
      </c>
      <c r="C62" s="30"/>
      <c r="D62" s="30"/>
      <c r="E62" s="30"/>
      <c r="F62" s="31"/>
    </row>
    <row r="63" spans="1:6" ht="12.75" customHeight="1" x14ac:dyDescent="0.35">
      <c r="A63" s="30"/>
      <c r="B63" s="30"/>
      <c r="C63" s="30" t="s">
        <v>191</v>
      </c>
      <c r="D63" s="30"/>
      <c r="E63" s="30"/>
      <c r="F63" s="31"/>
    </row>
    <row r="64" spans="1:6" ht="12.75" customHeight="1" x14ac:dyDescent="0.35">
      <c r="A64" s="30"/>
      <c r="B64" s="30"/>
      <c r="C64" s="30"/>
      <c r="D64" s="30" t="s">
        <v>192</v>
      </c>
      <c r="E64" s="30"/>
      <c r="F64" s="31">
        <v>0</v>
      </c>
    </row>
    <row r="65" spans="1:6" ht="12.75" customHeight="1" x14ac:dyDescent="0.35">
      <c r="A65" s="30"/>
      <c r="B65" s="30"/>
      <c r="C65" s="30"/>
      <c r="D65" s="30" t="s">
        <v>193</v>
      </c>
      <c r="E65" s="30"/>
      <c r="F65" s="31">
        <v>0</v>
      </c>
    </row>
    <row r="66" spans="1:6" ht="12.75" customHeight="1" x14ac:dyDescent="0.35">
      <c r="A66" s="30"/>
      <c r="B66" s="30"/>
      <c r="C66" s="30"/>
      <c r="D66" s="30" t="s">
        <v>194</v>
      </c>
      <c r="E66" s="23"/>
      <c r="F66" s="31">
        <v>4888.05</v>
      </c>
    </row>
    <row r="67" spans="1:6" ht="12.75" customHeight="1" x14ac:dyDescent="0.35">
      <c r="A67" s="30"/>
      <c r="B67" s="30"/>
      <c r="C67" s="30"/>
      <c r="D67" s="30" t="s">
        <v>195</v>
      </c>
      <c r="E67" s="23"/>
      <c r="F67" s="31">
        <v>2234.27</v>
      </c>
    </row>
    <row r="68" spans="1:6" ht="12.75" customHeight="1" x14ac:dyDescent="0.35">
      <c r="A68" s="30"/>
      <c r="B68" s="30"/>
      <c r="C68" s="30"/>
      <c r="D68" s="30" t="s">
        <v>196</v>
      </c>
      <c r="E68" s="23"/>
      <c r="F68" s="31">
        <v>33192.67</v>
      </c>
    </row>
    <row r="69" spans="1:6" ht="12.75" customHeight="1" x14ac:dyDescent="0.35">
      <c r="A69" s="30"/>
      <c r="B69" s="30"/>
      <c r="C69" s="30"/>
      <c r="D69" s="30" t="s">
        <v>197</v>
      </c>
      <c r="E69" s="30"/>
      <c r="F69" s="31">
        <v>0</v>
      </c>
    </row>
    <row r="70" spans="1:6" ht="12.75" customHeight="1" x14ac:dyDescent="0.35">
      <c r="A70" s="30"/>
      <c r="B70" s="30"/>
      <c r="C70" s="30"/>
      <c r="D70" s="30" t="s">
        <v>305</v>
      </c>
      <c r="E70" s="30"/>
      <c r="F70" s="31">
        <v>0</v>
      </c>
    </row>
    <row r="71" spans="1:6" ht="12.75" customHeight="1" x14ac:dyDescent="0.35">
      <c r="A71" s="30"/>
      <c r="B71" s="30"/>
      <c r="C71" s="30"/>
      <c r="D71" s="30" t="s">
        <v>198</v>
      </c>
      <c r="E71" s="30"/>
      <c r="F71" s="31">
        <v>0</v>
      </c>
    </row>
    <row r="72" spans="1:6" ht="12.75" customHeight="1" thickBot="1" x14ac:dyDescent="0.4">
      <c r="A72" s="30"/>
      <c r="B72" s="30"/>
      <c r="C72" s="30"/>
      <c r="D72" s="30" t="s">
        <v>199</v>
      </c>
      <c r="E72" s="30"/>
      <c r="F72" s="31">
        <v>0</v>
      </c>
    </row>
    <row r="73" spans="1:6" ht="12.75" customHeight="1" thickBot="1" x14ac:dyDescent="0.4">
      <c r="A73" s="30"/>
      <c r="B73" s="30"/>
      <c r="C73" s="30" t="s">
        <v>200</v>
      </c>
      <c r="D73" s="30"/>
      <c r="E73" s="30"/>
      <c r="F73" s="38">
        <f>ROUND(SUM(F64:F72),5)</f>
        <v>40314.99</v>
      </c>
    </row>
    <row r="74" spans="1:6" ht="12.75" customHeight="1" x14ac:dyDescent="0.35">
      <c r="A74" s="30"/>
      <c r="B74" s="30"/>
      <c r="C74" s="30" t="s">
        <v>201</v>
      </c>
      <c r="D74" s="30"/>
      <c r="E74" s="30"/>
      <c r="F74" s="31"/>
    </row>
    <row r="75" spans="1:6" ht="12.75" customHeight="1" thickBot="1" x14ac:dyDescent="0.4">
      <c r="A75" s="30"/>
      <c r="B75" s="30"/>
      <c r="C75" s="30"/>
      <c r="D75" s="30" t="s">
        <v>202</v>
      </c>
      <c r="E75" s="30"/>
      <c r="F75" s="31">
        <v>0</v>
      </c>
    </row>
    <row r="76" spans="1:6" ht="12.75" customHeight="1" thickBot="1" x14ac:dyDescent="0.4">
      <c r="A76" s="30"/>
      <c r="B76" s="30"/>
      <c r="C76" s="30" t="s">
        <v>203</v>
      </c>
      <c r="D76" s="30"/>
      <c r="E76" s="30"/>
      <c r="F76" s="38">
        <f>SUM(F75:F75)</f>
        <v>0</v>
      </c>
    </row>
    <row r="77" spans="1:6" ht="12.75" customHeight="1" x14ac:dyDescent="0.35">
      <c r="A77" s="30"/>
      <c r="B77" s="30" t="s">
        <v>204</v>
      </c>
      <c r="C77" s="30"/>
      <c r="D77" s="30"/>
      <c r="E77" s="30"/>
      <c r="F77" s="34">
        <f>F73+F76</f>
        <v>40314.99</v>
      </c>
    </row>
    <row r="78" spans="1:6" ht="12.75" customHeight="1" x14ac:dyDescent="0.35">
      <c r="A78" s="30"/>
      <c r="B78" s="30"/>
      <c r="C78" s="30"/>
      <c r="D78" s="30"/>
      <c r="E78" s="30"/>
      <c r="F78" s="31"/>
    </row>
    <row r="79" spans="1:6" ht="12.75" customHeight="1" x14ac:dyDescent="0.35">
      <c r="A79" s="30"/>
      <c r="B79" s="26" t="s">
        <v>205</v>
      </c>
      <c r="C79" s="26"/>
      <c r="D79" s="26"/>
      <c r="E79" s="30"/>
      <c r="F79" s="31"/>
    </row>
    <row r="80" spans="1:6" ht="12.75" customHeight="1" x14ac:dyDescent="0.35">
      <c r="A80" s="30"/>
      <c r="B80" s="26"/>
      <c r="C80" s="26"/>
      <c r="D80" s="26" t="s">
        <v>208</v>
      </c>
      <c r="E80" s="30"/>
      <c r="F80" s="39">
        <f>+F57-F77-F81-F82-F89</f>
        <v>196696.01000000024</v>
      </c>
    </row>
    <row r="81" spans="1:7" ht="12.75" customHeight="1" x14ac:dyDescent="0.35">
      <c r="A81" s="30"/>
      <c r="B81" s="26"/>
      <c r="C81" s="30"/>
      <c r="D81" s="30" t="s">
        <v>211</v>
      </c>
      <c r="E81" s="30"/>
      <c r="F81" s="40">
        <v>135091.84</v>
      </c>
    </row>
    <row r="82" spans="1:7" ht="12.75" customHeight="1" x14ac:dyDescent="0.35">
      <c r="A82" s="30"/>
      <c r="B82" s="30"/>
      <c r="C82" s="30"/>
      <c r="D82" s="30" t="s">
        <v>212</v>
      </c>
      <c r="E82" s="30"/>
      <c r="F82" s="124">
        <f>+F38+F39</f>
        <v>1624054.54</v>
      </c>
    </row>
    <row r="83" spans="1:7" ht="12.75" customHeight="1" x14ac:dyDescent="0.35">
      <c r="A83" s="30"/>
      <c r="B83" s="30"/>
      <c r="C83" s="30" t="s">
        <v>213</v>
      </c>
      <c r="D83" s="30"/>
      <c r="E83" s="30"/>
      <c r="F83" s="40">
        <f>SUM(F80:F82)</f>
        <v>1955842.3900000001</v>
      </c>
    </row>
    <row r="84" spans="1:7" ht="13.5" hidden="1" customHeight="1" x14ac:dyDescent="0.35">
      <c r="A84" s="30"/>
      <c r="B84" s="30"/>
      <c r="C84" s="30"/>
      <c r="D84" s="30"/>
      <c r="E84" s="30"/>
      <c r="F84" s="40"/>
    </row>
    <row r="85" spans="1:7" ht="12.75" hidden="1" customHeight="1" x14ac:dyDescent="0.35">
      <c r="A85" s="30"/>
      <c r="B85" s="30"/>
      <c r="C85" s="30"/>
      <c r="D85" s="30"/>
      <c r="E85" s="30"/>
      <c r="F85" s="40"/>
    </row>
    <row r="86" spans="1:7" ht="12.75" hidden="1" customHeight="1" x14ac:dyDescent="0.35">
      <c r="A86" s="30"/>
      <c r="B86" s="30"/>
      <c r="C86" s="30"/>
      <c r="D86" s="30"/>
      <c r="E86" s="30"/>
      <c r="F86" s="40"/>
    </row>
    <row r="87" spans="1:7" ht="12.75" hidden="1" customHeight="1" x14ac:dyDescent="0.35">
      <c r="A87" s="30"/>
      <c r="B87" s="30"/>
      <c r="C87" s="30"/>
      <c r="D87" s="30"/>
      <c r="E87" s="30"/>
      <c r="F87" s="40"/>
    </row>
    <row r="88" spans="1:7" ht="12.75" hidden="1" customHeight="1" x14ac:dyDescent="0.35">
      <c r="A88" s="30"/>
      <c r="B88" s="30"/>
      <c r="C88" s="30"/>
      <c r="D88" s="30"/>
      <c r="E88" s="30"/>
      <c r="F88" s="40"/>
    </row>
    <row r="89" spans="1:7" ht="12.75" customHeight="1" thickBot="1" x14ac:dyDescent="0.4">
      <c r="A89" s="30"/>
      <c r="B89" s="30"/>
      <c r="C89" s="30"/>
      <c r="D89" s="30" t="s">
        <v>303</v>
      </c>
      <c r="E89" s="30"/>
      <c r="F89" s="125">
        <f>F37</f>
        <v>3163411.36</v>
      </c>
    </row>
    <row r="90" spans="1:7" ht="12.75" customHeight="1" thickBot="1" x14ac:dyDescent="0.4">
      <c r="A90" s="30"/>
      <c r="B90" s="30" t="s">
        <v>206</v>
      </c>
      <c r="C90" s="30"/>
      <c r="D90" s="30"/>
      <c r="E90" s="30"/>
      <c r="F90" s="41">
        <f>SUM(F83:F89)</f>
        <v>5119253.75</v>
      </c>
    </row>
    <row r="91" spans="1:7" ht="12.75" customHeight="1" x14ac:dyDescent="0.35">
      <c r="A91" s="30"/>
      <c r="B91" s="30"/>
      <c r="C91" s="30"/>
      <c r="D91" s="30"/>
      <c r="E91" s="30"/>
      <c r="F91" s="34"/>
      <c r="G91" s="26"/>
    </row>
    <row r="92" spans="1:7" s="26" customFormat="1" ht="12.75" customHeight="1" thickBot="1" x14ac:dyDescent="0.4">
      <c r="A92" s="30" t="s">
        <v>207</v>
      </c>
      <c r="B92" s="30"/>
      <c r="C92" s="30"/>
      <c r="D92" s="30"/>
      <c r="E92" s="30"/>
      <c r="F92" s="42">
        <f>+F77+F90</f>
        <v>5159568.74</v>
      </c>
      <c r="G92" s="23"/>
    </row>
    <row r="93" spans="1:7" ht="13.15" thickTop="1" x14ac:dyDescent="0.35">
      <c r="A93" s="26"/>
      <c r="B93" s="26"/>
      <c r="C93" s="26"/>
      <c r="D93" s="26"/>
      <c r="E93" s="26"/>
      <c r="F93" s="31"/>
    </row>
  </sheetData>
  <pageMargins left="0.7" right="0.7" top="0.75" bottom="0.75" header="0.3" footer="0.3"/>
  <pageSetup scale="7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7"/>
  <sheetViews>
    <sheetView topLeftCell="A73" workbookViewId="0">
      <selection activeCell="B63" sqref="B63:B64"/>
    </sheetView>
  </sheetViews>
  <sheetFormatPr defaultRowHeight="12.75" x14ac:dyDescent="0.35"/>
  <cols>
    <col min="1" max="1" width="48" style="9" customWidth="1"/>
    <col min="2" max="2" width="13" style="9" customWidth="1"/>
    <col min="3" max="256" width="9.19921875" style="9"/>
    <col min="257" max="257" width="48" style="9" customWidth="1"/>
    <col min="258" max="258" width="13" style="9" customWidth="1"/>
    <col min="259" max="512" width="9.19921875" style="9"/>
    <col min="513" max="513" width="48" style="9" customWidth="1"/>
    <col min="514" max="514" width="13" style="9" customWidth="1"/>
    <col min="515" max="768" width="9.19921875" style="9"/>
    <col min="769" max="769" width="48" style="9" customWidth="1"/>
    <col min="770" max="770" width="13" style="9" customWidth="1"/>
    <col min="771" max="1024" width="9.19921875" style="9"/>
    <col min="1025" max="1025" width="48" style="9" customWidth="1"/>
    <col min="1026" max="1026" width="13" style="9" customWidth="1"/>
    <col min="1027" max="1280" width="9.19921875" style="9"/>
    <col min="1281" max="1281" width="48" style="9" customWidth="1"/>
    <col min="1282" max="1282" width="13" style="9" customWidth="1"/>
    <col min="1283" max="1536" width="9.19921875" style="9"/>
    <col min="1537" max="1537" width="48" style="9" customWidth="1"/>
    <col min="1538" max="1538" width="13" style="9" customWidth="1"/>
    <col min="1539" max="1792" width="9.19921875" style="9"/>
    <col min="1793" max="1793" width="48" style="9" customWidth="1"/>
    <col min="1794" max="1794" width="13" style="9" customWidth="1"/>
    <col min="1795" max="2048" width="9.19921875" style="9"/>
    <col min="2049" max="2049" width="48" style="9" customWidth="1"/>
    <col min="2050" max="2050" width="13" style="9" customWidth="1"/>
    <col min="2051" max="2304" width="9.19921875" style="9"/>
    <col min="2305" max="2305" width="48" style="9" customWidth="1"/>
    <col min="2306" max="2306" width="13" style="9" customWidth="1"/>
    <col min="2307" max="2560" width="9.19921875" style="9"/>
    <col min="2561" max="2561" width="48" style="9" customWidth="1"/>
    <col min="2562" max="2562" width="13" style="9" customWidth="1"/>
    <col min="2563" max="2816" width="9.19921875" style="9"/>
    <col min="2817" max="2817" width="48" style="9" customWidth="1"/>
    <col min="2818" max="2818" width="13" style="9" customWidth="1"/>
    <col min="2819" max="3072" width="9.19921875" style="9"/>
    <col min="3073" max="3073" width="48" style="9" customWidth="1"/>
    <col min="3074" max="3074" width="13" style="9" customWidth="1"/>
    <col min="3075" max="3328" width="9.19921875" style="9"/>
    <col min="3329" max="3329" width="48" style="9" customWidth="1"/>
    <col min="3330" max="3330" width="13" style="9" customWidth="1"/>
    <col min="3331" max="3584" width="9.19921875" style="9"/>
    <col min="3585" max="3585" width="48" style="9" customWidth="1"/>
    <col min="3586" max="3586" width="13" style="9" customWidth="1"/>
    <col min="3587" max="3840" width="9.19921875" style="9"/>
    <col min="3841" max="3841" width="48" style="9" customWidth="1"/>
    <col min="3842" max="3842" width="13" style="9" customWidth="1"/>
    <col min="3843" max="4096" width="9.19921875" style="9"/>
    <col min="4097" max="4097" width="48" style="9" customWidth="1"/>
    <col min="4098" max="4098" width="13" style="9" customWidth="1"/>
    <col min="4099" max="4352" width="9.19921875" style="9"/>
    <col min="4353" max="4353" width="48" style="9" customWidth="1"/>
    <col min="4354" max="4354" width="13" style="9" customWidth="1"/>
    <col min="4355" max="4608" width="9.19921875" style="9"/>
    <col min="4609" max="4609" width="48" style="9" customWidth="1"/>
    <col min="4610" max="4610" width="13" style="9" customWidth="1"/>
    <col min="4611" max="4864" width="9.19921875" style="9"/>
    <col min="4865" max="4865" width="48" style="9" customWidth="1"/>
    <col min="4866" max="4866" width="13" style="9" customWidth="1"/>
    <col min="4867" max="5120" width="9.19921875" style="9"/>
    <col min="5121" max="5121" width="48" style="9" customWidth="1"/>
    <col min="5122" max="5122" width="13" style="9" customWidth="1"/>
    <col min="5123" max="5376" width="9.19921875" style="9"/>
    <col min="5377" max="5377" width="48" style="9" customWidth="1"/>
    <col min="5378" max="5378" width="13" style="9" customWidth="1"/>
    <col min="5379" max="5632" width="9.19921875" style="9"/>
    <col min="5633" max="5633" width="48" style="9" customWidth="1"/>
    <col min="5634" max="5634" width="13" style="9" customWidth="1"/>
    <col min="5635" max="5888" width="9.19921875" style="9"/>
    <col min="5889" max="5889" width="48" style="9" customWidth="1"/>
    <col min="5890" max="5890" width="13" style="9" customWidth="1"/>
    <col min="5891" max="6144" width="9.19921875" style="9"/>
    <col min="6145" max="6145" width="48" style="9" customWidth="1"/>
    <col min="6146" max="6146" width="13" style="9" customWidth="1"/>
    <col min="6147" max="6400" width="9.19921875" style="9"/>
    <col min="6401" max="6401" width="48" style="9" customWidth="1"/>
    <col min="6402" max="6402" width="13" style="9" customWidth="1"/>
    <col min="6403" max="6656" width="9.19921875" style="9"/>
    <col min="6657" max="6657" width="48" style="9" customWidth="1"/>
    <col min="6658" max="6658" width="13" style="9" customWidth="1"/>
    <col min="6659" max="6912" width="9.19921875" style="9"/>
    <col min="6913" max="6913" width="48" style="9" customWidth="1"/>
    <col min="6914" max="6914" width="13" style="9" customWidth="1"/>
    <col min="6915" max="7168" width="9.19921875" style="9"/>
    <col min="7169" max="7169" width="48" style="9" customWidth="1"/>
    <col min="7170" max="7170" width="13" style="9" customWidth="1"/>
    <col min="7171" max="7424" width="9.19921875" style="9"/>
    <col min="7425" max="7425" width="48" style="9" customWidth="1"/>
    <col min="7426" max="7426" width="13" style="9" customWidth="1"/>
    <col min="7427" max="7680" width="9.19921875" style="9"/>
    <col min="7681" max="7681" width="48" style="9" customWidth="1"/>
    <col min="7682" max="7682" width="13" style="9" customWidth="1"/>
    <col min="7683" max="7936" width="9.19921875" style="9"/>
    <col min="7937" max="7937" width="48" style="9" customWidth="1"/>
    <col min="7938" max="7938" width="13" style="9" customWidth="1"/>
    <col min="7939" max="8192" width="9.19921875" style="9"/>
    <col min="8193" max="8193" width="48" style="9" customWidth="1"/>
    <col min="8194" max="8194" width="13" style="9" customWidth="1"/>
    <col min="8195" max="8448" width="9.19921875" style="9"/>
    <col min="8449" max="8449" width="48" style="9" customWidth="1"/>
    <col min="8450" max="8450" width="13" style="9" customWidth="1"/>
    <col min="8451" max="8704" width="9.19921875" style="9"/>
    <col min="8705" max="8705" width="48" style="9" customWidth="1"/>
    <col min="8706" max="8706" width="13" style="9" customWidth="1"/>
    <col min="8707" max="8960" width="9.19921875" style="9"/>
    <col min="8961" max="8961" width="48" style="9" customWidth="1"/>
    <col min="8962" max="8962" width="13" style="9" customWidth="1"/>
    <col min="8963" max="9216" width="9.19921875" style="9"/>
    <col min="9217" max="9217" width="48" style="9" customWidth="1"/>
    <col min="9218" max="9218" width="13" style="9" customWidth="1"/>
    <col min="9219" max="9472" width="9.19921875" style="9"/>
    <col min="9473" max="9473" width="48" style="9" customWidth="1"/>
    <col min="9474" max="9474" width="13" style="9" customWidth="1"/>
    <col min="9475" max="9728" width="9.19921875" style="9"/>
    <col min="9729" max="9729" width="48" style="9" customWidth="1"/>
    <col min="9730" max="9730" width="13" style="9" customWidth="1"/>
    <col min="9731" max="9984" width="9.19921875" style="9"/>
    <col min="9985" max="9985" width="48" style="9" customWidth="1"/>
    <col min="9986" max="9986" width="13" style="9" customWidth="1"/>
    <col min="9987" max="10240" width="9.19921875" style="9"/>
    <col min="10241" max="10241" width="48" style="9" customWidth="1"/>
    <col min="10242" max="10242" width="13" style="9" customWidth="1"/>
    <col min="10243" max="10496" width="9.19921875" style="9"/>
    <col min="10497" max="10497" width="48" style="9" customWidth="1"/>
    <col min="10498" max="10498" width="13" style="9" customWidth="1"/>
    <col min="10499" max="10752" width="9.19921875" style="9"/>
    <col min="10753" max="10753" width="48" style="9" customWidth="1"/>
    <col min="10754" max="10754" width="13" style="9" customWidth="1"/>
    <col min="10755" max="11008" width="9.19921875" style="9"/>
    <col min="11009" max="11009" width="48" style="9" customWidth="1"/>
    <col min="11010" max="11010" width="13" style="9" customWidth="1"/>
    <col min="11011" max="11264" width="9.19921875" style="9"/>
    <col min="11265" max="11265" width="48" style="9" customWidth="1"/>
    <col min="11266" max="11266" width="13" style="9" customWidth="1"/>
    <col min="11267" max="11520" width="9.19921875" style="9"/>
    <col min="11521" max="11521" width="48" style="9" customWidth="1"/>
    <col min="11522" max="11522" width="13" style="9" customWidth="1"/>
    <col min="11523" max="11776" width="9.19921875" style="9"/>
    <col min="11777" max="11777" width="48" style="9" customWidth="1"/>
    <col min="11778" max="11778" width="13" style="9" customWidth="1"/>
    <col min="11779" max="12032" width="9.19921875" style="9"/>
    <col min="12033" max="12033" width="48" style="9" customWidth="1"/>
    <col min="12034" max="12034" width="13" style="9" customWidth="1"/>
    <col min="12035" max="12288" width="9.19921875" style="9"/>
    <col min="12289" max="12289" width="48" style="9" customWidth="1"/>
    <col min="12290" max="12290" width="13" style="9" customWidth="1"/>
    <col min="12291" max="12544" width="9.19921875" style="9"/>
    <col min="12545" max="12545" width="48" style="9" customWidth="1"/>
    <col min="12546" max="12546" width="13" style="9" customWidth="1"/>
    <col min="12547" max="12800" width="9.19921875" style="9"/>
    <col min="12801" max="12801" width="48" style="9" customWidth="1"/>
    <col min="12802" max="12802" width="13" style="9" customWidth="1"/>
    <col min="12803" max="13056" width="9.19921875" style="9"/>
    <col min="13057" max="13057" width="48" style="9" customWidth="1"/>
    <col min="13058" max="13058" width="13" style="9" customWidth="1"/>
    <col min="13059" max="13312" width="9.19921875" style="9"/>
    <col min="13313" max="13313" width="48" style="9" customWidth="1"/>
    <col min="13314" max="13314" width="13" style="9" customWidth="1"/>
    <col min="13315" max="13568" width="9.19921875" style="9"/>
    <col min="13569" max="13569" width="48" style="9" customWidth="1"/>
    <col min="13570" max="13570" width="13" style="9" customWidth="1"/>
    <col min="13571" max="13824" width="9.19921875" style="9"/>
    <col min="13825" max="13825" width="48" style="9" customWidth="1"/>
    <col min="13826" max="13826" width="13" style="9" customWidth="1"/>
    <col min="13827" max="14080" width="9.19921875" style="9"/>
    <col min="14081" max="14081" width="48" style="9" customWidth="1"/>
    <col min="14082" max="14082" width="13" style="9" customWidth="1"/>
    <col min="14083" max="14336" width="9.19921875" style="9"/>
    <col min="14337" max="14337" width="48" style="9" customWidth="1"/>
    <col min="14338" max="14338" width="13" style="9" customWidth="1"/>
    <col min="14339" max="14592" width="9.19921875" style="9"/>
    <col min="14593" max="14593" width="48" style="9" customWidth="1"/>
    <col min="14594" max="14594" width="13" style="9" customWidth="1"/>
    <col min="14595" max="14848" width="9.19921875" style="9"/>
    <col min="14849" max="14849" width="48" style="9" customWidth="1"/>
    <col min="14850" max="14850" width="13" style="9" customWidth="1"/>
    <col min="14851" max="15104" width="9.19921875" style="9"/>
    <col min="15105" max="15105" width="48" style="9" customWidth="1"/>
    <col min="15106" max="15106" width="13" style="9" customWidth="1"/>
    <col min="15107" max="15360" width="9.19921875" style="9"/>
    <col min="15361" max="15361" width="48" style="9" customWidth="1"/>
    <col min="15362" max="15362" width="13" style="9" customWidth="1"/>
    <col min="15363" max="15616" width="9.19921875" style="9"/>
    <col min="15617" max="15617" width="48" style="9" customWidth="1"/>
    <col min="15618" max="15618" width="13" style="9" customWidth="1"/>
    <col min="15619" max="15872" width="9.19921875" style="9"/>
    <col min="15873" max="15873" width="48" style="9" customWidth="1"/>
    <col min="15874" max="15874" width="13" style="9" customWidth="1"/>
    <col min="15875" max="16128" width="9.19921875" style="9"/>
    <col min="16129" max="16129" width="48" style="9" customWidth="1"/>
    <col min="16130" max="16130" width="13" style="9" customWidth="1"/>
    <col min="16131" max="16384" width="9.19921875" style="9"/>
  </cols>
  <sheetData>
    <row r="1" spans="1:2" ht="12.75" customHeight="1" x14ac:dyDescent="0.5">
      <c r="A1" s="152" t="s">
        <v>36</v>
      </c>
      <c r="B1" s="153"/>
    </row>
    <row r="2" spans="1:2" ht="12.75" customHeight="1" x14ac:dyDescent="0.5">
      <c r="A2" s="152" t="s">
        <v>37</v>
      </c>
      <c r="B2" s="153"/>
    </row>
    <row r="3" spans="1:2" ht="12.75" customHeight="1" x14ac:dyDescent="0.4">
      <c r="A3" s="154" t="s">
        <v>139</v>
      </c>
      <c r="B3" s="153"/>
    </row>
    <row r="4" spans="1:2" ht="12.75" customHeight="1" x14ac:dyDescent="0.35"/>
    <row r="5" spans="1:2" ht="12.75" customHeight="1" x14ac:dyDescent="0.35">
      <c r="A5" s="10"/>
      <c r="B5" s="11" t="s">
        <v>140</v>
      </c>
    </row>
    <row r="6" spans="1:2" ht="12.75" customHeight="1" x14ac:dyDescent="0.35">
      <c r="A6" s="12" t="s">
        <v>39</v>
      </c>
      <c r="B6" s="13"/>
    </row>
    <row r="7" spans="1:2" ht="12.75" customHeight="1" x14ac:dyDescent="0.35">
      <c r="A7" s="12" t="s">
        <v>40</v>
      </c>
      <c r="B7" s="13"/>
    </row>
    <row r="8" spans="1:2" ht="12.75" customHeight="1" x14ac:dyDescent="0.35">
      <c r="A8" s="12" t="s">
        <v>41</v>
      </c>
      <c r="B8" s="16">
        <f>108309.47</f>
        <v>108309.47</v>
      </c>
    </row>
    <row r="9" spans="1:2" ht="12.75" customHeight="1" x14ac:dyDescent="0.35">
      <c r="A9" s="12" t="s">
        <v>42</v>
      </c>
      <c r="B9" s="16">
        <f>3000</f>
        <v>3000</v>
      </c>
    </row>
    <row r="10" spans="1:2" ht="12.75" customHeight="1" x14ac:dyDescent="0.35">
      <c r="A10" s="12" t="s">
        <v>43</v>
      </c>
      <c r="B10" s="16">
        <f>1340</f>
        <v>1340</v>
      </c>
    </row>
    <row r="11" spans="1:2" ht="12.75" customHeight="1" x14ac:dyDescent="0.35">
      <c r="A11" s="12" t="s">
        <v>44</v>
      </c>
      <c r="B11" s="15">
        <f>((B8)+(B9))+(B10)</f>
        <v>112649.47</v>
      </c>
    </row>
    <row r="12" spans="1:2" ht="12.75" customHeight="1" x14ac:dyDescent="0.35">
      <c r="A12" s="12" t="s">
        <v>45</v>
      </c>
      <c r="B12" s="16">
        <f>5405.28</f>
        <v>5405.28</v>
      </c>
    </row>
    <row r="13" spans="1:2" ht="12.75" customHeight="1" x14ac:dyDescent="0.35">
      <c r="A13" s="12" t="s">
        <v>46</v>
      </c>
      <c r="B13" s="15">
        <f>((B7)+(B11))+(B12)</f>
        <v>118054.75</v>
      </c>
    </row>
    <row r="14" spans="1:2" ht="12.75" customHeight="1" x14ac:dyDescent="0.35">
      <c r="A14" s="12" t="s">
        <v>47</v>
      </c>
      <c r="B14" s="13"/>
    </row>
    <row r="15" spans="1:2" ht="12.75" customHeight="1" x14ac:dyDescent="0.35">
      <c r="A15" s="12" t="s">
        <v>48</v>
      </c>
      <c r="B15" s="16">
        <f>45480.77</f>
        <v>45480.77</v>
      </c>
    </row>
    <row r="16" spans="1:2" ht="12.75" customHeight="1" x14ac:dyDescent="0.35">
      <c r="A16" s="12" t="s">
        <v>49</v>
      </c>
      <c r="B16" s="16">
        <f>75000</f>
        <v>75000</v>
      </c>
    </row>
    <row r="17" spans="1:3" ht="12.75" customHeight="1" x14ac:dyDescent="0.35">
      <c r="A17" s="12" t="s">
        <v>50</v>
      </c>
      <c r="B17" s="16">
        <f>5000</f>
        <v>5000</v>
      </c>
    </row>
    <row r="18" spans="1:3" ht="12.75" customHeight="1" x14ac:dyDescent="0.35">
      <c r="A18" s="12" t="s">
        <v>51</v>
      </c>
      <c r="B18" s="16">
        <f>9000</f>
        <v>9000</v>
      </c>
    </row>
    <row r="19" spans="1:3" ht="12.75" customHeight="1" x14ac:dyDescent="0.35">
      <c r="A19" s="12" t="s">
        <v>52</v>
      </c>
      <c r="B19" s="15">
        <f>((((B14)+(B15))+(B16))+(B17))+(B18)</f>
        <v>134480.76999999999</v>
      </c>
    </row>
    <row r="20" spans="1:3" ht="12.75" customHeight="1" x14ac:dyDescent="0.35">
      <c r="A20" s="12" t="s">
        <v>53</v>
      </c>
      <c r="B20" s="13"/>
    </row>
    <row r="21" spans="1:3" ht="12.75" customHeight="1" x14ac:dyDescent="0.35">
      <c r="A21" s="12" t="s">
        <v>54</v>
      </c>
      <c r="B21" s="14">
        <f>8534</f>
        <v>8534</v>
      </c>
    </row>
    <row r="22" spans="1:3" ht="12.75" customHeight="1" x14ac:dyDescent="0.35">
      <c r="A22" s="12" t="s">
        <v>55</v>
      </c>
      <c r="B22" s="14">
        <f>7145.18</f>
        <v>7145.18</v>
      </c>
    </row>
    <row r="23" spans="1:3" ht="12.75" customHeight="1" x14ac:dyDescent="0.35">
      <c r="A23" s="12" t="s">
        <v>56</v>
      </c>
      <c r="B23" s="14">
        <f>3010.86</f>
        <v>3010.86</v>
      </c>
    </row>
    <row r="24" spans="1:3" ht="12.75" customHeight="1" x14ac:dyDescent="0.35">
      <c r="A24" s="12" t="s">
        <v>57</v>
      </c>
      <c r="B24" s="14">
        <f>1779.29</f>
        <v>1779.29</v>
      </c>
    </row>
    <row r="25" spans="1:3" ht="12.75" customHeight="1" x14ac:dyDescent="0.35">
      <c r="A25" s="12" t="s">
        <v>58</v>
      </c>
      <c r="B25" s="16">
        <f>6819.09</f>
        <v>6819.09</v>
      </c>
    </row>
    <row r="26" spans="1:3" ht="12.75" customHeight="1" x14ac:dyDescent="0.35">
      <c r="A26" s="12" t="s">
        <v>59</v>
      </c>
      <c r="B26" s="16">
        <f>80770.56</f>
        <v>80770.559999999998</v>
      </c>
    </row>
    <row r="27" spans="1:3" ht="12.75" customHeight="1" x14ac:dyDescent="0.35">
      <c r="A27" s="12" t="s">
        <v>60</v>
      </c>
      <c r="B27" s="15">
        <f>((((((B20)+(B21))+(B22))+(B23))+(B24))+(B25))+(B26)</f>
        <v>108058.98</v>
      </c>
    </row>
    <row r="28" spans="1:3" ht="12.75" customHeight="1" x14ac:dyDescent="0.35">
      <c r="A28" s="12" t="s">
        <v>61</v>
      </c>
      <c r="B28" s="15">
        <f>((B13)+(B19))+(B27)</f>
        <v>360594.5</v>
      </c>
    </row>
    <row r="29" spans="1:3" ht="12.75" customHeight="1" x14ac:dyDescent="0.35">
      <c r="A29" s="12" t="s">
        <v>62</v>
      </c>
      <c r="B29" s="15">
        <f>(B28)-(0)</f>
        <v>360594.5</v>
      </c>
      <c r="C29" s="17" t="e">
        <f>+#REF!-'Statement of Activity'!B29-5000</f>
        <v>#REF!</v>
      </c>
    </row>
    <row r="30" spans="1:3" ht="12.75" customHeight="1" x14ac:dyDescent="0.35">
      <c r="A30" s="12" t="s">
        <v>63</v>
      </c>
      <c r="B30" s="13"/>
    </row>
    <row r="31" spans="1:3" ht="12.75" customHeight="1" x14ac:dyDescent="0.35">
      <c r="A31" s="12" t="s">
        <v>64</v>
      </c>
      <c r="B31" s="14">
        <f>0</f>
        <v>0</v>
      </c>
    </row>
    <row r="32" spans="1:3" ht="12.75" customHeight="1" x14ac:dyDescent="0.35">
      <c r="A32" s="12" t="s">
        <v>65</v>
      </c>
      <c r="B32" s="14">
        <f>1387.36</f>
        <v>1387.36</v>
      </c>
    </row>
    <row r="33" spans="1:2" ht="12.75" customHeight="1" x14ac:dyDescent="0.35">
      <c r="A33" s="12" t="s">
        <v>66</v>
      </c>
      <c r="B33" s="14">
        <f>9649.48</f>
        <v>9649.48</v>
      </c>
    </row>
    <row r="34" spans="1:2" ht="12.75" customHeight="1" x14ac:dyDescent="0.35">
      <c r="A34" s="12" t="s">
        <v>67</v>
      </c>
      <c r="B34" s="14">
        <f>36594.42</f>
        <v>36594.42</v>
      </c>
    </row>
    <row r="35" spans="1:2" ht="12.75" customHeight="1" x14ac:dyDescent="0.35">
      <c r="A35" s="12" t="s">
        <v>68</v>
      </c>
      <c r="B35" s="16">
        <f>29514.42</f>
        <v>29514.42</v>
      </c>
    </row>
    <row r="36" spans="1:2" ht="12.75" customHeight="1" x14ac:dyDescent="0.35">
      <c r="A36" s="12" t="s">
        <v>69</v>
      </c>
      <c r="B36" s="15">
        <f>((B33)+(B34))+(B35)</f>
        <v>75758.319999999992</v>
      </c>
    </row>
    <row r="37" spans="1:2" ht="12.75" customHeight="1" x14ac:dyDescent="0.35">
      <c r="A37" s="12" t="s">
        <v>70</v>
      </c>
      <c r="B37" s="14">
        <f>21474.02</f>
        <v>21474.02</v>
      </c>
    </row>
    <row r="38" spans="1:2" ht="12.75" customHeight="1" x14ac:dyDescent="0.35">
      <c r="A38" s="12" t="s">
        <v>71</v>
      </c>
      <c r="B38" s="16">
        <f>44023.01</f>
        <v>44023.01</v>
      </c>
    </row>
    <row r="39" spans="1:2" ht="12.75" customHeight="1" x14ac:dyDescent="0.35">
      <c r="A39" s="12" t="s">
        <v>72</v>
      </c>
      <c r="B39" s="14">
        <f>520.36</f>
        <v>520.36</v>
      </c>
    </row>
    <row r="40" spans="1:2" ht="12.75" customHeight="1" x14ac:dyDescent="0.35">
      <c r="A40" s="12" t="s">
        <v>73</v>
      </c>
      <c r="B40" s="14">
        <f>436.12</f>
        <v>436.12</v>
      </c>
    </row>
    <row r="41" spans="1:2" ht="12.75" customHeight="1" x14ac:dyDescent="0.35">
      <c r="A41" s="12" t="s">
        <v>74</v>
      </c>
      <c r="B41" s="14">
        <f>3006.64</f>
        <v>3006.64</v>
      </c>
    </row>
    <row r="42" spans="1:2" ht="12.75" customHeight="1" x14ac:dyDescent="0.35">
      <c r="A42" s="12" t="s">
        <v>75</v>
      </c>
      <c r="B42" s="14">
        <f>549.67</f>
        <v>549.66999999999996</v>
      </c>
    </row>
    <row r="43" spans="1:2" ht="12.75" customHeight="1" x14ac:dyDescent="0.35">
      <c r="A43" s="12" t="s">
        <v>76</v>
      </c>
      <c r="B43" s="15">
        <f>(((((((B32)+(B36))+(B37))+(B38))+(B39))+(B40))+(B41))+(B42)</f>
        <v>147155.5</v>
      </c>
    </row>
    <row r="44" spans="1:2" ht="12.75" customHeight="1" x14ac:dyDescent="0.35">
      <c r="A44" s="12" t="s">
        <v>77</v>
      </c>
      <c r="B44" s="13"/>
    </row>
    <row r="45" spans="1:2" ht="12.75" customHeight="1" x14ac:dyDescent="0.35">
      <c r="A45" s="12" t="s">
        <v>78</v>
      </c>
      <c r="B45" s="16">
        <f>169900.12</f>
        <v>169900.12</v>
      </c>
    </row>
    <row r="46" spans="1:2" ht="12.75" customHeight="1" x14ac:dyDescent="0.35">
      <c r="A46" s="12" t="s">
        <v>79</v>
      </c>
      <c r="B46" s="16">
        <f>919.98</f>
        <v>919.98</v>
      </c>
    </row>
    <row r="47" spans="1:2" ht="12.75" customHeight="1" x14ac:dyDescent="0.35">
      <c r="A47" s="12" t="s">
        <v>80</v>
      </c>
      <c r="B47" s="16">
        <f>6278.91</f>
        <v>6278.91</v>
      </c>
    </row>
    <row r="48" spans="1:2" ht="12.75" customHeight="1" x14ac:dyDescent="0.35">
      <c r="A48" s="12" t="s">
        <v>81</v>
      </c>
      <c r="B48" s="16">
        <f>1763.05</f>
        <v>1763.05</v>
      </c>
    </row>
    <row r="49" spans="1:2" ht="12.75" customHeight="1" x14ac:dyDescent="0.35">
      <c r="A49" s="12" t="s">
        <v>82</v>
      </c>
      <c r="B49" s="16">
        <f>8431.94</f>
        <v>8431.94</v>
      </c>
    </row>
    <row r="50" spans="1:2" ht="12.75" customHeight="1" x14ac:dyDescent="0.35">
      <c r="A50" s="12" t="s">
        <v>83</v>
      </c>
      <c r="B50" s="16">
        <f>10683.58</f>
        <v>10683.58</v>
      </c>
    </row>
    <row r="51" spans="1:2" ht="12.75" customHeight="1" x14ac:dyDescent="0.35">
      <c r="A51" s="12" t="s">
        <v>84</v>
      </c>
      <c r="B51" s="16">
        <f>18.04</f>
        <v>18.04</v>
      </c>
    </row>
    <row r="52" spans="1:2" ht="12.75" customHeight="1" x14ac:dyDescent="0.35">
      <c r="A52" s="12" t="s">
        <v>85</v>
      </c>
      <c r="B52" s="16">
        <f>132.35</f>
        <v>132.35</v>
      </c>
    </row>
    <row r="53" spans="1:2" ht="12.75" customHeight="1" x14ac:dyDescent="0.35">
      <c r="A53" s="12" t="s">
        <v>86</v>
      </c>
      <c r="B53" s="15">
        <f>((((((((B44)+(B45))+(B46))+(B47))+(B48))+(B49))+(B50))+(B51))+(B52)</f>
        <v>198127.97</v>
      </c>
    </row>
    <row r="54" spans="1:2" ht="12.75" customHeight="1" x14ac:dyDescent="0.35">
      <c r="A54" s="12" t="s">
        <v>87</v>
      </c>
      <c r="B54" s="13"/>
    </row>
    <row r="55" spans="1:2" ht="12.75" customHeight="1" x14ac:dyDescent="0.35">
      <c r="A55" s="12" t="s">
        <v>88</v>
      </c>
      <c r="B55" s="14">
        <f>10220</f>
        <v>10220</v>
      </c>
    </row>
    <row r="56" spans="1:2" ht="12.75" customHeight="1" x14ac:dyDescent="0.35">
      <c r="A56" s="12" t="s">
        <v>89</v>
      </c>
      <c r="B56" s="16">
        <f>642.71</f>
        <v>642.71</v>
      </c>
    </row>
    <row r="57" spans="1:2" ht="12.75" customHeight="1" x14ac:dyDescent="0.35">
      <c r="A57" s="12" t="s">
        <v>90</v>
      </c>
      <c r="B57" s="15">
        <f>((B54)+(B55))+(B56)</f>
        <v>10862.71</v>
      </c>
    </row>
    <row r="58" spans="1:2" ht="12.75" customHeight="1" x14ac:dyDescent="0.35">
      <c r="A58" s="12" t="s">
        <v>91</v>
      </c>
      <c r="B58" s="13"/>
    </row>
    <row r="59" spans="1:2" ht="12.75" customHeight="1" x14ac:dyDescent="0.35">
      <c r="A59" s="12" t="s">
        <v>92</v>
      </c>
      <c r="B59" s="16">
        <f>1751.06</f>
        <v>1751.06</v>
      </c>
    </row>
    <row r="60" spans="1:2" ht="12.75" customHeight="1" x14ac:dyDescent="0.35">
      <c r="A60" s="12" t="s">
        <v>93</v>
      </c>
      <c r="B60" s="16">
        <f>3648.74</f>
        <v>3648.74</v>
      </c>
    </row>
    <row r="61" spans="1:2" ht="12.75" customHeight="1" x14ac:dyDescent="0.35">
      <c r="A61" s="12" t="s">
        <v>94</v>
      </c>
      <c r="B61" s="16">
        <f>842</f>
        <v>842</v>
      </c>
    </row>
    <row r="62" spans="1:2" ht="12.75" customHeight="1" x14ac:dyDescent="0.35">
      <c r="A62" s="12" t="s">
        <v>95</v>
      </c>
      <c r="B62" s="16">
        <f>2135.25</f>
        <v>2135.25</v>
      </c>
    </row>
    <row r="63" spans="1:2" ht="12.75" customHeight="1" x14ac:dyDescent="0.35">
      <c r="A63" s="12" t="s">
        <v>96</v>
      </c>
      <c r="B63" s="16">
        <f>4974.83</f>
        <v>4974.83</v>
      </c>
    </row>
    <row r="64" spans="1:2" ht="12.75" customHeight="1" x14ac:dyDescent="0.35">
      <c r="A64" s="12" t="s">
        <v>97</v>
      </c>
      <c r="B64" s="16">
        <f>864.24</f>
        <v>864.24</v>
      </c>
    </row>
    <row r="65" spans="1:2" ht="12.75" customHeight="1" x14ac:dyDescent="0.35">
      <c r="A65" s="12" t="s">
        <v>98</v>
      </c>
      <c r="B65" s="16">
        <f>5488.4</f>
        <v>5488.4</v>
      </c>
    </row>
    <row r="66" spans="1:2" ht="12.75" customHeight="1" x14ac:dyDescent="0.35">
      <c r="A66" s="12" t="s">
        <v>99</v>
      </c>
      <c r="B66" s="16">
        <f>1836</f>
        <v>1836</v>
      </c>
    </row>
    <row r="67" spans="1:2" ht="12.75" customHeight="1" x14ac:dyDescent="0.35">
      <c r="A67" s="12" t="s">
        <v>100</v>
      </c>
      <c r="B67" s="16">
        <f>1294</f>
        <v>1294</v>
      </c>
    </row>
    <row r="68" spans="1:2" ht="12.75" customHeight="1" x14ac:dyDescent="0.35">
      <c r="A68" s="12" t="s">
        <v>101</v>
      </c>
      <c r="B68" s="15">
        <f>(((((((((B58)+(B59))+(B60))+(B61))+(B62))+(B63))+(B64))+(B65))+(B66))+(B67)</f>
        <v>22834.519999999997</v>
      </c>
    </row>
    <row r="69" spans="1:2" ht="12.75" customHeight="1" x14ac:dyDescent="0.35">
      <c r="A69" s="12" t="s">
        <v>102</v>
      </c>
      <c r="B69" s="13"/>
    </row>
    <row r="70" spans="1:2" ht="12.75" customHeight="1" x14ac:dyDescent="0.35">
      <c r="A70" s="12" t="s">
        <v>103</v>
      </c>
      <c r="B70" s="16">
        <f>14.67</f>
        <v>14.67</v>
      </c>
    </row>
    <row r="71" spans="1:2" ht="12.75" customHeight="1" x14ac:dyDescent="0.35">
      <c r="A71" s="12" t="s">
        <v>104</v>
      </c>
      <c r="B71" s="16">
        <f>4234.38</f>
        <v>4234.38</v>
      </c>
    </row>
    <row r="72" spans="1:2" ht="12.75" customHeight="1" x14ac:dyDescent="0.35">
      <c r="A72" s="12" t="s">
        <v>105</v>
      </c>
      <c r="B72" s="16">
        <f>8231.33</f>
        <v>8231.33</v>
      </c>
    </row>
    <row r="73" spans="1:2" ht="12.75" customHeight="1" x14ac:dyDescent="0.35">
      <c r="A73" s="12" t="s">
        <v>106</v>
      </c>
      <c r="B73" s="16">
        <f>32.12</f>
        <v>32.119999999999997</v>
      </c>
    </row>
    <row r="74" spans="1:2" ht="12.75" customHeight="1" x14ac:dyDescent="0.35">
      <c r="A74" s="12" t="s">
        <v>107</v>
      </c>
      <c r="B74" s="16">
        <f>1961.47</f>
        <v>1961.47</v>
      </c>
    </row>
    <row r="75" spans="1:2" ht="12.75" customHeight="1" x14ac:dyDescent="0.35">
      <c r="A75" s="12" t="s">
        <v>108</v>
      </c>
      <c r="B75" s="16">
        <f>61553.8</f>
        <v>61553.8</v>
      </c>
    </row>
    <row r="76" spans="1:2" ht="12.75" customHeight="1" x14ac:dyDescent="0.35">
      <c r="A76" s="12" t="s">
        <v>109</v>
      </c>
      <c r="B76" s="15">
        <f>((((((B69)+(B70))+(B71))+(B72))+(B73))+(B74))+(B75)</f>
        <v>76027.77</v>
      </c>
    </row>
    <row r="77" spans="1:2" ht="12.75" customHeight="1" x14ac:dyDescent="0.35">
      <c r="A77" s="12" t="s">
        <v>110</v>
      </c>
      <c r="B77" s="13"/>
    </row>
    <row r="78" spans="1:2" ht="12.75" customHeight="1" x14ac:dyDescent="0.35">
      <c r="A78" s="12" t="s">
        <v>111</v>
      </c>
      <c r="B78" s="16">
        <f>35</f>
        <v>35</v>
      </c>
    </row>
    <row r="79" spans="1:2" ht="12.75" customHeight="1" x14ac:dyDescent="0.35">
      <c r="A79" s="12" t="s">
        <v>112</v>
      </c>
      <c r="B79" s="15">
        <f>(B77)+(B78)</f>
        <v>35</v>
      </c>
    </row>
    <row r="80" spans="1:2" ht="12.75" customHeight="1" x14ac:dyDescent="0.35">
      <c r="A80" s="12" t="s">
        <v>113</v>
      </c>
      <c r="B80" s="14">
        <f>0</f>
        <v>0</v>
      </c>
    </row>
    <row r="81" spans="1:2" ht="12.75" customHeight="1" x14ac:dyDescent="0.35">
      <c r="A81" s="12" t="s">
        <v>114</v>
      </c>
      <c r="B81" s="16">
        <f>244.47</f>
        <v>244.47</v>
      </c>
    </row>
    <row r="82" spans="1:2" ht="12.75" customHeight="1" x14ac:dyDescent="0.35">
      <c r="A82" s="12" t="s">
        <v>115</v>
      </c>
      <c r="B82" s="16">
        <f>277.15</f>
        <v>277.14999999999998</v>
      </c>
    </row>
    <row r="83" spans="1:2" ht="12.75" customHeight="1" x14ac:dyDescent="0.35">
      <c r="A83" s="12" t="s">
        <v>116</v>
      </c>
      <c r="B83" s="16">
        <f>7.5</f>
        <v>7.5</v>
      </c>
    </row>
    <row r="84" spans="1:2" ht="12.75" customHeight="1" x14ac:dyDescent="0.35">
      <c r="A84" s="12" t="s">
        <v>117</v>
      </c>
      <c r="B84" s="16">
        <f>1125</f>
        <v>1125</v>
      </c>
    </row>
    <row r="85" spans="1:2" ht="12.75" customHeight="1" x14ac:dyDescent="0.35">
      <c r="A85" s="12" t="s">
        <v>118</v>
      </c>
      <c r="B85" s="16">
        <f>1093</f>
        <v>1093</v>
      </c>
    </row>
    <row r="86" spans="1:2" ht="12.75" customHeight="1" x14ac:dyDescent="0.35">
      <c r="A86" s="12" t="s">
        <v>119</v>
      </c>
      <c r="B86" s="15">
        <f>(((((B80)+(B81))+(B82))+(B83))+(B84))+(B85)</f>
        <v>2747.12</v>
      </c>
    </row>
    <row r="87" spans="1:2" ht="12.75" customHeight="1" x14ac:dyDescent="0.35">
      <c r="A87" s="12" t="s">
        <v>120</v>
      </c>
      <c r="B87" s="15">
        <f>(((((((B31)+(B43))+(B53))+(B57))+(B68))+(B76))+(B79))+(B86)</f>
        <v>457790.59</v>
      </c>
    </row>
    <row r="88" spans="1:2" ht="12.75" customHeight="1" x14ac:dyDescent="0.35">
      <c r="A88" s="12" t="s">
        <v>121</v>
      </c>
      <c r="B88" s="15">
        <f>(B29)-(B87)</f>
        <v>-97196.090000000026</v>
      </c>
    </row>
    <row r="89" spans="1:2" ht="12.75" customHeight="1" x14ac:dyDescent="0.35">
      <c r="A89" s="12" t="s">
        <v>122</v>
      </c>
      <c r="B89" s="13"/>
    </row>
    <row r="90" spans="1:2" ht="12.75" customHeight="1" x14ac:dyDescent="0.35">
      <c r="A90" s="12" t="s">
        <v>123</v>
      </c>
      <c r="B90" s="14">
        <f>0.18</f>
        <v>0.18</v>
      </c>
    </row>
    <row r="91" spans="1:2" ht="12.75" customHeight="1" x14ac:dyDescent="0.35">
      <c r="A91" s="12" t="s">
        <v>124</v>
      </c>
      <c r="B91" s="15">
        <f>B90</f>
        <v>0.18</v>
      </c>
    </row>
    <row r="92" spans="1:2" ht="12.75" customHeight="1" x14ac:dyDescent="0.35">
      <c r="A92" s="12" t="s">
        <v>125</v>
      </c>
      <c r="B92" s="15">
        <f>(0)-(B91)</f>
        <v>-0.18</v>
      </c>
    </row>
    <row r="93" spans="1:2" ht="12.75" customHeight="1" x14ac:dyDescent="0.35">
      <c r="A93" s="12" t="s">
        <v>126</v>
      </c>
      <c r="B93" s="15">
        <f>(B88)+(B92)</f>
        <v>-97196.270000000019</v>
      </c>
    </row>
    <row r="94" spans="1:2" ht="12.75" customHeight="1" x14ac:dyDescent="0.35">
      <c r="A94" s="12"/>
      <c r="B94" s="13"/>
    </row>
    <row r="95" spans="1:2" ht="12.75" customHeight="1" x14ac:dyDescent="0.35"/>
    <row r="96" spans="1:2" ht="12.75" customHeight="1" x14ac:dyDescent="0.35"/>
    <row r="97" spans="1:2" ht="12.75" customHeight="1" x14ac:dyDescent="0.35">
      <c r="A97" s="155" t="s">
        <v>141</v>
      </c>
      <c r="B97" s="153"/>
    </row>
  </sheetData>
  <mergeCells count="4">
    <mergeCell ref="A1:B1"/>
    <mergeCell ref="A2:B2"/>
    <mergeCell ref="A3:B3"/>
    <mergeCell ref="A97:B97"/>
  </mergeCell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7"/>
  <sheetViews>
    <sheetView topLeftCell="A16" workbookViewId="0">
      <selection activeCell="E14" sqref="E14"/>
    </sheetView>
  </sheetViews>
  <sheetFormatPr defaultRowHeight="13.5" x14ac:dyDescent="0.35"/>
  <cols>
    <col min="1" max="1" width="48" style="2" customWidth="1"/>
    <col min="2" max="2" width="10.796875" style="2" bestFit="1" customWidth="1"/>
    <col min="3" max="4" width="9.19921875" style="2"/>
    <col min="5" max="5" width="48" style="2" customWidth="1"/>
    <col min="6" max="6" width="10.796875" style="2" bestFit="1" customWidth="1"/>
    <col min="7" max="256" width="9.19921875" style="2"/>
    <col min="257" max="257" width="48" style="2" customWidth="1"/>
    <col min="258" max="512" width="9.19921875" style="2"/>
    <col min="513" max="513" width="48" style="2" customWidth="1"/>
    <col min="514" max="768" width="9.19921875" style="2"/>
    <col min="769" max="769" width="48" style="2" customWidth="1"/>
    <col min="770" max="1024" width="9.19921875" style="2"/>
    <col min="1025" max="1025" width="48" style="2" customWidth="1"/>
    <col min="1026" max="1280" width="9.19921875" style="2"/>
    <col min="1281" max="1281" width="48" style="2" customWidth="1"/>
    <col min="1282" max="1536" width="9.19921875" style="2"/>
    <col min="1537" max="1537" width="48" style="2" customWidth="1"/>
    <col min="1538" max="1792" width="9.19921875" style="2"/>
    <col min="1793" max="1793" width="48" style="2" customWidth="1"/>
    <col min="1794" max="2048" width="9.19921875" style="2"/>
    <col min="2049" max="2049" width="48" style="2" customWidth="1"/>
    <col min="2050" max="2304" width="9.19921875" style="2"/>
    <col min="2305" max="2305" width="48" style="2" customWidth="1"/>
    <col min="2306" max="2560" width="9.19921875" style="2"/>
    <col min="2561" max="2561" width="48" style="2" customWidth="1"/>
    <col min="2562" max="2816" width="9.19921875" style="2"/>
    <col min="2817" max="2817" width="48" style="2" customWidth="1"/>
    <col min="2818" max="3072" width="9.19921875" style="2"/>
    <col min="3073" max="3073" width="48" style="2" customWidth="1"/>
    <col min="3074" max="3328" width="9.19921875" style="2"/>
    <col min="3329" max="3329" width="48" style="2" customWidth="1"/>
    <col min="3330" max="3584" width="9.19921875" style="2"/>
    <col min="3585" max="3585" width="48" style="2" customWidth="1"/>
    <col min="3586" max="3840" width="9.19921875" style="2"/>
    <col min="3841" max="3841" width="48" style="2" customWidth="1"/>
    <col min="3842" max="4096" width="9.19921875" style="2"/>
    <col min="4097" max="4097" width="48" style="2" customWidth="1"/>
    <col min="4098" max="4352" width="9.19921875" style="2"/>
    <col min="4353" max="4353" width="48" style="2" customWidth="1"/>
    <col min="4354" max="4608" width="9.19921875" style="2"/>
    <col min="4609" max="4609" width="48" style="2" customWidth="1"/>
    <col min="4610" max="4864" width="9.19921875" style="2"/>
    <col min="4865" max="4865" width="48" style="2" customWidth="1"/>
    <col min="4866" max="5120" width="9.19921875" style="2"/>
    <col min="5121" max="5121" width="48" style="2" customWidth="1"/>
    <col min="5122" max="5376" width="9.19921875" style="2"/>
    <col min="5377" max="5377" width="48" style="2" customWidth="1"/>
    <col min="5378" max="5632" width="9.19921875" style="2"/>
    <col min="5633" max="5633" width="48" style="2" customWidth="1"/>
    <col min="5634" max="5888" width="9.19921875" style="2"/>
    <col min="5889" max="5889" width="48" style="2" customWidth="1"/>
    <col min="5890" max="6144" width="9.19921875" style="2"/>
    <col min="6145" max="6145" width="48" style="2" customWidth="1"/>
    <col min="6146" max="6400" width="9.19921875" style="2"/>
    <col min="6401" max="6401" width="48" style="2" customWidth="1"/>
    <col min="6402" max="6656" width="9.19921875" style="2"/>
    <col min="6657" max="6657" width="48" style="2" customWidth="1"/>
    <col min="6658" max="6912" width="9.19921875" style="2"/>
    <col min="6913" max="6913" width="48" style="2" customWidth="1"/>
    <col min="6914" max="7168" width="9.19921875" style="2"/>
    <col min="7169" max="7169" width="48" style="2" customWidth="1"/>
    <col min="7170" max="7424" width="9.19921875" style="2"/>
    <col min="7425" max="7425" width="48" style="2" customWidth="1"/>
    <col min="7426" max="7680" width="9.19921875" style="2"/>
    <col min="7681" max="7681" width="48" style="2" customWidth="1"/>
    <col min="7682" max="7936" width="9.19921875" style="2"/>
    <col min="7937" max="7937" width="48" style="2" customWidth="1"/>
    <col min="7938" max="8192" width="9.19921875" style="2"/>
    <col min="8193" max="8193" width="48" style="2" customWidth="1"/>
    <col min="8194" max="8448" width="9.19921875" style="2"/>
    <col min="8449" max="8449" width="48" style="2" customWidth="1"/>
    <col min="8450" max="8704" width="9.19921875" style="2"/>
    <col min="8705" max="8705" width="48" style="2" customWidth="1"/>
    <col min="8706" max="8960" width="9.19921875" style="2"/>
    <col min="8961" max="8961" width="48" style="2" customWidth="1"/>
    <col min="8962" max="9216" width="9.19921875" style="2"/>
    <col min="9217" max="9217" width="48" style="2" customWidth="1"/>
    <col min="9218" max="9472" width="9.19921875" style="2"/>
    <col min="9473" max="9473" width="48" style="2" customWidth="1"/>
    <col min="9474" max="9728" width="9.19921875" style="2"/>
    <col min="9729" max="9729" width="48" style="2" customWidth="1"/>
    <col min="9730" max="9984" width="9.19921875" style="2"/>
    <col min="9985" max="9985" width="48" style="2" customWidth="1"/>
    <col min="9986" max="10240" width="9.19921875" style="2"/>
    <col min="10241" max="10241" width="48" style="2" customWidth="1"/>
    <col min="10242" max="10496" width="9.19921875" style="2"/>
    <col min="10497" max="10497" width="48" style="2" customWidth="1"/>
    <col min="10498" max="10752" width="9.19921875" style="2"/>
    <col min="10753" max="10753" width="48" style="2" customWidth="1"/>
    <col min="10754" max="11008" width="9.19921875" style="2"/>
    <col min="11009" max="11009" width="48" style="2" customWidth="1"/>
    <col min="11010" max="11264" width="9.19921875" style="2"/>
    <col min="11265" max="11265" width="48" style="2" customWidth="1"/>
    <col min="11266" max="11520" width="9.19921875" style="2"/>
    <col min="11521" max="11521" width="48" style="2" customWidth="1"/>
    <col min="11522" max="11776" width="9.19921875" style="2"/>
    <col min="11777" max="11777" width="48" style="2" customWidth="1"/>
    <col min="11778" max="12032" width="9.19921875" style="2"/>
    <col min="12033" max="12033" width="48" style="2" customWidth="1"/>
    <col min="12034" max="12288" width="9.19921875" style="2"/>
    <col min="12289" max="12289" width="48" style="2" customWidth="1"/>
    <col min="12290" max="12544" width="9.19921875" style="2"/>
    <col min="12545" max="12545" width="48" style="2" customWidth="1"/>
    <col min="12546" max="12800" width="9.19921875" style="2"/>
    <col min="12801" max="12801" width="48" style="2" customWidth="1"/>
    <col min="12802" max="13056" width="9.19921875" style="2"/>
    <col min="13057" max="13057" width="48" style="2" customWidth="1"/>
    <col min="13058" max="13312" width="9.19921875" style="2"/>
    <col min="13313" max="13313" width="48" style="2" customWidth="1"/>
    <col min="13314" max="13568" width="9.19921875" style="2"/>
    <col min="13569" max="13569" width="48" style="2" customWidth="1"/>
    <col min="13570" max="13824" width="9.19921875" style="2"/>
    <col min="13825" max="13825" width="48" style="2" customWidth="1"/>
    <col min="13826" max="14080" width="9.19921875" style="2"/>
    <col min="14081" max="14081" width="48" style="2" customWidth="1"/>
    <col min="14082" max="14336" width="9.19921875" style="2"/>
    <col min="14337" max="14337" width="48" style="2" customWidth="1"/>
    <col min="14338" max="14592" width="9.19921875" style="2"/>
    <col min="14593" max="14593" width="48" style="2" customWidth="1"/>
    <col min="14594" max="14848" width="9.19921875" style="2"/>
    <col min="14849" max="14849" width="48" style="2" customWidth="1"/>
    <col min="14850" max="15104" width="9.19921875" style="2"/>
    <col min="15105" max="15105" width="48" style="2" customWidth="1"/>
    <col min="15106" max="15360" width="9.19921875" style="2"/>
    <col min="15361" max="15361" width="48" style="2" customWidth="1"/>
    <col min="15362" max="15616" width="9.19921875" style="2"/>
    <col min="15617" max="15617" width="48" style="2" customWidth="1"/>
    <col min="15618" max="15872" width="9.19921875" style="2"/>
    <col min="15873" max="15873" width="48" style="2" customWidth="1"/>
    <col min="15874" max="16128" width="9.19921875" style="2"/>
    <col min="16129" max="16129" width="48" style="2" customWidth="1"/>
    <col min="16130" max="16384" width="9.19921875" style="2"/>
  </cols>
  <sheetData>
    <row r="1" spans="1:6" ht="12.75" customHeight="1" x14ac:dyDescent="0.45">
      <c r="A1" s="156" t="s">
        <v>36</v>
      </c>
      <c r="B1" s="157"/>
      <c r="E1" s="156" t="s">
        <v>36</v>
      </c>
      <c r="F1" s="157"/>
    </row>
    <row r="2" spans="1:6" ht="12.75" customHeight="1" x14ac:dyDescent="0.45">
      <c r="A2" s="156" t="s">
        <v>37</v>
      </c>
      <c r="B2" s="157"/>
      <c r="E2" s="156" t="s">
        <v>37</v>
      </c>
      <c r="F2" s="157"/>
    </row>
    <row r="3" spans="1:6" ht="12.75" customHeight="1" x14ac:dyDescent="0.35">
      <c r="A3" s="158" t="s">
        <v>35</v>
      </c>
      <c r="B3" s="157"/>
      <c r="E3" s="158" t="s">
        <v>128</v>
      </c>
      <c r="F3" s="157"/>
    </row>
    <row r="4" spans="1:6" ht="12.75" customHeight="1" x14ac:dyDescent="0.35"/>
    <row r="5" spans="1:6" ht="12.75" customHeight="1" x14ac:dyDescent="0.35">
      <c r="A5" s="3"/>
      <c r="B5" s="5" t="s">
        <v>38</v>
      </c>
      <c r="E5" s="3"/>
      <c r="F5" s="5" t="s">
        <v>38</v>
      </c>
    </row>
    <row r="6" spans="1:6" ht="12.75" customHeight="1" x14ac:dyDescent="0.35">
      <c r="A6" s="4" t="s">
        <v>39</v>
      </c>
      <c r="B6" s="6"/>
      <c r="E6" s="4" t="s">
        <v>39</v>
      </c>
      <c r="F6" s="6"/>
    </row>
    <row r="7" spans="1:6" ht="12.75" customHeight="1" x14ac:dyDescent="0.35">
      <c r="A7" s="4" t="s">
        <v>40</v>
      </c>
      <c r="B7" s="6"/>
      <c r="E7" s="4" t="s">
        <v>40</v>
      </c>
      <c r="F7" s="6"/>
    </row>
    <row r="8" spans="1:6" ht="12.75" customHeight="1" x14ac:dyDescent="0.35">
      <c r="A8" s="4" t="s">
        <v>41</v>
      </c>
      <c r="B8" s="7">
        <f>86406.32</f>
        <v>86406.32</v>
      </c>
      <c r="E8" s="4" t="s">
        <v>41</v>
      </c>
      <c r="F8" s="7">
        <v>111670.22</v>
      </c>
    </row>
    <row r="9" spans="1:6" ht="12.75" customHeight="1" x14ac:dyDescent="0.35">
      <c r="A9" s="4" t="s">
        <v>42</v>
      </c>
      <c r="B9" s="7">
        <f>3000</f>
        <v>3000</v>
      </c>
      <c r="E9" s="4" t="s">
        <v>42</v>
      </c>
      <c r="F9" s="7">
        <v>22797.74</v>
      </c>
    </row>
    <row r="10" spans="1:6" ht="12.75" customHeight="1" x14ac:dyDescent="0.35">
      <c r="A10" s="4" t="s">
        <v>43</v>
      </c>
      <c r="B10" s="7">
        <f>1340</f>
        <v>1340</v>
      </c>
      <c r="E10" s="4" t="s">
        <v>43</v>
      </c>
      <c r="F10" s="7">
        <v>5267.78</v>
      </c>
    </row>
    <row r="11" spans="1:6" ht="12.75" customHeight="1" x14ac:dyDescent="0.35">
      <c r="A11" s="4" t="s">
        <v>44</v>
      </c>
      <c r="B11" s="8">
        <f>((B8)+(B9))+(B10)</f>
        <v>90746.32</v>
      </c>
      <c r="E11" s="4" t="s">
        <v>129</v>
      </c>
      <c r="F11" s="8">
        <v>23051</v>
      </c>
    </row>
    <row r="12" spans="1:6" ht="12.75" customHeight="1" x14ac:dyDescent="0.35">
      <c r="A12" s="4" t="s">
        <v>45</v>
      </c>
      <c r="B12" s="7">
        <f>5405.28</f>
        <v>5405.28</v>
      </c>
      <c r="E12" s="4" t="s">
        <v>44</v>
      </c>
      <c r="F12" s="7">
        <v>162786.74</v>
      </c>
    </row>
    <row r="13" spans="1:6" ht="12.75" customHeight="1" x14ac:dyDescent="0.35">
      <c r="A13" s="4" t="s">
        <v>46</v>
      </c>
      <c r="B13" s="8">
        <f>((B7)+(B11))+(B12)</f>
        <v>96151.6</v>
      </c>
      <c r="E13" s="4" t="s">
        <v>45</v>
      </c>
      <c r="F13" s="8">
        <v>41953.1</v>
      </c>
    </row>
    <row r="14" spans="1:6" ht="12.75" customHeight="1" x14ac:dyDescent="0.35">
      <c r="A14" s="4" t="s">
        <v>47</v>
      </c>
      <c r="B14" s="6"/>
      <c r="E14" s="4" t="s">
        <v>46</v>
      </c>
      <c r="F14" s="6">
        <v>204739.84</v>
      </c>
    </row>
    <row r="15" spans="1:6" ht="12.75" customHeight="1" x14ac:dyDescent="0.35">
      <c r="A15" s="4" t="s">
        <v>48</v>
      </c>
      <c r="B15" s="7">
        <f>45480.77</f>
        <v>45480.77</v>
      </c>
      <c r="E15" s="4" t="s">
        <v>47</v>
      </c>
      <c r="F15" s="7"/>
    </row>
    <row r="16" spans="1:6" ht="12.75" customHeight="1" x14ac:dyDescent="0.35">
      <c r="A16" s="4" t="s">
        <v>49</v>
      </c>
      <c r="B16" s="7">
        <f>75000</f>
        <v>75000</v>
      </c>
      <c r="E16" s="4" t="s">
        <v>130</v>
      </c>
      <c r="F16" s="7">
        <v>-30</v>
      </c>
    </row>
    <row r="17" spans="1:6" ht="12.75" customHeight="1" x14ac:dyDescent="0.35">
      <c r="A17" s="4" t="s">
        <v>50</v>
      </c>
      <c r="B17" s="7">
        <f>5000</f>
        <v>5000</v>
      </c>
      <c r="E17" s="4" t="s">
        <v>50</v>
      </c>
      <c r="F17" s="7">
        <v>5000</v>
      </c>
    </row>
    <row r="18" spans="1:6" ht="12.75" customHeight="1" x14ac:dyDescent="0.35">
      <c r="A18" s="4" t="s">
        <v>51</v>
      </c>
      <c r="B18" s="7">
        <f>9000</f>
        <v>9000</v>
      </c>
      <c r="E18" s="4" t="s">
        <v>52</v>
      </c>
      <c r="F18" s="7">
        <v>4970</v>
      </c>
    </row>
    <row r="19" spans="1:6" ht="12.75" customHeight="1" x14ac:dyDescent="0.35">
      <c r="A19" s="4" t="s">
        <v>52</v>
      </c>
      <c r="B19" s="8">
        <f>((((B14)+(B15))+(B16))+(B17))+(B18)</f>
        <v>134480.76999999999</v>
      </c>
      <c r="E19" s="4" t="s">
        <v>53</v>
      </c>
      <c r="F19" s="8"/>
    </row>
    <row r="20" spans="1:6" ht="12.75" customHeight="1" x14ac:dyDescent="0.35">
      <c r="A20" s="4" t="s">
        <v>53</v>
      </c>
      <c r="B20" s="6"/>
      <c r="E20" s="4" t="s">
        <v>54</v>
      </c>
      <c r="F20" s="6">
        <v>9824.43</v>
      </c>
    </row>
    <row r="21" spans="1:6" ht="12.75" customHeight="1" x14ac:dyDescent="0.35">
      <c r="A21" s="4" t="s">
        <v>54</v>
      </c>
      <c r="B21" s="7">
        <f>7250</f>
        <v>7250</v>
      </c>
      <c r="E21" s="4" t="s">
        <v>55</v>
      </c>
      <c r="F21" s="7">
        <v>6446.41</v>
      </c>
    </row>
    <row r="22" spans="1:6" ht="12.75" customHeight="1" x14ac:dyDescent="0.35">
      <c r="A22" s="4" t="s">
        <v>55</v>
      </c>
      <c r="B22" s="7">
        <f>5968</f>
        <v>5968</v>
      </c>
      <c r="E22" s="4" t="s">
        <v>56</v>
      </c>
      <c r="F22" s="7">
        <v>3633.36</v>
      </c>
    </row>
    <row r="23" spans="1:6" ht="12.75" customHeight="1" x14ac:dyDescent="0.35">
      <c r="A23" s="4" t="s">
        <v>56</v>
      </c>
      <c r="B23" s="7">
        <f>3010.86</f>
        <v>3010.86</v>
      </c>
      <c r="E23" s="4" t="s">
        <v>57</v>
      </c>
      <c r="F23" s="7">
        <v>-800</v>
      </c>
    </row>
    <row r="24" spans="1:6" ht="12.75" customHeight="1" x14ac:dyDescent="0.35">
      <c r="A24" s="4" t="s">
        <v>57</v>
      </c>
      <c r="B24" s="7">
        <f>1779.29</f>
        <v>1779.29</v>
      </c>
      <c r="E24" s="4" t="s">
        <v>58</v>
      </c>
      <c r="F24" s="7">
        <v>5927.96</v>
      </c>
    </row>
    <row r="25" spans="1:6" ht="12.75" customHeight="1" x14ac:dyDescent="0.35">
      <c r="A25" s="4" t="s">
        <v>58</v>
      </c>
      <c r="B25" s="7">
        <f>6061.4</f>
        <v>6061.4</v>
      </c>
      <c r="E25" s="4" t="s">
        <v>59</v>
      </c>
      <c r="F25" s="7">
        <v>70216.039999999994</v>
      </c>
    </row>
    <row r="26" spans="1:6" ht="12.75" customHeight="1" x14ac:dyDescent="0.35">
      <c r="A26" s="4" t="s">
        <v>59</v>
      </c>
      <c r="B26" s="7">
        <f>71795.88</f>
        <v>71795.88</v>
      </c>
      <c r="E26" s="4" t="s">
        <v>60</v>
      </c>
      <c r="F26" s="7">
        <v>95248.2</v>
      </c>
    </row>
    <row r="27" spans="1:6" ht="12.75" customHeight="1" x14ac:dyDescent="0.35">
      <c r="A27" s="4" t="s">
        <v>60</v>
      </c>
      <c r="B27" s="8">
        <f>((((((B20)+(B21))+(B22))+(B23))+(B24))+(B25))+(B26)</f>
        <v>95865.430000000008</v>
      </c>
      <c r="E27" s="4" t="s">
        <v>61</v>
      </c>
      <c r="F27" s="8">
        <v>304958.03999999998</v>
      </c>
    </row>
    <row r="28" spans="1:6" ht="12.75" customHeight="1" x14ac:dyDescent="0.35">
      <c r="A28" s="4" t="s">
        <v>61</v>
      </c>
      <c r="B28" s="8">
        <f>((B13)+(B19))+(B27)</f>
        <v>326497.8</v>
      </c>
      <c r="E28" s="4" t="s">
        <v>62</v>
      </c>
      <c r="F28" s="8">
        <v>304958.03999999998</v>
      </c>
    </row>
    <row r="29" spans="1:6" ht="12.75" customHeight="1" x14ac:dyDescent="0.35">
      <c r="A29" s="4" t="s">
        <v>62</v>
      </c>
      <c r="B29" s="8">
        <f>(B28)-(0)</f>
        <v>326497.8</v>
      </c>
      <c r="E29" s="4" t="s">
        <v>63</v>
      </c>
      <c r="F29" s="8"/>
    </row>
    <row r="30" spans="1:6" ht="12.75" customHeight="1" x14ac:dyDescent="0.35">
      <c r="A30" s="4" t="s">
        <v>63</v>
      </c>
      <c r="B30" s="6"/>
      <c r="E30" s="4" t="s">
        <v>65</v>
      </c>
      <c r="F30" s="6">
        <v>2650.06</v>
      </c>
    </row>
    <row r="31" spans="1:6" ht="12.75" customHeight="1" x14ac:dyDescent="0.35">
      <c r="A31" s="4" t="s">
        <v>64</v>
      </c>
      <c r="B31" s="7">
        <f>0</f>
        <v>0</v>
      </c>
      <c r="E31" s="4" t="s">
        <v>66</v>
      </c>
      <c r="F31" s="7">
        <v>-2831.41</v>
      </c>
    </row>
    <row r="32" spans="1:6" ht="12.75" customHeight="1" x14ac:dyDescent="0.35">
      <c r="A32" s="4" t="s">
        <v>65</v>
      </c>
      <c r="B32" s="7">
        <f>1387.36</f>
        <v>1387.36</v>
      </c>
      <c r="E32" s="4" t="s">
        <v>70</v>
      </c>
      <c r="F32" s="7">
        <v>26836.06</v>
      </c>
    </row>
    <row r="33" spans="1:6" ht="12.75" customHeight="1" x14ac:dyDescent="0.35">
      <c r="A33" s="4" t="s">
        <v>66</v>
      </c>
      <c r="B33" s="7">
        <f>8775.33</f>
        <v>8775.33</v>
      </c>
      <c r="E33" s="4" t="s">
        <v>131</v>
      </c>
      <c r="F33" s="7">
        <v>6410.38</v>
      </c>
    </row>
    <row r="34" spans="1:6" ht="12.75" customHeight="1" x14ac:dyDescent="0.35">
      <c r="A34" s="4" t="s">
        <v>67</v>
      </c>
      <c r="B34" s="7">
        <f>29840.1</f>
        <v>29840.1</v>
      </c>
      <c r="E34" s="4" t="s">
        <v>71</v>
      </c>
      <c r="F34" s="7">
        <v>35345.08</v>
      </c>
    </row>
    <row r="35" spans="1:6" ht="12.75" customHeight="1" x14ac:dyDescent="0.35">
      <c r="A35" s="4" t="s">
        <v>68</v>
      </c>
      <c r="B35" s="7">
        <f>29514.42</f>
        <v>29514.42</v>
      </c>
      <c r="E35" s="4" t="s">
        <v>72</v>
      </c>
      <c r="F35" s="7">
        <v>642.79</v>
      </c>
    </row>
    <row r="36" spans="1:6" ht="12.75" customHeight="1" x14ac:dyDescent="0.35">
      <c r="A36" s="4" t="s">
        <v>69</v>
      </c>
      <c r="B36" s="8">
        <f>((B33)+(B34))+(B35)</f>
        <v>68129.850000000006</v>
      </c>
      <c r="E36" s="4" t="s">
        <v>73</v>
      </c>
      <c r="F36" s="8">
        <v>287.48</v>
      </c>
    </row>
    <row r="37" spans="1:6" ht="12.75" customHeight="1" x14ac:dyDescent="0.35">
      <c r="A37" s="4" t="s">
        <v>70</v>
      </c>
      <c r="B37" s="7">
        <f>18960.78</f>
        <v>18960.78</v>
      </c>
      <c r="E37" s="4" t="s">
        <v>74</v>
      </c>
      <c r="F37" s="7">
        <v>370</v>
      </c>
    </row>
    <row r="38" spans="1:6" ht="12.75" customHeight="1" x14ac:dyDescent="0.35">
      <c r="A38" s="4" t="s">
        <v>71</v>
      </c>
      <c r="B38" s="7">
        <f>40949.5</f>
        <v>40949.5</v>
      </c>
      <c r="E38" s="4" t="s">
        <v>76</v>
      </c>
      <c r="F38" s="7">
        <v>69710.44</v>
      </c>
    </row>
    <row r="39" spans="1:6" ht="12.75" customHeight="1" x14ac:dyDescent="0.35">
      <c r="A39" s="4" t="s">
        <v>72</v>
      </c>
      <c r="B39" s="7">
        <f>520.36</f>
        <v>520.36</v>
      </c>
      <c r="E39" s="4" t="s">
        <v>77</v>
      </c>
      <c r="F39" s="7"/>
    </row>
    <row r="40" spans="1:6" ht="12.75" customHeight="1" x14ac:dyDescent="0.35">
      <c r="A40" s="4" t="s">
        <v>73</v>
      </c>
      <c r="B40" s="7">
        <f>404.69</f>
        <v>404.69</v>
      </c>
      <c r="E40" s="4" t="s">
        <v>78</v>
      </c>
      <c r="F40" s="7">
        <v>165753.95000000001</v>
      </c>
    </row>
    <row r="41" spans="1:6" ht="12.75" customHeight="1" x14ac:dyDescent="0.35">
      <c r="A41" s="4" t="s">
        <v>74</v>
      </c>
      <c r="B41" s="7">
        <f>1657.8</f>
        <v>1657.8</v>
      </c>
      <c r="E41" s="4" t="s">
        <v>80</v>
      </c>
      <c r="F41" s="7">
        <v>1370.2</v>
      </c>
    </row>
    <row r="42" spans="1:6" ht="12.75" customHeight="1" x14ac:dyDescent="0.35">
      <c r="A42" s="4" t="s">
        <v>75</v>
      </c>
      <c r="B42" s="7">
        <f>549.67</f>
        <v>549.66999999999996</v>
      </c>
      <c r="E42" s="4" t="s">
        <v>81</v>
      </c>
      <c r="F42" s="7">
        <v>2498.5300000000002</v>
      </c>
    </row>
    <row r="43" spans="1:6" ht="12.75" customHeight="1" x14ac:dyDescent="0.35">
      <c r="A43" s="4" t="s">
        <v>76</v>
      </c>
      <c r="B43" s="8">
        <f>(((((((B32)+(B36))+(B37))+(B38))+(B39))+(B40))+(B41))+(B42)</f>
        <v>132560.01</v>
      </c>
      <c r="E43" s="4" t="s">
        <v>82</v>
      </c>
      <c r="F43" s="8">
        <v>3421.04</v>
      </c>
    </row>
    <row r="44" spans="1:6" ht="12.75" customHeight="1" x14ac:dyDescent="0.35">
      <c r="A44" s="4" t="s">
        <v>77</v>
      </c>
      <c r="B44" s="6"/>
      <c r="E44" s="4" t="s">
        <v>83</v>
      </c>
      <c r="F44" s="6">
        <v>11044.79</v>
      </c>
    </row>
    <row r="45" spans="1:6" ht="12.75" customHeight="1" x14ac:dyDescent="0.35">
      <c r="A45" s="4" t="s">
        <v>78</v>
      </c>
      <c r="B45" s="7">
        <f>143797.6</f>
        <v>143797.6</v>
      </c>
      <c r="E45" s="4" t="s">
        <v>84</v>
      </c>
      <c r="F45" s="7">
        <v>53.85</v>
      </c>
    </row>
    <row r="46" spans="1:6" ht="12.75" customHeight="1" x14ac:dyDescent="0.35">
      <c r="A46" s="4" t="s">
        <v>79</v>
      </c>
      <c r="B46" s="7">
        <f>919.98</f>
        <v>919.98</v>
      </c>
      <c r="E46" s="4" t="s">
        <v>85</v>
      </c>
      <c r="F46" s="7">
        <v>2275.35</v>
      </c>
    </row>
    <row r="47" spans="1:6" ht="12.75" customHeight="1" x14ac:dyDescent="0.35">
      <c r="A47" s="4" t="s">
        <v>80</v>
      </c>
      <c r="B47" s="7">
        <f>5283.72</f>
        <v>5283.72</v>
      </c>
      <c r="E47" s="4" t="s">
        <v>86</v>
      </c>
      <c r="F47" s="7">
        <v>186417.71</v>
      </c>
    </row>
    <row r="48" spans="1:6" ht="12.75" customHeight="1" x14ac:dyDescent="0.35">
      <c r="A48" s="4" t="s">
        <v>81</v>
      </c>
      <c r="B48" s="7">
        <f>1554.46</f>
        <v>1554.46</v>
      </c>
      <c r="E48" s="4" t="s">
        <v>87</v>
      </c>
      <c r="F48" s="7"/>
    </row>
    <row r="49" spans="1:6" ht="12.75" customHeight="1" x14ac:dyDescent="0.35">
      <c r="A49" s="4" t="s">
        <v>82</v>
      </c>
      <c r="B49" s="7">
        <f>7045.3</f>
        <v>7045.3</v>
      </c>
      <c r="E49" s="4" t="s">
        <v>132</v>
      </c>
      <c r="F49" s="7">
        <v>7057.31</v>
      </c>
    </row>
    <row r="50" spans="1:6" ht="12.75" customHeight="1" x14ac:dyDescent="0.35">
      <c r="A50" s="4" t="s">
        <v>83</v>
      </c>
      <c r="B50" s="7">
        <f>9492.85</f>
        <v>9492.85</v>
      </c>
      <c r="E50" s="4" t="s">
        <v>89</v>
      </c>
      <c r="F50" s="7">
        <v>1364.92</v>
      </c>
    </row>
    <row r="51" spans="1:6" ht="12.75" customHeight="1" x14ac:dyDescent="0.35">
      <c r="A51" s="4" t="s">
        <v>84</v>
      </c>
      <c r="B51" s="7">
        <f>18.04</f>
        <v>18.04</v>
      </c>
      <c r="E51" s="4" t="s">
        <v>90</v>
      </c>
      <c r="F51" s="7">
        <v>8422.23</v>
      </c>
    </row>
    <row r="52" spans="1:6" ht="12.75" customHeight="1" x14ac:dyDescent="0.35">
      <c r="A52" s="4" t="s">
        <v>85</v>
      </c>
      <c r="B52" s="7">
        <f>132.35</f>
        <v>132.35</v>
      </c>
      <c r="E52" s="4" t="s">
        <v>91</v>
      </c>
      <c r="F52" s="7"/>
    </row>
    <row r="53" spans="1:6" ht="12.75" customHeight="1" x14ac:dyDescent="0.35">
      <c r="A53" s="4" t="s">
        <v>86</v>
      </c>
      <c r="B53" s="8">
        <f>((((((((B44)+(B45))+(B46))+(B47))+(B48))+(B49))+(B50))+(B51))+(B52)</f>
        <v>168244.30000000002</v>
      </c>
      <c r="E53" s="4" t="s">
        <v>92</v>
      </c>
      <c r="F53" s="8">
        <v>12.99</v>
      </c>
    </row>
    <row r="54" spans="1:6" ht="12.75" customHeight="1" x14ac:dyDescent="0.35">
      <c r="A54" s="4" t="s">
        <v>87</v>
      </c>
      <c r="B54" s="6"/>
      <c r="E54" s="4" t="s">
        <v>93</v>
      </c>
      <c r="F54" s="6">
        <v>3721.45</v>
      </c>
    </row>
    <row r="55" spans="1:6" ht="12.75" customHeight="1" x14ac:dyDescent="0.35">
      <c r="A55" s="4" t="s">
        <v>88</v>
      </c>
      <c r="B55" s="7">
        <f>9220</f>
        <v>9220</v>
      </c>
      <c r="E55" s="4" t="s">
        <v>94</v>
      </c>
      <c r="F55" s="7">
        <v>627.79999999999995</v>
      </c>
    </row>
    <row r="56" spans="1:6" ht="12.75" customHeight="1" x14ac:dyDescent="0.35">
      <c r="A56" s="4" t="s">
        <v>89</v>
      </c>
      <c r="B56" s="7">
        <f>607.68</f>
        <v>607.67999999999995</v>
      </c>
      <c r="E56" s="4" t="s">
        <v>95</v>
      </c>
      <c r="F56" s="7">
        <v>2333.5700000000002</v>
      </c>
    </row>
    <row r="57" spans="1:6" ht="12.75" customHeight="1" x14ac:dyDescent="0.35">
      <c r="A57" s="4" t="s">
        <v>90</v>
      </c>
      <c r="B57" s="8">
        <f>((B54)+(B55))+(B56)</f>
        <v>9827.68</v>
      </c>
      <c r="E57" s="4" t="s">
        <v>96</v>
      </c>
      <c r="F57" s="8">
        <v>2688.69</v>
      </c>
    </row>
    <row r="58" spans="1:6" ht="12.75" customHeight="1" x14ac:dyDescent="0.35">
      <c r="A58" s="4" t="s">
        <v>91</v>
      </c>
      <c r="B58" s="6"/>
      <c r="E58" s="4" t="s">
        <v>133</v>
      </c>
      <c r="F58" s="6">
        <v>25.53</v>
      </c>
    </row>
    <row r="59" spans="1:6" ht="12.75" customHeight="1" x14ac:dyDescent="0.35">
      <c r="A59" s="4" t="s">
        <v>92</v>
      </c>
      <c r="B59" s="7">
        <f>1527.09</f>
        <v>1527.09</v>
      </c>
      <c r="E59" s="4" t="s">
        <v>97</v>
      </c>
      <c r="F59" s="7">
        <v>207.16</v>
      </c>
    </row>
    <row r="60" spans="1:6" ht="12.75" customHeight="1" x14ac:dyDescent="0.35">
      <c r="A60" s="4" t="s">
        <v>93</v>
      </c>
      <c r="B60" s="7">
        <f>3147.91</f>
        <v>3147.91</v>
      </c>
      <c r="E60" s="4" t="s">
        <v>98</v>
      </c>
      <c r="F60" s="7">
        <v>5623.15</v>
      </c>
    </row>
    <row r="61" spans="1:6" ht="12.75" customHeight="1" x14ac:dyDescent="0.35">
      <c r="A61" s="4" t="s">
        <v>94</v>
      </c>
      <c r="B61" s="7">
        <f>756.56</f>
        <v>756.56</v>
      </c>
      <c r="E61" s="4" t="s">
        <v>134</v>
      </c>
      <c r="F61" s="7">
        <v>36</v>
      </c>
    </row>
    <row r="62" spans="1:6" ht="12.75" customHeight="1" x14ac:dyDescent="0.35">
      <c r="A62" s="4" t="s">
        <v>95</v>
      </c>
      <c r="B62" s="7">
        <f>2135.25</f>
        <v>2135.25</v>
      </c>
      <c r="E62" s="4" t="s">
        <v>99</v>
      </c>
      <c r="F62" s="7">
        <v>1722</v>
      </c>
    </row>
    <row r="63" spans="1:6" ht="12.75" customHeight="1" x14ac:dyDescent="0.35">
      <c r="A63" s="4" t="s">
        <v>96</v>
      </c>
      <c r="B63" s="7">
        <f>4661.8</f>
        <v>4661.8</v>
      </c>
      <c r="E63" s="4" t="s">
        <v>135</v>
      </c>
      <c r="F63" s="7">
        <v>36.97</v>
      </c>
    </row>
    <row r="64" spans="1:6" ht="12.75" customHeight="1" x14ac:dyDescent="0.35">
      <c r="A64" s="4" t="s">
        <v>97</v>
      </c>
      <c r="B64" s="7">
        <f>778.32</f>
        <v>778.32</v>
      </c>
      <c r="E64" s="4" t="s">
        <v>101</v>
      </c>
      <c r="F64" s="7">
        <v>17035.310000000001</v>
      </c>
    </row>
    <row r="65" spans="1:6" ht="12.75" customHeight="1" x14ac:dyDescent="0.35">
      <c r="A65" s="4" t="s">
        <v>98</v>
      </c>
      <c r="B65" s="7">
        <f>5488.4</f>
        <v>5488.4</v>
      </c>
      <c r="E65" s="4" t="s">
        <v>102</v>
      </c>
      <c r="F65" s="7"/>
    </row>
    <row r="66" spans="1:6" ht="12.75" customHeight="1" x14ac:dyDescent="0.35">
      <c r="A66" s="4" t="s">
        <v>99</v>
      </c>
      <c r="B66" s="7">
        <f>1576</f>
        <v>1576</v>
      </c>
      <c r="E66" s="4" t="s">
        <v>136</v>
      </c>
      <c r="F66" s="7">
        <v>2008.35</v>
      </c>
    </row>
    <row r="67" spans="1:6" ht="12.75" customHeight="1" x14ac:dyDescent="0.35">
      <c r="A67" s="4" t="s">
        <v>100</v>
      </c>
      <c r="B67" s="7">
        <f>1294</f>
        <v>1294</v>
      </c>
      <c r="E67" s="4" t="s">
        <v>104</v>
      </c>
      <c r="F67" s="7">
        <v>2870.34</v>
      </c>
    </row>
    <row r="68" spans="1:6" ht="12.75" customHeight="1" x14ac:dyDescent="0.35">
      <c r="A68" s="4" t="s">
        <v>101</v>
      </c>
      <c r="B68" s="8">
        <f>(((((((((B58)+(B59))+(B60))+(B61))+(B62))+(B63))+(B64))+(B65))+(B66))+(B67)</f>
        <v>21365.33</v>
      </c>
      <c r="E68" s="4" t="s">
        <v>105</v>
      </c>
      <c r="F68" s="8">
        <v>59683.45</v>
      </c>
    </row>
    <row r="69" spans="1:6" ht="12.75" customHeight="1" x14ac:dyDescent="0.35">
      <c r="A69" s="4" t="s">
        <v>102</v>
      </c>
      <c r="B69" s="6"/>
      <c r="E69" s="4" t="s">
        <v>106</v>
      </c>
      <c r="F69" s="6">
        <v>2346.2600000000002</v>
      </c>
    </row>
    <row r="70" spans="1:6" ht="12.75" customHeight="1" x14ac:dyDescent="0.35">
      <c r="A70" s="4" t="s">
        <v>103</v>
      </c>
      <c r="B70" s="7">
        <f>14.67</f>
        <v>14.67</v>
      </c>
      <c r="E70" s="4" t="s">
        <v>109</v>
      </c>
      <c r="F70" s="7">
        <v>66908.399999999994</v>
      </c>
    </row>
    <row r="71" spans="1:6" ht="12.75" customHeight="1" x14ac:dyDescent="0.35">
      <c r="A71" s="4" t="s">
        <v>104</v>
      </c>
      <c r="B71" s="7">
        <f>3246.88</f>
        <v>3246.88</v>
      </c>
      <c r="E71" s="4" t="s">
        <v>110</v>
      </c>
      <c r="F71" s="7"/>
    </row>
    <row r="72" spans="1:6" ht="12.75" customHeight="1" x14ac:dyDescent="0.35">
      <c r="A72" s="4" t="s">
        <v>105</v>
      </c>
      <c r="B72" s="7">
        <f>540</f>
        <v>540</v>
      </c>
      <c r="E72" s="4" t="s">
        <v>111</v>
      </c>
      <c r="F72" s="7">
        <v>839.16</v>
      </c>
    </row>
    <row r="73" spans="1:6" ht="12.75" customHeight="1" x14ac:dyDescent="0.35">
      <c r="A73" s="4" t="s">
        <v>106</v>
      </c>
      <c r="B73" s="7">
        <f>32.12</f>
        <v>32.119999999999997</v>
      </c>
      <c r="E73" s="4" t="s">
        <v>112</v>
      </c>
      <c r="F73" s="7">
        <v>839.16</v>
      </c>
    </row>
    <row r="74" spans="1:6" ht="12.75" customHeight="1" x14ac:dyDescent="0.35">
      <c r="A74" s="4" t="s">
        <v>107</v>
      </c>
      <c r="B74" s="7">
        <f>1961.47</f>
        <v>1961.47</v>
      </c>
      <c r="E74" s="4" t="s">
        <v>113</v>
      </c>
      <c r="F74" s="7"/>
    </row>
    <row r="75" spans="1:6" ht="12.75" customHeight="1" x14ac:dyDescent="0.35">
      <c r="A75" s="4" t="s">
        <v>108</v>
      </c>
      <c r="B75" s="7">
        <f>61553.8</f>
        <v>61553.8</v>
      </c>
      <c r="E75" s="4" t="s">
        <v>137</v>
      </c>
      <c r="F75" s="7">
        <v>856.75</v>
      </c>
    </row>
    <row r="76" spans="1:6" ht="12.75" customHeight="1" x14ac:dyDescent="0.35">
      <c r="A76" s="4" t="s">
        <v>109</v>
      </c>
      <c r="B76" s="8">
        <f>((((((B69)+(B70))+(B71))+(B72))+(B73))+(B74))+(B75)</f>
        <v>67348.94</v>
      </c>
      <c r="E76" s="4" t="s">
        <v>115</v>
      </c>
      <c r="F76" s="8">
        <v>0</v>
      </c>
    </row>
    <row r="77" spans="1:6" ht="12.75" customHeight="1" x14ac:dyDescent="0.35">
      <c r="A77" s="4" t="s">
        <v>110</v>
      </c>
      <c r="B77" s="6"/>
      <c r="E77" s="4" t="s">
        <v>116</v>
      </c>
      <c r="F77" s="6">
        <v>166.07</v>
      </c>
    </row>
    <row r="78" spans="1:6" ht="12.75" customHeight="1" x14ac:dyDescent="0.35">
      <c r="A78" s="4" t="s">
        <v>111</v>
      </c>
      <c r="B78" s="7">
        <f>35</f>
        <v>35</v>
      </c>
      <c r="E78" s="4" t="s">
        <v>117</v>
      </c>
      <c r="F78" s="7">
        <v>983.95</v>
      </c>
    </row>
    <row r="79" spans="1:6" ht="12.75" customHeight="1" x14ac:dyDescent="0.35">
      <c r="A79" s="4" t="s">
        <v>112</v>
      </c>
      <c r="B79" s="8">
        <f>(B77)+(B78)</f>
        <v>35</v>
      </c>
      <c r="E79" s="4" t="s">
        <v>119</v>
      </c>
      <c r="F79" s="8">
        <v>2006.77</v>
      </c>
    </row>
    <row r="80" spans="1:6" ht="12.75" customHeight="1" x14ac:dyDescent="0.35">
      <c r="A80" s="4" t="s">
        <v>113</v>
      </c>
      <c r="B80" s="7">
        <f>0</f>
        <v>0</v>
      </c>
      <c r="E80" s="4" t="s">
        <v>120</v>
      </c>
      <c r="F80" s="7">
        <v>351340.02</v>
      </c>
    </row>
    <row r="81" spans="1:6" ht="12.75" customHeight="1" x14ac:dyDescent="0.35">
      <c r="A81" s="4" t="s">
        <v>114</v>
      </c>
      <c r="B81" s="7">
        <f>244.47</f>
        <v>244.47</v>
      </c>
      <c r="E81" s="4" t="s">
        <v>121</v>
      </c>
      <c r="F81" s="7">
        <v>-46381.98</v>
      </c>
    </row>
    <row r="82" spans="1:6" ht="12.75" customHeight="1" x14ac:dyDescent="0.35">
      <c r="A82" s="4" t="s">
        <v>115</v>
      </c>
      <c r="B82" s="7">
        <f>247.71</f>
        <v>247.71</v>
      </c>
      <c r="E82" s="4" t="s">
        <v>126</v>
      </c>
      <c r="F82" s="7">
        <v>-46381.98</v>
      </c>
    </row>
    <row r="83" spans="1:6" ht="12.75" customHeight="1" x14ac:dyDescent="0.35">
      <c r="A83" s="4" t="s">
        <v>116</v>
      </c>
      <c r="B83" s="7">
        <f>6</f>
        <v>6</v>
      </c>
      <c r="E83" s="4"/>
      <c r="F83" s="7"/>
    </row>
    <row r="84" spans="1:6" ht="12.75" customHeight="1" x14ac:dyDescent="0.35">
      <c r="A84" s="4" t="s">
        <v>117</v>
      </c>
      <c r="B84" s="7">
        <f>1000</f>
        <v>1000</v>
      </c>
      <c r="E84" s="4"/>
      <c r="F84" s="7"/>
    </row>
    <row r="85" spans="1:6" ht="12.75" customHeight="1" x14ac:dyDescent="0.35">
      <c r="A85" s="4" t="s">
        <v>118</v>
      </c>
      <c r="B85" s="7">
        <f>1075</f>
        <v>1075</v>
      </c>
      <c r="E85" s="4"/>
      <c r="F85" s="7"/>
    </row>
    <row r="86" spans="1:6" ht="12.75" customHeight="1" x14ac:dyDescent="0.35">
      <c r="A86" s="4" t="s">
        <v>119</v>
      </c>
      <c r="B86" s="8">
        <f>(((((B80)+(B81))+(B82))+(B83))+(B84))+(B85)</f>
        <v>2573.1800000000003</v>
      </c>
      <c r="E86" s="4" t="s">
        <v>138</v>
      </c>
      <c r="F86" s="8"/>
    </row>
    <row r="87" spans="1:6" ht="12.75" customHeight="1" x14ac:dyDescent="0.35">
      <c r="A87" s="4" t="s">
        <v>120</v>
      </c>
      <c r="B87" s="8">
        <f>(((((((B31)+(B43))+(B53))+(B57))+(B68))+(B76))+(B79))+(B86)</f>
        <v>401954.44000000006</v>
      </c>
      <c r="E87" s="4"/>
      <c r="F87" s="8"/>
    </row>
    <row r="88" spans="1:6" ht="12.75" customHeight="1" x14ac:dyDescent="0.35">
      <c r="A88" s="4" t="s">
        <v>121</v>
      </c>
      <c r="B88" s="8">
        <f>(B29)-(B87)</f>
        <v>-75456.640000000072</v>
      </c>
      <c r="E88" s="4"/>
      <c r="F88" s="8"/>
    </row>
    <row r="89" spans="1:6" ht="12.75" customHeight="1" x14ac:dyDescent="0.35">
      <c r="A89" s="4" t="s">
        <v>122</v>
      </c>
      <c r="B89" s="6"/>
      <c r="E89" s="4"/>
      <c r="F89" s="6"/>
    </row>
    <row r="90" spans="1:6" ht="12.75" customHeight="1" x14ac:dyDescent="0.35">
      <c r="A90" s="4" t="s">
        <v>123</v>
      </c>
      <c r="B90" s="7">
        <f>0.18</f>
        <v>0.18</v>
      </c>
      <c r="E90" s="4"/>
      <c r="F90" s="7"/>
    </row>
    <row r="91" spans="1:6" ht="12.75" customHeight="1" x14ac:dyDescent="0.35">
      <c r="A91" s="4" t="s">
        <v>124</v>
      </c>
      <c r="B91" s="8">
        <f>B90</f>
        <v>0.18</v>
      </c>
      <c r="E91" s="4"/>
      <c r="F91" s="8"/>
    </row>
    <row r="92" spans="1:6" ht="12.75" customHeight="1" x14ac:dyDescent="0.35">
      <c r="A92" s="4" t="s">
        <v>125</v>
      </c>
      <c r="B92" s="8">
        <f>(0)-(B91)</f>
        <v>-0.18</v>
      </c>
      <c r="E92" s="4"/>
      <c r="F92" s="8"/>
    </row>
    <row r="93" spans="1:6" ht="12.75" customHeight="1" x14ac:dyDescent="0.35">
      <c r="A93" s="4" t="s">
        <v>126</v>
      </c>
      <c r="B93" s="8">
        <f>(B88)+(B92)</f>
        <v>-75456.820000000065</v>
      </c>
      <c r="E93" s="4"/>
      <c r="F93" s="8"/>
    </row>
    <row r="94" spans="1:6" ht="12.75" customHeight="1" x14ac:dyDescent="0.35">
      <c r="A94" s="4"/>
      <c r="B94" s="6"/>
      <c r="E94" s="4"/>
      <c r="F94" s="6"/>
    </row>
    <row r="95" spans="1:6" ht="12.75" customHeight="1" x14ac:dyDescent="0.35"/>
    <row r="96" spans="1:6" ht="12.75" customHeight="1" x14ac:dyDescent="0.35"/>
    <row r="97" spans="1:6" ht="12.75" customHeight="1" x14ac:dyDescent="0.35">
      <c r="A97" s="159" t="s">
        <v>127</v>
      </c>
      <c r="B97" s="157"/>
      <c r="E97" s="159"/>
      <c r="F97" s="157"/>
    </row>
  </sheetData>
  <mergeCells count="8">
    <mergeCell ref="A1:B1"/>
    <mergeCell ref="A2:B2"/>
    <mergeCell ref="A3:B3"/>
    <mergeCell ref="A97:B97"/>
    <mergeCell ref="E1:F1"/>
    <mergeCell ref="E2:F2"/>
    <mergeCell ref="E3:F3"/>
    <mergeCell ref="E97:F9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8CED67E67994469C395CEEF6F66B7F" ma:contentTypeVersion="4" ma:contentTypeDescription="Create a new document." ma:contentTypeScope="" ma:versionID="9389c6e75a1ec7f802fd6ce459a222b9">
  <xsd:schema xmlns:xsd="http://www.w3.org/2001/XMLSchema" xmlns:xs="http://www.w3.org/2001/XMLSchema" xmlns:p="http://schemas.microsoft.com/office/2006/metadata/properties" xmlns:ns3="0c2f6f51-e338-416f-918b-c699e2041bb7" targetNamespace="http://schemas.microsoft.com/office/2006/metadata/properties" ma:root="true" ma:fieldsID="a1ece42ab1e68bc4b87765351c309463" ns3:_="">
    <xsd:import namespace="0c2f6f51-e338-416f-918b-c699e2041bb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2f6f51-e338-416f-918b-c699e2041b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74BE5-143B-44FB-93C8-64C3BDAEC9A9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0c2f6f51-e338-416f-918b-c699e2041bb7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CC546EE-E3FF-4E48-8E03-C51DE82F9B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2f6f51-e338-416f-918b-c699e2041b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A25A57-58B8-4B92-93DD-69F75DB009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 Cash Basis P&amp;L</vt:lpstr>
      <vt:lpstr>March 2022 Accrual Basis BS</vt:lpstr>
      <vt:lpstr>Statement of Activity</vt:lpstr>
      <vt:lpstr>Sheet2</vt:lpstr>
      <vt:lpstr>' Cash Basis P&amp;L'!Print_Titles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Leibowitz</dc:creator>
  <cp:lastModifiedBy>Shannon Small</cp:lastModifiedBy>
  <cp:lastPrinted>2021-10-18T17:53:16Z</cp:lastPrinted>
  <dcterms:created xsi:type="dcterms:W3CDTF">2015-03-18T01:33:04Z</dcterms:created>
  <dcterms:modified xsi:type="dcterms:W3CDTF">2022-07-31T01:08:51Z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0x0101006E8CED67E67994469C395CEEF6F66B7F</vt:lpwstr>
  </property>
</Properties>
</file>