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m Kelner\Budget\2022-23\"/>
    </mc:Choice>
  </mc:AlternateContent>
  <xr:revisionPtr revIDLastSave="0" documentId="13_ncr:1_{5447EA7F-6563-4F8F-B4FD-CD123647BE3D}" xr6:coauthVersionLast="47" xr6:coauthVersionMax="47" xr10:uidLastSave="{00000000-0000-0000-0000-000000000000}"/>
  <bookViews>
    <workbookView xWindow="-120" yWindow="-120" windowWidth="19440" windowHeight="15000" xr2:uid="{2A6A2497-9203-4EC9-A4E2-D3B36864BC35}"/>
  </bookViews>
  <sheets>
    <sheet name="Estimated Budget 22-23" sheetId="2" r:id="rId1"/>
    <sheet name="Payroll by Program" sheetId="3" r:id="rId2"/>
    <sheet name="Final Budget 21-22" sheetId="1" r:id="rId3"/>
  </sheets>
  <externalReferences>
    <externalReference r:id="rId4"/>
    <externalReference r:id="rId5"/>
    <externalReference r:id="rId6"/>
  </externalReferences>
  <definedNames>
    <definedName name="_xlnm.Print_Area" localSheetId="0">'Estimated Budget 22-23'!$B$2:$J$95</definedName>
    <definedName name="_xlnm.Print_Area" localSheetId="2">'Final Budget 21-22'!$B$1:$J$94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2" l="1"/>
  <c r="I55" i="2"/>
  <c r="H12" i="2" l="1"/>
  <c r="H13" i="2"/>
  <c r="H14" i="2"/>
  <c r="I82" i="2"/>
  <c r="I77" i="2"/>
  <c r="G55" i="2"/>
  <c r="G75" i="2" l="1"/>
  <c r="G33" i="2"/>
  <c r="G31" i="2"/>
  <c r="C94" i="3" l="1"/>
  <c r="Q94" i="3" s="1"/>
  <c r="C85" i="3"/>
  <c r="R77" i="3"/>
  <c r="D76" i="3"/>
  <c r="R76" i="3" s="1"/>
  <c r="R74" i="3"/>
  <c r="R73" i="3"/>
  <c r="R72" i="3"/>
  <c r="L72" i="3"/>
  <c r="K72" i="3"/>
  <c r="R71" i="3"/>
  <c r="P62" i="3"/>
  <c r="N62" i="3"/>
  <c r="M62" i="3"/>
  <c r="L62" i="3"/>
  <c r="K62" i="3"/>
  <c r="J62" i="3"/>
  <c r="I62" i="3"/>
  <c r="F62" i="3"/>
  <c r="E62" i="3"/>
  <c r="C60" i="3"/>
  <c r="C75" i="3" s="1"/>
  <c r="C57" i="3"/>
  <c r="C53" i="3"/>
  <c r="H47" i="3"/>
  <c r="Q42" i="3"/>
  <c r="C41" i="3"/>
  <c r="C74" i="3" s="1"/>
  <c r="C27" i="3"/>
  <c r="M34" i="3" s="1"/>
  <c r="M47" i="3" s="1"/>
  <c r="C24" i="3"/>
  <c r="C15" i="3"/>
  <c r="G21" i="3" s="1"/>
  <c r="G47" i="3" s="1"/>
  <c r="C12" i="3"/>
  <c r="C8" i="3"/>
  <c r="C71" i="3" s="1"/>
  <c r="C91" i="3"/>
  <c r="C62" i="3" l="1"/>
  <c r="Q91" i="3"/>
  <c r="J18" i="3"/>
  <c r="Q10" i="3"/>
  <c r="N22" i="3"/>
  <c r="D41" i="3"/>
  <c r="G60" i="3"/>
  <c r="G62" i="3" s="1"/>
  <c r="G64" i="3" s="1"/>
  <c r="D42" i="3"/>
  <c r="O56" i="3"/>
  <c r="O62" i="3" s="1"/>
  <c r="H60" i="3"/>
  <c r="D9" i="3"/>
  <c r="C76" i="3"/>
  <c r="M64" i="3"/>
  <c r="J31" i="3"/>
  <c r="P35" i="3"/>
  <c r="P47" i="3" s="1"/>
  <c r="P64" i="3" s="1"/>
  <c r="I23" i="3"/>
  <c r="K32" i="3"/>
  <c r="C73" i="3"/>
  <c r="O11" i="3"/>
  <c r="O47" i="3" s="1"/>
  <c r="E16" i="3"/>
  <c r="L20" i="3"/>
  <c r="F29" i="3"/>
  <c r="L33" i="3"/>
  <c r="N36" i="3"/>
  <c r="D54" i="3"/>
  <c r="D62" i="3" s="1"/>
  <c r="K19" i="3"/>
  <c r="E28" i="3"/>
  <c r="C47" i="3"/>
  <c r="C72" i="3"/>
  <c r="F17" i="3"/>
  <c r="I30" i="3"/>
  <c r="Q43" i="3"/>
  <c r="R43" i="3" s="1"/>
  <c r="Q55" i="3"/>
  <c r="C92" i="3"/>
  <c r="Q92" i="3" s="1"/>
  <c r="G56" i="2"/>
  <c r="H92" i="2"/>
  <c r="H91" i="2"/>
  <c r="H90" i="2"/>
  <c r="H89" i="2"/>
  <c r="H88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39" i="2"/>
  <c r="H38" i="2"/>
  <c r="H37" i="2"/>
  <c r="H36" i="2"/>
  <c r="H35" i="2"/>
  <c r="H34" i="2"/>
  <c r="H33" i="2"/>
  <c r="H32" i="2"/>
  <c r="H31" i="2"/>
  <c r="H45" i="2"/>
  <c r="H44" i="2"/>
  <c r="H43" i="2"/>
  <c r="H42" i="2"/>
  <c r="H41" i="2"/>
  <c r="H28" i="2"/>
  <c r="H27" i="2"/>
  <c r="H26" i="2"/>
  <c r="H25" i="2"/>
  <c r="H24" i="2"/>
  <c r="H23" i="2"/>
  <c r="H22" i="2"/>
  <c r="H21" i="2"/>
  <c r="H8" i="2"/>
  <c r="H9" i="2"/>
  <c r="H10" i="2"/>
  <c r="H11" i="2"/>
  <c r="H7" i="2"/>
  <c r="E17" i="2"/>
  <c r="E29" i="2"/>
  <c r="E46" i="2"/>
  <c r="E59" i="2"/>
  <c r="E93" i="2" s="1"/>
  <c r="H61" i="2"/>
  <c r="F59" i="2"/>
  <c r="F93" i="2" s="1"/>
  <c r="H58" i="2"/>
  <c r="I46" i="2"/>
  <c r="G46" i="2"/>
  <c r="F46" i="2"/>
  <c r="I29" i="2"/>
  <c r="F29" i="2"/>
  <c r="G29" i="2"/>
  <c r="I17" i="2"/>
  <c r="G17" i="2"/>
  <c r="F17" i="2"/>
  <c r="H16" i="2"/>
  <c r="I28" i="1"/>
  <c r="F47" i="1"/>
  <c r="E47" i="1"/>
  <c r="F16" i="1"/>
  <c r="E16" i="1"/>
  <c r="G92" i="1"/>
  <c r="F92" i="1"/>
  <c r="E92" i="1"/>
  <c r="I48" i="1"/>
  <c r="T50" i="1"/>
  <c r="G18" i="1"/>
  <c r="K47" i="3" l="1"/>
  <c r="K64" i="3" s="1"/>
  <c r="N47" i="3"/>
  <c r="N64" i="3" s="1"/>
  <c r="J47" i="3"/>
  <c r="J64" i="3" s="1"/>
  <c r="D47" i="3"/>
  <c r="D64" i="3" s="1"/>
  <c r="C64" i="3"/>
  <c r="R60" i="3"/>
  <c r="O64" i="3"/>
  <c r="R11" i="3"/>
  <c r="C86" i="3"/>
  <c r="I47" i="3"/>
  <c r="I64" i="3" s="1"/>
  <c r="F47" i="3"/>
  <c r="F64" i="3" s="1"/>
  <c r="R35" i="3"/>
  <c r="F48" i="2"/>
  <c r="F50" i="2" s="1"/>
  <c r="F95" i="2" s="1"/>
  <c r="H75" i="3"/>
  <c r="R75" i="3" s="1"/>
  <c r="H62" i="3"/>
  <c r="H64" i="3" s="1"/>
  <c r="R57" i="3"/>
  <c r="Q62" i="3"/>
  <c r="Q47" i="3"/>
  <c r="Q64" i="3" s="1"/>
  <c r="E47" i="3"/>
  <c r="E64" i="3" s="1"/>
  <c r="R24" i="3"/>
  <c r="L47" i="3"/>
  <c r="L64" i="3" s="1"/>
  <c r="C78" i="3"/>
  <c r="R83" i="3" s="1"/>
  <c r="H55" i="2"/>
  <c r="H46" i="2"/>
  <c r="H29" i="2"/>
  <c r="I48" i="2"/>
  <c r="I50" i="2" s="1"/>
  <c r="H17" i="2"/>
  <c r="E48" i="2"/>
  <c r="E50" i="2" s="1"/>
  <c r="E95" i="2" s="1"/>
  <c r="G48" i="2"/>
  <c r="G50" i="2" s="1"/>
  <c r="H56" i="2"/>
  <c r="G57" i="1"/>
  <c r="K57" i="1"/>
  <c r="L57" i="1"/>
  <c r="N57" i="1"/>
  <c r="G54" i="1"/>
  <c r="G57" i="2" l="1"/>
  <c r="H57" i="2" s="1"/>
  <c r="H59" i="2" s="1"/>
  <c r="H93" i="2" s="1"/>
  <c r="C93" i="3"/>
  <c r="R62" i="3"/>
  <c r="R47" i="3"/>
  <c r="R64" i="3" s="1"/>
  <c r="D78" i="3"/>
  <c r="J78" i="3"/>
  <c r="Q78" i="3"/>
  <c r="H78" i="3"/>
  <c r="G78" i="3"/>
  <c r="K78" i="3"/>
  <c r="I78" i="3"/>
  <c r="M78" i="3"/>
  <c r="P78" i="3"/>
  <c r="N78" i="3"/>
  <c r="L78" i="3"/>
  <c r="E78" i="3"/>
  <c r="O78" i="3"/>
  <c r="F78" i="3"/>
  <c r="H48" i="2"/>
  <c r="H50" i="2" s="1"/>
  <c r="H81" i="1"/>
  <c r="H67" i="1"/>
  <c r="H92" i="1" s="1"/>
  <c r="I45" i="1"/>
  <c r="I16" i="1"/>
  <c r="H68" i="1"/>
  <c r="I54" i="1"/>
  <c r="I57" i="1"/>
  <c r="N56" i="1"/>
  <c r="K56" i="1"/>
  <c r="S58" i="1"/>
  <c r="S59" i="1"/>
  <c r="S57" i="1"/>
  <c r="L56" i="1"/>
  <c r="G59" i="2" l="1"/>
  <c r="G93" i="2" s="1"/>
  <c r="Q93" i="3"/>
  <c r="Q95" i="3" s="1"/>
  <c r="C95" i="3"/>
  <c r="I59" i="2"/>
  <c r="I93" i="2" s="1"/>
  <c r="R78" i="3"/>
  <c r="F79" i="3" s="1"/>
  <c r="H95" i="2"/>
  <c r="S60" i="1"/>
  <c r="M57" i="1" s="1"/>
  <c r="H90" i="1"/>
  <c r="H73" i="1"/>
  <c r="H88" i="1"/>
  <c r="H89" i="1"/>
  <c r="H91" i="1"/>
  <c r="H87" i="1"/>
  <c r="H62" i="1"/>
  <c r="H63" i="1"/>
  <c r="H64" i="1"/>
  <c r="H65" i="1"/>
  <c r="H66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61" i="1"/>
  <c r="H60" i="1"/>
  <c r="F58" i="1"/>
  <c r="F99" i="1" s="1"/>
  <c r="F100" i="1" s="1"/>
  <c r="H57" i="1"/>
  <c r="H54" i="1"/>
  <c r="I55" i="1"/>
  <c r="G95" i="2" l="1"/>
  <c r="I95" i="2"/>
  <c r="Q97" i="3"/>
  <c r="N79" i="3"/>
  <c r="H79" i="3"/>
  <c r="G79" i="3"/>
  <c r="I79" i="3"/>
  <c r="P79" i="3"/>
  <c r="L79" i="3"/>
  <c r="K79" i="3"/>
  <c r="E79" i="3"/>
  <c r="Q79" i="3"/>
  <c r="R82" i="3" s="1"/>
  <c r="D79" i="3"/>
  <c r="J79" i="3"/>
  <c r="M79" i="3"/>
  <c r="O79" i="3"/>
  <c r="O57" i="1"/>
  <c r="G56" i="1" s="1"/>
  <c r="H56" i="1" s="1"/>
  <c r="M56" i="1"/>
  <c r="O56" i="1" s="1"/>
  <c r="I56" i="1" s="1"/>
  <c r="G55" i="1"/>
  <c r="H55" i="1" s="1"/>
  <c r="G82" i="3" l="1"/>
  <c r="K82" i="3"/>
  <c r="O82" i="3"/>
  <c r="H82" i="3"/>
  <c r="L82" i="3"/>
  <c r="P82" i="3"/>
  <c r="E82" i="3"/>
  <c r="I82" i="3"/>
  <c r="M82" i="3"/>
  <c r="D82" i="3"/>
  <c r="F82" i="3"/>
  <c r="J82" i="3"/>
  <c r="N82" i="3"/>
  <c r="R79" i="3"/>
  <c r="R84" i="3"/>
  <c r="G58" i="1"/>
  <c r="G99" i="1" s="1"/>
  <c r="G100" i="1" s="1"/>
  <c r="G45" i="1"/>
  <c r="H41" i="1"/>
  <c r="H42" i="1"/>
  <c r="H43" i="1"/>
  <c r="H44" i="1"/>
  <c r="H40" i="1"/>
  <c r="H31" i="1"/>
  <c r="H32" i="1"/>
  <c r="H33" i="1"/>
  <c r="H34" i="1"/>
  <c r="H35" i="1"/>
  <c r="H36" i="1"/>
  <c r="H37" i="1"/>
  <c r="H38" i="1"/>
  <c r="G28" i="1"/>
  <c r="F45" i="1"/>
  <c r="H19" i="1"/>
  <c r="H20" i="1"/>
  <c r="H21" i="1"/>
  <c r="H22" i="1"/>
  <c r="H23" i="1"/>
  <c r="H24" i="1"/>
  <c r="H25" i="1"/>
  <c r="H26" i="1"/>
  <c r="H27" i="1"/>
  <c r="H13" i="1"/>
  <c r="F28" i="1"/>
  <c r="E28" i="1"/>
  <c r="H7" i="1"/>
  <c r="H8" i="1"/>
  <c r="H9" i="1"/>
  <c r="H10" i="1"/>
  <c r="H12" i="1"/>
  <c r="H15" i="1"/>
  <c r="H6" i="1"/>
  <c r="G16" i="1"/>
  <c r="G47" i="1" s="1"/>
  <c r="N83" i="3" l="1"/>
  <c r="N84" i="3" s="1"/>
  <c r="N85" i="3" s="1"/>
  <c r="J83" i="3"/>
  <c r="J84" i="3" s="1"/>
  <c r="J85" i="3" s="1"/>
  <c r="F83" i="3"/>
  <c r="F84" i="3" s="1"/>
  <c r="F85" i="3" s="1"/>
  <c r="L83" i="3"/>
  <c r="L84" i="3" s="1"/>
  <c r="L85" i="3" s="1"/>
  <c r="G83" i="3"/>
  <c r="G84" i="3" s="1"/>
  <c r="G85" i="3" s="1"/>
  <c r="M83" i="3"/>
  <c r="M84" i="3" s="1"/>
  <c r="M85" i="3" s="1"/>
  <c r="I83" i="3"/>
  <c r="I84" i="3" s="1"/>
  <c r="I85" i="3" s="1"/>
  <c r="E83" i="3"/>
  <c r="E84" i="3" s="1"/>
  <c r="E85" i="3" s="1"/>
  <c r="P83" i="3"/>
  <c r="P84" i="3" s="1"/>
  <c r="P85" i="3" s="1"/>
  <c r="H83" i="3"/>
  <c r="H84" i="3" s="1"/>
  <c r="H85" i="3" s="1"/>
  <c r="D83" i="3"/>
  <c r="D84" i="3" s="1"/>
  <c r="D85" i="3" s="1"/>
  <c r="O83" i="3"/>
  <c r="O84" i="3" s="1"/>
  <c r="O85" i="3" s="1"/>
  <c r="K83" i="3"/>
  <c r="K84" i="3" s="1"/>
  <c r="K85" i="3" s="1"/>
  <c r="F49" i="1"/>
  <c r="F94" i="1" s="1"/>
  <c r="H45" i="1"/>
  <c r="G49" i="1"/>
  <c r="G94" i="1" s="1"/>
  <c r="H16" i="1"/>
  <c r="E58" i="1"/>
  <c r="E45" i="1"/>
  <c r="I91" i="3" l="1"/>
  <c r="I92" i="3"/>
  <c r="I93" i="3"/>
  <c r="I94" i="3"/>
  <c r="F91" i="3"/>
  <c r="F92" i="3"/>
  <c r="F93" i="3"/>
  <c r="F94" i="3"/>
  <c r="H91" i="3"/>
  <c r="H92" i="3"/>
  <c r="H93" i="3"/>
  <c r="H94" i="3"/>
  <c r="M94" i="3"/>
  <c r="M91" i="3"/>
  <c r="M92" i="3"/>
  <c r="M93" i="3"/>
  <c r="J91" i="3"/>
  <c r="J92" i="3"/>
  <c r="J93" i="3"/>
  <c r="J94" i="3"/>
  <c r="K91" i="3"/>
  <c r="K92" i="3"/>
  <c r="K93" i="3"/>
  <c r="K94" i="3"/>
  <c r="P91" i="3"/>
  <c r="P92" i="3"/>
  <c r="P93" i="3"/>
  <c r="P94" i="3"/>
  <c r="G91" i="3"/>
  <c r="G92" i="3"/>
  <c r="G93" i="3"/>
  <c r="G94" i="3"/>
  <c r="N91" i="3"/>
  <c r="N92" i="3"/>
  <c r="N93" i="3"/>
  <c r="N94" i="3"/>
  <c r="O91" i="3"/>
  <c r="O92" i="3"/>
  <c r="O93" i="3"/>
  <c r="O94" i="3"/>
  <c r="E94" i="3"/>
  <c r="E91" i="3"/>
  <c r="E92" i="3"/>
  <c r="E93" i="3"/>
  <c r="L91" i="3"/>
  <c r="L92" i="3"/>
  <c r="L93" i="3"/>
  <c r="L94" i="3"/>
  <c r="D93" i="3"/>
  <c r="D94" i="3"/>
  <c r="D91" i="3"/>
  <c r="D92" i="3"/>
  <c r="R92" i="3" s="1"/>
  <c r="E99" i="1"/>
  <c r="E100" i="1" s="1"/>
  <c r="R94" i="3" l="1"/>
  <c r="R93" i="3"/>
  <c r="E95" i="3"/>
  <c r="E97" i="3" s="1"/>
  <c r="M95" i="3"/>
  <c r="M97" i="3" s="1"/>
  <c r="L95" i="3"/>
  <c r="L97" i="3" s="1"/>
  <c r="O95" i="3"/>
  <c r="O97" i="3" s="1"/>
  <c r="N95" i="3"/>
  <c r="N97" i="3" s="1"/>
  <c r="G95" i="3"/>
  <c r="G97" i="3" s="1"/>
  <c r="P95" i="3"/>
  <c r="P97" i="3" s="1"/>
  <c r="K95" i="3"/>
  <c r="K97" i="3" s="1"/>
  <c r="J95" i="3"/>
  <c r="J97" i="3" s="1"/>
  <c r="H95" i="3"/>
  <c r="H97" i="3" s="1"/>
  <c r="F95" i="3"/>
  <c r="F97" i="3" s="1"/>
  <c r="I95" i="3"/>
  <c r="I97" i="3" s="1"/>
  <c r="R91" i="3"/>
  <c r="D95" i="3"/>
  <c r="D97" i="3" s="1"/>
  <c r="E49" i="1"/>
  <c r="H28" i="1"/>
  <c r="R95" i="3" l="1"/>
  <c r="R97" i="3"/>
  <c r="E94" i="1"/>
  <c r="H58" i="1"/>
  <c r="H99" i="1" s="1"/>
  <c r="H100" i="1" s="1"/>
  <c r="H47" i="1" l="1"/>
  <c r="H49" i="1" s="1"/>
  <c r="H94" i="1" s="1"/>
  <c r="I58" i="1" l="1"/>
  <c r="I47" i="1"/>
  <c r="I92" i="1" l="1"/>
  <c r="I99" i="1" s="1"/>
  <c r="I100" i="1" s="1"/>
  <c r="I49" i="1"/>
  <c r="I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tc={FF722C36-A65F-46DF-A307-1FB6AE326D28}</author>
    <author>Kevin Gougary</author>
    <author>Pam Kelner</author>
    <author>tc={8F7A2BA2-FFF8-417B-9603-C8E4628633CB}</author>
    <author>tc={93760347-106E-4B9B-96BA-26DFDAD05C6E}</author>
    <author>tc={810A8DAC-7BD3-46FF-B43F-C3F8A285C3A1}</author>
  </authors>
  <commentList>
    <comment ref="I19" authorId="0" shapeId="0" xr:uid="{FF722C36-A65F-46DF-A307-1FB6AE326D2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past year's numbers didn't include corporate or chesed meals due to no in person dinnerl- the total for these 2 range from $21,000-$27,000</t>
      </text>
    </comment>
    <comment ref="G20" authorId="1" shapeId="0" xr:uid="{5F0E99DA-F294-406D-BEF7-088781A755AF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Chesed</t>
        </r>
      </text>
    </comment>
    <comment ref="G55" authorId="1" shapeId="0" xr:uid="{C14A48A8-B861-4B9F-9AD4-2B8559EC60F8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includes est vacation accrual reduction - LY very high</t>
        </r>
      </text>
    </comment>
    <comment ref="G57" authorId="1" shapeId="0" xr:uid="{24504EC2-3917-462B-ABEC-16F70E0FC695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includes 2021 
$505 retro WC premium adjustment</t>
        </r>
      </text>
    </comment>
    <comment ref="I57" authorId="1" shapeId="0" xr:uid="{C4A8836A-E125-4DFB-9F84-D6FCC5739DE3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New 2022 rates plus - est net employer 12% BXBS inc for 2023</t>
        </r>
      </text>
    </comment>
    <comment ref="G68" authorId="1" shapeId="0" xr:uid="{3D0A9759-BD89-4ABB-B583-30C2695B5762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Market retrievers plus misc consultants (music, art, etc)</t>
        </r>
      </text>
    </comment>
    <comment ref="I68" authorId="2" shapeId="0" xr:uid="{C732B4A3-0DE3-4658-AC6B-F1AB79433C4A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Musical Helping Hands and OMA $8700
Rosh Hodesh $1250
Marketing professional $20,000
</t>
        </r>
      </text>
    </comment>
    <comment ref="I71" authorId="2" shapeId="0" xr:uid="{070D7256-D8AE-4BC0-BC57-FFE8FBC14CD6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Mental Health workshops
FLE programming
Caregiver support group lunches
shabbat facilitators
</t>
        </r>
      </text>
    </comment>
    <comment ref="I77" authorId="1" shapeId="0" xr:uid="{F1A1DB32-562F-4FF3-89F6-A00B92B76195}">
      <text>
        <r>
          <rPr>
            <b/>
            <sz val="9"/>
            <color indexed="81"/>
            <rFont val="Tahoma"/>
            <charset val="1"/>
          </rPr>
          <t>Kevin Gougary:</t>
        </r>
        <r>
          <rPr>
            <sz val="9"/>
            <color indexed="81"/>
            <rFont val="Tahoma"/>
            <charset val="1"/>
          </rPr>
          <t xml:space="preserve">
add $300 JP phone allowance - comcast 66/mo eliminated by GJCC - formula is zoom, Verizon, GJCC, JP</t>
        </r>
      </text>
    </comment>
    <comment ref="J77" authorId="1" shapeId="0" xr:uid="{523C81B9-899A-4D03-90EE-63F345083643}">
      <text>
        <r>
          <rPr>
            <b/>
            <sz val="9"/>
            <color indexed="81"/>
            <rFont val="Tahoma"/>
            <charset val="1"/>
          </rPr>
          <t>Kevin Gougary:</t>
        </r>
        <r>
          <rPr>
            <sz val="9"/>
            <color indexed="81"/>
            <rFont val="Tahoma"/>
            <charset val="1"/>
          </rPr>
          <t xml:space="preserve">
zoom 200/mo, Verizon 200/mo net of payroll deductions, ongoing total should no more than $6k/yr</t>
        </r>
      </text>
    </comment>
    <comment ref="G85" authorId="1" shapeId="0" xr:uid="{05F8077A-A661-4669-A25B-BBFEFE281B43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Senior Seder
</t>
        </r>
      </text>
    </comment>
    <comment ref="E88" authorId="2" shapeId="0" xr:uid="{7B24BAD8-6018-4FD7-9C00-683094D2C3EE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35 families at $66
/box
</t>
        </r>
      </text>
    </comment>
    <comment ref="I88" authorId="3" shapeId="0" xr:uid="{8F7A2BA2-FFF8-417B-9603-C8E4628633CB}">
      <text>
        <t>[Threaded comment]
Your version of Excel allows you to read this threaded comment; however, any edits to it will get removed if the file is opened in a newer version of Excel. Learn more: https://go.microsoft.com/fwlink/?linkid=870924
Comment:
    20 families @ $100/box</t>
      </text>
    </comment>
    <comment ref="E90" authorId="2" shapeId="0" xr:uid="{14D42FB8-671D-4763-B6E6-3D0EDF076C87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40 families at $1500 max
</t>
        </r>
      </text>
    </comment>
    <comment ref="I90" authorId="4" shapeId="0" xr:uid="{93760347-106E-4B9B-96BA-26DFDAD05C6E}">
      <text>
        <t>[Threaded comment]
Your version of Excel allows you to read this threaded comment; however, any edits to it will get removed if the file is opened in a newer version of Excel. Learn more: https://go.microsoft.com/fwlink/?linkid=870924
Comment:
    7 families at $1500 each</t>
      </text>
    </comment>
    <comment ref="I91" authorId="5" shapeId="0" xr:uid="{810A8DAC-7BD3-46FF-B43F-C3F8A285C3A1}">
      <text>
        <t>[Threaded comment]
Your version of Excel allows you to read this threaded comment; however, any edits to it will get removed if the file is opened in a newer version of Excel. Learn more: https://go.microsoft.com/fwlink/?linkid=870924
Comment:
    7 families @ $1500 each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 Kelner</author>
    <author>tc={3C71455E-4D84-4E44-A428-DC53D1668A5F}</author>
    <author>Roslyn B. Landa</author>
    <author>tc={0F268A02-1C37-472B-BBC2-D31264F49A3E}</author>
    <author>tc={1FC5773B-9A30-41E5-A798-5E8AEB5401C6}</author>
    <author>Kevin Gougary</author>
    <author>tc={945BDE2C-F05C-458A-997F-F58B5B3FCF5F}</author>
    <author>tc={DF120ABB-CB1C-4338-B61A-4F9E03ADC38A}</author>
    <author>tc={15B72594-4E0B-4B3D-BD3B-8E0F9DA28153}</author>
  </authors>
  <commentList>
    <comment ref="H18" authorId="0" shapeId="0" xr:uid="{E32476A0-3525-4491-AD06-DB7889BDD136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Chesed $40,000
A/C $200,914
Friends $7678
</t>
        </r>
      </text>
    </comment>
    <comment ref="I18" authorId="1" shapeId="0" xr:uid="{3C71455E-4D84-4E44-A428-DC53D1668A5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past year's numbers didn't include corporate or chesed meals due to no in person dinnerl- the total for these 2 range from $21,000-$27,000</t>
      </text>
    </comment>
    <comment ref="O52" authorId="2" shapeId="0" xr:uid="{8687D03B-7817-4706-A196-3321D06EF743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Toni J extended coverage pd by employer</t>
        </r>
      </text>
    </comment>
    <comment ref="I54" authorId="3" shapeId="0" xr:uid="{0F268A02-1C37-472B-BBC2-D31264F49A3E}">
      <text>
        <t>[Threaded comment]
Your version of Excel allows you to read this threaded comment; however, any edits to it will get removed if the file is opened in a newer version of Excel. Learn more: https://go.microsoft.com/fwlink/?linkid=870924
Comment:
    3% raise for staff.  Pam locked in for FY 2021-22</t>
      </text>
    </comment>
    <comment ref="K56" authorId="2" shapeId="0" xr:uid="{E888185C-A2A2-4583-934B-39CA98313702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Worker's Comp</t>
        </r>
      </text>
    </comment>
    <comment ref="L56" authorId="2" shapeId="0" xr:uid="{D6993DA7-8D0C-42A1-AC52-6D9F1C1310B9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Employer HSA Contribution</t>
        </r>
      </text>
    </comment>
    <comment ref="M56" authorId="2" shapeId="0" xr:uid="{D49E4CC9-A26A-4B36-BD97-14089EBDDBD9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Employer Premium Share - add 1.3% for anticipated 2022 inc. in Feb 22
</t>
        </r>
      </text>
    </comment>
    <comment ref="N56" authorId="2" shapeId="0" xr:uid="{52EC4E85-4E67-40B7-9BAE-5FEE4B50128B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Monthly DBL plus life
</t>
        </r>
      </text>
    </comment>
    <comment ref="I60" authorId="4" shapeId="0" xr:uid="{1FC5773B-9A30-41E5-A798-5E8AEB5401C6}">
      <text>
        <t>[Threaded comment]
Your version of Excel allows you to read this threaded comment; however, any edits to it will get removed if the file is opened in a newer version of Excel. Learn more: https://go.microsoft.com/fwlink/?linkid=870924
Comment:
    RFP process conducted - $1000 increase in fees</t>
      </text>
    </comment>
    <comment ref="I67" authorId="0" shapeId="0" xr:uid="{CFBA6D5C-FCF3-49B0-AD33-3FBCA86DFEC9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Musical Helping Hands and OMA $8700
Rosh Hodesh $1250
Marketing professional $20,000
</t>
        </r>
      </text>
    </comment>
    <comment ref="I70" authorId="0" shapeId="0" xr:uid="{DE2582B4-0271-4691-ABA3-B0E7C6C09EEB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Mental Health workshops
FLE programming
Caregiver support group lunches
shabbat facilitators
</t>
        </r>
      </text>
    </comment>
    <comment ref="G75" authorId="5" shapeId="0" xr:uid="{253B073D-3863-4939-B480-9BB90005C3B6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Phone systen</t>
        </r>
      </text>
    </comment>
    <comment ref="G76" authorId="2" shapeId="0" xr:uid="{387E098C-A282-4A2D-BDD5-81633682F14F}">
      <text>
        <r>
          <rPr>
            <b/>
            <sz val="9"/>
            <color indexed="81"/>
            <rFont val="Tahoma"/>
            <family val="2"/>
          </rPr>
          <t>Roslyn B. Landa:</t>
        </r>
        <r>
          <rPr>
            <sz val="9"/>
            <color indexed="81"/>
            <rFont val="Tahoma"/>
            <family val="2"/>
          </rPr>
          <t xml:space="preserve">
Zoom
</t>
        </r>
      </text>
    </comment>
    <comment ref="G84" authorId="5" shapeId="0" xr:uid="{A1040D75-4E4E-413D-A21E-57B658689574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Senior Seder
</t>
        </r>
      </text>
    </comment>
    <comment ref="E87" authorId="0" shapeId="0" xr:uid="{6A7E71D7-CC3D-4674-9224-BCBEB1500AE1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35 families at $66
/box
</t>
        </r>
      </text>
    </comment>
    <comment ref="I87" authorId="6" shapeId="0" xr:uid="{945BDE2C-F05C-458A-997F-F58B5B3FCF5F}">
      <text>
        <t>[Threaded comment]
Your version of Excel allows you to read this threaded comment; however, any edits to it will get removed if the file is opened in a newer version of Excel. Learn more: https://go.microsoft.com/fwlink/?linkid=870924
Comment:
    20 families @ $100/box</t>
      </text>
    </comment>
    <comment ref="E89" authorId="0" shapeId="0" xr:uid="{BD62774C-3642-4C1F-8AAE-2ADE97D061D9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40 families at $1500 max
</t>
        </r>
      </text>
    </comment>
    <comment ref="I89" authorId="7" shapeId="0" xr:uid="{DF120ABB-CB1C-4338-B61A-4F9E03ADC38A}">
      <text>
        <t>[Threaded comment]
Your version of Excel allows you to read this threaded comment; however, any edits to it will get removed if the file is opened in a newer version of Excel. Learn more: https://go.microsoft.com/fwlink/?linkid=870924
Comment:
    7 families at $1500 each</t>
      </text>
    </comment>
    <comment ref="I90" authorId="8" shapeId="0" xr:uid="{15B72594-4E0B-4B3D-BD3B-8E0F9DA28153}">
      <text>
        <t>[Threaded comment]
Your version of Excel allows you to read this threaded comment; however, any edits to it will get removed if the file is opened in a newer version of Excel. Learn more: https://go.microsoft.com/fwlink/?linkid=870924
Comment:
    7 families @ $1500 each</t>
      </text>
    </comment>
  </commentList>
</comments>
</file>

<file path=xl/sharedStrings.xml><?xml version="1.0" encoding="utf-8"?>
<sst xmlns="http://schemas.openxmlformats.org/spreadsheetml/2006/main" count="375" uniqueCount="200">
  <si>
    <t>Jul21-Jun22</t>
  </si>
  <si>
    <t>July-March</t>
  </si>
  <si>
    <t>April-June</t>
  </si>
  <si>
    <t xml:space="preserve">Projected </t>
  </si>
  <si>
    <t>Jul22-Jun23</t>
  </si>
  <si>
    <t>Budget</t>
  </si>
  <si>
    <t>2021-2022</t>
  </si>
  <si>
    <t>Projected</t>
  </si>
  <si>
    <t>Notes (for 21-22 budget)</t>
  </si>
  <si>
    <t>Ordinary Income/Expense</t>
  </si>
  <si>
    <t>Income</t>
  </si>
  <si>
    <t>Grants</t>
  </si>
  <si>
    <t>Temple Social Action Group</t>
  </si>
  <si>
    <t>Adoption</t>
  </si>
  <si>
    <t>* Adoption</t>
  </si>
  <si>
    <t>Temple Senior Program Revenue</t>
  </si>
  <si>
    <t>Golden Lunch Bunch - relaunch in Sept/October</t>
  </si>
  <si>
    <t>Brooks Foundation</t>
  </si>
  <si>
    <t>NCJW Food Box Grant</t>
  </si>
  <si>
    <t>Kosher Food Box</t>
  </si>
  <si>
    <t>Rosenblum Grant</t>
  </si>
  <si>
    <t>General</t>
  </si>
  <si>
    <t>Federation New Initiative grant</t>
  </si>
  <si>
    <t>Mental Health  focused programming - not applying this year</t>
  </si>
  <si>
    <t>Incentive for Life and Legacy</t>
  </si>
  <si>
    <t xml:space="preserve">Life and Legacy Program complete so won't receive </t>
  </si>
  <si>
    <t>Duff &amp; Phelps Grant</t>
  </si>
  <si>
    <t>Non-Recurring</t>
  </si>
  <si>
    <t>Temple Social Action Group KFB</t>
  </si>
  <si>
    <t>United Way Grant -COVID</t>
  </si>
  <si>
    <t>Total  Grants</t>
  </si>
  <si>
    <t>Fundraising</t>
  </si>
  <si>
    <t>Annual Campaigns</t>
  </si>
  <si>
    <r>
      <t xml:space="preserve">Annual + Chesed + Friends + </t>
    </r>
    <r>
      <rPr>
        <sz val="11"/>
        <color rgb="FFFF0000"/>
        <rFont val="Calibri"/>
        <family val="2"/>
        <scheme val="minor"/>
      </rPr>
      <t>Corporate</t>
    </r>
  </si>
  <si>
    <t>Annual Campaign Expenses</t>
  </si>
  <si>
    <t>Adoption Fundraising</t>
  </si>
  <si>
    <t>Contributions</t>
  </si>
  <si>
    <t>Merchant rebates</t>
  </si>
  <si>
    <t>United Way Designations</t>
  </si>
  <si>
    <t>Designated for Current Year</t>
  </si>
  <si>
    <t>Donated for Specific Program</t>
  </si>
  <si>
    <t>HCA Caring for the Community</t>
  </si>
  <si>
    <t>BigPayback-Community Foundation</t>
  </si>
  <si>
    <t>Total Fundraising</t>
  </si>
  <si>
    <t>Allocations</t>
  </si>
  <si>
    <t>Federation Program Funding</t>
  </si>
  <si>
    <t>Federation Program Funding - COVID</t>
  </si>
  <si>
    <t>Use of Donated Facility</t>
  </si>
  <si>
    <t>Indigent Fund Reimbursements</t>
  </si>
  <si>
    <t>Disaster Relief Reimbursements - tornado</t>
  </si>
  <si>
    <t>Senior Seder Income</t>
  </si>
  <si>
    <t>Investment Income</t>
  </si>
  <si>
    <t>Dividends and interest only (not capital gains?)</t>
  </si>
  <si>
    <t>Other Income</t>
  </si>
  <si>
    <t>Income From Foundation Trusts</t>
  </si>
  <si>
    <t>Fees for Services</t>
  </si>
  <si>
    <t>Client Fees</t>
  </si>
  <si>
    <t>Less: Client Fee Discounts-SS</t>
  </si>
  <si>
    <t>Sliding Scale</t>
  </si>
  <si>
    <t>Less: Client Fee Write-offs-Ins</t>
  </si>
  <si>
    <t>Insurance Allowance</t>
  </si>
  <si>
    <t>Family Life Education/Info &amp; Referral</t>
  </si>
  <si>
    <t>Adoption Fees(net)</t>
  </si>
  <si>
    <t>Total Fees for Services</t>
  </si>
  <si>
    <t>Total Revenue</t>
  </si>
  <si>
    <t>Transfer from Reserves</t>
  </si>
  <si>
    <t xml:space="preserve"> </t>
  </si>
  <si>
    <t>Expenses</t>
  </si>
  <si>
    <t>Staff Salaries</t>
  </si>
  <si>
    <t>5% for 2022-2023</t>
  </si>
  <si>
    <t>Payroll Taxes</t>
  </si>
  <si>
    <t>Health Insurance and Other Benefits</t>
  </si>
  <si>
    <t>GJCC Billing</t>
  </si>
  <si>
    <t>Retirement Plan</t>
  </si>
  <si>
    <t>Payroll</t>
  </si>
  <si>
    <t>Toni</t>
  </si>
  <si>
    <t xml:space="preserve">     Subtotal</t>
  </si>
  <si>
    <t>Janet</t>
  </si>
  <si>
    <t>Ash</t>
  </si>
  <si>
    <t>Accounting and Auditing</t>
  </si>
  <si>
    <t>Annual Meeting</t>
  </si>
  <si>
    <t>NJHSA Conference</t>
  </si>
  <si>
    <t>Mileage</t>
  </si>
  <si>
    <t>Professional Education</t>
  </si>
  <si>
    <t>Board Development</t>
  </si>
  <si>
    <t>Temple Senior Lunches</t>
  </si>
  <si>
    <t>Consultants</t>
  </si>
  <si>
    <t>Marketing consultants/OMA/Music</t>
  </si>
  <si>
    <t xml:space="preserve">    Consulting - Duff &amp; Phelps</t>
  </si>
  <si>
    <t>Non-Recurring Grant</t>
  </si>
  <si>
    <t xml:space="preserve">      Website Re-design</t>
  </si>
  <si>
    <t>retainer for webdesigner to keep up the SEO, website health and make changes to website</t>
  </si>
  <si>
    <t>Program Expenses</t>
  </si>
  <si>
    <t>Dues/Employee Search</t>
  </si>
  <si>
    <t>Printing and Copying</t>
  </si>
  <si>
    <t>Marketing/Newsletter</t>
  </si>
  <si>
    <t>Donated Office Facility</t>
  </si>
  <si>
    <t>Office Supplies</t>
  </si>
  <si>
    <t>Telephone</t>
  </si>
  <si>
    <t>Postage</t>
  </si>
  <si>
    <t>Insurance</t>
  </si>
  <si>
    <t>Taxes and Licenses</t>
  </si>
  <si>
    <t>Credit Card/Bank Fees</t>
  </si>
  <si>
    <t>Increased Online donations via Donor Perfect</t>
  </si>
  <si>
    <t>Investment Management Fees</t>
  </si>
  <si>
    <t>Argent Fees</t>
  </si>
  <si>
    <t>Purchase of Equipment</t>
  </si>
  <si>
    <t>Background Checks/Storage</t>
  </si>
  <si>
    <t>Religious Supplies</t>
  </si>
  <si>
    <t>Donor Management System</t>
  </si>
  <si>
    <t>Specific Assistance to Individuals</t>
  </si>
  <si>
    <t>Kosher Food Boxes</t>
  </si>
  <si>
    <t>20 families @ $100/box</t>
  </si>
  <si>
    <t>Indigent Fund Assistance</t>
  </si>
  <si>
    <t>Local Emergency Assistance</t>
  </si>
  <si>
    <t>7 families at $1500 each</t>
  </si>
  <si>
    <t>COVID-19 Assistance</t>
  </si>
  <si>
    <t>Holiday Financial Assistance</t>
  </si>
  <si>
    <t>Total Expenses</t>
  </si>
  <si>
    <t>Net income/deficit</t>
  </si>
  <si>
    <t>LY Budget</t>
  </si>
  <si>
    <t>July-Mar</t>
  </si>
  <si>
    <t>Total Yr</t>
  </si>
  <si>
    <t>Next Budget</t>
  </si>
  <si>
    <t>Operating Cash Expense</t>
  </si>
  <si>
    <t>Operating Cash Revenue</t>
  </si>
  <si>
    <t>Jewish Family Service</t>
  </si>
  <si>
    <t>Salary Computation and Program Allocation</t>
  </si>
  <si>
    <t>Fiscal Year 19/20</t>
  </si>
  <si>
    <t>Based on a 12 month Fiscal Year</t>
  </si>
  <si>
    <t xml:space="preserve">Math </t>
  </si>
  <si>
    <t>Salary Computation:</t>
  </si>
  <si>
    <t>Total of all Programs</t>
  </si>
  <si>
    <t>Management &amp; General</t>
  </si>
  <si>
    <t>Info &amp; Referral</t>
  </si>
  <si>
    <t>Senior Services</t>
  </si>
  <si>
    <t>Temple Seniors</t>
  </si>
  <si>
    <t>Counseling</t>
  </si>
  <si>
    <t>Family Life &amp; Community Education</t>
  </si>
  <si>
    <t>Financial Aid</t>
  </si>
  <si>
    <t>Case Management</t>
  </si>
  <si>
    <t>PC&amp;R</t>
  </si>
  <si>
    <t>Fund-Raising</t>
  </si>
  <si>
    <t>JCC</t>
  </si>
  <si>
    <t>Allocation</t>
  </si>
  <si>
    <t>Check</t>
  </si>
  <si>
    <t>Executive Director</t>
  </si>
  <si>
    <t>Total</t>
  </si>
  <si>
    <t>Management and General</t>
  </si>
  <si>
    <t>Allocation (Admin)</t>
  </si>
  <si>
    <t>Fund-raising</t>
  </si>
  <si>
    <t>Allocation Total</t>
  </si>
  <si>
    <t>Ashley Franklin</t>
  </si>
  <si>
    <t>Information &amp; Referral</t>
  </si>
  <si>
    <t>Toni Jacobsen</t>
  </si>
  <si>
    <t>Kosher Food Box Program</t>
  </si>
  <si>
    <t>JCC Seniors</t>
  </si>
  <si>
    <t>Kevin Goughary</t>
  </si>
  <si>
    <t>Management/General</t>
  </si>
  <si>
    <t>Total Professional Staff</t>
  </si>
  <si>
    <t>Janet L. Parr</t>
  </si>
  <si>
    <t>Administration</t>
  </si>
  <si>
    <t>Anna Lambert Sir</t>
  </si>
  <si>
    <t>Total Support Staff</t>
  </si>
  <si>
    <t>Total Agency</t>
  </si>
  <si>
    <t>Salary Allocation by Percent</t>
  </si>
  <si>
    <t>FY  21-22</t>
  </si>
  <si>
    <t>M&amp;G</t>
  </si>
  <si>
    <t>Info &amp; Refer</t>
  </si>
  <si>
    <t>Helping Hands</t>
  </si>
  <si>
    <t>Family Life</t>
  </si>
  <si>
    <t>Fin. Aid</t>
  </si>
  <si>
    <t>Case Mgmt</t>
  </si>
  <si>
    <t>Pam</t>
  </si>
  <si>
    <t>Ashley</t>
  </si>
  <si>
    <t>Kevin</t>
  </si>
  <si>
    <t>Anna</t>
  </si>
  <si>
    <t>Agency Total</t>
  </si>
  <si>
    <t>Agency Percentage</t>
  </si>
  <si>
    <t>Allocated</t>
  </si>
  <si>
    <t>Direct Allocation</t>
  </si>
  <si>
    <t>403B</t>
  </si>
  <si>
    <t>Total Gross Payroll</t>
  </si>
  <si>
    <t>Benefits</t>
  </si>
  <si>
    <t>Jul20-Jun21</t>
  </si>
  <si>
    <t>2020-2021</t>
  </si>
  <si>
    <t>Notes</t>
  </si>
  <si>
    <t>Mental Health  focused programming</t>
  </si>
  <si>
    <t>Life and Legacy Program complete</t>
  </si>
  <si>
    <r>
      <t xml:space="preserve">Annual + Chesed + Friends + </t>
    </r>
    <r>
      <rPr>
        <sz val="11"/>
        <color rgb="FFFF0000"/>
        <rFont val="Calibri"/>
        <family val="2"/>
        <scheme val="minor"/>
      </rPr>
      <t>Corporate + Chesed Meals</t>
    </r>
  </si>
  <si>
    <t>Monthly</t>
  </si>
  <si>
    <t>RFP process conducted - $1000 increase in audit fees</t>
  </si>
  <si>
    <t>Marketing/OMA/Music</t>
  </si>
  <si>
    <t>One-time cost</t>
  </si>
  <si>
    <t>increase due to new VOIP system</t>
  </si>
  <si>
    <t>Brokerage Fees</t>
  </si>
  <si>
    <t>Argent "Transparent" Fees</t>
  </si>
  <si>
    <t>Donor Perfect telephone support</t>
  </si>
  <si>
    <t>Cash Per Month</t>
  </si>
  <si>
    <t>Jewish Family Service 2022-23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</si>
</sst>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00%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rgb="FF000000"/>
      <name val="Arial"/>
      <family val="2"/>
    </font>
    <font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u val="double"/>
      <sz val="11"/>
      <color theme="1"/>
      <name val="Calibri"/>
      <family val="2"/>
      <scheme val="minor"/>
    </font>
    <font>
      <u val="singleAccounting"/>
      <sz val="10"/>
      <color rgb="FF000000"/>
      <name val="Arial"/>
      <family val="2"/>
    </font>
    <font>
      <u val="singleAccounting"/>
      <sz val="10"/>
      <color theme="1"/>
      <name val="Arial"/>
      <family val="2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Segoe UI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164" fontId="5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6" fillId="0" borderId="1" xfId="1" applyNumberFormat="1" applyFont="1" applyBorder="1"/>
    <xf numFmtId="164" fontId="0" fillId="0" borderId="1" xfId="1" applyNumberFormat="1" applyFont="1" applyBorder="1"/>
    <xf numFmtId="164" fontId="10" fillId="2" borderId="1" xfId="1" applyNumberFormat="1" applyFont="1" applyFill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164" fontId="7" fillId="0" borderId="1" xfId="1" applyNumberFormat="1" applyFont="1" applyBorder="1"/>
    <xf numFmtId="164" fontId="7" fillId="2" borderId="1" xfId="1" applyNumberFormat="1" applyFont="1" applyFill="1" applyBorder="1"/>
    <xf numFmtId="164" fontId="7" fillId="2" borderId="1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>
      <alignment horizontal="right"/>
    </xf>
    <xf numFmtId="164" fontId="11" fillId="0" borderId="1" xfId="1" applyNumberFormat="1" applyFont="1" applyBorder="1"/>
    <xf numFmtId="164" fontId="2" fillId="2" borderId="1" xfId="1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13" fillId="2" borderId="1" xfId="1" applyNumberFormat="1" applyFont="1" applyFill="1" applyBorder="1"/>
    <xf numFmtId="164" fontId="6" fillId="0" borderId="1" xfId="1" applyNumberFormat="1" applyFont="1" applyFill="1" applyBorder="1"/>
    <xf numFmtId="164" fontId="3" fillId="2" borderId="1" xfId="1" applyNumberFormat="1" applyFont="1" applyFill="1" applyBorder="1"/>
    <xf numFmtId="164" fontId="0" fillId="2" borderId="1" xfId="1" applyNumberFormat="1" applyFont="1" applyFill="1" applyBorder="1"/>
    <xf numFmtId="164" fontId="14" fillId="2" borderId="1" xfId="1" applyNumberFormat="1" applyFont="1" applyFill="1" applyBorder="1" applyAlignment="1">
      <alignment horizontal="right"/>
    </xf>
    <xf numFmtId="164" fontId="15" fillId="0" borderId="1" xfId="1" applyNumberFormat="1" applyFont="1" applyBorder="1"/>
    <xf numFmtId="164" fontId="16" fillId="2" borderId="1" xfId="1" applyNumberFormat="1" applyFont="1" applyFill="1" applyBorder="1"/>
    <xf numFmtId="164" fontId="17" fillId="2" borderId="1" xfId="1" applyNumberFormat="1" applyFont="1" applyFill="1" applyBorder="1"/>
    <xf numFmtId="164" fontId="18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4" fillId="0" borderId="0" xfId="4"/>
    <xf numFmtId="0" fontId="4" fillId="0" borderId="0" xfId="4" applyAlignment="1">
      <alignment wrapText="1"/>
    </xf>
    <xf numFmtId="0" fontId="4" fillId="0" borderId="0" xfId="4" applyAlignment="1">
      <alignment horizontal="center" wrapText="1"/>
    </xf>
    <xf numFmtId="0" fontId="0" fillId="0" borderId="0" xfId="4" applyFont="1" applyAlignment="1">
      <alignment horizontal="center" wrapText="1"/>
    </xf>
    <xf numFmtId="37" fontId="4" fillId="0" borderId="0" xfId="4" applyNumberFormat="1"/>
    <xf numFmtId="43" fontId="4" fillId="0" borderId="0" xfId="4" applyNumberFormat="1"/>
    <xf numFmtId="0" fontId="0" fillId="0" borderId="0" xfId="4" applyFont="1"/>
    <xf numFmtId="0" fontId="21" fillId="0" borderId="0" xfId="4" applyFont="1" applyAlignment="1">
      <alignment horizontal="right"/>
    </xf>
    <xf numFmtId="0" fontId="3" fillId="0" borderId="0" xfId="4" applyFont="1" applyAlignment="1">
      <alignment horizontal="right"/>
    </xf>
    <xf numFmtId="37" fontId="3" fillId="0" borderId="0" xfId="4" applyNumberFormat="1" applyFont="1"/>
    <xf numFmtId="0" fontId="3" fillId="0" borderId="0" xfId="4" applyFont="1"/>
    <xf numFmtId="0" fontId="4" fillId="0" borderId="0" xfId="4" applyAlignment="1">
      <alignment horizontal="center"/>
    </xf>
    <xf numFmtId="39" fontId="4" fillId="0" borderId="0" xfId="4" applyNumberFormat="1"/>
    <xf numFmtId="2" fontId="4" fillId="0" borderId="0" xfId="4" applyNumberFormat="1"/>
    <xf numFmtId="10" fontId="4" fillId="0" borderId="0" xfId="4" applyNumberFormat="1"/>
    <xf numFmtId="0" fontId="4" fillId="0" borderId="0" xfId="4" applyAlignment="1">
      <alignment horizontal="right"/>
    </xf>
    <xf numFmtId="165" fontId="4" fillId="0" borderId="0" xfId="4" applyNumberFormat="1"/>
    <xf numFmtId="1" fontId="4" fillId="0" borderId="0" xfId="4" applyNumberFormat="1"/>
    <xf numFmtId="166" fontId="4" fillId="0" borderId="0" xfId="4" applyNumberFormat="1"/>
    <xf numFmtId="164" fontId="0" fillId="0" borderId="0" xfId="1" applyNumberFormat="1" applyFont="1"/>
    <xf numFmtId="164" fontId="4" fillId="0" borderId="0" xfId="1" applyNumberFormat="1" applyFont="1"/>
    <xf numFmtId="164" fontId="22" fillId="0" borderId="0" xfId="1" applyNumberFormat="1" applyFont="1"/>
    <xf numFmtId="164" fontId="4" fillId="0" borderId="0" xfId="4" applyNumberFormat="1"/>
    <xf numFmtId="43" fontId="4" fillId="0" borderId="0" xfId="1" applyFont="1"/>
    <xf numFmtId="43" fontId="4" fillId="0" borderId="0" xfId="1" applyFont="1" applyAlignment="1">
      <alignment wrapText="1"/>
    </xf>
    <xf numFmtId="43" fontId="4" fillId="0" borderId="0" xfId="1" applyFont="1" applyAlignment="1">
      <alignment horizontal="center" wrapText="1"/>
    </xf>
    <xf numFmtId="43" fontId="3" fillId="0" borderId="0" xfId="1" applyFont="1"/>
    <xf numFmtId="43" fontId="4" fillId="0" borderId="0" xfId="1" applyFont="1" applyAlignment="1">
      <alignment horizontal="center"/>
    </xf>
    <xf numFmtId="43" fontId="0" fillId="0" borderId="0" xfId="1" applyFont="1"/>
    <xf numFmtId="43" fontId="22" fillId="0" borderId="0" xfId="1" applyFont="1" applyAlignment="1">
      <alignment horizontal="center"/>
    </xf>
    <xf numFmtId="0" fontId="22" fillId="0" borderId="0" xfId="4" applyFont="1" applyAlignment="1">
      <alignment horizontal="center"/>
    </xf>
    <xf numFmtId="0" fontId="17" fillId="0" borderId="0" xfId="4" applyFont="1" applyAlignment="1">
      <alignment horizontal="center" wrapText="1"/>
    </xf>
    <xf numFmtId="0" fontId="22" fillId="0" borderId="0" xfId="4" applyFont="1" applyAlignment="1">
      <alignment horizontal="center" wrapText="1"/>
    </xf>
    <xf numFmtId="164" fontId="23" fillId="0" borderId="0" xfId="4" applyNumberFormat="1" applyFont="1"/>
    <xf numFmtId="164" fontId="22" fillId="0" borderId="0" xfId="4" applyNumberFormat="1" applyFont="1"/>
    <xf numFmtId="164" fontId="23" fillId="0" borderId="0" xfId="1" applyNumberFormat="1" applyFont="1"/>
    <xf numFmtId="167" fontId="4" fillId="0" borderId="0" xfId="3" applyNumberFormat="1" applyFont="1"/>
    <xf numFmtId="167" fontId="4" fillId="0" borderId="0" xfId="4" applyNumberFormat="1"/>
    <xf numFmtId="164" fontId="2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/>
    <xf numFmtId="164" fontId="11" fillId="2" borderId="1" xfId="1" applyNumberFormat="1" applyFont="1" applyFill="1" applyBorder="1" applyAlignment="1">
      <alignment horizontal="center"/>
    </xf>
    <xf numFmtId="164" fontId="18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15" fillId="2" borderId="1" xfId="1" applyNumberFormat="1" applyFont="1" applyFill="1" applyBorder="1"/>
    <xf numFmtId="164" fontId="11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2" borderId="1" xfId="1" applyNumberFormat="1" applyFont="1" applyFill="1" applyBorder="1"/>
    <xf numFmtId="0" fontId="20" fillId="2" borderId="0" xfId="0" applyFont="1" applyFill="1" applyAlignment="1">
      <alignment vertical="center"/>
    </xf>
  </cellXfs>
  <cellStyles count="5">
    <cellStyle name="Comma" xfId="1" builtinId="3"/>
    <cellStyle name="Normal" xfId="0" builtinId="0"/>
    <cellStyle name="Normal 2" xfId="4" xr:uid="{B944C678-1299-4EB5-AD34-6C8F92C5EA6B}"/>
    <cellStyle name="Normal 3" xfId="2" xr:uid="{B7FF3F86-3E2B-4022-AB12-049AC759A3C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311785</xdr:colOff>
      <xdr:row>2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B7D161-35E8-426E-B003-BF0E293F123D}"/>
            </a:ext>
          </a:extLst>
        </xdr:cNvPr>
        <xdr:cNvSpPr/>
      </xdr:nvSpPr>
      <xdr:spPr bwMode="auto">
        <a:xfrm>
          <a:off x="0" y="0"/>
          <a:ext cx="92138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311785</xdr:colOff>
      <xdr:row>2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BAEA12-C938-4CFB-8849-D7B14CABFA2A}"/>
            </a:ext>
          </a:extLst>
        </xdr:cNvPr>
        <xdr:cNvSpPr/>
      </xdr:nvSpPr>
      <xdr:spPr bwMode="auto">
        <a:xfrm>
          <a:off x="0" y="0"/>
          <a:ext cx="92138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232410</xdr:colOff>
      <xdr:row>2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D6E4FE0D-F190-402F-B820-A8C7415473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201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232410</xdr:colOff>
      <xdr:row>2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8669B097-236E-4C3D-A831-27B5609A8B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201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311785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512006-D345-4259-8C71-C984D329CB5B}"/>
            </a:ext>
          </a:extLst>
        </xdr:cNvPr>
        <xdr:cNvSpPr/>
      </xdr:nvSpPr>
      <xdr:spPr bwMode="auto">
        <a:xfrm>
          <a:off x="0" y="0"/>
          <a:ext cx="91757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311785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605A41-53CF-4A58-A994-CFE1E6762E64}"/>
            </a:ext>
          </a:extLst>
        </xdr:cNvPr>
        <xdr:cNvSpPr/>
      </xdr:nvSpPr>
      <xdr:spPr bwMode="auto">
        <a:xfrm>
          <a:off x="0" y="0"/>
          <a:ext cx="91757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232410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678B0DD-9FAF-49FF-B8D3-5931C57FD0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232410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CD6D2B6-B52B-4EDB-9A34-CFB3F224FD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ewishnashville-my.sharepoint.com/personal/kevin_jfsnashville_org/Documents/Desktop/Budget%20Files%202022-2023/Pam-Copy%20of%20budget%20for%202021-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vin\OneDrive%20-%20Jewish%20Federation%20of%20Nashville%20and%20Middle%20Tennessee\Desktop\Budget%20Files%202022-2023\Pam-Copy%20of%20budget%20for%202021-22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ewishnashville-my.sharepoint.com/personal/kevin_jfsnashville_org/Documents/Desktop/Budget%202020-21/Pam-Copy%20of%20budget%20for%202021-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budget "/>
      <sheetName val="Benefitsrev"/>
      <sheetName val="PRIncrrevagain"/>
      <sheetName val="PayrollAllocrev"/>
      <sheetName val="PayrollAllocrev 21-22"/>
      <sheetName val="PayrollAllocrev 22-23"/>
      <sheetName val="Sheet2"/>
      <sheetName val="BudgetbyClass"/>
      <sheetName val="Budgetby Class 21-22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8">
          <cell r="C78">
            <v>336484.59591500007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budget "/>
      <sheetName val="Benefitsrev"/>
      <sheetName val="PRIncrrevagain"/>
      <sheetName val="PayrollAllocrev"/>
      <sheetName val="PayrollAllocrev 21-22"/>
      <sheetName val="PayrollAllocrev 22-23"/>
      <sheetName val="Sheet2"/>
      <sheetName val="BudgetbyClass"/>
      <sheetName val="Budgetby Class 21-22"/>
      <sheetName val="Sheet3"/>
      <sheetName val="Sheet1"/>
    </sheetNames>
    <sheetDataSet>
      <sheetData sheetId="0"/>
      <sheetData sheetId="1"/>
      <sheetData sheetId="2">
        <row r="8">
          <cell r="O8">
            <v>90000</v>
          </cell>
        </row>
        <row r="11">
          <cell r="O11">
            <v>56821.804000000004</v>
          </cell>
        </row>
        <row r="17">
          <cell r="O17">
            <v>75122.490064000012</v>
          </cell>
        </row>
        <row r="18">
          <cell r="O18">
            <v>27774.277128000002</v>
          </cell>
        </row>
        <row r="20">
          <cell r="O20">
            <v>48204</v>
          </cell>
        </row>
        <row r="23">
          <cell r="O23">
            <v>36233.599999999999</v>
          </cell>
        </row>
      </sheetData>
      <sheetData sheetId="3"/>
      <sheetData sheetId="4"/>
      <sheetData sheetId="5">
        <row r="78">
          <cell r="C78">
            <v>334156.17119200004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budget "/>
      <sheetName val="Benefitsrev"/>
      <sheetName val="PRIncrrevagain"/>
      <sheetName val="PayrollAllocrev"/>
      <sheetName val="PayrollAllocrev 21-22"/>
      <sheetName val="Sheet2"/>
      <sheetName val="BudgetbyClass"/>
      <sheetName val="Budgetby Class 21-22"/>
      <sheetName val="Sheet3"/>
      <sheetName val="Sheet1"/>
    </sheetNames>
    <sheetDataSet>
      <sheetData sheetId="0"/>
      <sheetData sheetId="1"/>
      <sheetData sheetId="2"/>
      <sheetData sheetId="3"/>
      <sheetData sheetId="4">
        <row r="78">
          <cell r="C78">
            <v>323095.53230000002</v>
          </cell>
        </row>
        <row r="86">
          <cell r="C86">
            <v>14500.123615000002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m Kelner" id="{98C8656B-4C39-4EDE-898B-7F21826C4845}" userId="Pam Keln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9" dT="2021-05-10T20:33:27.71" personId="{98C8656B-4C39-4EDE-898B-7F21826C4845}" id="{FF722C36-A65F-46DF-A307-1FB6AE326D28}">
    <text>this past year's numbers didn't include corporate or chesed meals due to no in person dinnerl- the total for these 2 range from $21,000-$27,000</text>
  </threadedComment>
  <threadedComment ref="I88" dT="2021-04-15T14:45:01.40" personId="{98C8656B-4C39-4EDE-898B-7F21826C4845}" id="{8F7A2BA2-FFF8-417B-9603-C8E4628633CB}">
    <text>20 families @ $100/box</text>
  </threadedComment>
  <threadedComment ref="I90" dT="2021-04-15T14:47:27.78" personId="{98C8656B-4C39-4EDE-898B-7F21826C4845}" id="{93760347-106E-4B9B-96BA-26DFDAD05C6E}">
    <text>7 families at $1500 each</text>
  </threadedComment>
  <threadedComment ref="I91" dT="2021-04-15T14:46:38.40" personId="{98C8656B-4C39-4EDE-898B-7F21826C4845}" id="{810A8DAC-7BD3-46FF-B43F-C3F8A285C3A1}">
    <text>7 families @ $1500 each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18" dT="2021-05-10T20:33:27.71" personId="{98C8656B-4C39-4EDE-898B-7F21826C4845}" id="{3C71455E-4D84-4E44-A428-DC53D1668A5F}">
    <text>this past year's numbers didn't include corporate or chesed meals due to no in person dinnerl- the total for these 2 range from $21,000-$27,000</text>
  </threadedComment>
  <threadedComment ref="I54" dT="2021-05-07T14:03:30.89" personId="{98C8656B-4C39-4EDE-898B-7F21826C4845}" id="{0F268A02-1C37-472B-BBC2-D31264F49A3E}">
    <text>3% raise for staff.  Pam locked in for FY 2021-22</text>
  </threadedComment>
  <threadedComment ref="I60" dT="2021-05-07T14:04:13.41" personId="{98C8656B-4C39-4EDE-898B-7F21826C4845}" id="{1FC5773B-9A30-41E5-A798-5E8AEB5401C6}">
    <text>RFP process conducted - $1000 increase in fees</text>
  </threadedComment>
  <threadedComment ref="I87" dT="2021-04-15T14:45:01.40" personId="{98C8656B-4C39-4EDE-898B-7F21826C4845}" id="{945BDE2C-F05C-458A-997F-F58B5B3FCF5F}">
    <text>20 families @ $100/box</text>
  </threadedComment>
  <threadedComment ref="I89" dT="2021-04-15T14:47:27.78" personId="{98C8656B-4C39-4EDE-898B-7F21826C4845}" id="{DF120ABB-CB1C-4338-B61A-4F9E03ADC38A}">
    <text>7 families at $1500 each</text>
  </threadedComment>
  <threadedComment ref="I90" dT="2021-04-15T14:46:38.40" personId="{98C8656B-4C39-4EDE-898B-7F21826C4845}" id="{15B72594-4E0B-4B3D-BD3B-8E0F9DA28153}">
    <text>7 families @ $1500 each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C94C-3DAD-4BF9-83F3-ED7EBB8A416B}">
  <sheetPr>
    <pageSetUpPr fitToPage="1"/>
  </sheetPr>
  <dimension ref="A1:N95"/>
  <sheetViews>
    <sheetView tabSelected="1" workbookViewId="0">
      <pane xSplit="1" ySplit="4" topLeftCell="B45" activePane="bottomRight" state="frozen"/>
      <selection pane="topRight" activeCell="B1" sqref="B1"/>
      <selection pane="bottomLeft" activeCell="A4" sqref="A4"/>
      <selection pane="bottomRight" activeCell="I58" sqref="I58"/>
    </sheetView>
  </sheetViews>
  <sheetFormatPr defaultColWidth="9.140625" defaultRowHeight="15" x14ac:dyDescent="0.25"/>
  <cols>
    <col min="1" max="1" width="2.28515625" style="21" customWidth="1"/>
    <col min="2" max="2" width="6.85546875" style="21" customWidth="1"/>
    <col min="3" max="3" width="6.7109375" style="21" customWidth="1"/>
    <col min="4" max="4" width="34.140625" style="21" customWidth="1"/>
    <col min="5" max="5" width="11.85546875" style="21" hidden="1" customWidth="1"/>
    <col min="6" max="6" width="11.140625" style="21" hidden="1" customWidth="1"/>
    <col min="7" max="7" width="11.5703125" style="21" hidden="1" customWidth="1"/>
    <col min="8" max="8" width="10.7109375" style="70" hidden="1" customWidth="1"/>
    <col min="9" max="9" width="12.85546875" style="21" bestFit="1" customWidth="1"/>
    <col min="10" max="10" width="40.28515625" style="21" hidden="1" customWidth="1"/>
    <col min="11" max="16384" width="9.140625" style="21"/>
  </cols>
  <sheetData>
    <row r="1" spans="1:10" x14ac:dyDescent="0.25">
      <c r="D1" s="21" t="s">
        <v>199</v>
      </c>
    </row>
    <row r="2" spans="1:10" x14ac:dyDescent="0.25">
      <c r="A2" s="69"/>
      <c r="B2" s="69"/>
      <c r="C2" s="69"/>
      <c r="D2" s="4"/>
      <c r="E2" s="4" t="s">
        <v>0</v>
      </c>
      <c r="F2" s="4" t="s">
        <v>1</v>
      </c>
      <c r="G2" s="4" t="s">
        <v>2</v>
      </c>
      <c r="H2" s="70" t="s">
        <v>3</v>
      </c>
      <c r="I2" s="4" t="s">
        <v>4</v>
      </c>
    </row>
    <row r="3" spans="1:10" ht="17.25" x14ac:dyDescent="0.4">
      <c r="A3" s="69"/>
      <c r="B3" s="69"/>
      <c r="C3" s="69"/>
      <c r="D3" s="4"/>
      <c r="E3" s="7" t="s">
        <v>5</v>
      </c>
      <c r="F3" s="7" t="s">
        <v>6</v>
      </c>
      <c r="G3" s="7" t="s">
        <v>7</v>
      </c>
      <c r="H3" s="71" t="s">
        <v>6</v>
      </c>
      <c r="I3" s="7" t="s">
        <v>5</v>
      </c>
      <c r="J3" s="72" t="s">
        <v>8</v>
      </c>
    </row>
    <row r="4" spans="1:10" x14ac:dyDescent="0.25">
      <c r="A4" s="73" t="s">
        <v>9</v>
      </c>
      <c r="B4" s="73"/>
      <c r="C4" s="73"/>
      <c r="D4" s="11"/>
      <c r="E4" s="11"/>
      <c r="F4" s="11"/>
      <c r="G4" s="11"/>
      <c r="I4" s="11"/>
    </row>
    <row r="5" spans="1:10" x14ac:dyDescent="0.25">
      <c r="A5" s="73"/>
      <c r="B5" s="73" t="s">
        <v>10</v>
      </c>
      <c r="C5" s="73"/>
      <c r="D5" s="11"/>
      <c r="E5" s="11"/>
      <c r="F5" s="11"/>
      <c r="G5" s="11"/>
      <c r="I5" s="11"/>
    </row>
    <row r="6" spans="1:10" x14ac:dyDescent="0.25">
      <c r="A6" s="73"/>
      <c r="B6" s="73"/>
      <c r="C6" s="73" t="s">
        <v>11</v>
      </c>
      <c r="D6" s="11"/>
      <c r="E6" s="12"/>
      <c r="F6" s="12"/>
      <c r="G6" s="12"/>
      <c r="I6" s="12"/>
    </row>
    <row r="7" spans="1:10" x14ac:dyDescent="0.25">
      <c r="A7" s="73"/>
      <c r="B7" s="73"/>
      <c r="C7" s="73"/>
      <c r="D7" s="11" t="s">
        <v>12</v>
      </c>
      <c r="E7" s="12">
        <v>2500</v>
      </c>
      <c r="F7" s="12">
        <v>2500</v>
      </c>
      <c r="G7" s="12">
        <v>0</v>
      </c>
      <c r="H7" s="70">
        <f>G7+F7</f>
        <v>2500</v>
      </c>
      <c r="I7" s="12">
        <v>2500</v>
      </c>
      <c r="J7" s="21" t="s">
        <v>13</v>
      </c>
    </row>
    <row r="8" spans="1:10" x14ac:dyDescent="0.25">
      <c r="A8" s="73"/>
      <c r="B8" s="73"/>
      <c r="C8" s="73"/>
      <c r="D8" s="11" t="s">
        <v>15</v>
      </c>
      <c r="E8" s="12">
        <v>11000</v>
      </c>
      <c r="F8" s="12">
        <v>3251</v>
      </c>
      <c r="G8" s="12">
        <v>3000</v>
      </c>
      <c r="H8" s="70">
        <f t="shared" ref="H8:H14" si="0">G8+F8</f>
        <v>6251</v>
      </c>
      <c r="I8" s="12">
        <v>11000</v>
      </c>
      <c r="J8" s="21" t="s">
        <v>16</v>
      </c>
    </row>
    <row r="9" spans="1:10" x14ac:dyDescent="0.25">
      <c r="A9" s="73"/>
      <c r="B9" s="73"/>
      <c r="C9" s="73"/>
      <c r="D9" s="11" t="s">
        <v>17</v>
      </c>
      <c r="E9" s="12">
        <v>2000</v>
      </c>
      <c r="F9" s="12">
        <v>2000</v>
      </c>
      <c r="G9" s="12">
        <v>0</v>
      </c>
      <c r="H9" s="70">
        <f t="shared" si="0"/>
        <v>2000</v>
      </c>
      <c r="I9" s="12">
        <v>2000</v>
      </c>
      <c r="J9" s="21" t="s">
        <v>13</v>
      </c>
    </row>
    <row r="10" spans="1:10" x14ac:dyDescent="0.25">
      <c r="A10" s="73"/>
      <c r="B10" s="73"/>
      <c r="C10" s="73"/>
      <c r="D10" s="11" t="s">
        <v>18</v>
      </c>
      <c r="E10" s="12">
        <v>5000</v>
      </c>
      <c r="F10" s="12">
        <v>3750</v>
      </c>
      <c r="G10" s="12">
        <v>1250</v>
      </c>
      <c r="H10" s="70">
        <f t="shared" si="0"/>
        <v>5000</v>
      </c>
      <c r="I10" s="12">
        <v>4000</v>
      </c>
      <c r="J10" s="21" t="s">
        <v>19</v>
      </c>
    </row>
    <row r="11" spans="1:10" x14ac:dyDescent="0.25">
      <c r="A11" s="73"/>
      <c r="B11" s="73"/>
      <c r="C11" s="73"/>
      <c r="D11" s="11" t="s">
        <v>20</v>
      </c>
      <c r="E11" s="12">
        <v>25000</v>
      </c>
      <c r="F11" s="12">
        <v>0</v>
      </c>
      <c r="G11" s="12">
        <v>35000</v>
      </c>
      <c r="H11" s="70">
        <f t="shared" si="0"/>
        <v>35000</v>
      </c>
      <c r="I11" s="12">
        <v>25000</v>
      </c>
      <c r="J11" s="21" t="s">
        <v>21</v>
      </c>
    </row>
    <row r="12" spans="1:10" x14ac:dyDescent="0.25">
      <c r="A12" s="73"/>
      <c r="B12" s="73"/>
      <c r="C12" s="73"/>
      <c r="D12" s="11" t="s">
        <v>22</v>
      </c>
      <c r="E12" s="12">
        <v>4000</v>
      </c>
      <c r="F12" s="12">
        <v>3200</v>
      </c>
      <c r="G12" s="12">
        <v>800</v>
      </c>
      <c r="H12" s="70">
        <f t="shared" si="0"/>
        <v>4000</v>
      </c>
      <c r="I12" s="12">
        <v>0</v>
      </c>
      <c r="J12" s="21" t="s">
        <v>23</v>
      </c>
    </row>
    <row r="13" spans="1:10" x14ac:dyDescent="0.25">
      <c r="A13" s="73"/>
      <c r="B13" s="73"/>
      <c r="C13" s="73"/>
      <c r="D13" s="11" t="s">
        <v>24</v>
      </c>
      <c r="E13" s="12">
        <v>0</v>
      </c>
      <c r="F13" s="12">
        <v>2000</v>
      </c>
      <c r="G13" s="12">
        <v>0</v>
      </c>
      <c r="H13" s="70">
        <f t="shared" si="0"/>
        <v>2000</v>
      </c>
      <c r="I13" s="12">
        <v>0</v>
      </c>
      <c r="J13" s="21" t="s">
        <v>25</v>
      </c>
    </row>
    <row r="14" spans="1:10" ht="16.5" x14ac:dyDescent="0.35">
      <c r="A14" s="73"/>
      <c r="B14" s="73"/>
      <c r="C14" s="73"/>
      <c r="D14" s="11" t="s">
        <v>26</v>
      </c>
      <c r="E14" s="22">
        <v>0</v>
      </c>
      <c r="F14" s="22">
        <v>10000</v>
      </c>
      <c r="G14" s="22">
        <v>0</v>
      </c>
      <c r="H14" s="74">
        <f t="shared" si="0"/>
        <v>10000</v>
      </c>
      <c r="I14" s="22">
        <v>0</v>
      </c>
      <c r="J14" s="21" t="s">
        <v>27</v>
      </c>
    </row>
    <row r="15" spans="1:10" hidden="1" x14ac:dyDescent="0.25">
      <c r="A15" s="73"/>
      <c r="B15" s="73"/>
      <c r="C15" s="73"/>
      <c r="D15" s="11" t="s">
        <v>28</v>
      </c>
      <c r="E15" s="12">
        <v>0</v>
      </c>
      <c r="F15" s="12">
        <v>0</v>
      </c>
      <c r="G15" s="12">
        <v>0</v>
      </c>
      <c r="H15" s="70">
        <v>0</v>
      </c>
      <c r="I15" s="12">
        <v>0</v>
      </c>
      <c r="J15" s="21" t="s">
        <v>27</v>
      </c>
    </row>
    <row r="16" spans="1:10" hidden="1" x14ac:dyDescent="0.25">
      <c r="A16" s="73"/>
      <c r="B16" s="73"/>
      <c r="C16" s="73"/>
      <c r="D16" s="11" t="s">
        <v>29</v>
      </c>
      <c r="E16" s="13">
        <v>0</v>
      </c>
      <c r="F16" s="13">
        <v>0</v>
      </c>
      <c r="G16" s="13">
        <v>0</v>
      </c>
      <c r="H16" s="75">
        <f t="shared" ref="H16" si="1">G16+F16</f>
        <v>0</v>
      </c>
      <c r="I16" s="13">
        <v>0</v>
      </c>
      <c r="J16" s="21" t="s">
        <v>27</v>
      </c>
    </row>
    <row r="17" spans="1:10" x14ac:dyDescent="0.25">
      <c r="A17" s="73"/>
      <c r="B17" s="73"/>
      <c r="C17" s="73" t="s">
        <v>30</v>
      </c>
      <c r="D17" s="11"/>
      <c r="E17" s="15">
        <f>SUM(E7:E16)</f>
        <v>49500</v>
      </c>
      <c r="F17" s="15">
        <f>SUM(F7:F16)</f>
        <v>26701</v>
      </c>
      <c r="G17" s="15">
        <f>SUM(G7:G16)</f>
        <v>40050</v>
      </c>
      <c r="H17" s="15">
        <f>SUM(H7:H16)</f>
        <v>66751</v>
      </c>
      <c r="I17" s="15">
        <f>SUM(I7:I16)</f>
        <v>44500</v>
      </c>
    </row>
    <row r="18" spans="1:10" x14ac:dyDescent="0.25">
      <c r="A18" s="73"/>
      <c r="B18" s="73" t="s">
        <v>31</v>
      </c>
      <c r="C18" s="73"/>
      <c r="D18" s="11"/>
      <c r="E18" s="12"/>
      <c r="F18" s="12"/>
      <c r="G18" s="12"/>
      <c r="I18" s="12"/>
    </row>
    <row r="19" spans="1:10" x14ac:dyDescent="0.25">
      <c r="A19" s="73"/>
      <c r="B19" s="73"/>
      <c r="C19" s="73"/>
      <c r="D19" s="11" t="s">
        <v>32</v>
      </c>
      <c r="E19" s="12">
        <v>265000</v>
      </c>
      <c r="F19" s="12">
        <v>180992</v>
      </c>
      <c r="G19" s="12">
        <v>85000</v>
      </c>
      <c r="H19" s="70">
        <v>277000</v>
      </c>
      <c r="I19" s="12">
        <v>280000</v>
      </c>
      <c r="J19" s="21" t="s">
        <v>33</v>
      </c>
    </row>
    <row r="20" spans="1:10" x14ac:dyDescent="0.25">
      <c r="A20" s="73"/>
      <c r="B20" s="73"/>
      <c r="C20" s="73"/>
      <c r="D20" s="11" t="s">
        <v>34</v>
      </c>
      <c r="E20" s="12">
        <v>-23000</v>
      </c>
      <c r="F20" s="12">
        <v>-2802</v>
      </c>
      <c r="G20" s="12">
        <v>-20000</v>
      </c>
      <c r="H20" s="70">
        <v>-23000</v>
      </c>
      <c r="I20" s="12">
        <v>-30000</v>
      </c>
    </row>
    <row r="21" spans="1:10" x14ac:dyDescent="0.25">
      <c r="A21" s="73"/>
      <c r="B21" s="73"/>
      <c r="C21" s="73"/>
      <c r="D21" s="11" t="s">
        <v>35</v>
      </c>
      <c r="E21" s="12">
        <v>500</v>
      </c>
      <c r="F21" s="12">
        <v>0</v>
      </c>
      <c r="G21" s="12"/>
      <c r="H21" s="70">
        <f t="shared" ref="H21:H28" si="2">G21+F21</f>
        <v>0</v>
      </c>
      <c r="I21" s="12"/>
    </row>
    <row r="22" spans="1:10" x14ac:dyDescent="0.25">
      <c r="A22" s="73"/>
      <c r="B22" s="73"/>
      <c r="C22" s="73"/>
      <c r="D22" s="11" t="s">
        <v>36</v>
      </c>
      <c r="E22" s="12">
        <v>17000</v>
      </c>
      <c r="F22" s="12">
        <v>19945</v>
      </c>
      <c r="G22" s="12">
        <v>4000</v>
      </c>
      <c r="H22" s="70">
        <f t="shared" si="2"/>
        <v>23945</v>
      </c>
      <c r="I22" s="12">
        <v>18000</v>
      </c>
    </row>
    <row r="23" spans="1:10" x14ac:dyDescent="0.25">
      <c r="A23" s="73"/>
      <c r="B23" s="73"/>
      <c r="C23" s="73"/>
      <c r="D23" s="11" t="s">
        <v>37</v>
      </c>
      <c r="E23" s="12">
        <v>500</v>
      </c>
      <c r="F23" s="12">
        <v>234</v>
      </c>
      <c r="G23" s="12">
        <v>150</v>
      </c>
      <c r="H23" s="70">
        <f t="shared" si="2"/>
        <v>384</v>
      </c>
      <c r="I23" s="12">
        <v>500</v>
      </c>
    </row>
    <row r="24" spans="1:10" x14ac:dyDescent="0.25">
      <c r="A24" s="73"/>
      <c r="B24" s="73"/>
      <c r="C24" s="73"/>
      <c r="D24" s="11" t="s">
        <v>38</v>
      </c>
      <c r="E24" s="12">
        <v>2000</v>
      </c>
      <c r="F24" s="12">
        <v>1543</v>
      </c>
      <c r="G24" s="12">
        <v>600</v>
      </c>
      <c r="H24" s="70">
        <f t="shared" si="2"/>
        <v>2143</v>
      </c>
      <c r="I24" s="12">
        <v>2000</v>
      </c>
    </row>
    <row r="25" spans="1:10" x14ac:dyDescent="0.25">
      <c r="A25" s="73"/>
      <c r="B25" s="73"/>
      <c r="C25" s="73"/>
      <c r="D25" s="11" t="s">
        <v>39</v>
      </c>
      <c r="E25" s="12">
        <v>7500</v>
      </c>
      <c r="F25" s="12">
        <v>7500</v>
      </c>
      <c r="G25" s="12">
        <v>0</v>
      </c>
      <c r="H25" s="70">
        <f t="shared" si="2"/>
        <v>7500</v>
      </c>
      <c r="I25" s="12">
        <v>7500</v>
      </c>
    </row>
    <row r="26" spans="1:10" x14ac:dyDescent="0.25">
      <c r="A26" s="73"/>
      <c r="B26" s="73"/>
      <c r="C26" s="73"/>
      <c r="D26" s="11" t="s">
        <v>40</v>
      </c>
      <c r="E26" s="12">
        <v>5000</v>
      </c>
      <c r="F26" s="12">
        <v>9321</v>
      </c>
      <c r="G26" s="12">
        <v>1500</v>
      </c>
      <c r="H26" s="70">
        <f t="shared" si="2"/>
        <v>10821</v>
      </c>
      <c r="I26" s="12">
        <v>6000</v>
      </c>
    </row>
    <row r="27" spans="1:10" x14ac:dyDescent="0.25">
      <c r="A27" s="73"/>
      <c r="B27" s="73"/>
      <c r="C27" s="73"/>
      <c r="D27" s="11" t="s">
        <v>41</v>
      </c>
      <c r="E27" s="12">
        <v>500</v>
      </c>
      <c r="F27" s="12">
        <v>0</v>
      </c>
      <c r="G27" s="12">
        <v>500</v>
      </c>
      <c r="H27" s="70">
        <f t="shared" si="2"/>
        <v>500</v>
      </c>
      <c r="I27" s="12">
        <v>500</v>
      </c>
    </row>
    <row r="28" spans="1:10" ht="16.5" x14ac:dyDescent="0.35">
      <c r="A28" s="73"/>
      <c r="B28" s="73"/>
      <c r="C28" s="73"/>
      <c r="D28" s="11" t="s">
        <v>42</v>
      </c>
      <c r="E28" s="13">
        <v>700</v>
      </c>
      <c r="F28" s="13">
        <v>0</v>
      </c>
      <c r="G28" s="13">
        <v>700</v>
      </c>
      <c r="H28" s="74">
        <f t="shared" si="2"/>
        <v>700</v>
      </c>
      <c r="I28" s="13">
        <v>700</v>
      </c>
    </row>
    <row r="29" spans="1:10" x14ac:dyDescent="0.25">
      <c r="A29" s="73"/>
      <c r="B29" s="73"/>
      <c r="C29" s="73" t="s">
        <v>43</v>
      </c>
      <c r="D29" s="11"/>
      <c r="E29" s="15">
        <f>SUM(E19:E28)</f>
        <v>275700</v>
      </c>
      <c r="F29" s="15">
        <f>SUM(F19:F28)</f>
        <v>216733</v>
      </c>
      <c r="G29" s="15">
        <f>SUM(G19:G28)</f>
        <v>72450</v>
      </c>
      <c r="H29" s="76">
        <f>SUM(H19:H28)</f>
        <v>299993</v>
      </c>
      <c r="I29" s="15">
        <f>SUM(I19:I28)</f>
        <v>285200</v>
      </c>
    </row>
    <row r="30" spans="1:10" x14ac:dyDescent="0.25">
      <c r="A30" s="73"/>
      <c r="B30" s="73" t="s">
        <v>44</v>
      </c>
      <c r="C30" s="73"/>
      <c r="D30" s="11"/>
      <c r="E30" s="12"/>
      <c r="F30" s="12"/>
      <c r="G30" s="12"/>
      <c r="I30" s="12"/>
    </row>
    <row r="31" spans="1:10" x14ac:dyDescent="0.25">
      <c r="A31" s="73"/>
      <c r="B31" s="73"/>
      <c r="C31" s="73"/>
      <c r="D31" s="11" t="s">
        <v>45</v>
      </c>
      <c r="E31" s="12">
        <v>135000</v>
      </c>
      <c r="F31" s="12">
        <v>101252</v>
      </c>
      <c r="G31" s="12">
        <f>135000-F31</f>
        <v>33748</v>
      </c>
      <c r="H31" s="70">
        <f t="shared" ref="H31:H39" si="3">G31+F31</f>
        <v>135000</v>
      </c>
      <c r="I31" s="12">
        <v>137000</v>
      </c>
    </row>
    <row r="32" spans="1:10" x14ac:dyDescent="0.25">
      <c r="A32" s="73"/>
      <c r="B32" s="73"/>
      <c r="C32" s="73"/>
      <c r="D32" s="11" t="s">
        <v>46</v>
      </c>
      <c r="E32" s="12">
        <v>10500</v>
      </c>
      <c r="F32" s="12">
        <v>0</v>
      </c>
      <c r="G32" s="12">
        <v>0</v>
      </c>
      <c r="H32" s="70">
        <f t="shared" si="3"/>
        <v>0</v>
      </c>
      <c r="I32" s="12">
        <v>0</v>
      </c>
    </row>
    <row r="33" spans="1:10" x14ac:dyDescent="0.25">
      <c r="A33" s="73"/>
      <c r="B33" s="73"/>
      <c r="C33" s="73"/>
      <c r="D33" s="11" t="s">
        <v>47</v>
      </c>
      <c r="E33" s="12">
        <v>33660</v>
      </c>
      <c r="F33" s="12">
        <v>25245</v>
      </c>
      <c r="G33" s="12">
        <f>33660-F33</f>
        <v>8415</v>
      </c>
      <c r="H33" s="70">
        <f t="shared" si="3"/>
        <v>33660</v>
      </c>
      <c r="I33" s="12">
        <v>36000</v>
      </c>
    </row>
    <row r="34" spans="1:10" hidden="1" x14ac:dyDescent="0.25">
      <c r="A34" s="73"/>
      <c r="B34" s="73"/>
      <c r="C34" s="73"/>
      <c r="D34" s="11" t="s">
        <v>48</v>
      </c>
      <c r="E34" s="12">
        <v>0</v>
      </c>
      <c r="F34" s="12">
        <v>0</v>
      </c>
      <c r="G34" s="12"/>
      <c r="H34" s="70">
        <f t="shared" si="3"/>
        <v>0</v>
      </c>
      <c r="I34" s="12"/>
    </row>
    <row r="35" spans="1:10" hidden="1" x14ac:dyDescent="0.25">
      <c r="A35" s="73"/>
      <c r="B35" s="73"/>
      <c r="C35" s="73"/>
      <c r="D35" s="11" t="s">
        <v>49</v>
      </c>
      <c r="E35" s="12"/>
      <c r="F35" s="12">
        <v>0</v>
      </c>
      <c r="G35" s="12"/>
      <c r="H35" s="70">
        <f t="shared" si="3"/>
        <v>0</v>
      </c>
    </row>
    <row r="36" spans="1:10" x14ac:dyDescent="0.25">
      <c r="A36" s="73"/>
      <c r="B36" s="73"/>
      <c r="C36" s="73"/>
      <c r="D36" s="11" t="s">
        <v>50</v>
      </c>
      <c r="E36" s="12">
        <v>1500</v>
      </c>
      <c r="F36" s="12">
        <v>10000</v>
      </c>
      <c r="G36" s="12">
        <v>0</v>
      </c>
      <c r="H36" s="70">
        <f t="shared" si="3"/>
        <v>10000</v>
      </c>
      <c r="I36" s="12">
        <v>1500</v>
      </c>
    </row>
    <row r="37" spans="1:10" x14ac:dyDescent="0.25">
      <c r="A37" s="73"/>
      <c r="B37" s="73"/>
      <c r="C37" s="73"/>
      <c r="D37" s="11" t="s">
        <v>51</v>
      </c>
      <c r="E37" s="12">
        <v>40000</v>
      </c>
      <c r="F37" s="12">
        <v>53641</v>
      </c>
      <c r="G37" s="12">
        <v>6500</v>
      </c>
      <c r="H37" s="70">
        <f t="shared" si="3"/>
        <v>60141</v>
      </c>
      <c r="I37" s="12">
        <v>30000</v>
      </c>
      <c r="J37" s="21" t="s">
        <v>52</v>
      </c>
    </row>
    <row r="38" spans="1:10" x14ac:dyDescent="0.25">
      <c r="A38" s="73"/>
      <c r="B38" s="73"/>
      <c r="C38" s="73"/>
      <c r="D38" s="11" t="s">
        <v>53</v>
      </c>
      <c r="E38" s="12">
        <v>500</v>
      </c>
      <c r="F38" s="12">
        <v>1572</v>
      </c>
      <c r="G38" s="12">
        <v>0</v>
      </c>
      <c r="H38" s="70">
        <f t="shared" si="3"/>
        <v>1572</v>
      </c>
      <c r="I38" s="12">
        <v>500</v>
      </c>
    </row>
    <row r="39" spans="1:10" x14ac:dyDescent="0.25">
      <c r="A39" s="73"/>
      <c r="B39" s="73"/>
      <c r="C39" s="73"/>
      <c r="D39" s="11" t="s">
        <v>54</v>
      </c>
      <c r="E39" s="12">
        <v>3500</v>
      </c>
      <c r="F39" s="12">
        <v>3211</v>
      </c>
      <c r="G39" s="12">
        <v>0</v>
      </c>
      <c r="H39" s="70">
        <f t="shared" si="3"/>
        <v>3211</v>
      </c>
      <c r="I39" s="12">
        <v>3500</v>
      </c>
    </row>
    <row r="40" spans="1:10" x14ac:dyDescent="0.25">
      <c r="A40" s="73"/>
      <c r="B40" s="73" t="s">
        <v>55</v>
      </c>
      <c r="C40" s="73"/>
      <c r="D40" s="11"/>
      <c r="E40" s="12"/>
      <c r="F40" s="12"/>
      <c r="G40" s="12"/>
      <c r="I40" s="12"/>
    </row>
    <row r="41" spans="1:10" x14ac:dyDescent="0.25">
      <c r="A41" s="73"/>
      <c r="B41" s="73"/>
      <c r="C41" s="73"/>
      <c r="D41" s="11" t="s">
        <v>56</v>
      </c>
      <c r="E41" s="12">
        <v>50000</v>
      </c>
      <c r="F41" s="12">
        <v>44223</v>
      </c>
      <c r="G41" s="12">
        <v>15000</v>
      </c>
      <c r="H41" s="70">
        <f t="shared" ref="H41:H45" si="4">G41+F41</f>
        <v>59223</v>
      </c>
      <c r="I41" s="12">
        <v>55000</v>
      </c>
    </row>
    <row r="42" spans="1:10" x14ac:dyDescent="0.25">
      <c r="A42" s="73"/>
      <c r="B42" s="73"/>
      <c r="C42" s="73"/>
      <c r="D42" s="11" t="s">
        <v>57</v>
      </c>
      <c r="E42" s="12">
        <v>-16000</v>
      </c>
      <c r="F42" s="12">
        <v>-18165</v>
      </c>
      <c r="G42" s="12">
        <v>-5000</v>
      </c>
      <c r="H42" s="70">
        <f t="shared" si="4"/>
        <v>-23165</v>
      </c>
      <c r="I42" s="12">
        <v>-20000</v>
      </c>
      <c r="J42" s="21" t="s">
        <v>58</v>
      </c>
    </row>
    <row r="43" spans="1:10" x14ac:dyDescent="0.25">
      <c r="A43" s="73"/>
      <c r="B43" s="73"/>
      <c r="C43" s="73"/>
      <c r="D43" s="11" t="s">
        <v>59</v>
      </c>
      <c r="E43" s="12">
        <v>-12000</v>
      </c>
      <c r="F43" s="12">
        <v>-7776</v>
      </c>
      <c r="G43" s="12">
        <v>-2500</v>
      </c>
      <c r="H43" s="70">
        <f t="shared" si="4"/>
        <v>-10276</v>
      </c>
      <c r="I43" s="12">
        <v>-12000</v>
      </c>
      <c r="J43" s="21" t="s">
        <v>60</v>
      </c>
    </row>
    <row r="44" spans="1:10" hidden="1" x14ac:dyDescent="0.25">
      <c r="A44" s="73"/>
      <c r="B44" s="73"/>
      <c r="C44" s="73"/>
      <c r="D44" s="11" t="s">
        <v>61</v>
      </c>
      <c r="E44" s="12">
        <v>0</v>
      </c>
      <c r="F44" s="12">
        <v>0</v>
      </c>
      <c r="G44" s="12"/>
      <c r="H44" s="70">
        <f t="shared" si="4"/>
        <v>0</v>
      </c>
      <c r="I44" s="12"/>
    </row>
    <row r="45" spans="1:10" ht="16.5" x14ac:dyDescent="0.35">
      <c r="A45" s="73"/>
      <c r="B45" s="73"/>
      <c r="C45" s="73"/>
      <c r="D45" s="11" t="s">
        <v>62</v>
      </c>
      <c r="E45" s="13">
        <v>12000</v>
      </c>
      <c r="F45" s="13">
        <v>4922</v>
      </c>
      <c r="G45" s="13">
        <v>2000</v>
      </c>
      <c r="H45" s="74">
        <f t="shared" si="4"/>
        <v>6922</v>
      </c>
      <c r="I45" s="13">
        <v>12000</v>
      </c>
    </row>
    <row r="46" spans="1:10" x14ac:dyDescent="0.25">
      <c r="A46" s="73"/>
      <c r="B46" s="73"/>
      <c r="C46" s="73" t="s">
        <v>63</v>
      </c>
      <c r="D46" s="11"/>
      <c r="E46" s="12">
        <f>SUM(E41:E45)</f>
        <v>34000</v>
      </c>
      <c r="F46" s="12">
        <f>SUM(F41:F45)</f>
        <v>23204</v>
      </c>
      <c r="G46" s="12">
        <f t="shared" ref="G46:H46" si="5">SUM(G41:G45)</f>
        <v>9500</v>
      </c>
      <c r="H46" s="12">
        <f t="shared" si="5"/>
        <v>32704</v>
      </c>
      <c r="I46" s="12">
        <f>SUM(I41:I45)</f>
        <v>35000</v>
      </c>
    </row>
    <row r="47" spans="1:10" x14ac:dyDescent="0.25">
      <c r="A47" s="73"/>
      <c r="B47" s="73"/>
      <c r="C47" s="73"/>
      <c r="D47" s="11"/>
      <c r="E47" s="12"/>
      <c r="F47" s="12"/>
      <c r="G47" s="12"/>
      <c r="I47" s="12"/>
    </row>
    <row r="48" spans="1:10" x14ac:dyDescent="0.25">
      <c r="A48" s="73"/>
      <c r="B48" s="73"/>
      <c r="C48" s="73"/>
      <c r="D48" s="73" t="s">
        <v>64</v>
      </c>
      <c r="E48" s="16">
        <f>E46+E39+E38+E37+E36+E33+E31+E29+E17+E32</f>
        <v>583860</v>
      </c>
      <c r="F48" s="16">
        <f>F46+F39+F38+F37+F36+F33+F31+F29+F17+F32</f>
        <v>461559</v>
      </c>
      <c r="G48" s="16">
        <f>G46+G39+G38+G37+G36+G33+G31+G29+G17+G32</f>
        <v>170663</v>
      </c>
      <c r="H48" s="16">
        <f>H46+H39+H38+H37+H36+H33+H31+H29+H17+H32</f>
        <v>643032</v>
      </c>
      <c r="I48" s="16">
        <f>I46+I40+I39+I38+I37+I33+I31+I29+I17+I36+I32</f>
        <v>573200</v>
      </c>
    </row>
    <row r="49" spans="1:10" x14ac:dyDescent="0.25">
      <c r="A49" s="73"/>
      <c r="B49" s="73" t="s">
        <v>65</v>
      </c>
      <c r="C49" s="73"/>
      <c r="D49" s="11"/>
      <c r="E49" s="12">
        <v>18988</v>
      </c>
      <c r="F49" s="12">
        <v>0</v>
      </c>
      <c r="G49" s="12">
        <v>0</v>
      </c>
      <c r="H49" s="77">
        <v>0</v>
      </c>
      <c r="I49" s="12">
        <v>22519</v>
      </c>
    </row>
    <row r="50" spans="1:10" x14ac:dyDescent="0.25">
      <c r="A50" s="73"/>
      <c r="E50" s="18">
        <f>SUM(E48:E49)</f>
        <v>602848</v>
      </c>
      <c r="F50" s="18">
        <f t="shared" ref="F50:H50" si="6">SUM(F48:F49)</f>
        <v>461559</v>
      </c>
      <c r="G50" s="18">
        <f t="shared" si="6"/>
        <v>170663</v>
      </c>
      <c r="H50" s="18">
        <f t="shared" si="6"/>
        <v>643032</v>
      </c>
      <c r="I50" s="18">
        <f>SUM(I48:I49)</f>
        <v>595719</v>
      </c>
    </row>
    <row r="51" spans="1:10" x14ac:dyDescent="0.25">
      <c r="A51" s="73"/>
      <c r="B51" s="73"/>
      <c r="C51" s="73"/>
      <c r="D51" s="11"/>
      <c r="E51" s="12"/>
      <c r="F51" s="12"/>
      <c r="G51" s="12"/>
      <c r="H51" s="77"/>
      <c r="I51" s="12"/>
    </row>
    <row r="52" spans="1:10" x14ac:dyDescent="0.25">
      <c r="A52" s="73"/>
      <c r="B52" s="73"/>
      <c r="C52" s="73"/>
      <c r="D52" s="11"/>
      <c r="E52" s="12"/>
      <c r="F52" s="12"/>
      <c r="G52" s="12"/>
      <c r="H52" s="77"/>
      <c r="I52" s="12"/>
    </row>
    <row r="53" spans="1:10" x14ac:dyDescent="0.25">
      <c r="A53" s="73"/>
      <c r="B53" s="73"/>
      <c r="C53" s="73"/>
      <c r="D53" s="11"/>
      <c r="E53" s="12"/>
      <c r="F53" s="12"/>
      <c r="G53" s="12"/>
      <c r="H53" s="77"/>
      <c r="I53" s="12"/>
    </row>
    <row r="54" spans="1:10" x14ac:dyDescent="0.25">
      <c r="A54" s="73"/>
      <c r="B54" s="73" t="s">
        <v>67</v>
      </c>
      <c r="C54" s="73"/>
      <c r="D54" s="11"/>
      <c r="E54" s="12"/>
      <c r="F54" s="12"/>
      <c r="G54" s="12"/>
      <c r="I54" s="12"/>
    </row>
    <row r="55" spans="1:10" x14ac:dyDescent="0.25">
      <c r="A55" s="73"/>
      <c r="B55" s="73"/>
      <c r="C55" s="73"/>
      <c r="D55" s="11" t="s">
        <v>68</v>
      </c>
      <c r="E55" s="12">
        <v>323096</v>
      </c>
      <c r="F55" s="12">
        <v>245664</v>
      </c>
      <c r="G55" s="12">
        <f>(90000*0.25)+(54600*0.25)+(72400*0.25)+(26700*0.25)+(46500*0.25)+(9100)-3000</f>
        <v>78650</v>
      </c>
      <c r="H55" s="70">
        <f>G55+F55</f>
        <v>324314</v>
      </c>
      <c r="I55" s="12">
        <f>'[1]PayrollAllocrev 22-23'!$C$78</f>
        <v>336484.59591500007</v>
      </c>
      <c r="J55" s="21" t="s">
        <v>69</v>
      </c>
    </row>
    <row r="56" spans="1:10" x14ac:dyDescent="0.25">
      <c r="A56" s="73"/>
      <c r="B56" s="73"/>
      <c r="C56" s="73"/>
      <c r="D56" s="11" t="s">
        <v>70</v>
      </c>
      <c r="E56" s="12">
        <v>24717</v>
      </c>
      <c r="F56" s="12">
        <v>18230</v>
      </c>
      <c r="G56" s="12">
        <f>G55*0.0765</f>
        <v>6016.7249999999995</v>
      </c>
      <c r="H56" s="70">
        <f t="shared" ref="H56:H58" si="7">G56+F56</f>
        <v>24246.724999999999</v>
      </c>
      <c r="I56" s="12">
        <f>I55*0.0765</f>
        <v>25741.071587497507</v>
      </c>
    </row>
    <row r="57" spans="1:10" x14ac:dyDescent="0.25">
      <c r="A57" s="73"/>
      <c r="B57" s="73"/>
      <c r="C57" s="73"/>
      <c r="D57" s="11" t="s">
        <v>71</v>
      </c>
      <c r="E57" s="12">
        <v>26575</v>
      </c>
      <c r="F57" s="12">
        <v>19992</v>
      </c>
      <c r="G57" s="12" t="e">
        <f>(#REF!*3)+(376.68*3)+(238*3)+(182.82*3)</f>
        <v>#REF!</v>
      </c>
      <c r="H57" s="70" t="e">
        <f t="shared" si="7"/>
        <v>#REF!</v>
      </c>
      <c r="I57" s="12">
        <v>30823</v>
      </c>
    </row>
    <row r="58" spans="1:10" ht="16.5" x14ac:dyDescent="0.35">
      <c r="A58" s="73"/>
      <c r="B58" s="73"/>
      <c r="C58" s="73"/>
      <c r="D58" s="11" t="s">
        <v>73</v>
      </c>
      <c r="E58" s="13">
        <v>14500</v>
      </c>
      <c r="F58" s="13">
        <v>8751</v>
      </c>
      <c r="G58" s="22">
        <v>3000</v>
      </c>
      <c r="H58" s="75">
        <f t="shared" si="7"/>
        <v>11751</v>
      </c>
      <c r="I58" s="13">
        <v>14500</v>
      </c>
    </row>
    <row r="59" spans="1:10" x14ac:dyDescent="0.25">
      <c r="A59" s="73"/>
      <c r="B59" s="73"/>
      <c r="C59" s="73"/>
      <c r="D59" s="73" t="s">
        <v>76</v>
      </c>
      <c r="E59" s="15">
        <f>SUM(E55:E58)</f>
        <v>388888</v>
      </c>
      <c r="F59" s="15">
        <f t="shared" ref="F59:G59" si="8">SUM(F55:F58)</f>
        <v>292637</v>
      </c>
      <c r="G59" s="15" t="e">
        <f t="shared" si="8"/>
        <v>#REF!</v>
      </c>
      <c r="H59" s="76" t="e">
        <f>SUM(H55:H58)</f>
        <v>#REF!</v>
      </c>
      <c r="I59" s="15">
        <f>SUM(I55:I58)</f>
        <v>407548.66750249756</v>
      </c>
    </row>
    <row r="60" spans="1:10" x14ac:dyDescent="0.25">
      <c r="A60" s="73"/>
      <c r="B60" s="73"/>
      <c r="C60" s="73"/>
      <c r="D60" s="11"/>
      <c r="E60" s="12"/>
      <c r="F60" s="12"/>
      <c r="G60" s="12"/>
      <c r="I60" s="12"/>
    </row>
    <row r="61" spans="1:10" x14ac:dyDescent="0.25">
      <c r="A61" s="73"/>
      <c r="B61" s="73"/>
      <c r="C61" s="73"/>
      <c r="D61" s="11" t="s">
        <v>79</v>
      </c>
      <c r="E61" s="12">
        <v>13000</v>
      </c>
      <c r="F61" s="12">
        <v>10414</v>
      </c>
      <c r="G61" s="12">
        <v>2600</v>
      </c>
      <c r="H61" s="70">
        <f>G61+F61</f>
        <v>13014</v>
      </c>
      <c r="I61" s="12">
        <v>13000</v>
      </c>
      <c r="J61" s="78" t="s">
        <v>66</v>
      </c>
    </row>
    <row r="62" spans="1:10" x14ac:dyDescent="0.25">
      <c r="A62" s="73"/>
      <c r="B62" s="73"/>
      <c r="C62" s="73"/>
      <c r="D62" s="11" t="s">
        <v>80</v>
      </c>
      <c r="E62" s="12">
        <v>250</v>
      </c>
      <c r="F62" s="12">
        <v>90</v>
      </c>
      <c r="G62" s="12">
        <v>160</v>
      </c>
      <c r="H62" s="70">
        <f t="shared" ref="H62:H92" si="9">G62+F62</f>
        <v>250</v>
      </c>
      <c r="I62" s="12">
        <v>250</v>
      </c>
    </row>
    <row r="63" spans="1:10" x14ac:dyDescent="0.25">
      <c r="A63" s="73"/>
      <c r="D63" s="11" t="s">
        <v>81</v>
      </c>
      <c r="E63" s="12">
        <v>2000</v>
      </c>
      <c r="F63" s="12">
        <v>0</v>
      </c>
      <c r="G63" s="12">
        <v>0</v>
      </c>
      <c r="H63" s="70">
        <f t="shared" si="9"/>
        <v>0</v>
      </c>
      <c r="I63" s="12">
        <v>2000</v>
      </c>
    </row>
    <row r="64" spans="1:10" x14ac:dyDescent="0.25">
      <c r="A64" s="73"/>
      <c r="B64" s="73"/>
      <c r="C64" s="73"/>
      <c r="D64" s="11" t="s">
        <v>82</v>
      </c>
      <c r="E64" s="12">
        <v>1200</v>
      </c>
      <c r="F64" s="12">
        <v>376</v>
      </c>
      <c r="G64" s="12">
        <v>300</v>
      </c>
      <c r="H64" s="70">
        <f t="shared" si="9"/>
        <v>676</v>
      </c>
      <c r="I64" s="12">
        <v>1200</v>
      </c>
    </row>
    <row r="65" spans="1:10" x14ac:dyDescent="0.25">
      <c r="A65" s="73"/>
      <c r="B65" s="73"/>
      <c r="C65" s="73"/>
      <c r="D65" s="11" t="s">
        <v>83</v>
      </c>
      <c r="E65" s="12">
        <v>1100</v>
      </c>
      <c r="F65" s="12">
        <v>371</v>
      </c>
      <c r="G65" s="12">
        <v>300</v>
      </c>
      <c r="H65" s="70">
        <f t="shared" si="9"/>
        <v>671</v>
      </c>
      <c r="I65" s="12">
        <v>1100</v>
      </c>
    </row>
    <row r="66" spans="1:10" x14ac:dyDescent="0.25">
      <c r="A66" s="73"/>
      <c r="B66" s="73"/>
      <c r="C66" s="73"/>
      <c r="D66" s="11" t="s">
        <v>84</v>
      </c>
      <c r="E66" s="12">
        <v>300</v>
      </c>
      <c r="F66" s="12">
        <v>0</v>
      </c>
      <c r="G66" s="12">
        <v>0</v>
      </c>
      <c r="H66" s="70">
        <f t="shared" si="9"/>
        <v>0</v>
      </c>
      <c r="I66" s="12">
        <v>300</v>
      </c>
    </row>
    <row r="67" spans="1:10" x14ac:dyDescent="0.25">
      <c r="A67" s="73"/>
      <c r="B67" s="73"/>
      <c r="C67" s="73"/>
      <c r="D67" s="11" t="s">
        <v>85</v>
      </c>
      <c r="E67" s="12">
        <v>7000</v>
      </c>
      <c r="F67" s="12">
        <v>1863</v>
      </c>
      <c r="G67" s="12">
        <v>2000</v>
      </c>
      <c r="H67" s="70">
        <f t="shared" si="9"/>
        <v>3863</v>
      </c>
      <c r="I67" s="12">
        <v>8000</v>
      </c>
    </row>
    <row r="68" spans="1:10" x14ac:dyDescent="0.25">
      <c r="A68" s="73"/>
      <c r="B68" s="73"/>
      <c r="C68" s="73"/>
      <c r="D68" s="11" t="s">
        <v>86</v>
      </c>
      <c r="E68" s="12">
        <v>31340</v>
      </c>
      <c r="F68" s="12">
        <v>15084</v>
      </c>
      <c r="G68" s="12">
        <v>7500</v>
      </c>
      <c r="H68" s="70">
        <f t="shared" si="9"/>
        <v>22584</v>
      </c>
      <c r="I68" s="12">
        <v>35000</v>
      </c>
      <c r="J68" s="21" t="s">
        <v>87</v>
      </c>
    </row>
    <row r="69" spans="1:10" x14ac:dyDescent="0.25">
      <c r="A69" s="73"/>
      <c r="B69" s="73"/>
      <c r="C69" s="73"/>
      <c r="D69" s="11" t="s">
        <v>88</v>
      </c>
      <c r="E69" s="12">
        <v>0</v>
      </c>
      <c r="F69" s="12">
        <v>9750</v>
      </c>
      <c r="G69" s="12">
        <v>250</v>
      </c>
      <c r="H69" s="70">
        <f t="shared" si="9"/>
        <v>10000</v>
      </c>
      <c r="I69" s="12">
        <v>0</v>
      </c>
      <c r="J69" s="21" t="s">
        <v>89</v>
      </c>
    </row>
    <row r="70" spans="1:10" x14ac:dyDescent="0.25">
      <c r="A70" s="73"/>
      <c r="B70" s="73"/>
      <c r="C70" s="73"/>
      <c r="D70" s="11" t="s">
        <v>90</v>
      </c>
      <c r="E70" s="12">
        <v>23000</v>
      </c>
      <c r="F70" s="12">
        <v>12920</v>
      </c>
      <c r="G70" s="12">
        <v>1500</v>
      </c>
      <c r="H70" s="70">
        <f t="shared" si="9"/>
        <v>14420</v>
      </c>
      <c r="I70" s="12">
        <v>6000</v>
      </c>
      <c r="J70" s="21" t="s">
        <v>91</v>
      </c>
    </row>
    <row r="71" spans="1:10" x14ac:dyDescent="0.25">
      <c r="A71" s="73"/>
      <c r="B71" s="73"/>
      <c r="C71" s="73"/>
      <c r="D71" s="11" t="s">
        <v>92</v>
      </c>
      <c r="E71" s="12">
        <v>7700</v>
      </c>
      <c r="F71" s="12">
        <v>7638</v>
      </c>
      <c r="G71" s="12">
        <v>1750</v>
      </c>
      <c r="H71" s="70">
        <f t="shared" si="9"/>
        <v>9388</v>
      </c>
      <c r="I71" s="12">
        <v>8000</v>
      </c>
    </row>
    <row r="72" spans="1:10" x14ac:dyDescent="0.25">
      <c r="A72" s="73"/>
      <c r="B72" s="73"/>
      <c r="C72" s="73"/>
      <c r="D72" s="11" t="s">
        <v>93</v>
      </c>
      <c r="E72" s="12">
        <v>2400</v>
      </c>
      <c r="F72" s="12">
        <v>2493</v>
      </c>
      <c r="G72" s="12">
        <v>750</v>
      </c>
      <c r="H72" s="70">
        <f t="shared" si="9"/>
        <v>3243</v>
      </c>
      <c r="I72" s="12">
        <v>2500</v>
      </c>
    </row>
    <row r="73" spans="1:10" x14ac:dyDescent="0.25">
      <c r="A73" s="73"/>
      <c r="B73" s="73"/>
      <c r="C73" s="73"/>
      <c r="D73" s="11" t="s">
        <v>94</v>
      </c>
      <c r="E73" s="12">
        <v>1600</v>
      </c>
      <c r="F73" s="12">
        <v>465</v>
      </c>
      <c r="G73" s="12">
        <v>400</v>
      </c>
      <c r="H73" s="70">
        <f t="shared" si="9"/>
        <v>865</v>
      </c>
      <c r="I73" s="12">
        <v>2000</v>
      </c>
    </row>
    <row r="74" spans="1:10" x14ac:dyDescent="0.25">
      <c r="A74" s="73"/>
      <c r="B74" s="73"/>
      <c r="C74" s="73"/>
      <c r="D74" s="11" t="s">
        <v>95</v>
      </c>
      <c r="E74" s="12">
        <v>9000</v>
      </c>
      <c r="F74" s="12">
        <v>3940</v>
      </c>
      <c r="G74" s="12">
        <v>2000</v>
      </c>
      <c r="H74" s="70">
        <f t="shared" si="9"/>
        <v>5940</v>
      </c>
      <c r="I74" s="12">
        <v>7500</v>
      </c>
    </row>
    <row r="75" spans="1:10" x14ac:dyDescent="0.25">
      <c r="A75" s="73"/>
      <c r="B75" s="73"/>
      <c r="C75" s="73"/>
      <c r="D75" s="11" t="s">
        <v>96</v>
      </c>
      <c r="E75" s="12">
        <v>33660</v>
      </c>
      <c r="F75" s="12">
        <v>25245</v>
      </c>
      <c r="G75" s="12">
        <f>33660-F75</f>
        <v>8415</v>
      </c>
      <c r="H75" s="70">
        <f t="shared" si="9"/>
        <v>33660</v>
      </c>
      <c r="I75" s="12">
        <v>36000</v>
      </c>
    </row>
    <row r="76" spans="1:10" x14ac:dyDescent="0.25">
      <c r="A76" s="73"/>
      <c r="B76" s="73"/>
      <c r="C76" s="73"/>
      <c r="D76" s="11" t="s">
        <v>97</v>
      </c>
      <c r="E76" s="12">
        <v>5800</v>
      </c>
      <c r="F76" s="12">
        <v>3698</v>
      </c>
      <c r="G76" s="12">
        <v>2000</v>
      </c>
      <c r="H76" s="70">
        <f t="shared" si="9"/>
        <v>5698</v>
      </c>
      <c r="I76" s="12">
        <v>6500</v>
      </c>
    </row>
    <row r="77" spans="1:10" x14ac:dyDescent="0.25">
      <c r="A77" s="73"/>
      <c r="B77" s="73"/>
      <c r="C77" s="73"/>
      <c r="D77" s="11" t="s">
        <v>98</v>
      </c>
      <c r="E77" s="12">
        <v>9310</v>
      </c>
      <c r="F77" s="12">
        <v>4294</v>
      </c>
      <c r="G77" s="12">
        <v>1500</v>
      </c>
      <c r="H77" s="70">
        <f t="shared" si="9"/>
        <v>5794</v>
      </c>
      <c r="I77" s="12">
        <f>(200*12)+(100*12)+(200*12)+(25*12)+1200</f>
        <v>7500</v>
      </c>
      <c r="J77" s="21" t="s">
        <v>66</v>
      </c>
    </row>
    <row r="78" spans="1:10" x14ac:dyDescent="0.25">
      <c r="A78" s="73"/>
      <c r="B78" s="73"/>
      <c r="C78" s="73"/>
      <c r="D78" s="11" t="s">
        <v>99</v>
      </c>
      <c r="E78" s="12">
        <v>1500</v>
      </c>
      <c r="F78" s="12">
        <v>880</v>
      </c>
      <c r="G78" s="12">
        <v>400</v>
      </c>
      <c r="H78" s="70">
        <f t="shared" si="9"/>
        <v>1280</v>
      </c>
      <c r="I78" s="12">
        <v>1500</v>
      </c>
    </row>
    <row r="79" spans="1:10" x14ac:dyDescent="0.25">
      <c r="A79" s="73"/>
      <c r="B79" s="73"/>
      <c r="C79" s="73"/>
      <c r="D79" s="11" t="s">
        <v>100</v>
      </c>
      <c r="E79" s="12">
        <v>4500</v>
      </c>
      <c r="F79" s="12">
        <v>3897</v>
      </c>
      <c r="G79" s="12">
        <v>1000</v>
      </c>
      <c r="H79" s="70">
        <f t="shared" si="9"/>
        <v>4897</v>
      </c>
      <c r="I79" s="12">
        <v>5000</v>
      </c>
    </row>
    <row r="80" spans="1:10" x14ac:dyDescent="0.25">
      <c r="A80" s="73"/>
      <c r="B80" s="73"/>
      <c r="C80" s="73"/>
      <c r="D80" s="11" t="s">
        <v>101</v>
      </c>
      <c r="E80" s="12">
        <v>300</v>
      </c>
      <c r="F80" s="12">
        <v>770</v>
      </c>
      <c r="G80" s="12">
        <v>100</v>
      </c>
      <c r="H80" s="70">
        <f t="shared" si="9"/>
        <v>870</v>
      </c>
      <c r="I80" s="12">
        <v>300</v>
      </c>
    </row>
    <row r="81" spans="1:10" x14ac:dyDescent="0.25">
      <c r="A81" s="73"/>
      <c r="B81" s="73"/>
      <c r="C81" s="73"/>
      <c r="D81" s="11" t="s">
        <v>102</v>
      </c>
      <c r="E81" s="12">
        <v>2200</v>
      </c>
      <c r="F81" s="12">
        <v>1857</v>
      </c>
      <c r="G81" s="12">
        <v>700</v>
      </c>
      <c r="H81" s="70">
        <f t="shared" si="9"/>
        <v>2557</v>
      </c>
      <c r="I81" s="12">
        <v>2700</v>
      </c>
      <c r="J81" s="21" t="s">
        <v>103</v>
      </c>
    </row>
    <row r="82" spans="1:10" x14ac:dyDescent="0.25">
      <c r="A82" s="73"/>
      <c r="B82" s="73"/>
      <c r="C82" s="73"/>
      <c r="D82" s="11" t="s">
        <v>104</v>
      </c>
      <c r="E82" s="12">
        <v>6000</v>
      </c>
      <c r="F82" s="12">
        <v>4963</v>
      </c>
      <c r="G82" s="12">
        <v>1700</v>
      </c>
      <c r="H82" s="70">
        <f t="shared" si="9"/>
        <v>6663</v>
      </c>
      <c r="I82" s="12">
        <f>560*12</f>
        <v>6720</v>
      </c>
      <c r="J82" s="21" t="s">
        <v>105</v>
      </c>
    </row>
    <row r="83" spans="1:10" x14ac:dyDescent="0.25">
      <c r="A83" s="73"/>
      <c r="B83" s="73"/>
      <c r="C83" s="73"/>
      <c r="D83" s="11" t="s">
        <v>106</v>
      </c>
      <c r="E83" s="12">
        <v>1500</v>
      </c>
      <c r="F83" s="12">
        <v>529</v>
      </c>
      <c r="G83" s="12">
        <v>500</v>
      </c>
      <c r="H83" s="70">
        <f t="shared" si="9"/>
        <v>1029</v>
      </c>
      <c r="I83" s="12">
        <v>1500</v>
      </c>
    </row>
    <row r="84" spans="1:10" x14ac:dyDescent="0.25">
      <c r="A84" s="73"/>
      <c r="B84" s="73"/>
      <c r="C84" s="73"/>
      <c r="D84" s="11" t="s">
        <v>107</v>
      </c>
      <c r="E84" s="12">
        <v>500</v>
      </c>
      <c r="F84" s="12">
        <v>379</v>
      </c>
      <c r="G84" s="12">
        <v>120</v>
      </c>
      <c r="H84" s="70">
        <f t="shared" si="9"/>
        <v>499</v>
      </c>
      <c r="I84" s="12">
        <v>500</v>
      </c>
    </row>
    <row r="85" spans="1:10" x14ac:dyDescent="0.25">
      <c r="A85" s="73"/>
      <c r="B85" s="73"/>
      <c r="C85" s="73"/>
      <c r="D85" s="11" t="s">
        <v>108</v>
      </c>
      <c r="E85" s="12">
        <v>1700</v>
      </c>
      <c r="F85" s="12">
        <v>69</v>
      </c>
      <c r="G85" s="12">
        <v>500</v>
      </c>
      <c r="H85" s="70">
        <f t="shared" si="9"/>
        <v>569</v>
      </c>
      <c r="I85" s="12">
        <v>1500</v>
      </c>
    </row>
    <row r="86" spans="1:10" x14ac:dyDescent="0.25">
      <c r="A86" s="73"/>
      <c r="B86" s="73"/>
      <c r="C86" s="73"/>
      <c r="D86" s="11" t="s">
        <v>109</v>
      </c>
      <c r="E86" s="12">
        <v>4100</v>
      </c>
      <c r="F86" s="12">
        <v>3641</v>
      </c>
      <c r="G86" s="12">
        <v>300</v>
      </c>
      <c r="H86" s="70">
        <f t="shared" si="9"/>
        <v>3941</v>
      </c>
      <c r="I86" s="12">
        <v>4100</v>
      </c>
      <c r="J86" s="21" t="s">
        <v>66</v>
      </c>
    </row>
    <row r="87" spans="1:10" x14ac:dyDescent="0.25">
      <c r="A87" s="73" t="s">
        <v>110</v>
      </c>
      <c r="B87" s="73"/>
      <c r="C87" s="73"/>
      <c r="D87" s="11"/>
      <c r="E87" s="12"/>
      <c r="F87" s="12"/>
      <c r="G87" s="12"/>
      <c r="I87" s="12"/>
    </row>
    <row r="88" spans="1:10" x14ac:dyDescent="0.25">
      <c r="A88" s="73"/>
      <c r="B88" s="73"/>
      <c r="C88" s="73"/>
      <c r="D88" s="11" t="s">
        <v>111</v>
      </c>
      <c r="E88" s="12">
        <v>22000</v>
      </c>
      <c r="F88" s="12">
        <v>5833</v>
      </c>
      <c r="G88" s="12">
        <v>3000</v>
      </c>
      <c r="H88" s="70">
        <f t="shared" si="9"/>
        <v>8833</v>
      </c>
      <c r="I88" s="12">
        <v>17000</v>
      </c>
      <c r="J88" s="78" t="s">
        <v>112</v>
      </c>
    </row>
    <row r="89" spans="1:10" x14ac:dyDescent="0.25">
      <c r="A89" s="73"/>
      <c r="B89" s="73"/>
      <c r="C89" s="73"/>
      <c r="D89" s="11" t="s">
        <v>113</v>
      </c>
      <c r="E89" s="12">
        <v>0</v>
      </c>
      <c r="F89" s="12">
        <v>0</v>
      </c>
      <c r="G89" s="12"/>
      <c r="H89" s="70">
        <f t="shared" si="9"/>
        <v>0</v>
      </c>
      <c r="I89" s="12"/>
    </row>
    <row r="90" spans="1:10" x14ac:dyDescent="0.25">
      <c r="A90" s="73"/>
      <c r="B90" s="73"/>
      <c r="C90" s="73"/>
      <c r="D90" s="11" t="s">
        <v>114</v>
      </c>
      <c r="E90" s="12">
        <v>10500</v>
      </c>
      <c r="F90" s="12">
        <v>4451</v>
      </c>
      <c r="G90" s="12">
        <v>4000</v>
      </c>
      <c r="H90" s="70">
        <f t="shared" si="9"/>
        <v>8451</v>
      </c>
      <c r="I90" s="12">
        <v>10500</v>
      </c>
      <c r="J90" s="78" t="s">
        <v>115</v>
      </c>
    </row>
    <row r="91" spans="1:10" x14ac:dyDescent="0.25">
      <c r="A91" s="73"/>
      <c r="B91" s="73"/>
      <c r="C91" s="73"/>
      <c r="D91" s="11" t="s">
        <v>116</v>
      </c>
      <c r="E91" s="12">
        <v>10500</v>
      </c>
      <c r="F91" s="12">
        <v>0</v>
      </c>
      <c r="G91" s="12">
        <v>0</v>
      </c>
      <c r="H91" s="70">
        <f t="shared" si="9"/>
        <v>0</v>
      </c>
      <c r="I91" s="12"/>
      <c r="J91" s="78" t="s">
        <v>115</v>
      </c>
    </row>
    <row r="92" spans="1:10" ht="17.25" x14ac:dyDescent="0.4">
      <c r="A92" s="73"/>
      <c r="B92" s="73"/>
      <c r="C92" s="73"/>
      <c r="D92" s="11" t="s">
        <v>117</v>
      </c>
      <c r="E92" s="22">
        <v>0</v>
      </c>
      <c r="F92" s="22">
        <v>0</v>
      </c>
      <c r="G92" s="22">
        <v>0</v>
      </c>
      <c r="H92" s="74">
        <f t="shared" si="9"/>
        <v>0</v>
      </c>
      <c r="I92" s="25">
        <v>0</v>
      </c>
    </row>
    <row r="93" spans="1:10" x14ac:dyDescent="0.25">
      <c r="A93" s="73"/>
      <c r="B93" s="73" t="s">
        <v>118</v>
      </c>
      <c r="C93" s="73"/>
      <c r="D93" s="11"/>
      <c r="E93" s="20">
        <f>E90+E88+E85+E84+E83+E81+E80+E79+E78+E77+E76+E75+E74+E73+E72+E71+E68+E67+E66+E65+E64+E63+E62+E61+E59+E86+E89+E91+E92+E69+E70+E82</f>
        <v>602848</v>
      </c>
      <c r="F93" s="20">
        <f>F90+F88+F85+F84+F83+F81+F80+F79+F78+F77+F76+F75+F74+F73+F72+F71+F68+F67+F66+F65+F64+F63+F62+F61+F59+F86+F89+F91+F92+F69+F82+F70</f>
        <v>418547</v>
      </c>
      <c r="G93" s="20" t="e">
        <f>G90+G88+G85+G84+G83+G81+G80+G79+G78+G77+G76+G75+G74+G73+G72+G71+G68+G67+G66+G65+G64+G63+G62+G61+G59+G86+G89+G91+G92+G69+G70+G82</f>
        <v>#REF!</v>
      </c>
      <c r="H93" s="20" t="e">
        <f>H90+H88+H85+H84+H83+H81+H80+H79+H78+H77+H76+H75+H74+H73+H72+H71+H68+H67+H66+H65+H64+H63+H62+H61+H59+H86+H89+H91+H92+H69+H70+H82</f>
        <v>#REF!</v>
      </c>
      <c r="I93" s="20">
        <f>I90+I88+I85+I84+I83+I81+I80+I79+I78+I77+I76+I75+I74+I73+I72+I71+I68+I67+I66+I65+I64+I63+I62+I61+I59+I86+I89+I91+I92+I69+I70+I82</f>
        <v>595718.66750249756</v>
      </c>
    </row>
    <row r="95" spans="1:10" ht="17.25" x14ac:dyDescent="0.4">
      <c r="B95" s="21" t="s">
        <v>119</v>
      </c>
      <c r="E95" s="24">
        <f>E50-E93</f>
        <v>0</v>
      </c>
      <c r="F95" s="24">
        <f>F50-F93</f>
        <v>43012</v>
      </c>
      <c r="G95" s="24" t="e">
        <f>G50-G93</f>
        <v>#REF!</v>
      </c>
      <c r="H95" s="24" t="e">
        <f>H50-H93</f>
        <v>#REF!</v>
      </c>
      <c r="I95" s="24">
        <f>I50-I93</f>
        <v>0.33249750244431198</v>
      </c>
    </row>
  </sheetData>
  <printOptions horizontalCentered="1" verticalCentered="1" headings="1"/>
  <pageMargins left="0.1" right="0.1" top="0.75" bottom="0.75" header="0.3" footer="0.3"/>
  <pageSetup scale="99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BB64-7EEA-43F3-A20C-1D496E5BB0C6}">
  <dimension ref="A1:R97"/>
  <sheetViews>
    <sheetView topLeftCell="B68" workbookViewId="0">
      <selection activeCell="C72" sqref="C72"/>
    </sheetView>
  </sheetViews>
  <sheetFormatPr defaultRowHeight="15" x14ac:dyDescent="0.25"/>
  <cols>
    <col min="1" max="1" width="16.85546875" customWidth="1"/>
    <col min="2" max="2" width="32.85546875" customWidth="1"/>
    <col min="3" max="3" width="13.7109375" style="59" customWidth="1"/>
    <col min="4" max="18" width="11.7109375" customWidth="1"/>
  </cols>
  <sheetData>
    <row r="1" spans="1:18" x14ac:dyDescent="0.25">
      <c r="A1" s="31" t="s">
        <v>126</v>
      </c>
      <c r="B1" s="31"/>
      <c r="C1" s="54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1" t="s">
        <v>127</v>
      </c>
      <c r="B2" s="31"/>
      <c r="C2" s="5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7" t="s">
        <v>128</v>
      </c>
      <c r="B3" s="31"/>
      <c r="C3" s="55"/>
      <c r="D3" s="32"/>
      <c r="E3" s="32"/>
      <c r="F3" s="32"/>
      <c r="G3" s="32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1" t="s">
        <v>129</v>
      </c>
      <c r="B4" s="31"/>
      <c r="C4" s="56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130</v>
      </c>
    </row>
    <row r="5" spans="1:18" ht="51.75" x14ac:dyDescent="0.25">
      <c r="A5" s="31" t="s">
        <v>131</v>
      </c>
      <c r="B5" s="31"/>
      <c r="C5" s="56" t="s">
        <v>132</v>
      </c>
      <c r="D5" s="33" t="s">
        <v>133</v>
      </c>
      <c r="E5" s="33" t="s">
        <v>13</v>
      </c>
      <c r="F5" s="33" t="s">
        <v>134</v>
      </c>
      <c r="G5" s="34" t="s">
        <v>135</v>
      </c>
      <c r="H5" s="33" t="s">
        <v>136</v>
      </c>
      <c r="I5" s="33" t="s">
        <v>19</v>
      </c>
      <c r="J5" s="33" t="s">
        <v>137</v>
      </c>
      <c r="K5" s="33" t="s">
        <v>138</v>
      </c>
      <c r="L5" s="33" t="s">
        <v>139</v>
      </c>
      <c r="M5" s="33" t="s">
        <v>140</v>
      </c>
      <c r="N5" s="33" t="s">
        <v>141</v>
      </c>
      <c r="O5" s="34" t="s">
        <v>142</v>
      </c>
      <c r="P5" s="34" t="s">
        <v>143</v>
      </c>
      <c r="Q5" s="34" t="s">
        <v>144</v>
      </c>
      <c r="R5" s="33" t="s">
        <v>145</v>
      </c>
    </row>
    <row r="6" spans="1:18" x14ac:dyDescent="0.25">
      <c r="A6" s="31"/>
      <c r="B6" s="31"/>
      <c r="C6" s="54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31" t="s">
        <v>146</v>
      </c>
      <c r="B7" s="31"/>
      <c r="C7" s="5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x14ac:dyDescent="0.25">
      <c r="A8" s="31"/>
      <c r="B8" s="31" t="s">
        <v>147</v>
      </c>
      <c r="C8" s="54">
        <f>[2]PRIncrrevagain!O8</f>
        <v>90000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A9" s="31"/>
      <c r="B9" s="31" t="s">
        <v>148</v>
      </c>
      <c r="C9" s="54">
        <v>0.2</v>
      </c>
      <c r="D9" s="35">
        <f>C9*C8</f>
        <v>18000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x14ac:dyDescent="0.25">
      <c r="A10" s="31"/>
      <c r="B10" s="37" t="s">
        <v>149</v>
      </c>
      <c r="C10" s="54">
        <v>0.5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>
        <f>C10*C8</f>
        <v>45000</v>
      </c>
      <c r="R10" s="35"/>
    </row>
    <row r="11" spans="1:18" x14ac:dyDescent="0.25">
      <c r="A11" s="31"/>
      <c r="B11" s="37" t="s">
        <v>150</v>
      </c>
      <c r="C11" s="54">
        <v>0.3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>
        <f>C8*C11</f>
        <v>27000</v>
      </c>
      <c r="P11" s="35"/>
      <c r="Q11" s="35"/>
      <c r="R11" s="35">
        <f>Q10+O11+D9</f>
        <v>90000</v>
      </c>
    </row>
    <row r="12" spans="1:18" x14ac:dyDescent="0.25">
      <c r="A12" s="31"/>
      <c r="B12" s="38" t="s">
        <v>151</v>
      </c>
      <c r="C12" s="54">
        <f>SUM(C9:C11)</f>
        <v>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x14ac:dyDescent="0.25">
      <c r="A13" s="31"/>
      <c r="B13" s="31"/>
      <c r="C13" s="5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25">
      <c r="A14" s="37" t="s">
        <v>152</v>
      </c>
      <c r="B14" s="31"/>
      <c r="C14" s="5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x14ac:dyDescent="0.25">
      <c r="A15" s="31"/>
      <c r="B15" s="31" t="s">
        <v>147</v>
      </c>
      <c r="C15" s="54">
        <f>[2]PRIncrrevagain!O11</f>
        <v>56821.804000000004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x14ac:dyDescent="0.25">
      <c r="A16" s="31"/>
      <c r="B16" s="31" t="s">
        <v>13</v>
      </c>
      <c r="C16" s="54">
        <v>0.03</v>
      </c>
      <c r="D16" s="35"/>
      <c r="E16" s="35">
        <f>+C16*C15</f>
        <v>1704.6541200000001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x14ac:dyDescent="0.25">
      <c r="A17" s="31"/>
      <c r="B17" s="31" t="s">
        <v>153</v>
      </c>
      <c r="C17" s="54">
        <v>0.15</v>
      </c>
      <c r="D17" s="35"/>
      <c r="E17" s="35"/>
      <c r="F17" s="35">
        <f>C17*C15</f>
        <v>8523.2705999999998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x14ac:dyDescent="0.25">
      <c r="A18" s="31"/>
      <c r="B18" s="31" t="s">
        <v>137</v>
      </c>
      <c r="C18" s="54">
        <v>0.35</v>
      </c>
      <c r="D18" s="35"/>
      <c r="E18" s="35"/>
      <c r="F18" s="35"/>
      <c r="G18" s="35"/>
      <c r="H18" s="35"/>
      <c r="I18" s="35"/>
      <c r="J18" s="35">
        <f>+C18*C15</f>
        <v>19887.631399999998</v>
      </c>
      <c r="K18" s="35"/>
      <c r="L18" s="35"/>
      <c r="M18" s="35"/>
      <c r="N18" s="35"/>
      <c r="O18" s="35"/>
      <c r="P18" s="35"/>
      <c r="Q18" s="35"/>
      <c r="R18" s="35"/>
    </row>
    <row r="19" spans="1:18" x14ac:dyDescent="0.25">
      <c r="A19" s="31"/>
      <c r="B19" s="31" t="s">
        <v>138</v>
      </c>
      <c r="C19" s="54">
        <v>0.1</v>
      </c>
      <c r="D19" s="35"/>
      <c r="E19" s="35"/>
      <c r="F19" s="35"/>
      <c r="G19" s="35"/>
      <c r="H19" s="35"/>
      <c r="I19" s="35"/>
      <c r="J19" s="35"/>
      <c r="K19" s="35">
        <f>+C19*C15</f>
        <v>5682.1804000000011</v>
      </c>
      <c r="L19" s="35"/>
      <c r="M19" s="35"/>
      <c r="N19" s="35"/>
      <c r="O19" s="35"/>
      <c r="P19" s="35"/>
      <c r="Q19" s="35"/>
      <c r="R19" s="35"/>
    </row>
    <row r="20" spans="1:18" x14ac:dyDescent="0.25">
      <c r="A20" s="31"/>
      <c r="B20" s="31" t="s">
        <v>139</v>
      </c>
      <c r="C20" s="54">
        <v>0.1</v>
      </c>
      <c r="D20" s="35"/>
      <c r="E20" s="35"/>
      <c r="F20" s="35"/>
      <c r="G20" s="35"/>
      <c r="H20" s="35"/>
      <c r="I20" s="35"/>
      <c r="J20" s="35"/>
      <c r="K20" s="35"/>
      <c r="L20" s="35">
        <f>+C20*C15</f>
        <v>5682.1804000000011</v>
      </c>
      <c r="M20" s="35"/>
      <c r="N20" s="35"/>
      <c r="O20" s="35"/>
      <c r="P20" s="35"/>
      <c r="Q20" s="35"/>
      <c r="R20" s="35"/>
    </row>
    <row r="21" spans="1:18" x14ac:dyDescent="0.25">
      <c r="A21" s="31"/>
      <c r="B21" s="37" t="s">
        <v>135</v>
      </c>
      <c r="C21" s="54">
        <v>0.11</v>
      </c>
      <c r="D21" s="35"/>
      <c r="E21" s="35"/>
      <c r="F21" s="35"/>
      <c r="G21" s="35">
        <f>C21*C15</f>
        <v>6250.3984400000008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x14ac:dyDescent="0.25">
      <c r="A22" s="31"/>
      <c r="B22" s="31" t="s">
        <v>141</v>
      </c>
      <c r="C22" s="54">
        <v>0.01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>
        <f>C15*C22</f>
        <v>568.21804000000009</v>
      </c>
      <c r="O22" s="35"/>
      <c r="P22" s="35"/>
      <c r="Q22" s="35"/>
      <c r="R22" s="35"/>
    </row>
    <row r="23" spans="1:18" x14ac:dyDescent="0.25">
      <c r="A23" s="31"/>
      <c r="B23" s="37" t="s">
        <v>19</v>
      </c>
      <c r="C23" s="54">
        <v>0.15</v>
      </c>
      <c r="D23" s="35"/>
      <c r="E23" s="35"/>
      <c r="F23" s="35"/>
      <c r="G23" s="35"/>
      <c r="H23" s="35"/>
      <c r="I23" s="35">
        <f>C15*C23</f>
        <v>8523.2705999999998</v>
      </c>
      <c r="J23" s="35"/>
      <c r="K23" s="35"/>
      <c r="L23" s="35"/>
      <c r="M23" s="35"/>
      <c r="N23" s="35"/>
      <c r="O23" s="35"/>
      <c r="P23" s="35"/>
      <c r="Q23" s="35"/>
      <c r="R23" s="35"/>
    </row>
    <row r="24" spans="1:18" x14ac:dyDescent="0.25">
      <c r="A24" s="31"/>
      <c r="B24" s="38" t="s">
        <v>151</v>
      </c>
      <c r="C24" s="54">
        <f>SUM(C16:C23)</f>
        <v>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>
        <f>E16+F17+J18+K19+L20+M21+N22+I23+G21</f>
        <v>56821.804000000004</v>
      </c>
    </row>
    <row r="25" spans="1:18" x14ac:dyDescent="0.25">
      <c r="A25" s="31"/>
      <c r="B25" s="31"/>
      <c r="C25" s="5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x14ac:dyDescent="0.25">
      <c r="A26" s="31" t="s">
        <v>154</v>
      </c>
      <c r="B26" s="31"/>
      <c r="C26" s="5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x14ac:dyDescent="0.25">
      <c r="A27" s="31"/>
      <c r="B27" s="31" t="s">
        <v>147</v>
      </c>
      <c r="C27" s="54">
        <f>[2]PRIncrrevagain!O17</f>
        <v>75122.490064000012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25">
      <c r="A28" s="31"/>
      <c r="B28" s="31" t="s">
        <v>13</v>
      </c>
      <c r="C28" s="54">
        <v>0.05</v>
      </c>
      <c r="D28" s="35"/>
      <c r="E28" s="35">
        <f>+C28*C27</f>
        <v>3756.1245032000006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x14ac:dyDescent="0.25">
      <c r="A29" s="31"/>
      <c r="B29" s="31" t="s">
        <v>153</v>
      </c>
      <c r="C29" s="54">
        <v>0.15</v>
      </c>
      <c r="D29" s="35"/>
      <c r="E29" s="35"/>
      <c r="F29" s="35">
        <f>C29*C27</f>
        <v>11268.373509600002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x14ac:dyDescent="0.25">
      <c r="A30" s="31"/>
      <c r="B30" s="31" t="s">
        <v>155</v>
      </c>
      <c r="C30" s="54">
        <v>0.03</v>
      </c>
      <c r="D30" s="35"/>
      <c r="E30" s="35"/>
      <c r="F30" s="35"/>
      <c r="G30" s="35"/>
      <c r="H30" s="35"/>
      <c r="I30" s="35">
        <f>C27*C30</f>
        <v>2253.6747019200002</v>
      </c>
      <c r="J30" s="35"/>
      <c r="K30" s="35"/>
      <c r="L30" s="35"/>
      <c r="M30" s="35"/>
      <c r="N30" s="35"/>
      <c r="O30" s="35"/>
      <c r="P30" s="35"/>
      <c r="Q30" s="35"/>
      <c r="R30" s="35"/>
    </row>
    <row r="31" spans="1:18" x14ac:dyDescent="0.25">
      <c r="A31" s="31"/>
      <c r="B31" s="31" t="s">
        <v>137</v>
      </c>
      <c r="C31" s="54">
        <v>0.5</v>
      </c>
      <c r="D31" s="35"/>
      <c r="E31" s="35"/>
      <c r="F31" s="35"/>
      <c r="G31" s="35"/>
      <c r="H31" s="35"/>
      <c r="I31" s="35"/>
      <c r="J31" s="35">
        <f>+C31*C27</f>
        <v>37561.245032000006</v>
      </c>
      <c r="K31" s="35"/>
      <c r="L31" s="35"/>
      <c r="M31" s="35"/>
      <c r="N31" s="35"/>
      <c r="O31" s="35"/>
      <c r="P31" s="35"/>
      <c r="Q31" s="35"/>
      <c r="R31" s="35"/>
    </row>
    <row r="32" spans="1:18" x14ac:dyDescent="0.25">
      <c r="A32" s="31"/>
      <c r="B32" s="31" t="s">
        <v>138</v>
      </c>
      <c r="C32" s="54">
        <v>0.15</v>
      </c>
      <c r="D32" s="35"/>
      <c r="E32" s="35"/>
      <c r="F32" s="35"/>
      <c r="G32" s="35"/>
      <c r="H32" s="35"/>
      <c r="I32" s="35"/>
      <c r="J32" s="35"/>
      <c r="K32" s="35">
        <f>+C32*C27</f>
        <v>11268.373509600002</v>
      </c>
      <c r="L32" s="35"/>
      <c r="M32" s="35"/>
      <c r="N32" s="35"/>
      <c r="O32" s="35"/>
      <c r="P32" s="35"/>
      <c r="Q32" s="35"/>
      <c r="R32" s="35"/>
    </row>
    <row r="33" spans="1:18" x14ac:dyDescent="0.25">
      <c r="A33" s="31"/>
      <c r="B33" s="37" t="s">
        <v>139</v>
      </c>
      <c r="C33" s="54">
        <v>0.05</v>
      </c>
      <c r="D33" s="35"/>
      <c r="E33" s="35"/>
      <c r="F33" s="35"/>
      <c r="G33" s="35"/>
      <c r="H33" s="35"/>
      <c r="I33" s="35"/>
      <c r="J33" s="35"/>
      <c r="K33" s="35"/>
      <c r="L33" s="35">
        <f>+C33*C27</f>
        <v>3756.1245032000006</v>
      </c>
      <c r="M33" s="35"/>
      <c r="N33" s="35"/>
      <c r="O33" s="35"/>
      <c r="P33" s="35"/>
      <c r="Q33" s="35"/>
      <c r="R33" s="35"/>
    </row>
    <row r="34" spans="1:18" x14ac:dyDescent="0.25">
      <c r="A34" s="31"/>
      <c r="B34" s="37" t="s">
        <v>141</v>
      </c>
      <c r="C34" s="54">
        <v>0.02</v>
      </c>
      <c r="D34" s="35"/>
      <c r="E34" s="35"/>
      <c r="F34" s="35"/>
      <c r="G34" s="35"/>
      <c r="H34" s="35"/>
      <c r="I34" s="35"/>
      <c r="J34" s="35"/>
      <c r="K34" s="35"/>
      <c r="L34" s="35"/>
      <c r="M34" s="35">
        <f>+C34*C27</f>
        <v>1502.4498012800002</v>
      </c>
      <c r="N34" s="35"/>
      <c r="O34" s="35"/>
      <c r="P34" s="35"/>
      <c r="Q34" s="35"/>
      <c r="R34" s="35"/>
    </row>
    <row r="35" spans="1:18" x14ac:dyDescent="0.25">
      <c r="A35" s="31"/>
      <c r="B35" s="37" t="s">
        <v>156</v>
      </c>
      <c r="C35" s="54">
        <v>0.03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>
        <f>C35*C27</f>
        <v>2253.6747019200002</v>
      </c>
      <c r="Q35" s="35"/>
      <c r="R35" s="35">
        <f>E28+F29+I30+J31+K32+L33+M34+N36+P35</f>
        <v>75122.490064000012</v>
      </c>
    </row>
    <row r="36" spans="1:18" x14ac:dyDescent="0.25">
      <c r="A36" s="31"/>
      <c r="B36" s="37" t="s">
        <v>140</v>
      </c>
      <c r="C36" s="54">
        <v>0.02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f>C36*C27</f>
        <v>1502.4498012800002</v>
      </c>
      <c r="O36" s="35"/>
      <c r="P36" s="35"/>
      <c r="Q36" s="35"/>
      <c r="R36" s="35"/>
    </row>
    <row r="37" spans="1:18" x14ac:dyDescent="0.25">
      <c r="A37" s="31"/>
      <c r="B37" s="37"/>
      <c r="C37" s="5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x14ac:dyDescent="0.25">
      <c r="A38" s="31"/>
      <c r="B38" s="38"/>
      <c r="C38" s="5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x14ac:dyDescent="0.25">
      <c r="A39" s="31"/>
      <c r="B39" s="31"/>
      <c r="C39" s="5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x14ac:dyDescent="0.25">
      <c r="A40" s="37" t="s">
        <v>157</v>
      </c>
      <c r="B40" s="31"/>
      <c r="C40" s="5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x14ac:dyDescent="0.25">
      <c r="A41" s="31"/>
      <c r="B41" s="31" t="s">
        <v>147</v>
      </c>
      <c r="C41" s="54">
        <f>[2]PRIncrrevagain!O23</f>
        <v>36233.599999999999</v>
      </c>
      <c r="D41" s="35">
        <f>+C41*C40</f>
        <v>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x14ac:dyDescent="0.25">
      <c r="A42" s="31"/>
      <c r="B42" s="37" t="s">
        <v>158</v>
      </c>
      <c r="C42" s="54">
        <v>0.6</v>
      </c>
      <c r="D42" s="35">
        <f>C41*C42</f>
        <v>21740.16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>
        <f>C42*C40</f>
        <v>0</v>
      </c>
      <c r="R42" s="35"/>
    </row>
    <row r="43" spans="1:18" x14ac:dyDescent="0.25">
      <c r="A43" s="31"/>
      <c r="B43" s="37" t="s">
        <v>149</v>
      </c>
      <c r="C43" s="54">
        <v>0.4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>
        <f>C41*C43</f>
        <v>14493.44</v>
      </c>
      <c r="R43" s="35">
        <f>Q43+D42</f>
        <v>36233.599999999999</v>
      </c>
    </row>
    <row r="44" spans="1:18" x14ac:dyDescent="0.25">
      <c r="A44" s="31"/>
      <c r="B44" s="31"/>
      <c r="C44" s="5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x14ac:dyDescent="0.25">
      <c r="A45" s="31"/>
      <c r="B45" s="31"/>
      <c r="C45" s="5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x14ac:dyDescent="0.25">
      <c r="A46" s="31"/>
      <c r="B46" s="31"/>
      <c r="C46" s="5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x14ac:dyDescent="0.25">
      <c r="A47" s="31"/>
      <c r="B47" s="39" t="s">
        <v>159</v>
      </c>
      <c r="C47" s="57">
        <f>+C41+C27+C15+C8+C45</f>
        <v>258177.89406400002</v>
      </c>
      <c r="D47" s="40">
        <f>SUM(D8:D46)</f>
        <v>39740.160000000003</v>
      </c>
      <c r="E47" s="40">
        <f>SUM(E8:E46)</f>
        <v>5460.7786232000008</v>
      </c>
      <c r="F47" s="40">
        <f>SUM(F9:F44)</f>
        <v>19791.644109600002</v>
      </c>
      <c r="G47" s="40">
        <f>SUM(G7:G46)</f>
        <v>6250.3984400000008</v>
      </c>
      <c r="H47" s="40">
        <f>SUM(H8:H46)</f>
        <v>0</v>
      </c>
      <c r="I47" s="40">
        <f>SUM(I8:I46)</f>
        <v>10776.945301920001</v>
      </c>
      <c r="J47" s="40">
        <f>SUM(J8:J46)-1</f>
        <v>57447.876432000005</v>
      </c>
      <c r="K47" s="40">
        <f>SUM(K8:K46)</f>
        <v>16950.553909600003</v>
      </c>
      <c r="L47" s="40">
        <f>SUM(L8:L46)</f>
        <v>9438.3049032000017</v>
      </c>
      <c r="M47" s="40">
        <f>SUM(M8:M45)</f>
        <v>1502.4498012800002</v>
      </c>
      <c r="N47" s="40">
        <f>SUM(N8:N45)</f>
        <v>2070.6678412800002</v>
      </c>
      <c r="O47" s="40">
        <f>SUM(O8:O45)</f>
        <v>27000</v>
      </c>
      <c r="P47" s="40">
        <f>SUM(P8:P45)</f>
        <v>2253.6747019200002</v>
      </c>
      <c r="Q47" s="40">
        <f>SUM(Q8:Q45)</f>
        <v>59493.440000000002</v>
      </c>
      <c r="R47" s="40">
        <f>R43+R35+R24+R11</f>
        <v>258177.89406400002</v>
      </c>
    </row>
    <row r="48" spans="1:18" x14ac:dyDescent="0.25">
      <c r="A48" s="31"/>
      <c r="B48" s="31"/>
      <c r="C48" s="5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x14ac:dyDescent="0.25">
      <c r="A49" s="31"/>
      <c r="B49" s="31"/>
      <c r="C49" s="5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x14ac:dyDescent="0.25">
      <c r="A50" s="31"/>
      <c r="B50" s="31"/>
      <c r="C50" s="5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x14ac:dyDescent="0.25">
      <c r="A51" s="31"/>
      <c r="B51" s="31"/>
      <c r="C51" s="5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x14ac:dyDescent="0.25">
      <c r="A52" s="31" t="s">
        <v>160</v>
      </c>
      <c r="B52" s="31"/>
      <c r="C52" s="5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x14ac:dyDescent="0.25">
      <c r="A53" s="31"/>
      <c r="B53" s="31" t="s">
        <v>147</v>
      </c>
      <c r="C53" s="54">
        <f>[2]PRIncrrevagain!O20</f>
        <v>48204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x14ac:dyDescent="0.25">
      <c r="A54" s="31"/>
      <c r="B54" s="31" t="s">
        <v>148</v>
      </c>
      <c r="C54" s="54">
        <v>0.1</v>
      </c>
      <c r="D54" s="35">
        <f>C53*C54</f>
        <v>4820.4000000000005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x14ac:dyDescent="0.25">
      <c r="A55" s="31"/>
      <c r="B55" s="37" t="s">
        <v>161</v>
      </c>
      <c r="C55" s="54">
        <v>0.5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>
        <f>C55*C53</f>
        <v>24102</v>
      </c>
      <c r="R55" s="35"/>
    </row>
    <row r="56" spans="1:18" x14ac:dyDescent="0.25">
      <c r="A56" s="31"/>
      <c r="B56" s="37" t="s">
        <v>142</v>
      </c>
      <c r="C56" s="54">
        <v>0.4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f>C56*C53</f>
        <v>19281.600000000002</v>
      </c>
      <c r="P56" s="35"/>
      <c r="Q56" s="35"/>
      <c r="R56" s="35"/>
    </row>
    <row r="57" spans="1:18" x14ac:dyDescent="0.25">
      <c r="A57" s="31"/>
      <c r="B57" s="38" t="s">
        <v>151</v>
      </c>
      <c r="C57" s="54">
        <f>SUM(C54:C56)</f>
        <v>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>
        <f>Q55+O56+D54</f>
        <v>48204.000000000007</v>
      </c>
    </row>
    <row r="58" spans="1:18" x14ac:dyDescent="0.25">
      <c r="A58" s="31"/>
      <c r="B58" s="31"/>
      <c r="C58" s="5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x14ac:dyDescent="0.25">
      <c r="A59" s="31"/>
      <c r="B59" s="31"/>
      <c r="C59" s="5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x14ac:dyDescent="0.25">
      <c r="A60" s="31" t="s">
        <v>162</v>
      </c>
      <c r="B60" s="31"/>
      <c r="C60" s="54">
        <f>[2]PRIncrrevagain!O18</f>
        <v>27774.277128000002</v>
      </c>
      <c r="D60" s="35"/>
      <c r="E60" s="35"/>
      <c r="F60" s="35"/>
      <c r="G60" s="35">
        <f>C60*0.86</f>
        <v>23885.878330080002</v>
      </c>
      <c r="H60" s="35">
        <f>C60*0.14</f>
        <v>3888.3987979200006</v>
      </c>
      <c r="I60" s="35"/>
      <c r="J60" s="35"/>
      <c r="K60" s="35"/>
      <c r="L60" s="35"/>
      <c r="M60" s="35"/>
      <c r="N60" s="35"/>
      <c r="O60" s="35"/>
      <c r="P60" s="35"/>
      <c r="Q60" s="35"/>
      <c r="R60" s="35">
        <f>SUM(G60:M60)</f>
        <v>27774.277128000002</v>
      </c>
    </row>
    <row r="61" spans="1:18" x14ac:dyDescent="0.25">
      <c r="A61" s="31"/>
      <c r="B61" s="31"/>
      <c r="C61" s="5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x14ac:dyDescent="0.25">
      <c r="A62" s="31"/>
      <c r="B62" s="39" t="s">
        <v>163</v>
      </c>
      <c r="C62" s="57">
        <f>+C53+C60</f>
        <v>75978.277128000002</v>
      </c>
      <c r="D62" s="40">
        <f>SUM(D53:D61)</f>
        <v>4820.4000000000005</v>
      </c>
      <c r="E62" s="40">
        <f t="shared" ref="E62:R62" si="0">SUM(E53:E61)</f>
        <v>0</v>
      </c>
      <c r="F62" s="40">
        <f t="shared" si="0"/>
        <v>0</v>
      </c>
      <c r="G62" s="40">
        <f t="shared" si="0"/>
        <v>23885.878330080002</v>
      </c>
      <c r="H62" s="40">
        <f t="shared" si="0"/>
        <v>3888.3987979200006</v>
      </c>
      <c r="I62" s="40">
        <f t="shared" si="0"/>
        <v>0</v>
      </c>
      <c r="J62" s="40">
        <f t="shared" si="0"/>
        <v>0</v>
      </c>
      <c r="K62" s="40">
        <f t="shared" si="0"/>
        <v>0</v>
      </c>
      <c r="L62" s="40">
        <f t="shared" si="0"/>
        <v>0</v>
      </c>
      <c r="M62" s="40">
        <f t="shared" si="0"/>
        <v>0</v>
      </c>
      <c r="N62" s="40">
        <f t="shared" si="0"/>
        <v>0</v>
      </c>
      <c r="O62" s="40">
        <f t="shared" si="0"/>
        <v>19281.600000000002</v>
      </c>
      <c r="P62" s="40">
        <f t="shared" si="0"/>
        <v>0</v>
      </c>
      <c r="Q62" s="40">
        <f t="shared" si="0"/>
        <v>24102</v>
      </c>
      <c r="R62" s="40">
        <f t="shared" si="0"/>
        <v>75978.277128000016</v>
      </c>
    </row>
    <row r="63" spans="1:18" x14ac:dyDescent="0.25">
      <c r="A63" s="31"/>
      <c r="B63" s="31"/>
      <c r="C63" s="5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x14ac:dyDescent="0.25">
      <c r="A64" s="31"/>
      <c r="B64" s="41" t="s">
        <v>164</v>
      </c>
      <c r="C64" s="57">
        <f>+C62+C47</f>
        <v>334156.17119200004</v>
      </c>
      <c r="D64" s="40">
        <f>+D62+D47</f>
        <v>44560.560000000005</v>
      </c>
      <c r="E64" s="40">
        <f>+E62+E47</f>
        <v>5460.7786232000008</v>
      </c>
      <c r="F64" s="40">
        <f>F62+F47-1</f>
        <v>19790.644109600002</v>
      </c>
      <c r="G64" s="40">
        <f>G47+G62</f>
        <v>30136.276770080003</v>
      </c>
      <c r="H64" s="40">
        <f t="shared" ref="H64:N64" si="1">+H62+H47</f>
        <v>3888.3987979200006</v>
      </c>
      <c r="I64" s="40">
        <f t="shared" si="1"/>
        <v>10776.945301920001</v>
      </c>
      <c r="J64" s="40">
        <f t="shared" si="1"/>
        <v>57447.876432000005</v>
      </c>
      <c r="K64" s="40">
        <f t="shared" si="1"/>
        <v>16950.553909600003</v>
      </c>
      <c r="L64" s="40">
        <f t="shared" si="1"/>
        <v>9438.3049032000017</v>
      </c>
      <c r="M64" s="40">
        <f t="shared" si="1"/>
        <v>1502.4498012800002</v>
      </c>
      <c r="N64" s="40">
        <f t="shared" si="1"/>
        <v>2070.6678412800002</v>
      </c>
      <c r="O64" s="40">
        <f>+O62+O47</f>
        <v>46281.600000000006</v>
      </c>
      <c r="P64" s="40">
        <f>+P62+P47</f>
        <v>2253.6747019200002</v>
      </c>
      <c r="Q64" s="40">
        <f>Q55+Q47</f>
        <v>83595.44</v>
      </c>
      <c r="R64" s="40">
        <f>R60+R57+R47</f>
        <v>334156.17119200004</v>
      </c>
    </row>
    <row r="65" spans="1:18" x14ac:dyDescent="0.25">
      <c r="A65" s="31"/>
      <c r="B65" s="31"/>
      <c r="C65" s="5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x14ac:dyDescent="0.25">
      <c r="A66" s="31"/>
      <c r="B66" s="31"/>
      <c r="C66" s="5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x14ac:dyDescent="0.25">
      <c r="A67" s="31"/>
      <c r="B67" s="31" t="s">
        <v>126</v>
      </c>
      <c r="C67" s="5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x14ac:dyDescent="0.25">
      <c r="A68" s="31"/>
      <c r="B68" s="31" t="s">
        <v>165</v>
      </c>
      <c r="C68" s="5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x14ac:dyDescent="0.25">
      <c r="A69" s="31"/>
      <c r="B69" s="37" t="s">
        <v>166</v>
      </c>
      <c r="C69" s="5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30" x14ac:dyDescent="0.25">
      <c r="A70" s="31"/>
      <c r="B70" s="31"/>
      <c r="C70" s="58" t="s">
        <v>147</v>
      </c>
      <c r="D70" s="42" t="s">
        <v>167</v>
      </c>
      <c r="E70" s="42" t="s">
        <v>13</v>
      </c>
      <c r="F70" s="42" t="s">
        <v>168</v>
      </c>
      <c r="G70" s="34" t="s">
        <v>169</v>
      </c>
      <c r="H70" s="33" t="s">
        <v>136</v>
      </c>
      <c r="I70" s="33" t="s">
        <v>19</v>
      </c>
      <c r="J70" s="42" t="s">
        <v>137</v>
      </c>
      <c r="K70" s="42" t="s">
        <v>170</v>
      </c>
      <c r="L70" s="42" t="s">
        <v>171</v>
      </c>
      <c r="M70" s="33" t="s">
        <v>172</v>
      </c>
      <c r="N70" s="34" t="s">
        <v>141</v>
      </c>
      <c r="O70" s="34" t="s">
        <v>150</v>
      </c>
      <c r="P70" s="34" t="s">
        <v>143</v>
      </c>
      <c r="Q70" s="34" t="s">
        <v>144</v>
      </c>
      <c r="R70" s="42" t="s">
        <v>147</v>
      </c>
    </row>
    <row r="71" spans="1:18" x14ac:dyDescent="0.25">
      <c r="A71" s="31"/>
      <c r="B71" s="31" t="s">
        <v>173</v>
      </c>
      <c r="C71" s="54">
        <f>C8</f>
        <v>90000</v>
      </c>
      <c r="D71" s="43">
        <v>0.2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>
        <v>0.3</v>
      </c>
      <c r="P71" s="43"/>
      <c r="Q71" s="43">
        <v>0.5</v>
      </c>
      <c r="R71" s="44">
        <f>SUM(D71:Q71)</f>
        <v>1</v>
      </c>
    </row>
    <row r="72" spans="1:18" x14ac:dyDescent="0.25">
      <c r="A72" s="31"/>
      <c r="B72" s="37" t="s">
        <v>174</v>
      </c>
      <c r="C72" s="54">
        <f>C15</f>
        <v>56821.804000000004</v>
      </c>
      <c r="D72" s="43"/>
      <c r="E72" s="43">
        <v>0.03</v>
      </c>
      <c r="F72" s="43">
        <v>0.15</v>
      </c>
      <c r="G72" s="43"/>
      <c r="H72" s="43"/>
      <c r="I72" s="43">
        <v>0.15</v>
      </c>
      <c r="J72" s="43">
        <v>0.35</v>
      </c>
      <c r="K72" s="43">
        <f>+C19</f>
        <v>0.1</v>
      </c>
      <c r="L72" s="43">
        <f>+C20</f>
        <v>0.1</v>
      </c>
      <c r="M72" s="43">
        <v>0.11</v>
      </c>
      <c r="N72" s="43">
        <v>0.01</v>
      </c>
      <c r="O72" s="43"/>
      <c r="P72" s="43"/>
      <c r="Q72" s="43"/>
      <c r="R72" s="44">
        <f t="shared" ref="R72:R76" si="2">SUM(D72:Q72)</f>
        <v>0.99999999999999989</v>
      </c>
    </row>
    <row r="73" spans="1:18" x14ac:dyDescent="0.25">
      <c r="A73" s="31"/>
      <c r="B73" s="31" t="s">
        <v>75</v>
      </c>
      <c r="C73" s="54">
        <f>C27</f>
        <v>75122.490064000012</v>
      </c>
      <c r="D73" s="43"/>
      <c r="E73" s="43">
        <v>0.05</v>
      </c>
      <c r="F73" s="43">
        <v>0.15</v>
      </c>
      <c r="G73" s="43"/>
      <c r="H73" s="43"/>
      <c r="I73" s="43">
        <v>0.03</v>
      </c>
      <c r="J73" s="43">
        <v>0.5</v>
      </c>
      <c r="K73" s="43">
        <v>0.15</v>
      </c>
      <c r="L73" s="43">
        <v>0.05</v>
      </c>
      <c r="M73" s="43">
        <v>0.02</v>
      </c>
      <c r="N73" s="43">
        <v>0.02</v>
      </c>
      <c r="O73" s="43"/>
      <c r="P73" s="43">
        <v>0.03</v>
      </c>
      <c r="Q73" s="43"/>
      <c r="R73" s="44">
        <f t="shared" si="2"/>
        <v>1</v>
      </c>
    </row>
    <row r="74" spans="1:18" x14ac:dyDescent="0.25">
      <c r="A74" s="31"/>
      <c r="B74" s="37" t="s">
        <v>175</v>
      </c>
      <c r="C74" s="54">
        <f>C41</f>
        <v>36233.599999999999</v>
      </c>
      <c r="D74" s="43">
        <v>0.6</v>
      </c>
      <c r="E74" s="43"/>
      <c r="F74" s="43"/>
      <c r="G74" s="43"/>
      <c r="H74" s="43"/>
      <c r="I74" s="43">
        <v>0</v>
      </c>
      <c r="J74" s="43"/>
      <c r="K74" s="43"/>
      <c r="L74" s="43"/>
      <c r="M74" s="43"/>
      <c r="N74" s="43"/>
      <c r="O74" s="43"/>
      <c r="P74" s="43"/>
      <c r="Q74" s="43">
        <v>0.4</v>
      </c>
      <c r="R74" s="44">
        <f t="shared" si="2"/>
        <v>1</v>
      </c>
    </row>
    <row r="75" spans="1:18" x14ac:dyDescent="0.25">
      <c r="A75" s="31"/>
      <c r="B75" s="31" t="s">
        <v>176</v>
      </c>
      <c r="C75" s="54">
        <f>C60</f>
        <v>27774.277128000002</v>
      </c>
      <c r="D75" s="31"/>
      <c r="E75" s="43"/>
      <c r="F75" s="31"/>
      <c r="G75" s="44">
        <v>0.86</v>
      </c>
      <c r="H75" s="44">
        <f>H60/C60</f>
        <v>0.14000000000000001</v>
      </c>
      <c r="I75" s="44"/>
      <c r="J75" s="31"/>
      <c r="K75" s="31"/>
      <c r="L75" s="31"/>
      <c r="M75" s="31"/>
      <c r="N75" s="31"/>
      <c r="O75" s="31"/>
      <c r="P75" s="31"/>
      <c r="Q75" s="31"/>
      <c r="R75" s="44">
        <f t="shared" si="2"/>
        <v>1</v>
      </c>
    </row>
    <row r="76" spans="1:18" x14ac:dyDescent="0.25">
      <c r="A76" s="31"/>
      <c r="B76" s="31" t="s">
        <v>77</v>
      </c>
      <c r="C76" s="54">
        <f>C53</f>
        <v>48204</v>
      </c>
      <c r="D76" s="43">
        <f>C54</f>
        <v>0.1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>
        <v>0.4</v>
      </c>
      <c r="P76" s="43"/>
      <c r="Q76" s="43">
        <v>0.5</v>
      </c>
      <c r="R76" s="44">
        <f t="shared" si="2"/>
        <v>1</v>
      </c>
    </row>
    <row r="77" spans="1:18" x14ac:dyDescent="0.25">
      <c r="A77" s="31"/>
      <c r="B77" s="37"/>
      <c r="C77" s="54"/>
      <c r="D77" s="31"/>
      <c r="E77" s="45"/>
      <c r="F77" s="31"/>
      <c r="G77" s="31"/>
      <c r="H77" s="31"/>
      <c r="I77" s="31"/>
      <c r="J77" s="45"/>
      <c r="K77" s="31"/>
      <c r="L77" s="31"/>
      <c r="M77" s="31"/>
      <c r="N77" s="31"/>
      <c r="O77" s="31"/>
      <c r="P77" s="31"/>
      <c r="Q77" s="31"/>
      <c r="R77" s="36">
        <f>SUM(D77:Q77)</f>
        <v>0</v>
      </c>
    </row>
    <row r="78" spans="1:18" x14ac:dyDescent="0.25">
      <c r="A78" s="31"/>
      <c r="B78" s="46" t="s">
        <v>177</v>
      </c>
      <c r="C78" s="54">
        <f>SUM(C71:C77)</f>
        <v>334156.17119200004</v>
      </c>
      <c r="D78" s="47">
        <f>D64/$C78</f>
        <v>0.13335249754940579</v>
      </c>
      <c r="E78" s="47">
        <f t="shared" ref="E78:Q78" si="3">E64/$C78</f>
        <v>1.6341995432017135E-2</v>
      </c>
      <c r="F78" s="47">
        <f t="shared" si="3"/>
        <v>5.9225732803326436E-2</v>
      </c>
      <c r="G78" s="47">
        <f t="shared" si="3"/>
        <v>9.0186204440211429E-2</v>
      </c>
      <c r="H78" s="47">
        <f t="shared" si="3"/>
        <v>1.1636471605624777E-2</v>
      </c>
      <c r="I78" s="47">
        <f t="shared" si="3"/>
        <v>3.2251223323144208E-2</v>
      </c>
      <c r="J78" s="47">
        <f t="shared" si="3"/>
        <v>0.1719192443074514</v>
      </c>
      <c r="K78" s="47">
        <f t="shared" si="3"/>
        <v>5.0726442816046408E-2</v>
      </c>
      <c r="L78" s="47">
        <f t="shared" si="3"/>
        <v>2.82451910719821E-2</v>
      </c>
      <c r="M78" s="47">
        <f t="shared" si="3"/>
        <v>4.4962503488128608E-3</v>
      </c>
      <c r="N78" s="47">
        <f t="shared" si="3"/>
        <v>6.1967068688078553E-3</v>
      </c>
      <c r="O78" s="47">
        <f t="shared" si="3"/>
        <v>0.13850290370189644</v>
      </c>
      <c r="P78" s="47">
        <f t="shared" si="3"/>
        <v>6.7443755232192912E-3</v>
      </c>
      <c r="Q78" s="47">
        <f t="shared" si="3"/>
        <v>0.25016877498266399</v>
      </c>
      <c r="R78" s="48">
        <f>SUM(D78:Q78)</f>
        <v>0.99999401477461014</v>
      </c>
    </row>
    <row r="79" spans="1:18" x14ac:dyDescent="0.25">
      <c r="A79" s="31"/>
      <c r="B79" s="46" t="s">
        <v>178</v>
      </c>
      <c r="C79" s="54"/>
      <c r="D79" s="45">
        <f t="shared" ref="D79:Q79" si="4">+D78/$R$78</f>
        <v>0.13335329569893703</v>
      </c>
      <c r="E79" s="45">
        <f t="shared" si="4"/>
        <v>1.6342093243128537E-2</v>
      </c>
      <c r="F79" s="45">
        <f t="shared" si="4"/>
        <v>5.9226087284807792E-2</v>
      </c>
      <c r="G79" s="45">
        <f t="shared" si="4"/>
        <v>9.0186744228202817E-2</v>
      </c>
      <c r="H79" s="45">
        <f t="shared" si="4"/>
        <v>1.1636541252946934E-2</v>
      </c>
      <c r="I79" s="45">
        <f t="shared" si="4"/>
        <v>3.2251416355140235E-2</v>
      </c>
      <c r="J79" s="45">
        <f t="shared" si="4"/>
        <v>0.17192027328903611</v>
      </c>
      <c r="K79" s="45">
        <f t="shared" si="4"/>
        <v>5.0726746427057066E-2</v>
      </c>
      <c r="L79" s="45">
        <f t="shared" si="4"/>
        <v>2.8245360126828677E-2</v>
      </c>
      <c r="M79" s="45">
        <f t="shared" si="4"/>
        <v>4.4962772600456776E-3</v>
      </c>
      <c r="N79" s="45">
        <f t="shared" si="4"/>
        <v>6.1967439577171254E-3</v>
      </c>
      <c r="O79" s="45">
        <f t="shared" si="4"/>
        <v>0.13850373267795385</v>
      </c>
      <c r="P79" s="45">
        <f t="shared" si="4"/>
        <v>6.7444158900685164E-3</v>
      </c>
      <c r="Q79" s="49">
        <f t="shared" si="4"/>
        <v>0.2501702723081296</v>
      </c>
      <c r="R79" s="45">
        <f>SUM(D79:Q79)</f>
        <v>0.99999999999999978</v>
      </c>
    </row>
    <row r="80" spans="1:18" x14ac:dyDescent="0.25">
      <c r="A80" s="31"/>
      <c r="B80" s="31"/>
      <c r="C80" s="54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x14ac:dyDescent="0.25">
      <c r="A81" s="31"/>
      <c r="B81" s="31"/>
      <c r="C81" s="54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x14ac:dyDescent="0.25">
      <c r="A82" s="51"/>
      <c r="B82" s="50" t="s">
        <v>179</v>
      </c>
      <c r="C82" s="54">
        <v>0</v>
      </c>
      <c r="D82" s="51">
        <f>($R82*(1/0.74919))*D79</f>
        <v>14879.795714656288</v>
      </c>
      <c r="E82" s="51">
        <f t="shared" ref="E82:P82" si="5">($R82*(1/0.74919))*E79</f>
        <v>1823.479560314727</v>
      </c>
      <c r="F82" s="51">
        <f t="shared" si="5"/>
        <v>6608.5511809616783</v>
      </c>
      <c r="G82" s="51">
        <f t="shared" si="5"/>
        <v>10063.195838183638</v>
      </c>
      <c r="H82" s="51">
        <f t="shared" si="5"/>
        <v>1298.4257776420377</v>
      </c>
      <c r="I82" s="51">
        <f t="shared" si="5"/>
        <v>3598.6698668193221</v>
      </c>
      <c r="J82" s="51">
        <f t="shared" si="5"/>
        <v>19183.167032662459</v>
      </c>
      <c r="K82" s="51">
        <f t="shared" si="5"/>
        <v>5660.1797514464915</v>
      </c>
      <c r="L82" s="51">
        <f t="shared" si="5"/>
        <v>3151.667053830894</v>
      </c>
      <c r="M82" s="51">
        <f t="shared" si="5"/>
        <v>501.70253952311947</v>
      </c>
      <c r="N82" s="51">
        <f t="shared" si="5"/>
        <v>691.44361002542894</v>
      </c>
      <c r="O82" s="51">
        <f t="shared" si="5"/>
        <v>15454.490548310801</v>
      </c>
      <c r="P82" s="51">
        <f t="shared" si="5"/>
        <v>752.55380928467912</v>
      </c>
      <c r="Q82" s="51"/>
      <c r="R82" s="51">
        <f>C78*Q79</f>
        <v>83595.940340544621</v>
      </c>
    </row>
    <row r="83" spans="1:18" ht="16.5" x14ac:dyDescent="0.35">
      <c r="A83" s="51"/>
      <c r="B83" s="50" t="s">
        <v>180</v>
      </c>
      <c r="C83" s="54">
        <v>0</v>
      </c>
      <c r="D83" s="52">
        <f>$R84*D79</f>
        <v>44532.453265070253</v>
      </c>
      <c r="E83" s="52">
        <f t="shared" ref="E83:P83" si="6">$R84*E79</f>
        <v>5457.3342172663151</v>
      </c>
      <c r="F83" s="52">
        <f t="shared" si="6"/>
        <v>19778.161089007852</v>
      </c>
      <c r="G83" s="52">
        <f t="shared" si="6"/>
        <v>30117.268204143082</v>
      </c>
      <c r="H83" s="52">
        <f t="shared" si="6"/>
        <v>3885.9461762672586</v>
      </c>
      <c r="I83" s="52">
        <f t="shared" si="6"/>
        <v>10770.147704561405</v>
      </c>
      <c r="J83" s="52">
        <f t="shared" si="6"/>
        <v>57411.640975462848</v>
      </c>
      <c r="K83" s="52">
        <f t="shared" si="6"/>
        <v>16939.862286208161</v>
      </c>
      <c r="L83" s="52">
        <f t="shared" si="6"/>
        <v>9432.3516581308104</v>
      </c>
      <c r="M83" s="52">
        <f t="shared" si="6"/>
        <v>1501.50212561547</v>
      </c>
      <c r="N83" s="52">
        <f t="shared" si="6"/>
        <v>2069.3617600246835</v>
      </c>
      <c r="O83" s="52">
        <f t="shared" si="6"/>
        <v>46252.407712844615</v>
      </c>
      <c r="P83" s="52">
        <f t="shared" si="6"/>
        <v>2252.2531884232053</v>
      </c>
      <c r="Q83" s="51"/>
      <c r="R83" s="52">
        <f>(C78*(1-0.25081))+1</f>
        <v>250347.46189533451</v>
      </c>
    </row>
    <row r="84" spans="1:18" x14ac:dyDescent="0.25">
      <c r="A84" s="31"/>
      <c r="B84" s="31"/>
      <c r="C84" s="54"/>
      <c r="D84" s="53">
        <f>SUM(D82:D83)</f>
        <v>59412.248979726544</v>
      </c>
      <c r="E84" s="53">
        <f t="shared" ref="E84:P84" si="7">SUM(E82:E83)</f>
        <v>7280.8137775810419</v>
      </c>
      <c r="F84" s="53">
        <f t="shared" si="7"/>
        <v>26386.712269969532</v>
      </c>
      <c r="G84" s="53">
        <f t="shared" si="7"/>
        <v>40180.464042326719</v>
      </c>
      <c r="H84" s="53">
        <f t="shared" si="7"/>
        <v>5184.3719539092963</v>
      </c>
      <c r="I84" s="53">
        <f t="shared" si="7"/>
        <v>14368.817571380727</v>
      </c>
      <c r="J84" s="53">
        <f t="shared" si="7"/>
        <v>76594.808008125314</v>
      </c>
      <c r="K84" s="53">
        <f t="shared" si="7"/>
        <v>22600.042037654654</v>
      </c>
      <c r="L84" s="53">
        <f t="shared" si="7"/>
        <v>12584.018711961704</v>
      </c>
      <c r="M84" s="53">
        <f t="shared" si="7"/>
        <v>2003.2046651385895</v>
      </c>
      <c r="N84" s="53">
        <f t="shared" si="7"/>
        <v>2760.8053700501123</v>
      </c>
      <c r="O84" s="53">
        <f t="shared" si="7"/>
        <v>61706.898261155417</v>
      </c>
      <c r="P84" s="53">
        <f t="shared" si="7"/>
        <v>3004.8069977078844</v>
      </c>
      <c r="Q84" s="31"/>
      <c r="R84" s="53">
        <f>SUM(R82:R83)</f>
        <v>333943.4022358791</v>
      </c>
    </row>
    <row r="85" spans="1:18" x14ac:dyDescent="0.25">
      <c r="A85" s="31"/>
      <c r="B85" s="31"/>
      <c r="C85" s="54">
        <f>SUM(C82:C84)</f>
        <v>0</v>
      </c>
      <c r="D85" s="47">
        <f>D84/$R$84</f>
        <v>0.17791113279058296</v>
      </c>
      <c r="E85" s="47">
        <f t="shared" ref="E85:P85" si="8">E84/$R$84</f>
        <v>2.1802538181120521E-2</v>
      </c>
      <c r="F85" s="47">
        <f t="shared" si="8"/>
        <v>7.9015522071406052E-2</v>
      </c>
      <c r="G85" s="47">
        <f t="shared" si="8"/>
        <v>0.12032117949719356</v>
      </c>
      <c r="H85" s="47">
        <f t="shared" si="8"/>
        <v>1.5524702447174996E-2</v>
      </c>
      <c r="I85" s="47">
        <f t="shared" si="8"/>
        <v>4.3027703123271741E-2</v>
      </c>
      <c r="J85" s="47">
        <f t="shared" si="8"/>
        <v>0.2293646393229922</v>
      </c>
      <c r="K85" s="47">
        <f t="shared" si="8"/>
        <v>6.7676264559619115E-2</v>
      </c>
      <c r="L85" s="47">
        <f t="shared" si="8"/>
        <v>3.7683088294923256E-2</v>
      </c>
      <c r="M85" s="47">
        <f t="shared" si="8"/>
        <v>5.9986352529391692E-3</v>
      </c>
      <c r="N85" s="47">
        <f t="shared" si="8"/>
        <v>8.2672852691967023E-3</v>
      </c>
      <c r="O85" s="47">
        <f t="shared" si="8"/>
        <v>0.18478250460408582</v>
      </c>
      <c r="P85" s="47">
        <f t="shared" si="8"/>
        <v>8.9979528794087559E-3</v>
      </c>
      <c r="Q85" s="31"/>
      <c r="R85" s="31"/>
    </row>
    <row r="86" spans="1:18" x14ac:dyDescent="0.25">
      <c r="A86" s="31"/>
      <c r="B86" s="37" t="s">
        <v>181</v>
      </c>
      <c r="C86" s="54">
        <f>(C72+C73+C71+C76+C75)*0.05</f>
        <v>14896.128559600002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x14ac:dyDescent="0.25">
      <c r="A87" s="31"/>
      <c r="B87" s="31"/>
      <c r="C87" s="54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x14ac:dyDescent="0.25">
      <c r="A88" s="31"/>
      <c r="B88" s="31"/>
      <c r="C88" s="54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x14ac:dyDescent="0.25">
      <c r="A89" s="31"/>
      <c r="B89" s="31"/>
      <c r="C89" s="54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34.5" x14ac:dyDescent="0.4">
      <c r="A90" s="31"/>
      <c r="B90" s="31"/>
      <c r="C90" s="60" t="s">
        <v>147</v>
      </c>
      <c r="D90" s="61" t="s">
        <v>167</v>
      </c>
      <c r="E90" s="61" t="s">
        <v>13</v>
      </c>
      <c r="F90" s="61" t="s">
        <v>168</v>
      </c>
      <c r="G90" s="62" t="s">
        <v>169</v>
      </c>
      <c r="H90" s="63" t="s">
        <v>136</v>
      </c>
      <c r="I90" s="63" t="s">
        <v>19</v>
      </c>
      <c r="J90" s="61" t="s">
        <v>137</v>
      </c>
      <c r="K90" s="61" t="s">
        <v>170</v>
      </c>
      <c r="L90" s="61" t="s">
        <v>171</v>
      </c>
      <c r="M90" s="63" t="s">
        <v>172</v>
      </c>
      <c r="N90" s="62" t="s">
        <v>141</v>
      </c>
      <c r="O90" s="62" t="s">
        <v>150</v>
      </c>
      <c r="P90" s="62" t="s">
        <v>143</v>
      </c>
      <c r="Q90" s="62" t="s">
        <v>144</v>
      </c>
      <c r="R90" s="61" t="s">
        <v>147</v>
      </c>
    </row>
    <row r="91" spans="1:18" x14ac:dyDescent="0.25">
      <c r="A91" s="31"/>
      <c r="B91" s="31" t="s">
        <v>182</v>
      </c>
      <c r="C91" s="51">
        <f>'Estimated Budget 22-23'!I55</f>
        <v>336484.59591500007</v>
      </c>
      <c r="D91" s="53">
        <f>$C91*D$85</f>
        <v>59864.355625819226</v>
      </c>
      <c r="E91" s="53">
        <f>$C91*E$85</f>
        <v>7336.2182497956992</v>
      </c>
      <c r="F91" s="53">
        <f t="shared" ref="F91:Q91" si="9">$C91*F$85</f>
        <v>26587.506015209834</v>
      </c>
      <c r="G91" s="53">
        <f t="shared" si="9"/>
        <v>40486.223463129369</v>
      </c>
      <c r="H91" s="53">
        <f t="shared" si="9"/>
        <v>5223.8232296382912</v>
      </c>
      <c r="I91" s="53">
        <f t="shared" si="9"/>
        <v>14478.159298584678</v>
      </c>
      <c r="J91" s="53">
        <f t="shared" si="9"/>
        <v>77177.667979786769</v>
      </c>
      <c r="K91" s="53">
        <f t="shared" si="9"/>
        <v>22772.020533380077</v>
      </c>
      <c r="L91" s="53">
        <f t="shared" si="9"/>
        <v>12679.778737746521</v>
      </c>
      <c r="M91" s="53">
        <f t="shared" si="9"/>
        <v>2018.4483591267106</v>
      </c>
      <c r="N91" s="53">
        <f t="shared" si="9"/>
        <v>2781.814143119685</v>
      </c>
      <c r="O91" s="53">
        <f t="shared" si="9"/>
        <v>62176.466393867457</v>
      </c>
      <c r="P91" s="53">
        <f t="shared" si="9"/>
        <v>3027.6725386900666</v>
      </c>
      <c r="Q91" s="53">
        <f t="shared" si="9"/>
        <v>0</v>
      </c>
      <c r="R91" s="53">
        <f>SUM(D91:Q91)</f>
        <v>336610.15456789429</v>
      </c>
    </row>
    <row r="92" spans="1:18" x14ac:dyDescent="0.25">
      <c r="A92" s="31"/>
      <c r="B92" s="31" t="s">
        <v>70</v>
      </c>
      <c r="C92" s="51">
        <f>'Estimated Budget 22-23'!I56</f>
        <v>25741.071587497507</v>
      </c>
      <c r="D92" s="53">
        <f t="shared" ref="D92:Q94" si="10">$C92*D$85</f>
        <v>4579.623205375171</v>
      </c>
      <c r="E92" s="53">
        <f t="shared" si="10"/>
        <v>561.22069610937103</v>
      </c>
      <c r="F92" s="53">
        <f t="shared" si="10"/>
        <v>2033.9442101635525</v>
      </c>
      <c r="G92" s="53">
        <f t="shared" si="10"/>
        <v>3097.1960949293966</v>
      </c>
      <c r="H92" s="53">
        <f t="shared" si="10"/>
        <v>399.62247706732933</v>
      </c>
      <c r="I92" s="53">
        <f t="shared" si="10"/>
        <v>1107.579186341728</v>
      </c>
      <c r="J92" s="53">
        <f t="shared" si="10"/>
        <v>5904.0916004536875</v>
      </c>
      <c r="K92" s="53">
        <f t="shared" si="10"/>
        <v>1742.059570803576</v>
      </c>
      <c r="L92" s="53">
        <f t="shared" si="10"/>
        <v>970.00307343760892</v>
      </c>
      <c r="M92" s="53">
        <f t="shared" si="10"/>
        <v>154.41129947319337</v>
      </c>
      <c r="N92" s="53">
        <f t="shared" si="10"/>
        <v>212.80878194865591</v>
      </c>
      <c r="O92" s="53">
        <f t="shared" si="10"/>
        <v>4756.4996791308604</v>
      </c>
      <c r="P92" s="53">
        <f t="shared" si="10"/>
        <v>231.61694920979011</v>
      </c>
      <c r="Q92" s="53">
        <f t="shared" si="10"/>
        <v>0</v>
      </c>
      <c r="R92" s="53">
        <f t="shared" ref="R92:R94" si="11">SUM(D92:Q92)</f>
        <v>25750.676824443923</v>
      </c>
    </row>
    <row r="93" spans="1:18" x14ac:dyDescent="0.25">
      <c r="A93" s="31"/>
      <c r="B93" s="31" t="s">
        <v>183</v>
      </c>
      <c r="C93" s="51">
        <f>'Estimated Budget 22-23'!I57</f>
        <v>30823</v>
      </c>
      <c r="D93" s="53">
        <f t="shared" si="10"/>
        <v>5483.7548460041389</v>
      </c>
      <c r="E93" s="53">
        <f t="shared" si="10"/>
        <v>672.01963435667778</v>
      </c>
      <c r="F93" s="53">
        <f t="shared" si="10"/>
        <v>2435.4954368069489</v>
      </c>
      <c r="G93" s="53">
        <f t="shared" si="10"/>
        <v>3708.6597156419971</v>
      </c>
      <c r="H93" s="53">
        <f t="shared" si="10"/>
        <v>478.51790352927492</v>
      </c>
      <c r="I93" s="53">
        <f t="shared" si="10"/>
        <v>1326.2428933686049</v>
      </c>
      <c r="J93" s="53">
        <f t="shared" si="10"/>
        <v>7069.7062778525888</v>
      </c>
      <c r="K93" s="53">
        <f t="shared" si="10"/>
        <v>2085.98550252114</v>
      </c>
      <c r="L93" s="53">
        <f t="shared" si="10"/>
        <v>1161.5058305144196</v>
      </c>
      <c r="M93" s="53">
        <f t="shared" si="10"/>
        <v>184.89593440134402</v>
      </c>
      <c r="N93" s="53">
        <f t="shared" si="10"/>
        <v>254.82253385244996</v>
      </c>
      <c r="O93" s="53">
        <f t="shared" si="10"/>
        <v>5695.5511394117375</v>
      </c>
      <c r="P93" s="53">
        <f t="shared" si="10"/>
        <v>277.3439016020161</v>
      </c>
      <c r="Q93" s="53">
        <f t="shared" si="10"/>
        <v>0</v>
      </c>
      <c r="R93" s="53">
        <f t="shared" si="11"/>
        <v>30834.50154986334</v>
      </c>
    </row>
    <row r="94" spans="1:18" ht="16.5" x14ac:dyDescent="0.35">
      <c r="A94" s="31"/>
      <c r="B94" s="31" t="s">
        <v>73</v>
      </c>
      <c r="C94" s="52">
        <f>'Estimated Budget 22-23'!I58</f>
        <v>14500</v>
      </c>
      <c r="D94" s="65">
        <f t="shared" si="10"/>
        <v>2579.711425463453</v>
      </c>
      <c r="E94" s="65">
        <f t="shared" si="10"/>
        <v>316.13680362624757</v>
      </c>
      <c r="F94" s="65">
        <f t="shared" si="10"/>
        <v>1145.7250700353877</v>
      </c>
      <c r="G94" s="65">
        <f t="shared" si="10"/>
        <v>1744.6571027093066</v>
      </c>
      <c r="H94" s="65">
        <f t="shared" si="10"/>
        <v>225.10818548403745</v>
      </c>
      <c r="I94" s="65">
        <f t="shared" si="10"/>
        <v>623.90169528744025</v>
      </c>
      <c r="J94" s="65">
        <f t="shared" si="10"/>
        <v>3325.7872701833867</v>
      </c>
      <c r="K94" s="65">
        <f t="shared" si="10"/>
        <v>981.30583611447719</v>
      </c>
      <c r="L94" s="65">
        <f t="shared" si="10"/>
        <v>546.40478027638721</v>
      </c>
      <c r="M94" s="65">
        <f t="shared" si="10"/>
        <v>86.980211167617952</v>
      </c>
      <c r="N94" s="65">
        <f t="shared" si="10"/>
        <v>119.87563640335219</v>
      </c>
      <c r="O94" s="65">
        <f t="shared" si="10"/>
        <v>2679.3463167592445</v>
      </c>
      <c r="P94" s="65">
        <f t="shared" si="10"/>
        <v>130.47031675142696</v>
      </c>
      <c r="Q94" s="65">
        <f t="shared" si="10"/>
        <v>0</v>
      </c>
      <c r="R94" s="65">
        <f t="shared" si="11"/>
        <v>14505.410650261765</v>
      </c>
    </row>
    <row r="95" spans="1:18" ht="16.5" x14ac:dyDescent="0.35">
      <c r="A95" s="31"/>
      <c r="B95" s="31"/>
      <c r="C95" s="66">
        <f>SUM(C91:C94)</f>
        <v>407548.66750249756</v>
      </c>
      <c r="D95" s="64">
        <f>SUM(D91:D94)</f>
        <v>72507.445102661994</v>
      </c>
      <c r="E95" s="64">
        <f t="shared" ref="E95:R95" si="12">SUM(E91:E94)</f>
        <v>8885.5953838879959</v>
      </c>
      <c r="F95" s="64">
        <f t="shared" si="12"/>
        <v>32202.670732215724</v>
      </c>
      <c r="G95" s="64">
        <f t="shared" si="12"/>
        <v>49036.736376410066</v>
      </c>
      <c r="H95" s="64">
        <f t="shared" si="12"/>
        <v>6327.0717957189336</v>
      </c>
      <c r="I95" s="64">
        <f t="shared" si="12"/>
        <v>17535.883073582452</v>
      </c>
      <c r="J95" s="64">
        <f t="shared" si="12"/>
        <v>93477.253128276425</v>
      </c>
      <c r="K95" s="64">
        <f t="shared" si="12"/>
        <v>27581.371442819269</v>
      </c>
      <c r="L95" s="64">
        <f t="shared" si="12"/>
        <v>15357.692421974936</v>
      </c>
      <c r="M95" s="64">
        <f t="shared" si="12"/>
        <v>2444.7358041688663</v>
      </c>
      <c r="N95" s="64">
        <f t="shared" si="12"/>
        <v>3369.3210953241428</v>
      </c>
      <c r="O95" s="64">
        <f t="shared" si="12"/>
        <v>75307.863529169292</v>
      </c>
      <c r="P95" s="64">
        <f t="shared" si="12"/>
        <v>3667.1037062533001</v>
      </c>
      <c r="Q95" s="64">
        <f t="shared" si="12"/>
        <v>0</v>
      </c>
      <c r="R95" s="64">
        <f t="shared" si="12"/>
        <v>407700.74359246332</v>
      </c>
    </row>
    <row r="96" spans="1:18" x14ac:dyDescent="0.25">
      <c r="A96" s="31"/>
      <c r="B96" s="31"/>
      <c r="C96" s="51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</row>
    <row r="97" spans="1:18" x14ac:dyDescent="0.25">
      <c r="A97" s="31"/>
      <c r="B97" s="31"/>
      <c r="C97" s="54"/>
      <c r="D97" s="67">
        <f>D95/$C95</f>
        <v>0.17791113279058299</v>
      </c>
      <c r="E97" s="67">
        <f t="shared" ref="E97:Q97" si="13">E95/$C95</f>
        <v>2.1802538181120525E-2</v>
      </c>
      <c r="F97" s="67">
        <f t="shared" si="13"/>
        <v>7.9015522071406052E-2</v>
      </c>
      <c r="G97" s="67">
        <f t="shared" si="13"/>
        <v>0.12032117949719356</v>
      </c>
      <c r="H97" s="67">
        <f t="shared" si="13"/>
        <v>1.5524702447174998E-2</v>
      </c>
      <c r="I97" s="67">
        <f t="shared" si="13"/>
        <v>4.3027703123271747E-2</v>
      </c>
      <c r="J97" s="67">
        <f t="shared" si="13"/>
        <v>0.2293646393229922</v>
      </c>
      <c r="K97" s="67">
        <f t="shared" si="13"/>
        <v>6.7676264559619115E-2</v>
      </c>
      <c r="L97" s="67">
        <f t="shared" si="13"/>
        <v>3.7683088294923256E-2</v>
      </c>
      <c r="M97" s="67">
        <f t="shared" si="13"/>
        <v>5.99863525293917E-3</v>
      </c>
      <c r="N97" s="67">
        <f t="shared" si="13"/>
        <v>8.2672852691967023E-3</v>
      </c>
      <c r="O97" s="67">
        <f t="shared" si="13"/>
        <v>0.18478250460408582</v>
      </c>
      <c r="P97" s="67">
        <f t="shared" si="13"/>
        <v>8.9979528794087577E-3</v>
      </c>
      <c r="Q97" s="67">
        <f t="shared" si="13"/>
        <v>0</v>
      </c>
      <c r="R97" s="68">
        <f>SUM(D97:Q97)</f>
        <v>1.0003731482939151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BE8D-BCBD-48FD-8F9A-F86ABDB94616}">
  <sheetPr>
    <pageSetUpPr fitToPage="1"/>
  </sheetPr>
  <dimension ref="A1:U102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H76" sqref="H76"/>
    </sheetView>
  </sheetViews>
  <sheetFormatPr defaultColWidth="9.140625" defaultRowHeight="15" x14ac:dyDescent="0.25"/>
  <cols>
    <col min="1" max="1" width="2.28515625" style="6" customWidth="1"/>
    <col min="2" max="2" width="6.85546875" style="6" customWidth="1"/>
    <col min="3" max="3" width="6.7109375" style="6" customWidth="1"/>
    <col min="4" max="4" width="34.28515625" style="6" customWidth="1"/>
    <col min="5" max="5" width="12.7109375" style="6" bestFit="1" customWidth="1"/>
    <col min="6" max="7" width="12.7109375" style="6" customWidth="1"/>
    <col min="8" max="8" width="11.28515625" style="5" customWidth="1"/>
    <col min="9" max="9" width="12.85546875" style="21" bestFit="1" customWidth="1"/>
    <col min="10" max="10" width="40.28515625" style="6" bestFit="1" customWidth="1"/>
    <col min="11" max="21" width="9.140625" style="6" customWidth="1"/>
    <col min="22" max="16384" width="9.140625" style="6"/>
  </cols>
  <sheetData>
    <row r="1" spans="1:11" x14ac:dyDescent="0.25">
      <c r="A1" s="2"/>
      <c r="B1" s="2"/>
      <c r="C1" s="2"/>
      <c r="D1" s="3"/>
      <c r="E1" s="4" t="s">
        <v>184</v>
      </c>
      <c r="F1" s="4" t="s">
        <v>121</v>
      </c>
      <c r="G1" s="4" t="s">
        <v>2</v>
      </c>
      <c r="H1" s="5" t="s">
        <v>3</v>
      </c>
      <c r="I1" s="4" t="s">
        <v>0</v>
      </c>
    </row>
    <row r="2" spans="1:11" ht="17.25" x14ac:dyDescent="0.4">
      <c r="A2" s="2"/>
      <c r="B2" s="2"/>
      <c r="C2" s="2"/>
      <c r="D2" s="3"/>
      <c r="E2" s="7" t="s">
        <v>5</v>
      </c>
      <c r="F2" s="7" t="s">
        <v>185</v>
      </c>
      <c r="G2" s="7" t="s">
        <v>7</v>
      </c>
      <c r="H2" s="8" t="s">
        <v>185</v>
      </c>
      <c r="I2" s="7" t="s">
        <v>5</v>
      </c>
      <c r="J2" s="26" t="s">
        <v>186</v>
      </c>
    </row>
    <row r="3" spans="1:11" x14ac:dyDescent="0.25">
      <c r="A3" s="9" t="s">
        <v>9</v>
      </c>
      <c r="B3" s="9"/>
      <c r="C3" s="9"/>
      <c r="D3" s="10"/>
      <c r="E3" s="11"/>
      <c r="F3" s="11"/>
      <c r="G3" s="11"/>
      <c r="I3" s="11"/>
    </row>
    <row r="4" spans="1:11" x14ac:dyDescent="0.25">
      <c r="A4" s="9"/>
      <c r="B4" s="9" t="s">
        <v>10</v>
      </c>
      <c r="C4" s="9"/>
      <c r="D4" s="10"/>
      <c r="E4" s="11"/>
      <c r="F4" s="11"/>
      <c r="G4" s="11"/>
      <c r="I4" s="11"/>
    </row>
    <row r="5" spans="1:11" x14ac:dyDescent="0.25">
      <c r="A5" s="9"/>
      <c r="B5" s="9"/>
      <c r="C5" s="9" t="s">
        <v>11</v>
      </c>
      <c r="D5" s="10"/>
      <c r="E5" s="12"/>
      <c r="F5" s="12"/>
      <c r="G5" s="12"/>
      <c r="I5" s="12"/>
    </row>
    <row r="6" spans="1:11" x14ac:dyDescent="0.25">
      <c r="A6" s="9"/>
      <c r="B6" s="9"/>
      <c r="C6" s="9"/>
      <c r="D6" s="10" t="s">
        <v>12</v>
      </c>
      <c r="E6" s="12">
        <v>2500</v>
      </c>
      <c r="F6" s="12">
        <v>540</v>
      </c>
      <c r="G6" s="12">
        <v>0</v>
      </c>
      <c r="H6" s="5">
        <f>G6+F6</f>
        <v>540</v>
      </c>
      <c r="I6" s="12">
        <v>2500</v>
      </c>
      <c r="J6" s="6" t="s">
        <v>13</v>
      </c>
      <c r="K6" s="6" t="s">
        <v>14</v>
      </c>
    </row>
    <row r="7" spans="1:11" x14ac:dyDescent="0.25">
      <c r="A7" s="9"/>
      <c r="B7" s="9"/>
      <c r="C7" s="9"/>
      <c r="D7" s="10" t="s">
        <v>15</v>
      </c>
      <c r="E7" s="12">
        <v>15000</v>
      </c>
      <c r="F7" s="12">
        <v>0</v>
      </c>
      <c r="G7" s="12"/>
      <c r="H7" s="5">
        <f t="shared" ref="H7:H15" si="0">G7+F7</f>
        <v>0</v>
      </c>
      <c r="I7" s="12">
        <v>11000</v>
      </c>
      <c r="J7" s="6" t="s">
        <v>16</v>
      </c>
    </row>
    <row r="8" spans="1:11" x14ac:dyDescent="0.25">
      <c r="A8" s="9"/>
      <c r="B8" s="9"/>
      <c r="C8" s="9"/>
      <c r="D8" s="10" t="s">
        <v>17</v>
      </c>
      <c r="E8" s="12">
        <v>2000</v>
      </c>
      <c r="F8" s="12">
        <v>2000</v>
      </c>
      <c r="G8" s="12"/>
      <c r="H8" s="5">
        <f t="shared" si="0"/>
        <v>2000</v>
      </c>
      <c r="I8" s="12">
        <v>2000</v>
      </c>
      <c r="J8" s="6" t="s">
        <v>13</v>
      </c>
    </row>
    <row r="9" spans="1:11" x14ac:dyDescent="0.25">
      <c r="A9" s="9"/>
      <c r="B9" s="9"/>
      <c r="C9" s="9"/>
      <c r="D9" s="10" t="s">
        <v>18</v>
      </c>
      <c r="E9" s="12">
        <v>5000</v>
      </c>
      <c r="F9" s="12">
        <v>3000</v>
      </c>
      <c r="G9" s="12">
        <v>1000</v>
      </c>
      <c r="H9" s="5">
        <f t="shared" si="0"/>
        <v>4000</v>
      </c>
      <c r="I9" s="12">
        <v>5000</v>
      </c>
      <c r="J9" s="6" t="s">
        <v>19</v>
      </c>
    </row>
    <row r="10" spans="1:11" x14ac:dyDescent="0.25">
      <c r="A10" s="9"/>
      <c r="B10" s="9"/>
      <c r="C10" s="9"/>
      <c r="D10" s="10" t="s">
        <v>20</v>
      </c>
      <c r="E10" s="12">
        <v>30000</v>
      </c>
      <c r="F10" s="12">
        <v>0</v>
      </c>
      <c r="G10" s="12">
        <v>30000</v>
      </c>
      <c r="H10" s="5">
        <f t="shared" si="0"/>
        <v>30000</v>
      </c>
      <c r="I10" s="12">
        <v>25000</v>
      </c>
      <c r="J10" s="6" t="s">
        <v>21</v>
      </c>
    </row>
    <row r="11" spans="1:11" x14ac:dyDescent="0.25">
      <c r="A11" s="9"/>
      <c r="B11" s="9"/>
      <c r="C11" s="9"/>
      <c r="D11" s="10" t="s">
        <v>22</v>
      </c>
      <c r="E11" s="12"/>
      <c r="F11" s="12"/>
      <c r="G11" s="12"/>
      <c r="I11" s="12">
        <v>4000</v>
      </c>
      <c r="J11" s="6" t="s">
        <v>187</v>
      </c>
    </row>
    <row r="12" spans="1:11" x14ac:dyDescent="0.25">
      <c r="A12" s="9"/>
      <c r="B12" s="9"/>
      <c r="C12" s="9"/>
      <c r="D12" s="10" t="s">
        <v>24</v>
      </c>
      <c r="E12" s="12">
        <v>5000</v>
      </c>
      <c r="F12" s="12">
        <v>0</v>
      </c>
      <c r="G12" s="12">
        <v>5000</v>
      </c>
      <c r="H12" s="5">
        <f t="shared" si="0"/>
        <v>5000</v>
      </c>
      <c r="I12" s="12">
        <v>0</v>
      </c>
      <c r="J12" s="6" t="s">
        <v>188</v>
      </c>
    </row>
    <row r="13" spans="1:11" x14ac:dyDescent="0.25">
      <c r="A13" s="9"/>
      <c r="B13" s="9"/>
      <c r="C13" s="9"/>
      <c r="D13" s="10" t="s">
        <v>26</v>
      </c>
      <c r="E13" s="12">
        <v>0</v>
      </c>
      <c r="F13" s="12">
        <v>25000</v>
      </c>
      <c r="G13" s="12">
        <v>0</v>
      </c>
      <c r="H13" s="5">
        <f t="shared" si="0"/>
        <v>25000</v>
      </c>
      <c r="I13" s="12">
        <v>0</v>
      </c>
      <c r="J13" s="6" t="s">
        <v>27</v>
      </c>
    </row>
    <row r="14" spans="1:11" x14ac:dyDescent="0.25">
      <c r="A14" s="9"/>
      <c r="B14" s="9"/>
      <c r="C14" s="9"/>
      <c r="D14" s="10" t="s">
        <v>28</v>
      </c>
      <c r="E14" s="12">
        <v>5000</v>
      </c>
      <c r="F14" s="12">
        <v>5000</v>
      </c>
      <c r="G14" s="12" t="s">
        <v>66</v>
      </c>
      <c r="H14" s="5">
        <v>5000</v>
      </c>
      <c r="I14" s="12">
        <v>0</v>
      </c>
      <c r="J14" s="6" t="s">
        <v>27</v>
      </c>
    </row>
    <row r="15" spans="1:11" x14ac:dyDescent="0.25">
      <c r="A15" s="9"/>
      <c r="B15" s="9"/>
      <c r="C15" s="9"/>
      <c r="D15" s="10" t="s">
        <v>29</v>
      </c>
      <c r="E15" s="13">
        <v>3000</v>
      </c>
      <c r="F15" s="13">
        <v>3000</v>
      </c>
      <c r="G15" s="13">
        <v>0</v>
      </c>
      <c r="H15" s="14">
        <f t="shared" si="0"/>
        <v>3000</v>
      </c>
      <c r="I15" s="13">
        <v>0</v>
      </c>
      <c r="J15" s="6" t="s">
        <v>27</v>
      </c>
    </row>
    <row r="16" spans="1:11" x14ac:dyDescent="0.25">
      <c r="A16" s="9"/>
      <c r="B16" s="9"/>
      <c r="C16" s="9" t="s">
        <v>30</v>
      </c>
      <c r="D16" s="10"/>
      <c r="E16" s="15">
        <f>SUM(E6:E15)</f>
        <v>67500</v>
      </c>
      <c r="F16" s="15">
        <f>SUM(F6:F15)</f>
        <v>38540</v>
      </c>
      <c r="G16" s="15">
        <f>SUM(G6:G15)</f>
        <v>36000</v>
      </c>
      <c r="H16" s="15">
        <f>SUM(H6:H15)</f>
        <v>74540</v>
      </c>
      <c r="I16" s="15">
        <f>SUM(I6:I15)</f>
        <v>49500</v>
      </c>
    </row>
    <row r="17" spans="1:10" x14ac:dyDescent="0.25">
      <c r="A17" s="9"/>
      <c r="B17" s="9" t="s">
        <v>31</v>
      </c>
      <c r="C17" s="9"/>
      <c r="D17" s="10"/>
      <c r="E17" s="12"/>
      <c r="F17" s="12"/>
      <c r="G17" s="12"/>
      <c r="I17" s="12"/>
    </row>
    <row r="18" spans="1:10" x14ac:dyDescent="0.25">
      <c r="A18" s="9"/>
      <c r="B18" s="9"/>
      <c r="C18" s="9"/>
      <c r="D18" s="10" t="s">
        <v>32</v>
      </c>
      <c r="E18" s="12">
        <v>224000</v>
      </c>
      <c r="F18" s="12">
        <v>174807</v>
      </c>
      <c r="G18" s="12">
        <f>250000-F18</f>
        <v>75193</v>
      </c>
      <c r="H18" s="5">
        <v>250000</v>
      </c>
      <c r="I18" s="12">
        <v>265000</v>
      </c>
      <c r="J18" s="6" t="s">
        <v>189</v>
      </c>
    </row>
    <row r="19" spans="1:10" x14ac:dyDescent="0.25">
      <c r="A19" s="9"/>
      <c r="B19" s="9"/>
      <c r="C19" s="9"/>
      <c r="D19" s="10" t="s">
        <v>34</v>
      </c>
      <c r="E19" s="12">
        <v>-23000</v>
      </c>
      <c r="F19" s="12">
        <v>-2157</v>
      </c>
      <c r="G19" s="12">
        <v>-2200</v>
      </c>
      <c r="H19" s="5">
        <f t="shared" ref="H19:H27" si="1">G19+F19</f>
        <v>-4357</v>
      </c>
      <c r="I19" s="12">
        <v>-23000</v>
      </c>
    </row>
    <row r="20" spans="1:10" x14ac:dyDescent="0.25">
      <c r="A20" s="9"/>
      <c r="B20" s="9"/>
      <c r="C20" s="9"/>
      <c r="D20" s="10" t="s">
        <v>35</v>
      </c>
      <c r="E20" s="12">
        <v>500</v>
      </c>
      <c r="F20" s="12">
        <v>258</v>
      </c>
      <c r="G20" s="12">
        <v>258</v>
      </c>
      <c r="H20" s="5">
        <f t="shared" si="1"/>
        <v>516</v>
      </c>
      <c r="I20" s="12">
        <v>500</v>
      </c>
    </row>
    <row r="21" spans="1:10" x14ac:dyDescent="0.25">
      <c r="A21" s="9"/>
      <c r="B21" s="9"/>
      <c r="C21" s="9"/>
      <c r="D21" s="10" t="s">
        <v>36</v>
      </c>
      <c r="E21" s="12">
        <v>15000</v>
      </c>
      <c r="F21" s="12">
        <v>18947</v>
      </c>
      <c r="G21" s="12">
        <v>2250</v>
      </c>
      <c r="H21" s="5">
        <f t="shared" si="1"/>
        <v>21197</v>
      </c>
      <c r="I21" s="12">
        <v>17000</v>
      </c>
    </row>
    <row r="22" spans="1:10" x14ac:dyDescent="0.25">
      <c r="A22" s="9"/>
      <c r="B22" s="9"/>
      <c r="C22" s="9"/>
      <c r="D22" s="10" t="s">
        <v>37</v>
      </c>
      <c r="E22" s="12">
        <v>750</v>
      </c>
      <c r="F22" s="12">
        <v>280</v>
      </c>
      <c r="G22" s="12">
        <v>280</v>
      </c>
      <c r="H22" s="5">
        <f t="shared" si="1"/>
        <v>560</v>
      </c>
      <c r="I22" s="12">
        <v>500</v>
      </c>
    </row>
    <row r="23" spans="1:10" x14ac:dyDescent="0.25">
      <c r="A23" s="9"/>
      <c r="B23" s="9"/>
      <c r="C23" s="9"/>
      <c r="D23" s="10" t="s">
        <v>38</v>
      </c>
      <c r="E23" s="12">
        <v>3000</v>
      </c>
      <c r="F23" s="12">
        <v>525</v>
      </c>
      <c r="G23" s="12">
        <v>500</v>
      </c>
      <c r="H23" s="5">
        <f t="shared" si="1"/>
        <v>1025</v>
      </c>
      <c r="I23" s="12">
        <v>2000</v>
      </c>
    </row>
    <row r="24" spans="1:10" x14ac:dyDescent="0.25">
      <c r="A24" s="9"/>
      <c r="B24" s="9"/>
      <c r="C24" s="9"/>
      <c r="D24" s="10" t="s">
        <v>39</v>
      </c>
      <c r="E24" s="12">
        <v>8000</v>
      </c>
      <c r="F24" s="12">
        <v>7580</v>
      </c>
      <c r="G24" s="12">
        <v>0</v>
      </c>
      <c r="H24" s="5">
        <f t="shared" si="1"/>
        <v>7580</v>
      </c>
      <c r="I24" s="12">
        <v>7500</v>
      </c>
    </row>
    <row r="25" spans="1:10" x14ac:dyDescent="0.25">
      <c r="A25" s="9"/>
      <c r="B25" s="9"/>
      <c r="C25" s="9"/>
      <c r="D25" s="10" t="s">
        <v>40</v>
      </c>
      <c r="E25" s="12">
        <v>0</v>
      </c>
      <c r="F25" s="12">
        <v>13609</v>
      </c>
      <c r="G25" s="12">
        <v>3000</v>
      </c>
      <c r="H25" s="5">
        <f t="shared" si="1"/>
        <v>16609</v>
      </c>
      <c r="I25" s="12">
        <v>5000</v>
      </c>
    </row>
    <row r="26" spans="1:10" x14ac:dyDescent="0.25">
      <c r="A26" s="9"/>
      <c r="B26" s="9"/>
      <c r="C26" s="9"/>
      <c r="D26" s="10" t="s">
        <v>41</v>
      </c>
      <c r="E26" s="12">
        <v>500</v>
      </c>
      <c r="F26" s="12">
        <v>500</v>
      </c>
      <c r="G26" s="12">
        <v>0</v>
      </c>
      <c r="H26" s="5">
        <f t="shared" si="1"/>
        <v>500</v>
      </c>
      <c r="I26" s="12">
        <v>500</v>
      </c>
    </row>
    <row r="27" spans="1:10" x14ac:dyDescent="0.25">
      <c r="A27" s="9"/>
      <c r="B27" s="9"/>
      <c r="C27" s="9"/>
      <c r="D27" s="10" t="s">
        <v>42</v>
      </c>
      <c r="E27" s="13">
        <v>0</v>
      </c>
      <c r="F27" s="13">
        <v>0</v>
      </c>
      <c r="G27" s="13">
        <v>700</v>
      </c>
      <c r="H27" s="14">
        <f t="shared" si="1"/>
        <v>700</v>
      </c>
      <c r="I27" s="13">
        <v>700</v>
      </c>
    </row>
    <row r="28" spans="1:10" x14ac:dyDescent="0.25">
      <c r="A28" s="9"/>
      <c r="B28" s="9"/>
      <c r="C28" s="9" t="s">
        <v>43</v>
      </c>
      <c r="D28" s="10"/>
      <c r="E28" s="15">
        <f>SUM(E18:E27)</f>
        <v>228750</v>
      </c>
      <c r="F28" s="15">
        <f>SUM(F18:F27)</f>
        <v>214349</v>
      </c>
      <c r="G28" s="15">
        <f>SUM(G18:G27)</f>
        <v>79981</v>
      </c>
      <c r="H28" s="1">
        <f>SUM(H18:H27)</f>
        <v>294330</v>
      </c>
      <c r="I28" s="15">
        <f>SUM(I18:I27)</f>
        <v>275700</v>
      </c>
    </row>
    <row r="29" spans="1:10" x14ac:dyDescent="0.25">
      <c r="A29" s="9"/>
      <c r="B29" s="9" t="s">
        <v>44</v>
      </c>
      <c r="C29" s="9"/>
      <c r="D29" s="10"/>
      <c r="E29" s="12"/>
      <c r="F29" s="12"/>
      <c r="G29" s="12"/>
      <c r="I29" s="12"/>
    </row>
    <row r="30" spans="1:10" x14ac:dyDescent="0.25">
      <c r="A30" s="9"/>
      <c r="B30" s="9"/>
      <c r="C30" s="9"/>
      <c r="D30" s="10" t="s">
        <v>45</v>
      </c>
      <c r="E30" s="12">
        <v>127000</v>
      </c>
      <c r="F30" s="12">
        <v>99860</v>
      </c>
      <c r="G30" s="12">
        <v>40000</v>
      </c>
      <c r="H30" s="5">
        <v>127000</v>
      </c>
      <c r="I30" s="12">
        <v>135000</v>
      </c>
    </row>
    <row r="31" spans="1:10" x14ac:dyDescent="0.25">
      <c r="A31" s="9"/>
      <c r="B31" s="9"/>
      <c r="C31" s="9"/>
      <c r="D31" s="10" t="s">
        <v>46</v>
      </c>
      <c r="E31" s="12">
        <v>51000</v>
      </c>
      <c r="F31" s="12">
        <v>5850</v>
      </c>
      <c r="G31" s="12">
        <v>7500</v>
      </c>
      <c r="H31" s="5">
        <f t="shared" ref="H31:H38" si="2">G31+F31</f>
        <v>13350</v>
      </c>
      <c r="I31" s="12">
        <v>10500</v>
      </c>
    </row>
    <row r="32" spans="1:10" x14ac:dyDescent="0.25">
      <c r="A32" s="9"/>
      <c r="B32" s="9"/>
      <c r="C32" s="9"/>
      <c r="D32" s="10" t="s">
        <v>47</v>
      </c>
      <c r="E32" s="12">
        <v>33660</v>
      </c>
      <c r="F32" s="12">
        <v>25245</v>
      </c>
      <c r="G32" s="12">
        <v>8415</v>
      </c>
      <c r="H32" s="5">
        <f t="shared" si="2"/>
        <v>33660</v>
      </c>
      <c r="I32" s="12">
        <v>33660</v>
      </c>
    </row>
    <row r="33" spans="1:10" x14ac:dyDescent="0.25">
      <c r="A33" s="9"/>
      <c r="B33" s="9"/>
      <c r="C33" s="9"/>
      <c r="D33" s="10" t="s">
        <v>48</v>
      </c>
      <c r="E33" s="12">
        <v>0</v>
      </c>
      <c r="F33" s="12">
        <v>0</v>
      </c>
      <c r="G33" s="12">
        <v>0</v>
      </c>
      <c r="H33" s="5">
        <f t="shared" si="2"/>
        <v>0</v>
      </c>
      <c r="I33" s="12">
        <v>0</v>
      </c>
    </row>
    <row r="34" spans="1:10" x14ac:dyDescent="0.25">
      <c r="A34" s="9"/>
      <c r="B34" s="9"/>
      <c r="C34" s="9"/>
      <c r="D34" s="10" t="s">
        <v>49</v>
      </c>
      <c r="E34" s="12"/>
      <c r="F34" s="12">
        <v>0</v>
      </c>
      <c r="G34" s="12">
        <v>0</v>
      </c>
      <c r="H34" s="5">
        <f t="shared" si="2"/>
        <v>0</v>
      </c>
    </row>
    <row r="35" spans="1:10" x14ac:dyDescent="0.25">
      <c r="A35" s="9"/>
      <c r="B35" s="9"/>
      <c r="C35" s="9"/>
      <c r="D35" s="10" t="s">
        <v>50</v>
      </c>
      <c r="E35" s="12">
        <v>1500</v>
      </c>
      <c r="F35" s="12">
        <v>0</v>
      </c>
      <c r="G35" s="12">
        <v>880</v>
      </c>
      <c r="H35" s="5">
        <f t="shared" si="2"/>
        <v>880</v>
      </c>
      <c r="I35" s="12">
        <v>1500</v>
      </c>
    </row>
    <row r="36" spans="1:10" x14ac:dyDescent="0.25">
      <c r="A36" s="9"/>
      <c r="B36" s="9"/>
      <c r="C36" s="9"/>
      <c r="D36" s="10" t="s">
        <v>51</v>
      </c>
      <c r="E36" s="12">
        <v>20000</v>
      </c>
      <c r="F36" s="12">
        <v>68571</v>
      </c>
      <c r="G36" s="12">
        <v>10000</v>
      </c>
      <c r="H36" s="5">
        <f t="shared" si="2"/>
        <v>78571</v>
      </c>
      <c r="I36" s="12">
        <v>40000</v>
      </c>
    </row>
    <row r="37" spans="1:10" x14ac:dyDescent="0.25">
      <c r="A37" s="9"/>
      <c r="B37" s="9"/>
      <c r="C37" s="9"/>
      <c r="D37" s="10" t="s">
        <v>53</v>
      </c>
      <c r="E37" s="12">
        <v>500</v>
      </c>
      <c r="F37" s="12">
        <v>179</v>
      </c>
      <c r="G37" s="12">
        <v>250</v>
      </c>
      <c r="H37" s="5">
        <f t="shared" si="2"/>
        <v>429</v>
      </c>
      <c r="I37" s="12">
        <v>500</v>
      </c>
    </row>
    <row r="38" spans="1:10" x14ac:dyDescent="0.25">
      <c r="A38" s="9"/>
      <c r="B38" s="9"/>
      <c r="C38" s="9"/>
      <c r="D38" s="10" t="s">
        <v>54</v>
      </c>
      <c r="E38" s="12">
        <v>3500</v>
      </c>
      <c r="F38" s="12">
        <v>3073</v>
      </c>
      <c r="G38" s="12">
        <v>500</v>
      </c>
      <c r="H38" s="5">
        <f t="shared" si="2"/>
        <v>3573</v>
      </c>
      <c r="I38" s="12">
        <v>3500</v>
      </c>
    </row>
    <row r="39" spans="1:10" x14ac:dyDescent="0.25">
      <c r="A39" s="9"/>
      <c r="B39" s="9" t="s">
        <v>55</v>
      </c>
      <c r="C39" s="9"/>
      <c r="D39" s="10"/>
      <c r="E39" s="12"/>
      <c r="F39" s="12"/>
      <c r="G39" s="12"/>
      <c r="I39" s="12"/>
    </row>
    <row r="40" spans="1:10" x14ac:dyDescent="0.25">
      <c r="A40" s="9"/>
      <c r="B40" s="9"/>
      <c r="C40" s="9"/>
      <c r="D40" s="10" t="s">
        <v>56</v>
      </c>
      <c r="E40" s="12">
        <v>46000</v>
      </c>
      <c r="F40" s="12">
        <v>37904</v>
      </c>
      <c r="G40" s="12">
        <v>13000</v>
      </c>
      <c r="H40" s="5">
        <f>G40+F40</f>
        <v>50904</v>
      </c>
      <c r="I40" s="12">
        <v>50000</v>
      </c>
    </row>
    <row r="41" spans="1:10" x14ac:dyDescent="0.25">
      <c r="A41" s="9"/>
      <c r="B41" s="9"/>
      <c r="C41" s="9"/>
      <c r="D41" s="10" t="s">
        <v>57</v>
      </c>
      <c r="E41" s="12">
        <v>-18000</v>
      </c>
      <c r="F41" s="12">
        <v>-10040</v>
      </c>
      <c r="G41" s="12">
        <v>-3250</v>
      </c>
      <c r="H41" s="5">
        <f t="shared" ref="H41:H44" si="3">G41+F41</f>
        <v>-13290</v>
      </c>
      <c r="I41" s="12">
        <v>-16000</v>
      </c>
      <c r="J41" s="6" t="s">
        <v>58</v>
      </c>
    </row>
    <row r="42" spans="1:10" x14ac:dyDescent="0.25">
      <c r="A42" s="9"/>
      <c r="B42" s="9"/>
      <c r="C42" s="9"/>
      <c r="D42" s="10" t="s">
        <v>59</v>
      </c>
      <c r="E42" s="12">
        <v>-13000</v>
      </c>
      <c r="F42" s="12">
        <v>-9015</v>
      </c>
      <c r="G42" s="12">
        <v>-3250</v>
      </c>
      <c r="H42" s="5">
        <f t="shared" si="3"/>
        <v>-12265</v>
      </c>
      <c r="I42" s="12">
        <v>-12000</v>
      </c>
      <c r="J42" s="6" t="s">
        <v>60</v>
      </c>
    </row>
    <row r="43" spans="1:10" x14ac:dyDescent="0.25">
      <c r="A43" s="9"/>
      <c r="B43" s="9"/>
      <c r="C43" s="9"/>
      <c r="D43" s="10" t="s">
        <v>61</v>
      </c>
      <c r="E43" s="12">
        <v>600</v>
      </c>
      <c r="F43" s="12">
        <v>0</v>
      </c>
      <c r="G43" s="12"/>
      <c r="H43" s="5">
        <f t="shared" si="3"/>
        <v>0</v>
      </c>
      <c r="I43" s="12">
        <v>0</v>
      </c>
    </row>
    <row r="44" spans="1:10" x14ac:dyDescent="0.25">
      <c r="A44" s="9"/>
      <c r="B44" s="9"/>
      <c r="C44" s="9"/>
      <c r="D44" s="10" t="s">
        <v>62</v>
      </c>
      <c r="E44" s="13">
        <v>12000</v>
      </c>
      <c r="F44" s="13">
        <v>3791</v>
      </c>
      <c r="G44" s="13">
        <v>2000</v>
      </c>
      <c r="H44" s="14">
        <f t="shared" si="3"/>
        <v>5791</v>
      </c>
      <c r="I44" s="13">
        <v>12000</v>
      </c>
    </row>
    <row r="45" spans="1:10" x14ac:dyDescent="0.25">
      <c r="A45" s="9"/>
      <c r="B45" s="9"/>
      <c r="C45" s="9" t="s">
        <v>63</v>
      </c>
      <c r="D45" s="10"/>
      <c r="E45" s="12">
        <f>SUM(E40:E44)</f>
        <v>27600</v>
      </c>
      <c r="F45" s="12">
        <f>SUM(F40:F44)</f>
        <v>22640</v>
      </c>
      <c r="G45" s="12">
        <f t="shared" ref="G45:H45" si="4">SUM(G40:G44)</f>
        <v>8500</v>
      </c>
      <c r="H45" s="12">
        <f t="shared" si="4"/>
        <v>31140</v>
      </c>
      <c r="I45" s="12">
        <f>SUM(I40:I44)</f>
        <v>34000</v>
      </c>
    </row>
    <row r="46" spans="1:10" x14ac:dyDescent="0.25">
      <c r="A46" s="9"/>
      <c r="B46" s="9"/>
      <c r="C46" s="9"/>
      <c r="D46" s="10"/>
      <c r="E46" s="12"/>
      <c r="F46" s="12"/>
      <c r="G46" s="12"/>
      <c r="I46" s="12"/>
    </row>
    <row r="47" spans="1:10" x14ac:dyDescent="0.25">
      <c r="A47" s="9"/>
      <c r="B47" s="9"/>
      <c r="C47" s="9"/>
      <c r="D47" s="9" t="s">
        <v>64</v>
      </c>
      <c r="E47" s="16">
        <f>E45+E38+E37+E36+E35+E32+E30+E28+E16+E31</f>
        <v>561010</v>
      </c>
      <c r="F47" s="16">
        <f>F45+F38+F37+F36+F35+F32+F30+F28+F16+F31</f>
        <v>478307</v>
      </c>
      <c r="G47" s="16">
        <f>G45+G38+G37+G36+G35+G32+G30+G28+G16+G31</f>
        <v>192026</v>
      </c>
      <c r="H47" s="16">
        <f>H45+H38+H37+H36+H35+H32+H30+H28+H16+H31</f>
        <v>657473</v>
      </c>
      <c r="I47" s="16">
        <f>I45+I39+I38+I37+I36+I32+I30+I28+I16+I35+I31</f>
        <v>583860</v>
      </c>
    </row>
    <row r="48" spans="1:10" x14ac:dyDescent="0.25">
      <c r="A48" s="9"/>
      <c r="B48" s="9" t="s">
        <v>65</v>
      </c>
      <c r="C48" s="9"/>
      <c r="D48" s="10"/>
      <c r="E48" s="12">
        <v>41461</v>
      </c>
      <c r="F48" s="12">
        <v>0</v>
      </c>
      <c r="G48" s="12">
        <v>0</v>
      </c>
      <c r="H48" s="17">
        <v>0</v>
      </c>
      <c r="I48" s="12">
        <f>-U56</f>
        <v>18987.535015949979</v>
      </c>
    </row>
    <row r="49" spans="1:21" x14ac:dyDescent="0.25">
      <c r="A49" s="9"/>
      <c r="E49" s="18">
        <f>SUM(E47:E48)</f>
        <v>602471</v>
      </c>
      <c r="F49" s="18">
        <f t="shared" ref="F49:H49" si="5">SUM(F47:F48)</f>
        <v>478307</v>
      </c>
      <c r="G49" s="18">
        <f t="shared" si="5"/>
        <v>192026</v>
      </c>
      <c r="H49" s="18">
        <f t="shared" si="5"/>
        <v>657473</v>
      </c>
      <c r="I49" s="18">
        <f>SUM(I47:I48)</f>
        <v>602847.53501594998</v>
      </c>
    </row>
    <row r="50" spans="1:21" x14ac:dyDescent="0.25">
      <c r="A50" s="9"/>
      <c r="B50" s="9"/>
      <c r="C50" s="9"/>
      <c r="D50" s="10"/>
      <c r="E50" s="12"/>
      <c r="F50" s="12"/>
      <c r="G50" s="12"/>
      <c r="H50" s="17"/>
      <c r="I50" s="12"/>
      <c r="T50" s="21">
        <f>T1-T46</f>
        <v>0</v>
      </c>
    </row>
    <row r="51" spans="1:21" x14ac:dyDescent="0.25">
      <c r="A51" s="9"/>
      <c r="B51" s="9"/>
      <c r="C51" s="9"/>
      <c r="D51" s="10"/>
      <c r="E51" s="12"/>
      <c r="F51" s="12"/>
      <c r="G51" s="12"/>
      <c r="H51" s="17"/>
      <c r="I51" s="12"/>
    </row>
    <row r="52" spans="1:21" x14ac:dyDescent="0.25">
      <c r="A52" s="9"/>
      <c r="B52" s="9"/>
      <c r="C52" s="9"/>
      <c r="D52" s="10"/>
      <c r="E52" s="12"/>
      <c r="F52" s="12"/>
      <c r="G52" s="12"/>
      <c r="H52" s="17"/>
      <c r="I52" s="12"/>
      <c r="K52" s="12" t="s">
        <v>66</v>
      </c>
    </row>
    <row r="53" spans="1:21" x14ac:dyDescent="0.25">
      <c r="A53" s="9"/>
      <c r="B53" s="9" t="s">
        <v>67</v>
      </c>
      <c r="C53" s="9"/>
      <c r="D53" s="10"/>
      <c r="E53" s="12"/>
      <c r="F53" s="12"/>
      <c r="G53" s="12"/>
      <c r="H53" s="19"/>
      <c r="I53" s="12"/>
      <c r="K53" s="6" t="s">
        <v>66</v>
      </c>
    </row>
    <row r="54" spans="1:21" x14ac:dyDescent="0.25">
      <c r="A54" s="9"/>
      <c r="B54" s="9"/>
      <c r="C54" s="9"/>
      <c r="D54" s="10" t="s">
        <v>68</v>
      </c>
      <c r="E54" s="12">
        <v>313313</v>
      </c>
      <c r="F54" s="12">
        <v>238830</v>
      </c>
      <c r="G54" s="12">
        <f>(90000*0.25)+(53000*0.25)+(70300*0.25)+(25900*0.25)+(44000*0.25)+(19*17*25)+500</f>
        <v>79375</v>
      </c>
      <c r="H54" s="5">
        <f>G54+F54</f>
        <v>318205</v>
      </c>
      <c r="I54" s="12">
        <f>'[3]PayrollAllocrev 21-22'!$C$78</f>
        <v>323095.53230000002</v>
      </c>
    </row>
    <row r="55" spans="1:21" x14ac:dyDescent="0.25">
      <c r="A55" s="9"/>
      <c r="B55" s="9"/>
      <c r="C55" s="9"/>
      <c r="D55" s="10" t="s">
        <v>70</v>
      </c>
      <c r="E55" s="12">
        <v>23586</v>
      </c>
      <c r="F55" s="12">
        <v>17755</v>
      </c>
      <c r="G55" s="12">
        <f>G54*0.0765</f>
        <v>6072.1875</v>
      </c>
      <c r="H55" s="5">
        <f t="shared" ref="H55:H57" si="6">G55+F55</f>
        <v>23827.1875</v>
      </c>
      <c r="I55" s="12">
        <f>I54*0.0765</f>
        <v>24716.808220950003</v>
      </c>
      <c r="R55" s="6" t="s">
        <v>190</v>
      </c>
    </row>
    <row r="56" spans="1:21" x14ac:dyDescent="0.25">
      <c r="A56" s="9"/>
      <c r="B56" s="9"/>
      <c r="C56" s="9"/>
      <c r="D56" s="10" t="s">
        <v>71</v>
      </c>
      <c r="E56" s="12">
        <v>25051</v>
      </c>
      <c r="F56" s="12">
        <v>18359</v>
      </c>
      <c r="G56" s="12">
        <f>O57</f>
        <v>6587.9400000000005</v>
      </c>
      <c r="H56" s="5">
        <f t="shared" si="6"/>
        <v>24946.940000000002</v>
      </c>
      <c r="I56" s="12">
        <f>O56</f>
        <v>26575.070879999999</v>
      </c>
      <c r="K56" s="6">
        <f>259*12</f>
        <v>3108</v>
      </c>
      <c r="L56" s="6">
        <f>(107.56*12)*3</f>
        <v>3872.16</v>
      </c>
      <c r="M56" s="6">
        <f>(S60*12)*1.013</f>
        <v>17401.070879999999</v>
      </c>
      <c r="N56" s="6">
        <f>(153.38+29.44)*12</f>
        <v>2193.84</v>
      </c>
      <c r="O56" s="6">
        <f>SUM(K56:N56)</f>
        <v>26575.070879999999</v>
      </c>
      <c r="Q56" s="6" t="s">
        <v>72</v>
      </c>
      <c r="S56" s="6">
        <v>2039.7</v>
      </c>
      <c r="U56" s="6">
        <v>-18987.535015949979</v>
      </c>
    </row>
    <row r="57" spans="1:21" ht="16.5" x14ac:dyDescent="0.35">
      <c r="A57" s="9"/>
      <c r="B57" s="9"/>
      <c r="C57" s="9"/>
      <c r="D57" s="10" t="s">
        <v>73</v>
      </c>
      <c r="E57" s="13">
        <v>13871</v>
      </c>
      <c r="F57" s="13">
        <v>8583</v>
      </c>
      <c r="G57" s="22">
        <f>((90000*0.25)+(70300*0.25)+(25900*0.25)+(44000*0.25))*0.05</f>
        <v>2877.5</v>
      </c>
      <c r="H57" s="14">
        <f t="shared" si="6"/>
        <v>11460.5</v>
      </c>
      <c r="I57" s="13">
        <f>'[3]PayrollAllocrev 21-22'!$C$86</f>
        <v>14500.123615000002</v>
      </c>
      <c r="K57" s="6">
        <f>259*3</f>
        <v>777</v>
      </c>
      <c r="L57" s="6">
        <f>(107.56*3)*3</f>
        <v>968.04</v>
      </c>
      <c r="M57" s="6">
        <f>(S60*3)</f>
        <v>4294.4400000000005</v>
      </c>
      <c r="N57" s="6">
        <f>(153.38+29.44)*3</f>
        <v>548.46</v>
      </c>
      <c r="O57" s="6">
        <f>SUM(K57:N57)</f>
        <v>6587.9400000000005</v>
      </c>
      <c r="Q57" s="6" t="s">
        <v>74</v>
      </c>
      <c r="R57" s="6" t="s">
        <v>75</v>
      </c>
      <c r="S57" s="6">
        <f>-(2.33+14.73+84.31)*2</f>
        <v>-202.74</v>
      </c>
    </row>
    <row r="58" spans="1:21" x14ac:dyDescent="0.25">
      <c r="A58" s="9"/>
      <c r="B58" s="9"/>
      <c r="C58" s="9"/>
      <c r="D58" s="9" t="s">
        <v>76</v>
      </c>
      <c r="E58" s="15">
        <f>SUM(E54:E57)</f>
        <v>375821</v>
      </c>
      <c r="F58" s="15">
        <f t="shared" ref="F58:G58" si="7">SUM(F54:F57)</f>
        <v>283527</v>
      </c>
      <c r="G58" s="15">
        <f t="shared" si="7"/>
        <v>94912.627500000002</v>
      </c>
      <c r="H58" s="1">
        <f>SUM(H54:H57)</f>
        <v>378439.6275</v>
      </c>
      <c r="I58" s="15">
        <f>SUM(I54:I57)</f>
        <v>388887.53501595004</v>
      </c>
      <c r="R58" s="6" t="s">
        <v>77</v>
      </c>
      <c r="S58" s="6">
        <f t="shared" ref="S58:S59" si="8">-(2.33+14.73+84.31)*2</f>
        <v>-202.74</v>
      </c>
    </row>
    <row r="59" spans="1:21" x14ac:dyDescent="0.25">
      <c r="A59" s="9"/>
      <c r="B59" s="9"/>
      <c r="C59" s="9"/>
      <c r="D59" s="10"/>
      <c r="E59" s="12"/>
      <c r="F59" s="12"/>
      <c r="G59" s="12"/>
      <c r="I59" s="12"/>
      <c r="R59" s="6" t="s">
        <v>78</v>
      </c>
      <c r="S59" s="6">
        <f t="shared" si="8"/>
        <v>-202.74</v>
      </c>
    </row>
    <row r="60" spans="1:21" x14ac:dyDescent="0.25">
      <c r="A60" s="9"/>
      <c r="B60" s="9"/>
      <c r="C60" s="9"/>
      <c r="D60" s="10" t="s">
        <v>79</v>
      </c>
      <c r="E60" s="12">
        <v>12000</v>
      </c>
      <c r="F60" s="12">
        <v>9059</v>
      </c>
      <c r="G60" s="12">
        <v>2900</v>
      </c>
      <c r="H60" s="5">
        <f>G60+F60</f>
        <v>11959</v>
      </c>
      <c r="I60" s="12">
        <v>13000</v>
      </c>
      <c r="J60" s="30" t="s">
        <v>191</v>
      </c>
      <c r="S60" s="6">
        <f>SUM(S56:S59)</f>
        <v>1431.48</v>
      </c>
    </row>
    <row r="61" spans="1:21" x14ac:dyDescent="0.25">
      <c r="A61" s="9"/>
      <c r="B61" s="9"/>
      <c r="C61" s="9"/>
      <c r="D61" s="10" t="s">
        <v>80</v>
      </c>
      <c r="E61" s="12">
        <v>250</v>
      </c>
      <c r="F61" s="12">
        <v>0</v>
      </c>
      <c r="G61" s="12">
        <v>0</v>
      </c>
      <c r="H61" s="5">
        <f>G61+F61</f>
        <v>0</v>
      </c>
      <c r="I61" s="12">
        <v>250</v>
      </c>
    </row>
    <row r="62" spans="1:21" x14ac:dyDescent="0.25">
      <c r="A62" s="9"/>
      <c r="D62" s="10" t="s">
        <v>81</v>
      </c>
      <c r="E62" s="12">
        <v>2000</v>
      </c>
      <c r="F62" s="12">
        <v>0</v>
      </c>
      <c r="G62" s="12">
        <v>0</v>
      </c>
      <c r="H62" s="5">
        <f t="shared" ref="H62:H85" si="9">G62+F62</f>
        <v>0</v>
      </c>
      <c r="I62" s="12">
        <v>2000</v>
      </c>
    </row>
    <row r="63" spans="1:21" x14ac:dyDescent="0.25">
      <c r="A63" s="9"/>
      <c r="B63" s="9"/>
      <c r="C63" s="9"/>
      <c r="D63" s="10" t="s">
        <v>82</v>
      </c>
      <c r="E63" s="12">
        <v>1200</v>
      </c>
      <c r="F63" s="12">
        <v>401</v>
      </c>
      <c r="G63" s="12">
        <v>250</v>
      </c>
      <c r="H63" s="5">
        <f t="shared" si="9"/>
        <v>651</v>
      </c>
      <c r="I63" s="12">
        <v>1200</v>
      </c>
    </row>
    <row r="64" spans="1:21" x14ac:dyDescent="0.25">
      <c r="A64" s="9"/>
      <c r="B64" s="9"/>
      <c r="C64" s="9"/>
      <c r="D64" s="10" t="s">
        <v>83</v>
      </c>
      <c r="E64" s="12">
        <v>1100</v>
      </c>
      <c r="F64" s="12">
        <v>1002</v>
      </c>
      <c r="G64" s="12">
        <v>250</v>
      </c>
      <c r="H64" s="5">
        <f t="shared" si="9"/>
        <v>1252</v>
      </c>
      <c r="I64" s="12">
        <v>1100</v>
      </c>
    </row>
    <row r="65" spans="1:10" x14ac:dyDescent="0.25">
      <c r="A65" s="9"/>
      <c r="B65" s="9"/>
      <c r="C65" s="9"/>
      <c r="D65" s="10" t="s">
        <v>84</v>
      </c>
      <c r="E65" s="12">
        <v>300</v>
      </c>
      <c r="F65" s="12">
        <v>0</v>
      </c>
      <c r="G65" s="12">
        <v>0</v>
      </c>
      <c r="H65" s="5">
        <f t="shared" si="9"/>
        <v>0</v>
      </c>
      <c r="I65" s="12">
        <v>300</v>
      </c>
    </row>
    <row r="66" spans="1:10" x14ac:dyDescent="0.25">
      <c r="A66" s="9"/>
      <c r="B66" s="9"/>
      <c r="C66" s="9"/>
      <c r="D66" s="10" t="s">
        <v>85</v>
      </c>
      <c r="E66" s="12">
        <v>9500</v>
      </c>
      <c r="F66" s="12">
        <v>766</v>
      </c>
      <c r="G66" s="12">
        <v>500</v>
      </c>
      <c r="H66" s="5">
        <f t="shared" si="9"/>
        <v>1266</v>
      </c>
      <c r="I66" s="12">
        <v>7000</v>
      </c>
    </row>
    <row r="67" spans="1:10" x14ac:dyDescent="0.25">
      <c r="A67" s="9"/>
      <c r="B67" s="9"/>
      <c r="C67" s="9"/>
      <c r="D67" s="10" t="s">
        <v>86</v>
      </c>
      <c r="E67" s="12">
        <v>38000</v>
      </c>
      <c r="F67" s="12">
        <v>1675</v>
      </c>
      <c r="G67" s="12">
        <v>22000</v>
      </c>
      <c r="H67" s="5">
        <f t="shared" si="9"/>
        <v>23675</v>
      </c>
      <c r="I67" s="12">
        <v>31340</v>
      </c>
      <c r="J67" s="6" t="s">
        <v>192</v>
      </c>
    </row>
    <row r="68" spans="1:10" x14ac:dyDescent="0.25">
      <c r="A68" s="9"/>
      <c r="B68" s="9"/>
      <c r="C68" s="9"/>
      <c r="D68" s="10" t="s">
        <v>88</v>
      </c>
      <c r="E68" s="12">
        <v>0</v>
      </c>
      <c r="F68" s="12">
        <v>8000</v>
      </c>
      <c r="G68" s="12">
        <v>17000</v>
      </c>
      <c r="H68" s="5">
        <f t="shared" si="9"/>
        <v>25000</v>
      </c>
      <c r="I68" s="12">
        <v>0</v>
      </c>
      <c r="J68" s="6" t="s">
        <v>89</v>
      </c>
    </row>
    <row r="69" spans="1:10" x14ac:dyDescent="0.25">
      <c r="A69" s="9"/>
      <c r="B69" s="9"/>
      <c r="C69" s="9"/>
      <c r="D69" s="10" t="s">
        <v>90</v>
      </c>
      <c r="E69" s="12"/>
      <c r="F69" s="12"/>
      <c r="G69" s="12">
        <v>12000</v>
      </c>
      <c r="H69" s="5">
        <v>12000</v>
      </c>
      <c r="I69" s="12">
        <v>23000</v>
      </c>
      <c r="J69" s="6" t="s">
        <v>193</v>
      </c>
    </row>
    <row r="70" spans="1:10" x14ac:dyDescent="0.25">
      <c r="A70" s="9"/>
      <c r="B70" s="9"/>
      <c r="C70" s="9"/>
      <c r="D70" s="10" t="s">
        <v>92</v>
      </c>
      <c r="E70" s="12">
        <v>3520</v>
      </c>
      <c r="F70" s="12">
        <v>1915</v>
      </c>
      <c r="G70" s="12">
        <v>900</v>
      </c>
      <c r="H70" s="5">
        <f t="shared" si="9"/>
        <v>2815</v>
      </c>
      <c r="I70" s="12">
        <v>7700</v>
      </c>
    </row>
    <row r="71" spans="1:10" x14ac:dyDescent="0.25">
      <c r="A71" s="9"/>
      <c r="B71" s="9"/>
      <c r="C71" s="9"/>
      <c r="D71" s="10" t="s">
        <v>93</v>
      </c>
      <c r="E71" s="12">
        <v>2400</v>
      </c>
      <c r="F71" s="12">
        <v>1867</v>
      </c>
      <c r="G71" s="12">
        <v>500</v>
      </c>
      <c r="H71" s="5">
        <f t="shared" si="9"/>
        <v>2367</v>
      </c>
      <c r="I71" s="12">
        <v>2400</v>
      </c>
    </row>
    <row r="72" spans="1:10" x14ac:dyDescent="0.25">
      <c r="A72" s="9"/>
      <c r="B72" s="9"/>
      <c r="C72" s="9"/>
      <c r="D72" s="10" t="s">
        <v>94</v>
      </c>
      <c r="E72" s="12">
        <v>1600</v>
      </c>
      <c r="F72" s="12">
        <v>304</v>
      </c>
      <c r="G72" s="12">
        <v>750</v>
      </c>
      <c r="H72" s="5">
        <f t="shared" si="9"/>
        <v>1054</v>
      </c>
      <c r="I72" s="12">
        <v>1600</v>
      </c>
    </row>
    <row r="73" spans="1:10" x14ac:dyDescent="0.25">
      <c r="A73" s="9"/>
      <c r="B73" s="9"/>
      <c r="C73" s="9"/>
      <c r="D73" s="10" t="s">
        <v>95</v>
      </c>
      <c r="E73" s="12">
        <v>9000</v>
      </c>
      <c r="F73" s="12">
        <v>4246</v>
      </c>
      <c r="G73" s="12">
        <v>2000</v>
      </c>
      <c r="H73" s="5">
        <f t="shared" si="9"/>
        <v>6246</v>
      </c>
      <c r="I73" s="12">
        <v>9000</v>
      </c>
    </row>
    <row r="74" spans="1:10" x14ac:dyDescent="0.25">
      <c r="A74" s="9"/>
      <c r="B74" s="9"/>
      <c r="C74" s="9"/>
      <c r="D74" s="10" t="s">
        <v>96</v>
      </c>
      <c r="E74" s="12">
        <v>33660</v>
      </c>
      <c r="F74" s="12">
        <v>25245</v>
      </c>
      <c r="G74" s="12">
        <v>8415</v>
      </c>
      <c r="H74" s="5">
        <f t="shared" si="9"/>
        <v>33660</v>
      </c>
      <c r="I74" s="12">
        <v>33660</v>
      </c>
    </row>
    <row r="75" spans="1:10" x14ac:dyDescent="0.25">
      <c r="A75" s="9"/>
      <c r="B75" s="9"/>
      <c r="C75" s="9"/>
      <c r="D75" s="10" t="s">
        <v>97</v>
      </c>
      <c r="E75" s="12">
        <v>5800</v>
      </c>
      <c r="F75" s="12">
        <v>2675</v>
      </c>
      <c r="G75" s="12">
        <v>2500</v>
      </c>
      <c r="H75" s="5">
        <f t="shared" si="9"/>
        <v>5175</v>
      </c>
      <c r="I75" s="12">
        <v>5800</v>
      </c>
    </row>
    <row r="76" spans="1:10" x14ac:dyDescent="0.25">
      <c r="A76" s="9"/>
      <c r="B76" s="9"/>
      <c r="C76" s="9"/>
      <c r="D76" s="10" t="s">
        <v>98</v>
      </c>
      <c r="E76" s="12">
        <v>3900</v>
      </c>
      <c r="F76" s="12">
        <v>3484</v>
      </c>
      <c r="G76" s="12">
        <v>1200</v>
      </c>
      <c r="H76" s="5">
        <f t="shared" si="9"/>
        <v>4684</v>
      </c>
      <c r="I76" s="12">
        <v>9310</v>
      </c>
      <c r="J76" s="6" t="s">
        <v>194</v>
      </c>
    </row>
    <row r="77" spans="1:10" x14ac:dyDescent="0.25">
      <c r="A77" s="9"/>
      <c r="B77" s="9"/>
      <c r="C77" s="9"/>
      <c r="D77" s="10" t="s">
        <v>99</v>
      </c>
      <c r="E77" s="12">
        <v>1500</v>
      </c>
      <c r="F77" s="12">
        <v>1215</v>
      </c>
      <c r="G77" s="12">
        <v>550</v>
      </c>
      <c r="H77" s="5">
        <f t="shared" si="9"/>
        <v>1765</v>
      </c>
      <c r="I77" s="12">
        <v>1500</v>
      </c>
    </row>
    <row r="78" spans="1:10" x14ac:dyDescent="0.25">
      <c r="A78" s="9"/>
      <c r="B78" s="9"/>
      <c r="C78" s="9"/>
      <c r="D78" s="10" t="s">
        <v>100</v>
      </c>
      <c r="E78" s="12">
        <v>4500</v>
      </c>
      <c r="F78" s="12">
        <v>3030</v>
      </c>
      <c r="G78" s="12">
        <v>1400</v>
      </c>
      <c r="H78" s="5">
        <f t="shared" si="9"/>
        <v>4430</v>
      </c>
      <c r="I78" s="12">
        <v>4500</v>
      </c>
    </row>
    <row r="79" spans="1:10" x14ac:dyDescent="0.25">
      <c r="A79" s="9"/>
      <c r="B79" s="9"/>
      <c r="C79" s="9"/>
      <c r="D79" s="10" t="s">
        <v>101</v>
      </c>
      <c r="E79" s="12">
        <v>300</v>
      </c>
      <c r="F79" s="12">
        <v>0</v>
      </c>
      <c r="G79" s="12">
        <v>300</v>
      </c>
      <c r="H79" s="5">
        <f t="shared" si="9"/>
        <v>300</v>
      </c>
      <c r="I79" s="12">
        <v>300</v>
      </c>
    </row>
    <row r="80" spans="1:10" x14ac:dyDescent="0.25">
      <c r="A80" s="9"/>
      <c r="B80" s="9"/>
      <c r="C80" s="9"/>
      <c r="D80" s="10" t="s">
        <v>102</v>
      </c>
      <c r="E80" s="12">
        <v>1000</v>
      </c>
      <c r="F80" s="12">
        <v>1676</v>
      </c>
      <c r="G80" s="12">
        <v>400</v>
      </c>
      <c r="H80" s="5">
        <f t="shared" si="9"/>
        <v>2076</v>
      </c>
      <c r="I80" s="12">
        <v>2200</v>
      </c>
      <c r="J80" s="6" t="s">
        <v>103</v>
      </c>
    </row>
    <row r="81" spans="1:10" x14ac:dyDescent="0.25">
      <c r="A81" s="9"/>
      <c r="B81" s="9"/>
      <c r="C81" s="9"/>
      <c r="D81" s="10" t="s">
        <v>195</v>
      </c>
      <c r="E81" s="12"/>
      <c r="F81" s="12">
        <v>879</v>
      </c>
      <c r="G81" s="12">
        <v>1450</v>
      </c>
      <c r="H81" s="5">
        <f t="shared" si="9"/>
        <v>2329</v>
      </c>
      <c r="I81" s="12">
        <v>6000</v>
      </c>
      <c r="J81" s="6" t="s">
        <v>196</v>
      </c>
    </row>
    <row r="82" spans="1:10" x14ac:dyDescent="0.25">
      <c r="A82" s="9"/>
      <c r="B82" s="9"/>
      <c r="C82" s="9"/>
      <c r="D82" s="10" t="s">
        <v>106</v>
      </c>
      <c r="E82" s="12">
        <v>1500</v>
      </c>
      <c r="F82" s="12">
        <v>1017</v>
      </c>
      <c r="G82" s="12">
        <v>300</v>
      </c>
      <c r="H82" s="5">
        <f t="shared" si="9"/>
        <v>1317</v>
      </c>
      <c r="I82" s="12">
        <v>1500</v>
      </c>
    </row>
    <row r="83" spans="1:10" x14ac:dyDescent="0.25">
      <c r="A83" s="9"/>
      <c r="B83" s="9"/>
      <c r="C83" s="9"/>
      <c r="D83" s="10" t="s">
        <v>107</v>
      </c>
      <c r="E83" s="12">
        <v>700</v>
      </c>
      <c r="F83" s="12">
        <v>473</v>
      </c>
      <c r="G83" s="12">
        <v>150</v>
      </c>
      <c r="H83" s="5">
        <f t="shared" si="9"/>
        <v>623</v>
      </c>
      <c r="I83" s="12">
        <v>500</v>
      </c>
    </row>
    <row r="84" spans="1:10" x14ac:dyDescent="0.25">
      <c r="A84" s="9"/>
      <c r="B84" s="9"/>
      <c r="C84" s="9"/>
      <c r="D84" s="10" t="s">
        <v>108</v>
      </c>
      <c r="E84" s="12">
        <v>1700</v>
      </c>
      <c r="F84" s="12">
        <v>32</v>
      </c>
      <c r="G84" s="12">
        <v>1000</v>
      </c>
      <c r="H84" s="5">
        <f t="shared" si="9"/>
        <v>1032</v>
      </c>
      <c r="I84" s="12">
        <v>1700</v>
      </c>
    </row>
    <row r="85" spans="1:10" x14ac:dyDescent="0.25">
      <c r="A85" s="9"/>
      <c r="B85" s="9"/>
      <c r="C85" s="9"/>
      <c r="D85" s="10" t="s">
        <v>109</v>
      </c>
      <c r="E85" s="12">
        <v>3500</v>
      </c>
      <c r="F85" s="12">
        <v>4100</v>
      </c>
      <c r="G85" s="12">
        <v>0</v>
      </c>
      <c r="H85" s="5">
        <f t="shared" si="9"/>
        <v>4100</v>
      </c>
      <c r="I85" s="12">
        <v>4100</v>
      </c>
      <c r="J85" s="6" t="s">
        <v>197</v>
      </c>
    </row>
    <row r="86" spans="1:10" x14ac:dyDescent="0.25">
      <c r="A86" s="9" t="s">
        <v>110</v>
      </c>
      <c r="B86" s="9"/>
      <c r="C86" s="9"/>
      <c r="D86" s="10"/>
      <c r="E86" s="12"/>
      <c r="F86" s="12"/>
      <c r="G86" s="12"/>
      <c r="I86" s="12"/>
    </row>
    <row r="87" spans="1:10" x14ac:dyDescent="0.25">
      <c r="A87" s="9"/>
      <c r="B87" s="9"/>
      <c r="C87" s="9"/>
      <c r="D87" s="10" t="s">
        <v>111</v>
      </c>
      <c r="E87" s="12">
        <v>27720</v>
      </c>
      <c r="F87" s="12">
        <v>8866</v>
      </c>
      <c r="G87" s="12">
        <v>3500</v>
      </c>
      <c r="H87" s="5">
        <f>G87+F87</f>
        <v>12366</v>
      </c>
      <c r="I87" s="12">
        <v>22000</v>
      </c>
      <c r="J87" s="30" t="s">
        <v>112</v>
      </c>
    </row>
    <row r="88" spans="1:10" x14ac:dyDescent="0.25">
      <c r="A88" s="9"/>
      <c r="B88" s="9"/>
      <c r="C88" s="9"/>
      <c r="D88" s="10" t="s">
        <v>113</v>
      </c>
      <c r="E88" s="12">
        <v>0</v>
      </c>
      <c r="F88" s="12">
        <v>0</v>
      </c>
      <c r="G88" s="12">
        <v>0</v>
      </c>
      <c r="H88" s="5">
        <f t="shared" ref="H88:H91" si="10">G88+F88</f>
        <v>0</v>
      </c>
      <c r="I88" s="12">
        <v>0</v>
      </c>
    </row>
    <row r="89" spans="1:10" x14ac:dyDescent="0.25">
      <c r="A89" s="9"/>
      <c r="B89" s="9"/>
      <c r="C89" s="9"/>
      <c r="D89" s="10" t="s">
        <v>114</v>
      </c>
      <c r="E89" s="12">
        <v>9000</v>
      </c>
      <c r="F89" s="12">
        <v>3619</v>
      </c>
      <c r="G89" s="12">
        <v>1500</v>
      </c>
      <c r="H89" s="5">
        <f t="shared" si="10"/>
        <v>5119</v>
      </c>
      <c r="I89" s="12">
        <v>10500</v>
      </c>
      <c r="J89" s="30" t="s">
        <v>115</v>
      </c>
    </row>
    <row r="90" spans="1:10" x14ac:dyDescent="0.25">
      <c r="A90" s="9"/>
      <c r="B90" s="9"/>
      <c r="C90" s="9"/>
      <c r="D90" s="10" t="s">
        <v>116</v>
      </c>
      <c r="E90" s="12">
        <v>51000</v>
      </c>
      <c r="F90" s="12">
        <v>5173</v>
      </c>
      <c r="G90" s="12">
        <v>8177</v>
      </c>
      <c r="H90" s="5">
        <f t="shared" si="10"/>
        <v>13350</v>
      </c>
      <c r="I90" s="12">
        <v>10500</v>
      </c>
      <c r="J90" s="30" t="s">
        <v>115</v>
      </c>
    </row>
    <row r="91" spans="1:10" ht="17.25" x14ac:dyDescent="0.4">
      <c r="A91" s="9"/>
      <c r="B91" s="9"/>
      <c r="C91" s="9"/>
      <c r="D91" s="10" t="s">
        <v>117</v>
      </c>
      <c r="E91" s="22">
        <v>0</v>
      </c>
      <c r="F91" s="22">
        <v>1637</v>
      </c>
      <c r="G91" s="22">
        <v>500</v>
      </c>
      <c r="H91" s="23">
        <f t="shared" si="10"/>
        <v>2137</v>
      </c>
      <c r="I91" s="25">
        <v>0</v>
      </c>
    </row>
    <row r="92" spans="1:10" x14ac:dyDescent="0.25">
      <c r="A92" s="9"/>
      <c r="B92" s="9" t="s">
        <v>118</v>
      </c>
      <c r="C92" s="9"/>
      <c r="D92" s="10"/>
      <c r="E92" s="20">
        <f>E89+E87+E84+E83+E82+E80+E79+E78+E77+E76+E75+E74+E73+E72+E71+E70+E67+E66+E65+E64+E63+E62+E61+E60+E58+E85+E88+E90+E91+E68+E69+E81</f>
        <v>602471</v>
      </c>
      <c r="F92" s="20">
        <f>F89+F87+F84+F83+F82+F80+F79+F78+F77+F76+F75+F74+F73+F72+F71+F70+F67+F66+F65+F64+F63+F62+F61+F60+F58+F85+F88+F90+F91+F68+F81+F69</f>
        <v>375883</v>
      </c>
      <c r="G92" s="20">
        <f>G89+G87+G84+G83+G82+G80+G79+G78+G77+G76+G75+G74+G73+G72+G71+G70+G67+G66+G65+G64+G63+G62+G61+G60+G58+G85+G88+G90+G91+G68+G69+G81</f>
        <v>185304.6275</v>
      </c>
      <c r="H92" s="20">
        <f>H89+H87+H84+H83+H82+H80+H79+H78+H77+H76+H75+H74+H73+H72+H71+H70+H67+H66+H65+H64+H63+H62+H61+H60+H58+H85+H88+H90+H91+H68+H69+H81</f>
        <v>561187.62749999994</v>
      </c>
      <c r="I92" s="20">
        <f>I89+I87+I84+I83+I82+I80+I79+I78+I77+I76+I75+I74+I73+I72+I71+I70+I67+I66+I65+I64+I63+I62+I61+I60+I58+I85+I88+I90+I91+I68+I69+I81</f>
        <v>602847.53501594998</v>
      </c>
    </row>
    <row r="93" spans="1:10" x14ac:dyDescent="0.25">
      <c r="E93" s="21"/>
      <c r="F93" s="21"/>
      <c r="G93" s="21"/>
    </row>
    <row r="94" spans="1:10" ht="17.25" x14ac:dyDescent="0.4">
      <c r="B94" s="6" t="s">
        <v>119</v>
      </c>
      <c r="E94" s="24">
        <f>E49-E92</f>
        <v>0</v>
      </c>
      <c r="F94" s="24">
        <f>F49-F92</f>
        <v>102424</v>
      </c>
      <c r="G94" s="24">
        <f>G49-G92</f>
        <v>6721.3724999999977</v>
      </c>
      <c r="H94" s="24">
        <f>H49-H92</f>
        <v>96285.372500000056</v>
      </c>
      <c r="I94" s="24">
        <f>I49-I92</f>
        <v>0</v>
      </c>
    </row>
    <row r="98" spans="4:9" x14ac:dyDescent="0.25">
      <c r="E98" s="27" t="s">
        <v>120</v>
      </c>
      <c r="F98" s="27" t="s">
        <v>121</v>
      </c>
      <c r="G98" s="27" t="s">
        <v>2</v>
      </c>
      <c r="H98" s="28" t="s">
        <v>122</v>
      </c>
      <c r="I98" s="29" t="s">
        <v>123</v>
      </c>
    </row>
    <row r="99" spans="4:9" x14ac:dyDescent="0.25">
      <c r="D99" s="6" t="s">
        <v>124</v>
      </c>
      <c r="E99" s="6">
        <f>E92-E74</f>
        <v>568811</v>
      </c>
      <c r="F99" s="6">
        <f>F92-F74</f>
        <v>350638</v>
      </c>
      <c r="G99" s="6">
        <f t="shared" ref="G99:I99" si="11">G92-G74</f>
        <v>176889.6275</v>
      </c>
      <c r="H99" s="6">
        <f t="shared" si="11"/>
        <v>527527.62749999994</v>
      </c>
      <c r="I99" s="6">
        <f t="shared" si="11"/>
        <v>569187.53501594998</v>
      </c>
    </row>
    <row r="100" spans="4:9" x14ac:dyDescent="0.25">
      <c r="D100" s="6" t="s">
        <v>198</v>
      </c>
      <c r="E100" s="6">
        <f>E99/12</f>
        <v>47400.916666666664</v>
      </c>
      <c r="F100" s="6">
        <f>F99/9</f>
        <v>38959.777777777781</v>
      </c>
      <c r="G100" s="6">
        <f>G99/3</f>
        <v>58963.209166666667</v>
      </c>
      <c r="H100" s="6">
        <f>H99/12</f>
        <v>43960.635624999995</v>
      </c>
      <c r="I100" s="6">
        <f>I99/12</f>
        <v>47432.294584662501</v>
      </c>
    </row>
    <row r="102" spans="4:9" x14ac:dyDescent="0.25">
      <c r="D102" s="6" t="s">
        <v>125</v>
      </c>
    </row>
  </sheetData>
  <printOptions horizontalCentered="1" verticalCentered="1" headings="1"/>
  <pageMargins left="0.1" right="0.1" top="0.75" bottom="0.75" header="0.3" footer="0.3"/>
  <pageSetup scale="91" fitToHeight="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8e509a-2b2f-4408-bd94-f786b34b0f37">
      <Terms xmlns="http://schemas.microsoft.com/office/infopath/2007/PartnerControls"/>
    </lcf76f155ced4ddcb4097134ff3c332f>
    <TaxCatchAll xmlns="688a26b5-34eb-4585-b195-159f95609fc0" xsi:nil="true"/>
    <SharedWithUsers xmlns="688a26b5-34eb-4585-b195-159f95609fc0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F286DCE4F354B87310B2B7EFA5055" ma:contentTypeVersion="16" ma:contentTypeDescription="Create a new document." ma:contentTypeScope="" ma:versionID="e6afd6e30e8a5c9ba163828303cc1e28">
  <xsd:schema xmlns:xsd="http://www.w3.org/2001/XMLSchema" xmlns:xs="http://www.w3.org/2001/XMLSchema" xmlns:p="http://schemas.microsoft.com/office/2006/metadata/properties" xmlns:ns2="258e509a-2b2f-4408-bd94-f786b34b0f37" xmlns:ns3="688a26b5-34eb-4585-b195-159f95609fc0" targetNamespace="http://schemas.microsoft.com/office/2006/metadata/properties" ma:root="true" ma:fieldsID="8fbbf9f6b361d39b8933f81f0229514a" ns2:_="" ns3:_="">
    <xsd:import namespace="258e509a-2b2f-4408-bd94-f786b34b0f37"/>
    <xsd:import namespace="688a26b5-34eb-4585-b195-159f95609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e509a-2b2f-4408-bd94-f786b34b0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5078cc7-cc19-46b4-bc92-49890f1895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a26b5-34eb-4585-b195-159f95609f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c918b5-e2e1-493d-a666-795769802da3}" ma:internalName="TaxCatchAll" ma:showField="CatchAllData" ma:web="688a26b5-34eb-4585-b195-159f95609f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F4737-F5C6-49F5-AAC1-5952B78A55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7DEAA-C62B-4EF1-A6F1-FD69AA02E476}">
  <ds:schemaRefs>
    <ds:schemaRef ds:uri="258e509a-2b2f-4408-bd94-f786b34b0f37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88a26b5-34eb-4585-b195-159f95609f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AF39F8-08CF-4E2A-AA5F-4369105F3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8e509a-2b2f-4408-bd94-f786b34b0f37"/>
    <ds:schemaRef ds:uri="688a26b5-34eb-4585-b195-159f95609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Estimated Budget 22-23</vt:lpstr>
      <vt:lpstr>Payroll by Program</vt:lpstr>
      <vt:lpstr>Final Budget 21-22</vt:lpstr>
      <vt:lpstr>'Estimated Budget 22-23'!Print_Area</vt:lpstr>
      <vt:lpstr>'Final Budget 21-22'!Print_Area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Kelner</dc:creator>
  <cp:keywords/>
  <dc:description/>
  <cp:lastModifiedBy>Pam Kelner</cp:lastModifiedBy>
  <cp:revision/>
  <cp:lastPrinted>2022-07-05T20:57:09Z</cp:lastPrinted>
  <dcterms:created xsi:type="dcterms:W3CDTF">2020-05-07T14:28:44Z</dcterms:created>
  <dcterms:modified xsi:type="dcterms:W3CDTF">2022-07-19T21:57:35Z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0x01010033CF286DCE4F354B87310B2B7EFA5055</vt:lpwstr>
  </property>
  <property fmtid="{D5CDD505-2E9C-101B-9397-08002B2CF9AE}" pid="3" name="MediaServiceImageTags">
    <vt:lpwstr/>
  </property>
</Properties>
</file>