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mstaggs/Dropbox/Finance/2020/"/>
    </mc:Choice>
  </mc:AlternateContent>
  <xr:revisionPtr revIDLastSave="0" documentId="10_ncr:8100000_{04AEF320-80AD-D34F-8D93-1DC38561BCFF}" xr6:coauthVersionLast="32" xr6:coauthVersionMax="32" xr10:uidLastSave="{00000000-0000-0000-0000-000000000000}"/>
  <bookViews>
    <workbookView xWindow="0" yWindow="480" windowWidth="28800" windowHeight="16260" activeTab="3" xr2:uid="{00000000-000D-0000-FFFF-FFFF00000000}"/>
  </bookViews>
  <sheets>
    <sheet name="2019 Profit and Loss" sheetId="1" state="hidden" r:id="rId1"/>
    <sheet name="2020 Budget" sheetId="3" r:id="rId2"/>
    <sheet name="Mid-Year" sheetId="6" r:id="rId3"/>
    <sheet name="2020 Reforcasted" sheetId="8" r:id="rId4"/>
    <sheet name="2020 Teacher Training Budget" sheetId="5" state="hidden" r:id="rId5"/>
    <sheet name="2020 Assumptions" sheetId="4" r:id="rId6"/>
  </sheets>
  <externalReferences>
    <externalReference r:id="rId7"/>
  </externalReferences>
  <definedNames>
    <definedName name="_xlnm.Print_Area" localSheetId="0">'2019 Profit and Loss'!$A$1:$E$41</definedName>
  </definedNames>
  <calcPr calcId="162913" concurrentCalc="0"/>
</workbook>
</file>

<file path=xl/calcChain.xml><?xml version="1.0" encoding="utf-8"?>
<calcChain xmlns="http://schemas.openxmlformats.org/spreadsheetml/2006/main">
  <c r="Q28" i="8" l="1"/>
  <c r="N44" i="8"/>
  <c r="M44" i="8"/>
  <c r="L44" i="8"/>
  <c r="K44" i="8"/>
  <c r="J44" i="8"/>
  <c r="I44" i="8"/>
  <c r="H44" i="8"/>
  <c r="M43" i="8"/>
  <c r="L43" i="8"/>
  <c r="K43" i="8"/>
  <c r="J43" i="8"/>
  <c r="I43" i="8"/>
  <c r="H43" i="8"/>
  <c r="N43" i="8"/>
  <c r="N42" i="8"/>
  <c r="M42" i="8"/>
  <c r="L42" i="8"/>
  <c r="K42" i="8"/>
  <c r="J42" i="8"/>
  <c r="I42" i="8"/>
  <c r="H42" i="8"/>
  <c r="N33" i="8"/>
  <c r="M41" i="8"/>
  <c r="L41" i="8"/>
  <c r="K41" i="8"/>
  <c r="J41" i="8"/>
  <c r="I41" i="8"/>
  <c r="H41" i="8"/>
  <c r="N41" i="8"/>
  <c r="N40" i="8"/>
  <c r="N39" i="8"/>
  <c r="N38" i="8"/>
  <c r="N37" i="8"/>
  <c r="N36" i="8"/>
  <c r="N35" i="8"/>
  <c r="N34" i="8"/>
  <c r="M33" i="8"/>
  <c r="L33" i="8"/>
  <c r="K33" i="8"/>
  <c r="J33" i="8"/>
  <c r="I33" i="8"/>
  <c r="H33" i="8"/>
  <c r="I32" i="8"/>
  <c r="H32" i="8"/>
  <c r="M21" i="8"/>
  <c r="L21" i="8"/>
  <c r="K21" i="8"/>
  <c r="J21" i="8"/>
  <c r="I21" i="8"/>
  <c r="H21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M16" i="8"/>
  <c r="L16" i="8"/>
  <c r="K16" i="8"/>
  <c r="J16" i="8"/>
  <c r="I16" i="8"/>
  <c r="H16" i="8"/>
  <c r="M15" i="8"/>
  <c r="L15" i="8"/>
  <c r="K15" i="8"/>
  <c r="J15" i="8"/>
  <c r="I15" i="8"/>
  <c r="H15" i="8"/>
  <c r="N15" i="8"/>
  <c r="N16" i="8"/>
  <c r="N14" i="8"/>
  <c r="N13" i="8"/>
  <c r="N12" i="8"/>
  <c r="N11" i="8"/>
  <c r="N10" i="8"/>
  <c r="N9" i="8"/>
  <c r="N8" i="8"/>
  <c r="N7" i="8"/>
  <c r="N6" i="8"/>
  <c r="B14" i="8"/>
  <c r="C14" i="8"/>
  <c r="E18" i="8"/>
  <c r="C19" i="8"/>
  <c r="D19" i="8"/>
  <c r="B20" i="8"/>
  <c r="C20" i="8"/>
  <c r="D20" i="8"/>
  <c r="E20" i="8"/>
  <c r="F20" i="8"/>
  <c r="G20" i="8"/>
  <c r="B21" i="8"/>
  <c r="C21" i="8"/>
  <c r="D21" i="8"/>
  <c r="E21" i="8"/>
  <c r="F21" i="8"/>
  <c r="G21" i="8"/>
  <c r="B22" i="8"/>
  <c r="C22" i="8"/>
  <c r="D22" i="8"/>
  <c r="E22" i="8"/>
  <c r="F22" i="8"/>
  <c r="G22" i="8"/>
  <c r="B23" i="8"/>
  <c r="C23" i="8"/>
  <c r="D23" i="8"/>
  <c r="E23" i="8"/>
  <c r="F23" i="8"/>
  <c r="G23" i="8"/>
  <c r="B24" i="8"/>
  <c r="C24" i="8"/>
  <c r="D24" i="8"/>
  <c r="E24" i="8"/>
  <c r="F24" i="8"/>
  <c r="G24" i="8"/>
  <c r="B25" i="8"/>
  <c r="C25" i="8"/>
  <c r="D25" i="8"/>
  <c r="B26" i="8"/>
  <c r="C26" i="8"/>
  <c r="B27" i="8"/>
  <c r="C27" i="8"/>
  <c r="D27" i="8"/>
  <c r="E27" i="8"/>
  <c r="F27" i="8"/>
  <c r="G27" i="8"/>
  <c r="B28" i="8"/>
  <c r="C28" i="8"/>
  <c r="D28" i="8"/>
  <c r="E28" i="8"/>
  <c r="F28" i="8"/>
  <c r="G28" i="8"/>
  <c r="B29" i="8"/>
  <c r="C29" i="8"/>
  <c r="D29" i="8"/>
  <c r="E31" i="8"/>
  <c r="F31" i="8"/>
  <c r="G31" i="8"/>
  <c r="E32" i="8"/>
  <c r="F32" i="8"/>
  <c r="G32" i="8"/>
  <c r="G34" i="8"/>
  <c r="B35" i="8"/>
  <c r="C35" i="8"/>
  <c r="D35" i="8"/>
  <c r="C36" i="8"/>
  <c r="D36" i="8"/>
  <c r="B37" i="8"/>
  <c r="C38" i="8"/>
  <c r="B39" i="8"/>
  <c r="C39" i="8"/>
  <c r="E39" i="8"/>
  <c r="F39" i="8"/>
  <c r="B40" i="8"/>
  <c r="C40" i="8"/>
  <c r="D40" i="8"/>
  <c r="E40" i="8"/>
  <c r="B41" i="8"/>
  <c r="C41" i="8"/>
  <c r="E41" i="8"/>
  <c r="G41" i="8"/>
  <c r="B6" i="8"/>
  <c r="B7" i="8"/>
  <c r="B8" i="8"/>
  <c r="B9" i="8"/>
  <c r="B10" i="8"/>
  <c r="B11" i="8"/>
  <c r="B12" i="8"/>
  <c r="B13" i="8"/>
  <c r="B15" i="8"/>
  <c r="B16" i="8"/>
  <c r="B33" i="8"/>
  <c r="B42" i="8"/>
  <c r="B43" i="8"/>
  <c r="B44" i="8"/>
  <c r="C6" i="8"/>
  <c r="C7" i="8"/>
  <c r="C8" i="8"/>
  <c r="C9" i="8"/>
  <c r="C10" i="8"/>
  <c r="C11" i="8"/>
  <c r="C12" i="8"/>
  <c r="C13" i="8"/>
  <c r="C15" i="8"/>
  <c r="C16" i="8"/>
  <c r="C33" i="8"/>
  <c r="C42" i="8"/>
  <c r="C43" i="8"/>
  <c r="C44" i="8"/>
  <c r="D6" i="8"/>
  <c r="D7" i="8"/>
  <c r="D8" i="8"/>
  <c r="D9" i="8"/>
  <c r="D10" i="8"/>
  <c r="D11" i="8"/>
  <c r="D12" i="8"/>
  <c r="D13" i="8"/>
  <c r="D15" i="8"/>
  <c r="D16" i="8"/>
  <c r="D33" i="8"/>
  <c r="D42" i="8"/>
  <c r="D43" i="8"/>
  <c r="D44" i="8"/>
  <c r="E6" i="8"/>
  <c r="E7" i="8"/>
  <c r="E8" i="8"/>
  <c r="E10" i="8"/>
  <c r="E12" i="8"/>
  <c r="E15" i="8"/>
  <c r="E16" i="8"/>
  <c r="E33" i="8"/>
  <c r="E42" i="8"/>
  <c r="E43" i="8"/>
  <c r="E44" i="8"/>
  <c r="F6" i="8"/>
  <c r="F10" i="8"/>
  <c r="F12" i="8"/>
  <c r="F15" i="8"/>
  <c r="F16" i="8"/>
  <c r="F33" i="8"/>
  <c r="F42" i="8"/>
  <c r="F43" i="8"/>
  <c r="F44" i="8"/>
  <c r="G6" i="8"/>
  <c r="G7" i="8"/>
  <c r="G8" i="8"/>
  <c r="G10" i="8"/>
  <c r="G11" i="8"/>
  <c r="G12" i="8"/>
  <c r="G13" i="8"/>
  <c r="G15" i="8"/>
  <c r="G16" i="8"/>
  <c r="G33" i="8"/>
  <c r="G42" i="8"/>
  <c r="G43" i="8"/>
  <c r="G44" i="8"/>
  <c r="B15" i="6"/>
  <c r="C15" i="6"/>
  <c r="H15" i="6"/>
  <c r="B12" i="3"/>
  <c r="C12" i="3"/>
  <c r="D12" i="3"/>
  <c r="E12" i="3"/>
  <c r="F12" i="3"/>
  <c r="G12" i="3"/>
  <c r="I15" i="6"/>
  <c r="J15" i="6"/>
  <c r="J16" i="6"/>
  <c r="J17" i="6"/>
  <c r="E19" i="6"/>
  <c r="H19" i="6"/>
  <c r="J19" i="6"/>
  <c r="C20" i="6"/>
  <c r="D20" i="6"/>
  <c r="H20" i="6"/>
  <c r="C17" i="3"/>
  <c r="I20" i="6"/>
  <c r="J20" i="6"/>
  <c r="B21" i="6"/>
  <c r="C21" i="6"/>
  <c r="D21" i="6"/>
  <c r="E21" i="6"/>
  <c r="F21" i="6"/>
  <c r="G21" i="6"/>
  <c r="H21" i="6"/>
  <c r="B18" i="3"/>
  <c r="C18" i="3"/>
  <c r="D18" i="3"/>
  <c r="E18" i="3"/>
  <c r="F18" i="3"/>
  <c r="G18" i="3"/>
  <c r="I21" i="6"/>
  <c r="J21" i="6"/>
  <c r="B22" i="6"/>
  <c r="C22" i="6"/>
  <c r="D22" i="6"/>
  <c r="E22" i="6"/>
  <c r="F22" i="6"/>
  <c r="G22" i="6"/>
  <c r="H22" i="6"/>
  <c r="B21" i="3"/>
  <c r="C21" i="3"/>
  <c r="D21" i="3"/>
  <c r="E21" i="3"/>
  <c r="F21" i="3"/>
  <c r="G21" i="3"/>
  <c r="I22" i="6"/>
  <c r="J22" i="6"/>
  <c r="B23" i="6"/>
  <c r="C23" i="6"/>
  <c r="D23" i="6"/>
  <c r="E23" i="6"/>
  <c r="F23" i="6"/>
  <c r="G23" i="6"/>
  <c r="H23" i="6"/>
  <c r="B22" i="3"/>
  <c r="C22" i="3"/>
  <c r="D22" i="3"/>
  <c r="E22" i="3"/>
  <c r="F22" i="3"/>
  <c r="G22" i="3"/>
  <c r="I23" i="6"/>
  <c r="J23" i="6"/>
  <c r="B24" i="6"/>
  <c r="C24" i="6"/>
  <c r="D24" i="6"/>
  <c r="E24" i="6"/>
  <c r="F24" i="6"/>
  <c r="G24" i="6"/>
  <c r="H24" i="6"/>
  <c r="B5" i="3"/>
  <c r="B23" i="3"/>
  <c r="C5" i="3"/>
  <c r="C23" i="3"/>
  <c r="D5" i="3"/>
  <c r="D23" i="3"/>
  <c r="E5" i="3"/>
  <c r="E23" i="3"/>
  <c r="F5" i="3"/>
  <c r="F23" i="3"/>
  <c r="G5" i="3"/>
  <c r="G23" i="3"/>
  <c r="I24" i="6"/>
  <c r="J24" i="6"/>
  <c r="B25" i="6"/>
  <c r="C25" i="6"/>
  <c r="D25" i="6"/>
  <c r="E25" i="6"/>
  <c r="F25" i="6"/>
  <c r="G25" i="6"/>
  <c r="H25" i="6"/>
  <c r="B24" i="3"/>
  <c r="C24" i="3"/>
  <c r="D24" i="3"/>
  <c r="E24" i="3"/>
  <c r="F24" i="3"/>
  <c r="G24" i="3"/>
  <c r="I25" i="6"/>
  <c r="J25" i="6"/>
  <c r="B26" i="6"/>
  <c r="C26" i="6"/>
  <c r="D26" i="6"/>
  <c r="H26" i="6"/>
  <c r="B25" i="3"/>
  <c r="C25" i="3"/>
  <c r="D25" i="3"/>
  <c r="E25" i="3"/>
  <c r="F25" i="3"/>
  <c r="G25" i="3"/>
  <c r="I26" i="6"/>
  <c r="J26" i="6"/>
  <c r="B27" i="6"/>
  <c r="C27" i="6"/>
  <c r="H27" i="6"/>
  <c r="B9" i="3"/>
  <c r="B26" i="3"/>
  <c r="C9" i="3"/>
  <c r="C26" i="3"/>
  <c r="D9" i="3"/>
  <c r="D26" i="3"/>
  <c r="E9" i="3"/>
  <c r="E26" i="3"/>
  <c r="F9" i="3"/>
  <c r="F26" i="3"/>
  <c r="G9" i="3"/>
  <c r="G26" i="3"/>
  <c r="I27" i="6"/>
  <c r="J27" i="6"/>
  <c r="B28" i="6"/>
  <c r="C28" i="6"/>
  <c r="D28" i="6"/>
  <c r="E28" i="6"/>
  <c r="F28" i="6"/>
  <c r="G28" i="6"/>
  <c r="H28" i="6"/>
  <c r="B3" i="3"/>
  <c r="B27" i="3"/>
  <c r="C3" i="3"/>
  <c r="C27" i="3"/>
  <c r="D3" i="3"/>
  <c r="D27" i="3"/>
  <c r="E3" i="3"/>
  <c r="E27" i="3"/>
  <c r="F3" i="3"/>
  <c r="F27" i="3"/>
  <c r="G3" i="3"/>
  <c r="G27" i="3"/>
  <c r="I28" i="6"/>
  <c r="J28" i="6"/>
  <c r="B29" i="6"/>
  <c r="C29" i="6"/>
  <c r="D29" i="6"/>
  <c r="E29" i="6"/>
  <c r="F29" i="6"/>
  <c r="G29" i="6"/>
  <c r="H29" i="6"/>
  <c r="B28" i="3"/>
  <c r="C28" i="3"/>
  <c r="D28" i="3"/>
  <c r="E28" i="3"/>
  <c r="F28" i="3"/>
  <c r="G28" i="3"/>
  <c r="I29" i="6"/>
  <c r="J29" i="6"/>
  <c r="B30" i="6"/>
  <c r="C30" i="6"/>
  <c r="D30" i="6"/>
  <c r="H30" i="6"/>
  <c r="B29" i="3"/>
  <c r="C29" i="3"/>
  <c r="D29" i="3"/>
  <c r="E29" i="3"/>
  <c r="F29" i="3"/>
  <c r="G29" i="3"/>
  <c r="I30" i="6"/>
  <c r="J30" i="6"/>
  <c r="J31" i="6"/>
  <c r="E32" i="6"/>
  <c r="F32" i="6"/>
  <c r="G32" i="6"/>
  <c r="H32" i="6"/>
  <c r="B19" i="3"/>
  <c r="C19" i="3"/>
  <c r="D19" i="3"/>
  <c r="E19" i="3"/>
  <c r="F19" i="3"/>
  <c r="G19" i="3"/>
  <c r="I32" i="6"/>
  <c r="J32" i="6"/>
  <c r="E33" i="6"/>
  <c r="F33" i="6"/>
  <c r="G33" i="6"/>
  <c r="H33" i="6"/>
  <c r="B20" i="3"/>
  <c r="C20" i="3"/>
  <c r="D20" i="3"/>
  <c r="E20" i="3"/>
  <c r="F20" i="3"/>
  <c r="G20" i="3"/>
  <c r="I33" i="6"/>
  <c r="J33" i="6"/>
  <c r="G35" i="6"/>
  <c r="H35" i="6"/>
  <c r="I35" i="6"/>
  <c r="J35" i="6"/>
  <c r="B36" i="6"/>
  <c r="C36" i="6"/>
  <c r="D36" i="6"/>
  <c r="H36" i="6"/>
  <c r="B31" i="3"/>
  <c r="C31" i="3"/>
  <c r="D31" i="3"/>
  <c r="E31" i="3"/>
  <c r="F31" i="3"/>
  <c r="G31" i="3"/>
  <c r="I36" i="6"/>
  <c r="J36" i="6"/>
  <c r="C37" i="6"/>
  <c r="D37" i="6"/>
  <c r="H37" i="6"/>
  <c r="J37" i="6"/>
  <c r="B38" i="6"/>
  <c r="H38" i="6"/>
  <c r="B32" i="3"/>
  <c r="C32" i="3"/>
  <c r="D32" i="3"/>
  <c r="E32" i="3"/>
  <c r="F32" i="3"/>
  <c r="G32" i="3"/>
  <c r="I38" i="6"/>
  <c r="J38" i="6"/>
  <c r="C39" i="6"/>
  <c r="H39" i="6"/>
  <c r="J39" i="6"/>
  <c r="B40" i="6"/>
  <c r="C40" i="6"/>
  <c r="E40" i="6"/>
  <c r="F40" i="6"/>
  <c r="H40" i="6"/>
  <c r="G33" i="3"/>
  <c r="I40" i="6"/>
  <c r="J40" i="6"/>
  <c r="B41" i="6"/>
  <c r="C41" i="6"/>
  <c r="D41" i="6"/>
  <c r="E41" i="6"/>
  <c r="H41" i="6"/>
  <c r="B34" i="3"/>
  <c r="C34" i="3"/>
  <c r="D34" i="3"/>
  <c r="E34" i="3"/>
  <c r="F34" i="3"/>
  <c r="G34" i="3"/>
  <c r="I41" i="6"/>
  <c r="J41" i="6"/>
  <c r="B42" i="6"/>
  <c r="C42" i="6"/>
  <c r="E42" i="6"/>
  <c r="G42" i="6"/>
  <c r="H42" i="6"/>
  <c r="B35" i="3"/>
  <c r="C35" i="3"/>
  <c r="D35" i="3"/>
  <c r="E35" i="3"/>
  <c r="F35" i="3"/>
  <c r="G35" i="3"/>
  <c r="I42" i="6"/>
  <c r="J42" i="6"/>
  <c r="J43" i="6"/>
  <c r="J44" i="6"/>
  <c r="J45" i="6"/>
  <c r="B34" i="6"/>
  <c r="C34" i="6"/>
  <c r="D34" i="6"/>
  <c r="E34" i="6"/>
  <c r="F34" i="6"/>
  <c r="G34" i="6"/>
  <c r="H34" i="6"/>
  <c r="I34" i="6"/>
  <c r="J34" i="6"/>
  <c r="I7" i="6"/>
  <c r="B4" i="3"/>
  <c r="C4" i="3"/>
  <c r="D4" i="3"/>
  <c r="E4" i="3"/>
  <c r="F4" i="3"/>
  <c r="G4" i="3"/>
  <c r="I8" i="6"/>
  <c r="I9" i="6"/>
  <c r="C6" i="3"/>
  <c r="I10" i="6"/>
  <c r="B8" i="3"/>
  <c r="C8" i="3"/>
  <c r="D8" i="3"/>
  <c r="E8" i="3"/>
  <c r="F8" i="3"/>
  <c r="G8" i="3"/>
  <c r="I11" i="6"/>
  <c r="I12" i="6"/>
  <c r="B10" i="3"/>
  <c r="C10" i="3"/>
  <c r="D10" i="3"/>
  <c r="E10" i="3"/>
  <c r="F10" i="3"/>
  <c r="G10" i="3"/>
  <c r="I13" i="6"/>
  <c r="B11" i="3"/>
  <c r="C11" i="3"/>
  <c r="D11" i="3"/>
  <c r="E11" i="3"/>
  <c r="F11" i="3"/>
  <c r="G11" i="3"/>
  <c r="I14" i="6"/>
  <c r="I16" i="6"/>
  <c r="I17" i="6"/>
  <c r="I43" i="6"/>
  <c r="I44" i="6"/>
  <c r="I45" i="6"/>
  <c r="B14" i="6"/>
  <c r="C14" i="6"/>
  <c r="D14" i="6"/>
  <c r="G14" i="6"/>
  <c r="H14" i="6"/>
  <c r="J14" i="6"/>
  <c r="B13" i="6"/>
  <c r="C13" i="6"/>
  <c r="D13" i="6"/>
  <c r="E13" i="6"/>
  <c r="F13" i="6"/>
  <c r="G13" i="6"/>
  <c r="H13" i="6"/>
  <c r="J13" i="6"/>
  <c r="B12" i="6"/>
  <c r="C12" i="6"/>
  <c r="D12" i="6"/>
  <c r="G12" i="6"/>
  <c r="H12" i="6"/>
  <c r="J12" i="6"/>
  <c r="B11" i="6"/>
  <c r="C11" i="6"/>
  <c r="D11" i="6"/>
  <c r="E11" i="6"/>
  <c r="F11" i="6"/>
  <c r="G11" i="6"/>
  <c r="H11" i="6"/>
  <c r="J11" i="6"/>
  <c r="B10" i="6"/>
  <c r="C10" i="6"/>
  <c r="D10" i="6"/>
  <c r="H10" i="6"/>
  <c r="J10" i="6"/>
  <c r="B9" i="6"/>
  <c r="C9" i="6"/>
  <c r="D9" i="6"/>
  <c r="E9" i="6"/>
  <c r="G9" i="6"/>
  <c r="H9" i="6"/>
  <c r="J9" i="6"/>
  <c r="B8" i="6"/>
  <c r="C8" i="6"/>
  <c r="D8" i="6"/>
  <c r="E8" i="6"/>
  <c r="G8" i="6"/>
  <c r="H8" i="6"/>
  <c r="J8" i="6"/>
  <c r="B7" i="6"/>
  <c r="C7" i="6"/>
  <c r="D7" i="6"/>
  <c r="E7" i="6"/>
  <c r="F7" i="6"/>
  <c r="G7" i="6"/>
  <c r="H7" i="6"/>
  <c r="J7" i="6"/>
  <c r="B16" i="6"/>
  <c r="C16" i="6"/>
  <c r="D16" i="6"/>
  <c r="E16" i="6"/>
  <c r="F16" i="6"/>
  <c r="G16" i="6"/>
  <c r="H16" i="6"/>
  <c r="H17" i="6"/>
  <c r="B17" i="6"/>
  <c r="B43" i="6"/>
  <c r="B44" i="6"/>
  <c r="B45" i="6"/>
  <c r="C17" i="6"/>
  <c r="C43" i="6"/>
  <c r="C44" i="6"/>
  <c r="C45" i="6"/>
  <c r="D17" i="6"/>
  <c r="D43" i="6"/>
  <c r="D44" i="6"/>
  <c r="D45" i="6"/>
  <c r="E17" i="6"/>
  <c r="E43" i="6"/>
  <c r="E44" i="6"/>
  <c r="E45" i="6"/>
  <c r="F17" i="6"/>
  <c r="F43" i="6"/>
  <c r="F44" i="6"/>
  <c r="F45" i="6"/>
  <c r="G17" i="6"/>
  <c r="G43" i="6"/>
  <c r="G44" i="6"/>
  <c r="G45" i="6"/>
  <c r="H45" i="6"/>
  <c r="H44" i="6"/>
  <c r="H43" i="6"/>
  <c r="J17" i="3"/>
  <c r="N17" i="3"/>
  <c r="G22" i="5"/>
  <c r="G30" i="3"/>
  <c r="N30" i="3"/>
  <c r="G24" i="5"/>
  <c r="N33" i="3"/>
  <c r="B23" i="5"/>
  <c r="C23" i="5"/>
  <c r="D23" i="5"/>
  <c r="E23" i="5"/>
  <c r="F23" i="5"/>
  <c r="G23" i="5"/>
  <c r="H23" i="5"/>
  <c r="H34" i="3"/>
  <c r="I23" i="5"/>
  <c r="I34" i="3"/>
  <c r="J23" i="5"/>
  <c r="J34" i="3"/>
  <c r="K23" i="5"/>
  <c r="K34" i="3"/>
  <c r="L23" i="5"/>
  <c r="L34" i="3"/>
  <c r="M23" i="5"/>
  <c r="M34" i="3"/>
  <c r="N34" i="3"/>
  <c r="M21" i="5"/>
  <c r="M25" i="3"/>
  <c r="L21" i="5"/>
  <c r="L25" i="3"/>
  <c r="K21" i="5"/>
  <c r="K25" i="3"/>
  <c r="J21" i="5"/>
  <c r="J25" i="3"/>
  <c r="I21" i="5"/>
  <c r="I25" i="3"/>
  <c r="H21" i="5"/>
  <c r="H25" i="3"/>
  <c r="G21" i="5"/>
  <c r="F21" i="5"/>
  <c r="E21" i="5"/>
  <c r="D21" i="5"/>
  <c r="C21" i="5"/>
  <c r="B21" i="5"/>
  <c r="B20" i="5"/>
  <c r="G19" i="5"/>
  <c r="B18" i="5"/>
  <c r="C18" i="5"/>
  <c r="D18" i="5"/>
  <c r="G18" i="5"/>
  <c r="H18" i="5"/>
  <c r="H32" i="3"/>
  <c r="I18" i="5"/>
  <c r="I32" i="3"/>
  <c r="J18" i="5"/>
  <c r="J32" i="3"/>
  <c r="K18" i="5"/>
  <c r="K32" i="3"/>
  <c r="L18" i="5"/>
  <c r="L32" i="3"/>
  <c r="M32" i="3"/>
  <c r="N32" i="3"/>
  <c r="M28" i="3"/>
  <c r="L28" i="3"/>
  <c r="K28" i="3"/>
  <c r="J28" i="3"/>
  <c r="I28" i="3"/>
  <c r="H28" i="3"/>
  <c r="M18" i="3"/>
  <c r="L18" i="3"/>
  <c r="K18" i="3"/>
  <c r="J18" i="3"/>
  <c r="I18" i="3"/>
  <c r="H18" i="3"/>
  <c r="H5" i="3"/>
  <c r="H23" i="3"/>
  <c r="I5" i="3"/>
  <c r="I23" i="3"/>
  <c r="J5" i="3"/>
  <c r="J23" i="3"/>
  <c r="K5" i="3"/>
  <c r="K23" i="3"/>
  <c r="L5" i="3"/>
  <c r="L23" i="3"/>
  <c r="M5" i="3"/>
  <c r="M23" i="3"/>
  <c r="N23" i="3"/>
  <c r="R43" i="4"/>
  <c r="Q43" i="4"/>
  <c r="B15" i="5"/>
  <c r="C15" i="5"/>
  <c r="D15" i="5"/>
  <c r="E15" i="5"/>
  <c r="F15" i="5"/>
  <c r="G15" i="5"/>
  <c r="H15" i="5"/>
  <c r="H20" i="3"/>
  <c r="I15" i="5"/>
  <c r="I20" i="3"/>
  <c r="J15" i="5"/>
  <c r="J20" i="3"/>
  <c r="K15" i="5"/>
  <c r="K20" i="3"/>
  <c r="L15" i="5"/>
  <c r="L20" i="3"/>
  <c r="M15" i="5"/>
  <c r="M20" i="3"/>
  <c r="N20" i="3"/>
  <c r="Q42" i="4"/>
  <c r="B14" i="5"/>
  <c r="C14" i="5"/>
  <c r="D14" i="5"/>
  <c r="E14" i="5"/>
  <c r="F14" i="5"/>
  <c r="G14" i="5"/>
  <c r="H14" i="5"/>
  <c r="H19" i="3"/>
  <c r="I14" i="5"/>
  <c r="I19" i="3"/>
  <c r="J14" i="5"/>
  <c r="J19" i="3"/>
  <c r="K14" i="5"/>
  <c r="K19" i="3"/>
  <c r="L14" i="5"/>
  <c r="L19" i="3"/>
  <c r="M14" i="5"/>
  <c r="M19" i="3"/>
  <c r="N19" i="3"/>
  <c r="Q41" i="4"/>
  <c r="B13" i="5"/>
  <c r="M16" i="3"/>
  <c r="L16" i="3"/>
  <c r="K16" i="3"/>
  <c r="J16" i="3"/>
  <c r="I16" i="3"/>
  <c r="H16" i="3"/>
  <c r="G16" i="3"/>
  <c r="F16" i="3"/>
  <c r="E16" i="3"/>
  <c r="D16" i="3"/>
  <c r="C16" i="3"/>
  <c r="B16" i="3"/>
  <c r="B4" i="5"/>
  <c r="B5" i="5"/>
  <c r="B6" i="5"/>
  <c r="B10" i="5"/>
  <c r="B11" i="5"/>
  <c r="C4" i="5"/>
  <c r="C5" i="5"/>
  <c r="C6" i="5"/>
  <c r="C10" i="5"/>
  <c r="C11" i="5"/>
  <c r="D5" i="5"/>
  <c r="D10" i="5"/>
  <c r="D11" i="5"/>
  <c r="G7" i="5"/>
  <c r="G8" i="5"/>
  <c r="G10" i="5"/>
  <c r="G11" i="5"/>
  <c r="H7" i="5"/>
  <c r="H8" i="5"/>
  <c r="H9" i="5"/>
  <c r="H10" i="5"/>
  <c r="H11" i="5"/>
  <c r="H10" i="3"/>
  <c r="I8" i="5"/>
  <c r="I9" i="5"/>
  <c r="I10" i="5"/>
  <c r="I11" i="5"/>
  <c r="I10" i="3"/>
  <c r="J8" i="5"/>
  <c r="J9" i="5"/>
  <c r="J10" i="5"/>
  <c r="J11" i="5"/>
  <c r="J10" i="3"/>
  <c r="K8" i="5"/>
  <c r="K10" i="5"/>
  <c r="K11" i="5"/>
  <c r="K10" i="3"/>
  <c r="L8" i="5"/>
  <c r="L10" i="5"/>
  <c r="L11" i="5"/>
  <c r="L10" i="3"/>
  <c r="M10" i="3"/>
  <c r="N10" i="3"/>
  <c r="Q45" i="4"/>
  <c r="M17" i="5"/>
  <c r="L17" i="5"/>
  <c r="K17" i="5"/>
  <c r="J17" i="5"/>
  <c r="I17" i="5"/>
  <c r="H17" i="5"/>
  <c r="G17" i="5"/>
  <c r="F17" i="5"/>
  <c r="E17" i="5"/>
  <c r="D17" i="5"/>
  <c r="C17" i="5"/>
  <c r="B17" i="5"/>
  <c r="Q44" i="4"/>
  <c r="M16" i="5"/>
  <c r="L16" i="5"/>
  <c r="K16" i="5"/>
  <c r="J16" i="5"/>
  <c r="I16" i="5"/>
  <c r="H16" i="5"/>
  <c r="G16" i="5"/>
  <c r="F16" i="5"/>
  <c r="E16" i="5"/>
  <c r="D16" i="5"/>
  <c r="C16" i="5"/>
  <c r="B16" i="5"/>
  <c r="M13" i="5"/>
  <c r="L13" i="5"/>
  <c r="K13" i="5"/>
  <c r="J13" i="5"/>
  <c r="I13" i="5"/>
  <c r="H13" i="5"/>
  <c r="G13" i="5"/>
  <c r="F13" i="5"/>
  <c r="E13" i="5"/>
  <c r="D13" i="5"/>
  <c r="C13" i="5"/>
  <c r="N4" i="5"/>
  <c r="N5" i="5"/>
  <c r="N6" i="5"/>
  <c r="N7" i="5"/>
  <c r="N8" i="5"/>
  <c r="N9" i="5"/>
  <c r="N10" i="5"/>
  <c r="N11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M10" i="5"/>
  <c r="M11" i="5"/>
  <c r="M25" i="5"/>
  <c r="M26" i="5"/>
  <c r="M27" i="5"/>
  <c r="L25" i="5"/>
  <c r="L26" i="5"/>
  <c r="L27" i="5"/>
  <c r="K25" i="5"/>
  <c r="K26" i="5"/>
  <c r="K27" i="5"/>
  <c r="J25" i="5"/>
  <c r="J26" i="5"/>
  <c r="J27" i="5"/>
  <c r="I25" i="5"/>
  <c r="I26" i="5"/>
  <c r="I27" i="5"/>
  <c r="H25" i="5"/>
  <c r="H26" i="5"/>
  <c r="H27" i="5"/>
  <c r="G25" i="5"/>
  <c r="G26" i="5"/>
  <c r="G27" i="5"/>
  <c r="F10" i="5"/>
  <c r="F11" i="5"/>
  <c r="F25" i="5"/>
  <c r="F26" i="5"/>
  <c r="F27" i="5"/>
  <c r="E10" i="5"/>
  <c r="E11" i="5"/>
  <c r="E25" i="5"/>
  <c r="E26" i="5"/>
  <c r="E27" i="5"/>
  <c r="D25" i="5"/>
  <c r="D26" i="5"/>
  <c r="D27" i="5"/>
  <c r="C25" i="5"/>
  <c r="C26" i="5"/>
  <c r="C27" i="5"/>
  <c r="B25" i="5"/>
  <c r="B26" i="5"/>
  <c r="B27" i="5"/>
  <c r="Q60" i="4"/>
  <c r="Q58" i="4"/>
  <c r="R46" i="4"/>
  <c r="R21" i="4"/>
  <c r="R15" i="4"/>
  <c r="R11" i="4"/>
  <c r="R8" i="4"/>
  <c r="F58" i="4"/>
  <c r="K9" i="4"/>
  <c r="K48" i="4"/>
  <c r="L24" i="3"/>
  <c r="J6" i="3"/>
  <c r="F9" i="4"/>
  <c r="N6" i="3"/>
  <c r="H3" i="3"/>
  <c r="I3" i="3"/>
  <c r="J3" i="3"/>
  <c r="K3" i="3"/>
  <c r="L3" i="3"/>
  <c r="M3" i="3"/>
  <c r="N3" i="3"/>
  <c r="H4" i="3"/>
  <c r="I4" i="3"/>
  <c r="J4" i="3"/>
  <c r="K4" i="3"/>
  <c r="L4" i="3"/>
  <c r="M4" i="3"/>
  <c r="N4" i="3"/>
  <c r="N5" i="3"/>
  <c r="H8" i="3"/>
  <c r="I8" i="3"/>
  <c r="J8" i="3"/>
  <c r="K8" i="3"/>
  <c r="L8" i="3"/>
  <c r="M8" i="3"/>
  <c r="N8" i="3"/>
  <c r="F19" i="4"/>
  <c r="F20" i="4"/>
  <c r="F21" i="4"/>
  <c r="K19" i="4"/>
  <c r="H9" i="3"/>
  <c r="I9" i="3"/>
  <c r="J9" i="3"/>
  <c r="K9" i="3"/>
  <c r="L9" i="3"/>
  <c r="M9" i="3"/>
  <c r="N9" i="3"/>
  <c r="H11" i="3"/>
  <c r="I11" i="3"/>
  <c r="J11" i="3"/>
  <c r="K11" i="3"/>
  <c r="L11" i="3"/>
  <c r="M11" i="3"/>
  <c r="N11" i="3"/>
  <c r="H12" i="3"/>
  <c r="I12" i="3"/>
  <c r="J12" i="3"/>
  <c r="K12" i="3"/>
  <c r="L12" i="3"/>
  <c r="M12" i="3"/>
  <c r="N12" i="3"/>
  <c r="N13" i="3"/>
  <c r="N14" i="3"/>
  <c r="N16" i="3"/>
  <c r="F35" i="4"/>
  <c r="K31" i="4"/>
  <c r="E31" i="4"/>
  <c r="F30" i="4"/>
  <c r="K32" i="4"/>
  <c r="F40" i="4"/>
  <c r="K33" i="4"/>
  <c r="F46" i="4"/>
  <c r="K34" i="4"/>
  <c r="K35" i="4"/>
  <c r="F50" i="4"/>
  <c r="K36" i="4"/>
  <c r="L30" i="4"/>
  <c r="N18" i="3"/>
  <c r="H21" i="3"/>
  <c r="I21" i="3"/>
  <c r="J21" i="3"/>
  <c r="K21" i="3"/>
  <c r="L21" i="3"/>
  <c r="M21" i="3"/>
  <c r="N21" i="3"/>
  <c r="H22" i="3"/>
  <c r="I22" i="3"/>
  <c r="J22" i="3"/>
  <c r="K22" i="3"/>
  <c r="L22" i="3"/>
  <c r="M22" i="3"/>
  <c r="N22" i="3"/>
  <c r="H24" i="3"/>
  <c r="I24" i="3"/>
  <c r="J24" i="3"/>
  <c r="K24" i="3"/>
  <c r="M24" i="3"/>
  <c r="N24" i="3"/>
  <c r="N25" i="3"/>
  <c r="H26" i="3"/>
  <c r="I26" i="3"/>
  <c r="J26" i="3"/>
  <c r="K26" i="3"/>
  <c r="L26" i="3"/>
  <c r="M26" i="3"/>
  <c r="N26" i="3"/>
  <c r="H27" i="3"/>
  <c r="I27" i="3"/>
  <c r="J27" i="3"/>
  <c r="K27" i="3"/>
  <c r="L27" i="3"/>
  <c r="M27" i="3"/>
  <c r="N27" i="3"/>
  <c r="L39" i="4"/>
  <c r="N28" i="3"/>
  <c r="H29" i="3"/>
  <c r="I29" i="3"/>
  <c r="J29" i="3"/>
  <c r="K29" i="3"/>
  <c r="L29" i="3"/>
  <c r="M29" i="3"/>
  <c r="N29" i="3"/>
  <c r="H31" i="3"/>
  <c r="I31" i="3"/>
  <c r="J31" i="3"/>
  <c r="K31" i="3"/>
  <c r="L31" i="3"/>
  <c r="M31" i="3"/>
  <c r="N31" i="3"/>
  <c r="H35" i="3"/>
  <c r="I35" i="3"/>
  <c r="J35" i="3"/>
  <c r="K35" i="3"/>
  <c r="L35" i="3"/>
  <c r="M35" i="3"/>
  <c r="N35" i="3"/>
  <c r="N36" i="3"/>
  <c r="N37" i="3"/>
  <c r="N38" i="3"/>
  <c r="M13" i="3"/>
  <c r="M14" i="3"/>
  <c r="M36" i="3"/>
  <c r="M37" i="3"/>
  <c r="M38" i="3"/>
  <c r="L13" i="3"/>
  <c r="L14" i="3"/>
  <c r="L36" i="3"/>
  <c r="L37" i="3"/>
  <c r="L38" i="3"/>
  <c r="K13" i="3"/>
  <c r="K14" i="3"/>
  <c r="K36" i="3"/>
  <c r="K37" i="3"/>
  <c r="K38" i="3"/>
  <c r="J13" i="3"/>
  <c r="J14" i="3"/>
  <c r="J36" i="3"/>
  <c r="J37" i="3"/>
  <c r="J38" i="3"/>
  <c r="I36" i="3"/>
  <c r="I13" i="3"/>
  <c r="I14" i="3"/>
  <c r="I37" i="3"/>
  <c r="I38" i="3"/>
  <c r="H13" i="3"/>
  <c r="H14" i="3"/>
  <c r="H36" i="3"/>
  <c r="H37" i="3"/>
  <c r="H38" i="3"/>
  <c r="G36" i="3"/>
  <c r="G13" i="3"/>
  <c r="G14" i="3"/>
  <c r="G37" i="3"/>
  <c r="G38" i="3"/>
  <c r="F13" i="3"/>
  <c r="F14" i="3"/>
  <c r="F36" i="3"/>
  <c r="F37" i="3"/>
  <c r="F38" i="3"/>
  <c r="E13" i="3"/>
  <c r="E14" i="3"/>
  <c r="E36" i="3"/>
  <c r="E37" i="3"/>
  <c r="E38" i="3"/>
  <c r="D13" i="3"/>
  <c r="D14" i="3"/>
  <c r="D36" i="3"/>
  <c r="D37" i="3"/>
  <c r="D38" i="3"/>
  <c r="C13" i="3"/>
  <c r="C14" i="3"/>
  <c r="C36" i="3"/>
  <c r="C37" i="3"/>
  <c r="C38" i="3"/>
  <c r="B36" i="3"/>
  <c r="B13" i="3"/>
  <c r="B14" i="3"/>
  <c r="B37" i="3"/>
  <c r="B38" i="3"/>
  <c r="L24" i="4"/>
  <c r="D20" i="4"/>
  <c r="D19" i="4"/>
  <c r="L11" i="4"/>
  <c r="L6" i="4"/>
  <c r="E16" i="1"/>
  <c r="E17" i="1"/>
  <c r="E40" i="1"/>
  <c r="C40" i="1"/>
  <c r="E39" i="1"/>
  <c r="C39" i="1"/>
  <c r="E38" i="1"/>
  <c r="E37" i="1"/>
  <c r="E36" i="1"/>
  <c r="E35" i="1"/>
  <c r="E34" i="1"/>
  <c r="E33" i="1"/>
  <c r="E32" i="1"/>
  <c r="E30" i="1"/>
  <c r="E28" i="1"/>
  <c r="E26" i="1"/>
  <c r="E25" i="1"/>
  <c r="E24" i="1"/>
  <c r="E23" i="1"/>
  <c r="E22" i="1"/>
  <c r="E19" i="1"/>
  <c r="D37" i="1"/>
  <c r="D35" i="1"/>
  <c r="D34" i="1"/>
  <c r="D33" i="1"/>
  <c r="D32" i="1"/>
  <c r="D31" i="1"/>
  <c r="D30" i="1"/>
  <c r="D29" i="1"/>
  <c r="D28" i="1"/>
  <c r="D27" i="1"/>
  <c r="C38" i="1"/>
  <c r="D25" i="1"/>
  <c r="D24" i="1"/>
  <c r="D22" i="1"/>
  <c r="D19" i="1"/>
  <c r="C17" i="1"/>
  <c r="C16" i="1"/>
  <c r="E15" i="1"/>
  <c r="E14" i="1"/>
  <c r="E13" i="1"/>
  <c r="E12" i="1"/>
  <c r="E11" i="1"/>
  <c r="E10" i="1"/>
  <c r="E9" i="1"/>
  <c r="E8" i="1"/>
  <c r="E6" i="1"/>
  <c r="E5" i="1"/>
  <c r="D15" i="1"/>
  <c r="D12" i="1"/>
  <c r="D8" i="1"/>
  <c r="D7" i="1"/>
  <c r="D6" i="1"/>
  <c r="D5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</calcChain>
</file>

<file path=xl/sharedStrings.xml><?xml version="1.0" encoding="utf-8"?>
<sst xmlns="http://schemas.openxmlformats.org/spreadsheetml/2006/main" count="370" uniqueCount="205">
  <si>
    <t>Total</t>
  </si>
  <si>
    <t>Income</t>
  </si>
  <si>
    <t xml:space="preserve">   Classes</t>
  </si>
  <si>
    <t xml:space="preserve">   Community Partnerships</t>
  </si>
  <si>
    <t xml:space="preserve">   Donations</t>
  </si>
  <si>
    <t xml:space="preserve">   Fundraising Events</t>
  </si>
  <si>
    <t xml:space="preserve">   Gift Cards</t>
  </si>
  <si>
    <t xml:space="preserve">   Interest Earned</t>
  </si>
  <si>
    <t xml:space="preserve">   Reimbursement</t>
  </si>
  <si>
    <t xml:space="preserve">   Sales of Product</t>
  </si>
  <si>
    <t xml:space="preserve">   Vendor Space</t>
  </si>
  <si>
    <t xml:space="preserve">   Water, Mat or Towel</t>
  </si>
  <si>
    <t xml:space="preserve">   Workshops &amp; Special Events</t>
  </si>
  <si>
    <t>Total Income</t>
  </si>
  <si>
    <t>Gross Profit</t>
  </si>
  <si>
    <t>Expenses</t>
  </si>
  <si>
    <t xml:space="preserve">   Advertising &amp; Marketing</t>
  </si>
  <si>
    <t xml:space="preserve">   Bank Charges &amp; Fees</t>
  </si>
  <si>
    <t xml:space="preserve">   Event Expenses</t>
  </si>
  <si>
    <t xml:space="preserve">   Independent Contractors</t>
  </si>
  <si>
    <t xml:space="preserve">   Instruction Expenses</t>
  </si>
  <si>
    <t xml:space="preserve">   Insurance</t>
  </si>
  <si>
    <t xml:space="preserve">   Job Supplies</t>
  </si>
  <si>
    <t xml:space="preserve">   Kindful Fees</t>
  </si>
  <si>
    <t xml:space="preserve">   Legal &amp; Professional Services</t>
  </si>
  <si>
    <t xml:space="preserve">   Meals &amp; Entertainment</t>
  </si>
  <si>
    <t xml:space="preserve">   Merchandise Expense</t>
  </si>
  <si>
    <t xml:space="preserve">   MindBody Fee</t>
  </si>
  <si>
    <t xml:space="preserve">   Office Supplies &amp; Software</t>
  </si>
  <si>
    <t xml:space="preserve">   Other Business Expenses</t>
  </si>
  <si>
    <t xml:space="preserve">   Professional Development</t>
  </si>
  <si>
    <t xml:space="preserve">   Rent &amp; Lease</t>
  </si>
  <si>
    <t xml:space="preserve">   Taxes &amp; Licenses</t>
  </si>
  <si>
    <t xml:space="preserve">   Travel</t>
  </si>
  <si>
    <t xml:space="preserve">   Utilities</t>
  </si>
  <si>
    <t>Total Expenses</t>
  </si>
  <si>
    <t>Net Operating Income</t>
  </si>
  <si>
    <t>Net Income</t>
  </si>
  <si>
    <t>Sunday, Nov 10, 2019 05:10:40 PM GMT-8 - Cash Basis</t>
  </si>
  <si>
    <t>Small World Yoga</t>
  </si>
  <si>
    <t>Profit and Loss</t>
  </si>
  <si>
    <t>Jan-Oct 2019 Actuals</t>
  </si>
  <si>
    <t>2019 Forecast</t>
  </si>
  <si>
    <t>Jan-Oct 2019 Budgeted</t>
  </si>
  <si>
    <t>% Change</t>
  </si>
  <si>
    <t>Revenue</t>
  </si>
  <si>
    <t>Int'l Day of Yoga</t>
  </si>
  <si>
    <t>Music City Exchange</t>
  </si>
  <si>
    <t>Music City Yoga Fest</t>
  </si>
  <si>
    <t>Marketing Expenses</t>
  </si>
  <si>
    <t>Professional Services</t>
  </si>
  <si>
    <t>Legal</t>
  </si>
  <si>
    <t>Teacher Appreciation/Development Expenses</t>
  </si>
  <si>
    <t>Outreach Teacher Socials &amp; Workshops</t>
  </si>
  <si>
    <t>Teacher Appreciation Committee</t>
  </si>
  <si>
    <t>Teacher Professional Development</t>
  </si>
  <si>
    <t>Dropbox</t>
  </si>
  <si>
    <t>N/A</t>
  </si>
  <si>
    <t>2020 Forecast</t>
  </si>
  <si>
    <t>Studio Revenue and Expense Assumptions</t>
  </si>
  <si>
    <t>per year</t>
  </si>
  <si>
    <t>Studio Class Assumptions</t>
  </si>
  <si>
    <t>Donations - Unrestricted</t>
  </si>
  <si>
    <t>per month</t>
  </si>
  <si>
    <t>Jan</t>
  </si>
  <si>
    <t>Dec</t>
  </si>
  <si>
    <t>Studio Class Revenue</t>
  </si>
  <si>
    <t>Number of Studio Classes</t>
  </si>
  <si>
    <t>Average Attendees per Class</t>
  </si>
  <si>
    <t>Cost per Class</t>
  </si>
  <si>
    <t xml:space="preserve">Community Partnerships </t>
  </si>
  <si>
    <t>Weekly Multiplier</t>
  </si>
  <si>
    <t>Grants - Restricted</t>
  </si>
  <si>
    <t>Avg. Price/Item</t>
  </si>
  <si>
    <t>% of Total Sales</t>
  </si>
  <si>
    <t>Avg. # Sold/ month</t>
  </si>
  <si>
    <t>Revenue/ Month</t>
  </si>
  <si>
    <t>Clothing</t>
  </si>
  <si>
    <t>SWY Retail/ Merchandise</t>
  </si>
  <si>
    <t>Water Bottles</t>
  </si>
  <si>
    <t>Independent Contractor Expense</t>
  </si>
  <si>
    <t>Outreach Teachers</t>
  </si>
  <si>
    <t xml:space="preserve">     Classes per Week</t>
  </si>
  <si>
    <t xml:space="preserve">     Rate per Class</t>
  </si>
  <si>
    <t xml:space="preserve">     Weekly Multiplier</t>
  </si>
  <si>
    <t>Monthly Wages for Studio Manager</t>
  </si>
  <si>
    <t xml:space="preserve">     Hours per Week</t>
  </si>
  <si>
    <t xml:space="preserve">     Hourly Rate</t>
  </si>
  <si>
    <t>Monthly Wages for Payroll Bookkeeper</t>
  </si>
  <si>
    <t>Studio &amp; Liability Insurance</t>
  </si>
  <si>
    <t>Rent</t>
  </si>
  <si>
    <t>Utilities</t>
  </si>
  <si>
    <t xml:space="preserve">Retail Sales </t>
  </si>
  <si>
    <t>Event Expense</t>
  </si>
  <si>
    <t>Fundraising Events</t>
  </si>
  <si>
    <t>Interest Earned</t>
  </si>
  <si>
    <t>Mat, Towel or Water</t>
  </si>
  <si>
    <t>Workshops &amp; Special Events</t>
  </si>
  <si>
    <t>Studio Manager</t>
  </si>
  <si>
    <t>Outreach Relationship Manager</t>
  </si>
  <si>
    <t>Outreach Coordinator</t>
  </si>
  <si>
    <t>Studio Teachers</t>
  </si>
  <si>
    <t>Independent Contractors Expense</t>
  </si>
  <si>
    <t>Payroll Bookeeper</t>
  </si>
  <si>
    <t>Monthly Studio Teachers Wages</t>
  </si>
  <si>
    <t>Monthly Wages for Outreach Relationship Manager</t>
  </si>
  <si>
    <t>Monthly Wages for Outreach Coordinator</t>
  </si>
  <si>
    <t>SWY Organization - Studio &amp; Outreach Revenue &amp; Expense Assumptions</t>
  </si>
  <si>
    <t>Fundraising Administrative Assistant</t>
  </si>
  <si>
    <t>Development Consultant (for year)</t>
  </si>
  <si>
    <t>Fundraising Administrative Assistant (per month)</t>
  </si>
  <si>
    <t>Job Supplies</t>
  </si>
  <si>
    <t>Accounting (applied in Feb)</t>
  </si>
  <si>
    <t>Meals &amp; Entertainment</t>
  </si>
  <si>
    <t>Office Supplies &amp; Software</t>
  </si>
  <si>
    <t>Google - Email</t>
  </si>
  <si>
    <t>Account Analysis Fee</t>
  </si>
  <si>
    <t>Kindful (annual fee)</t>
  </si>
  <si>
    <t xml:space="preserve">Other Business Expenses </t>
  </si>
  <si>
    <t>Tax &amp; Licenses Expense (year)</t>
  </si>
  <si>
    <t>Yoga on the Diamond</t>
  </si>
  <si>
    <t>Donations</t>
  </si>
  <si>
    <t>Baptiste Affiliate Dues (November)</t>
  </si>
  <si>
    <t>(10 mo x $2250)</t>
  </si>
  <si>
    <t>Teacher Training Revenue and Expense Assumptions</t>
  </si>
  <si>
    <t>Teacher Training Assumptions</t>
  </si>
  <si>
    <t xml:space="preserve">Johnson City </t>
  </si>
  <si>
    <t>January</t>
  </si>
  <si>
    <t>February</t>
  </si>
  <si>
    <t>Nashville Winter</t>
  </si>
  <si>
    <t>March</t>
  </si>
  <si>
    <t>Oxford Winter</t>
  </si>
  <si>
    <t>Nashville Summer</t>
  </si>
  <si>
    <t>June</t>
  </si>
  <si>
    <t>July</t>
  </si>
  <si>
    <t>Nashville 300 Hour</t>
  </si>
  <si>
    <t>August</t>
  </si>
  <si>
    <t>September</t>
  </si>
  <si>
    <t>October</t>
  </si>
  <si>
    <t>November</t>
  </si>
  <si>
    <t>Myrtle Beach Summer</t>
  </si>
  <si>
    <t xml:space="preserve">July </t>
  </si>
  <si>
    <t>Teacher Training Expense Assumptions</t>
  </si>
  <si>
    <t>Expense Mode</t>
  </si>
  <si>
    <t>Per Month</t>
  </si>
  <si>
    <t>Annually</t>
  </si>
  <si>
    <t>Advertisement</t>
  </si>
  <si>
    <t>Monthly</t>
  </si>
  <si>
    <t>Executive Director Salary</t>
  </si>
  <si>
    <t>Payroll Taxes (6.65% of Payroll)</t>
  </si>
  <si>
    <t>Facilitator Fees - Independent Contractor</t>
  </si>
  <si>
    <t>Supplies, web and technology</t>
  </si>
  <si>
    <t>Space Rental Fees (Harpeth Hall, JLN)</t>
  </si>
  <si>
    <t>Insurance</t>
  </si>
  <si>
    <t>Legal &amp; Professional Fees</t>
  </si>
  <si>
    <t>Professional Development</t>
  </si>
  <si>
    <t>Travel</t>
  </si>
  <si>
    <t>Membership Fees, Taxes &amp; Licenses(Entrepreneur Center, Yoga Alliance, Insurance)</t>
  </si>
  <si>
    <t>Community Partnerships</t>
  </si>
  <si>
    <t>Classes</t>
  </si>
  <si>
    <t>Gift Cards</t>
  </si>
  <si>
    <t>Sales of Product</t>
  </si>
  <si>
    <t>Water, Mat or Towel</t>
  </si>
  <si>
    <t>Teacher Training</t>
  </si>
  <si>
    <t xml:space="preserve">Nashville Winter </t>
  </si>
  <si>
    <t xml:space="preserve">Oxford Winter </t>
  </si>
  <si>
    <t xml:space="preserve">Nashville Summer </t>
  </si>
  <si>
    <t>Myrtle Beach, SC Summer 200 Hour</t>
  </si>
  <si>
    <t>Total Revenue</t>
  </si>
  <si>
    <t>Salary Expense</t>
  </si>
  <si>
    <t>Office Supplies, Web and Technology</t>
  </si>
  <si>
    <t>Event Expenses</t>
  </si>
  <si>
    <t>Advertising &amp; Marketing</t>
  </si>
  <si>
    <t>Independent Contractors</t>
  </si>
  <si>
    <t>Rent &amp; Lease</t>
  </si>
  <si>
    <t>Other Business Expenses</t>
  </si>
  <si>
    <t>MindBody Fee</t>
  </si>
  <si>
    <t>Kindful Fees</t>
  </si>
  <si>
    <t>Legal &amp; Professional Services</t>
  </si>
  <si>
    <t>Merchandise Expense</t>
  </si>
  <si>
    <t>Kindful Fees (3.2% of credit card donations)</t>
  </si>
  <si>
    <t xml:space="preserve">Space Rental </t>
  </si>
  <si>
    <t>Payroll Taxes</t>
  </si>
  <si>
    <t>Taxes, Fees &amp; Licenses</t>
  </si>
  <si>
    <t>Profit and Loss by Month</t>
  </si>
  <si>
    <t>January - June, 2020</t>
  </si>
  <si>
    <t>Jan 2020</t>
  </si>
  <si>
    <t>Feb 2020</t>
  </si>
  <si>
    <t>Mar 2020</t>
  </si>
  <si>
    <t>Apr 2020</t>
  </si>
  <si>
    <t>May 2020</t>
  </si>
  <si>
    <t>Jun 2020</t>
  </si>
  <si>
    <t>Mid-Year Actuals</t>
  </si>
  <si>
    <t>Mid-Year Budget</t>
  </si>
  <si>
    <t xml:space="preserve">   Teacher Training Tuition</t>
  </si>
  <si>
    <t xml:space="preserve">   Payroll Expenses</t>
  </si>
  <si>
    <t xml:space="preserve">      Gross Wages</t>
  </si>
  <si>
    <t xml:space="preserve">      Payroll Taxes</t>
  </si>
  <si>
    <t xml:space="preserve">   Total Payroll Expenses</t>
  </si>
  <si>
    <t xml:space="preserve">   Repairs &amp; Maintenance</t>
  </si>
  <si>
    <t xml:space="preserve">   Space Rental</t>
  </si>
  <si>
    <t xml:space="preserve">   Square Fees</t>
  </si>
  <si>
    <t>Amount Over/Under</t>
  </si>
  <si>
    <t>January - December, 2020</t>
  </si>
  <si>
    <t>2020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</si>
</sst>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0\ _€"/>
    <numFmt numFmtId="165" formatCode="&quot;$&quot;* #,##0.00\ _€"/>
    <numFmt numFmtId="166" formatCode="[$-409]mmm\-yy;@"/>
    <numFmt numFmtId="167" formatCode="_(&quot;$&quot;* #,##0_);_(&quot;$&quot;* \(#,##0\);_(&quot;$&quot;* &quot;-&quot;??_);_(@_)"/>
    <numFmt numFmtId="168" formatCode="0.0%"/>
    <numFmt numFmtId="169" formatCode="&quot;$&quot;#,##0.00"/>
    <numFmt numFmtId="171" formatCode="&quot;$&quot;#,##0"/>
  </numFmts>
  <fonts count="31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</font>
    <font>
      <b/>
      <sz val="10"/>
      <name val="MS Sans Serif"/>
    </font>
    <font>
      <b/>
      <sz val="10"/>
      <color rgb="FF000000"/>
      <name val="Arial"/>
      <family val="2"/>
    </font>
    <font>
      <sz val="10"/>
      <color rgb="FF000000"/>
      <name val="Trebuchet MS"/>
      <family val="2"/>
    </font>
    <font>
      <b/>
      <sz val="10"/>
      <name val="MS Sans Serif"/>
      <family val="2"/>
    </font>
    <font>
      <b/>
      <sz val="11"/>
      <name val="Calibri"/>
      <family val="2"/>
    </font>
    <font>
      <sz val="10"/>
      <color rgb="FF000000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222222"/>
      <name val="Arial"/>
      <family val="2"/>
    </font>
    <font>
      <sz val="12"/>
      <color rgb="FF22222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00B050"/>
      <name val="Arial"/>
      <family val="2"/>
    </font>
    <font>
      <b/>
      <sz val="8"/>
      <color rgb="FFC00000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2">
    <xf numFmtId="0" fontId="0" fillId="0" borderId="0" xfId="0"/>
    <xf numFmtId="0" fontId="0" fillId="2" borderId="0" xfId="0" applyFill="1"/>
    <xf numFmtId="0" fontId="0" fillId="2" borderId="0" xfId="0" applyFont="1" applyFill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9" fillId="2" borderId="0" xfId="0" applyFont="1" applyFill="1" applyAlignment="1">
      <alignment horizontal="left" wrapText="1"/>
    </xf>
    <xf numFmtId="164" fontId="5" fillId="2" borderId="0" xfId="0" applyNumberFormat="1" applyFont="1" applyFill="1" applyAlignment="1">
      <alignment wrapText="1"/>
    </xf>
    <xf numFmtId="164" fontId="5" fillId="2" borderId="0" xfId="0" applyNumberFormat="1" applyFont="1" applyFill="1" applyAlignment="1">
      <alignment horizontal="right" wrapText="1"/>
    </xf>
    <xf numFmtId="9" fontId="6" fillId="2" borderId="0" xfId="2" applyFont="1" applyFill="1" applyAlignment="1">
      <alignment horizontal="center" wrapText="1"/>
    </xf>
    <xf numFmtId="9" fontId="7" fillId="2" borderId="0" xfId="2" applyFont="1" applyFill="1" applyAlignment="1">
      <alignment horizontal="center" wrapText="1"/>
    </xf>
    <xf numFmtId="165" fontId="9" fillId="2" borderId="2" xfId="0" applyNumberFormat="1" applyFont="1" applyFill="1" applyBorder="1" applyAlignment="1">
      <alignment horizontal="right" wrapText="1"/>
    </xf>
    <xf numFmtId="165" fontId="9" fillId="2" borderId="3" xfId="0" applyNumberFormat="1" applyFont="1" applyFill="1" applyBorder="1" applyAlignment="1">
      <alignment horizontal="right" wrapText="1"/>
    </xf>
    <xf numFmtId="0" fontId="8" fillId="0" borderId="0" xfId="0" applyFont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0" fillId="2" borderId="7" xfId="0" applyFill="1" applyBorder="1"/>
    <xf numFmtId="0" fontId="10" fillId="2" borderId="0" xfId="0" applyFont="1" applyFill="1" applyBorder="1"/>
    <xf numFmtId="0" fontId="0" fillId="2" borderId="8" xfId="0" applyFill="1" applyBorder="1"/>
    <xf numFmtId="0" fontId="11" fillId="2" borderId="0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/>
    <xf numFmtId="0" fontId="0" fillId="2" borderId="0" xfId="0" applyFill="1" applyBorder="1"/>
    <xf numFmtId="0" fontId="12" fillId="2" borderId="1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3" fillId="6" borderId="7" xfId="0" applyFont="1" applyFill="1" applyBorder="1" applyAlignment="1">
      <alignment vertical="center" wrapText="1"/>
    </xf>
    <xf numFmtId="0" fontId="13" fillId="6" borderId="0" xfId="0" applyFont="1" applyFill="1" applyBorder="1" applyAlignment="1">
      <alignment vertical="center" wrapText="1"/>
    </xf>
    <xf numFmtId="6" fontId="0" fillId="2" borderId="0" xfId="0" applyNumberForma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3" fillId="2" borderId="7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6" fontId="12" fillId="2" borderId="8" xfId="0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left" vertical="center" indent="2"/>
    </xf>
    <xf numFmtId="0" fontId="14" fillId="2" borderId="0" xfId="0" applyFont="1" applyFill="1" applyBorder="1" applyAlignment="1">
      <alignment horizontal="left" vertical="center" indent="2"/>
    </xf>
    <xf numFmtId="0" fontId="0" fillId="2" borderId="8" xfId="0" applyFill="1" applyBorder="1" applyAlignment="1">
      <alignment horizontal="center"/>
    </xf>
    <xf numFmtId="0" fontId="0" fillId="2" borderId="14" xfId="0" applyFill="1" applyBorder="1"/>
    <xf numFmtId="0" fontId="0" fillId="0" borderId="15" xfId="0" applyBorder="1"/>
    <xf numFmtId="0" fontId="0" fillId="2" borderId="15" xfId="0" applyFill="1" applyBorder="1"/>
    <xf numFmtId="0" fontId="12" fillId="2" borderId="14" xfId="0" applyFont="1" applyFill="1" applyBorder="1"/>
    <xf numFmtId="8" fontId="12" fillId="2" borderId="15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left" vertical="top" indent="1"/>
    </xf>
    <xf numFmtId="0" fontId="0" fillId="0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left" vertical="top" indent="1"/>
    </xf>
    <xf numFmtId="6" fontId="0" fillId="2" borderId="0" xfId="1" applyNumberFormat="1" applyFont="1" applyFill="1" applyBorder="1" applyAlignment="1">
      <alignment horizontal="center"/>
    </xf>
    <xf numFmtId="0" fontId="0" fillId="2" borderId="16" xfId="0" applyFill="1" applyBorder="1"/>
    <xf numFmtId="0" fontId="0" fillId="2" borderId="1" xfId="0" applyFill="1" applyBorder="1"/>
    <xf numFmtId="0" fontId="0" fillId="2" borderId="17" xfId="0" applyFill="1" applyBorder="1"/>
    <xf numFmtId="0" fontId="15" fillId="2" borderId="0" xfId="0" applyFont="1" applyFill="1" applyBorder="1" applyAlignment="1">
      <alignment horizontal="center" wrapText="1"/>
    </xf>
    <xf numFmtId="0" fontId="15" fillId="2" borderId="15" xfId="0" applyFont="1" applyFill="1" applyBorder="1" applyAlignment="1">
      <alignment horizontal="center" wrapText="1"/>
    </xf>
    <xf numFmtId="0" fontId="15" fillId="2" borderId="14" xfId="0" applyFont="1" applyFill="1" applyBorder="1"/>
    <xf numFmtId="9" fontId="0" fillId="2" borderId="0" xfId="0" applyNumberFormat="1" applyFill="1" applyBorder="1" applyAlignment="1">
      <alignment horizontal="center"/>
    </xf>
    <xf numFmtId="6" fontId="0" fillId="2" borderId="15" xfId="1" applyNumberFormat="1" applyFont="1" applyFill="1" applyBorder="1" applyAlignment="1">
      <alignment horizontal="center"/>
    </xf>
    <xf numFmtId="6" fontId="0" fillId="2" borderId="0" xfId="0" applyNumberFormat="1" applyFill="1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 applyAlignment="1">
      <alignment horizontal="left" indent="2"/>
    </xf>
    <xf numFmtId="0" fontId="15" fillId="2" borderId="16" xfId="0" applyFont="1" applyFill="1" applyBorder="1"/>
    <xf numFmtId="6" fontId="0" fillId="2" borderId="17" xfId="1" applyNumberFormat="1" applyFont="1" applyFill="1" applyBorder="1" applyAlignment="1">
      <alignment horizontal="center"/>
    </xf>
    <xf numFmtId="0" fontId="0" fillId="2" borderId="0" xfId="0" applyFill="1" applyAlignment="1">
      <alignment horizontal="left" indent="2"/>
    </xf>
    <xf numFmtId="0" fontId="0" fillId="2" borderId="7" xfId="0" applyFill="1" applyBorder="1" applyAlignment="1">
      <alignment wrapText="1"/>
    </xf>
    <xf numFmtId="0" fontId="0" fillId="2" borderId="0" xfId="0" applyFill="1" applyBorder="1" applyAlignment="1">
      <alignment wrapText="1"/>
    </xf>
    <xf numFmtId="6" fontId="0" fillId="2" borderId="8" xfId="0" applyNumberFormat="1" applyFill="1" applyBorder="1"/>
    <xf numFmtId="0" fontId="0" fillId="2" borderId="7" xfId="0" applyFill="1" applyBorder="1" applyAlignment="1">
      <alignment horizontal="left" wrapText="1" indent="2"/>
    </xf>
    <xf numFmtId="0" fontId="0" fillId="2" borderId="0" xfId="0" applyFill="1" applyBorder="1" applyAlignment="1">
      <alignment horizontal="left" wrapText="1" indent="2"/>
    </xf>
    <xf numFmtId="8" fontId="0" fillId="2" borderId="8" xfId="0" applyNumberFormat="1" applyFill="1" applyBorder="1"/>
    <xf numFmtId="0" fontId="0" fillId="2" borderId="7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 indent="1"/>
    </xf>
    <xf numFmtId="6" fontId="0" fillId="2" borderId="0" xfId="1" applyNumberFormat="1" applyFont="1" applyFill="1" applyBorder="1" applyAlignment="1">
      <alignment horizontal="left" wrapText="1" indent="1"/>
    </xf>
    <xf numFmtId="0" fontId="0" fillId="2" borderId="7" xfId="0" applyFont="1" applyFill="1" applyBorder="1" applyAlignment="1">
      <alignment wrapText="1"/>
    </xf>
    <xf numFmtId="0" fontId="0" fillId="0" borderId="0" xfId="0" applyFill="1" applyBorder="1"/>
    <xf numFmtId="0" fontId="0" fillId="2" borderId="7" xfId="0" applyFont="1" applyFill="1" applyBorder="1" applyAlignment="1">
      <alignment horizontal="left" wrapText="1" indent="3"/>
    </xf>
    <xf numFmtId="0" fontId="0" fillId="2" borderId="0" xfId="0" applyFont="1" applyFill="1" applyBorder="1" applyAlignment="1">
      <alignment horizontal="left" wrapText="1" indent="3"/>
    </xf>
    <xf numFmtId="0" fontId="0" fillId="2" borderId="7" xfId="0" applyFill="1" applyBorder="1" applyAlignment="1">
      <alignment horizontal="left" indent="3"/>
    </xf>
    <xf numFmtId="0" fontId="0" fillId="2" borderId="0" xfId="0" applyFill="1" applyBorder="1" applyAlignment="1">
      <alignment horizontal="left" indent="3"/>
    </xf>
    <xf numFmtId="0" fontId="16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wrapText="1"/>
    </xf>
    <xf numFmtId="0" fontId="0" fillId="2" borderId="8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17" fillId="2" borderId="7" xfId="0" applyFont="1" applyFill="1" applyBorder="1" applyAlignment="1">
      <alignment horizontal="left" wrapText="1" indent="3"/>
    </xf>
    <xf numFmtId="0" fontId="17" fillId="2" borderId="0" xfId="0" applyFont="1" applyFill="1" applyBorder="1" applyAlignment="1">
      <alignment horizontal="left" wrapText="1" indent="3"/>
    </xf>
    <xf numFmtId="6" fontId="12" fillId="2" borderId="15" xfId="0" applyNumberFormat="1" applyFont="1" applyFill="1" applyBorder="1" applyAlignment="1">
      <alignment horizontal="center"/>
    </xf>
    <xf numFmtId="0" fontId="0" fillId="2" borderId="15" xfId="0" applyFill="1" applyBorder="1" applyAlignment="1">
      <alignment horizontal="left" indent="2"/>
    </xf>
    <xf numFmtId="0" fontId="0" fillId="2" borderId="9" xfId="0" applyFill="1" applyBorder="1" applyAlignment="1">
      <alignment horizontal="left" indent="3"/>
    </xf>
    <xf numFmtId="0" fontId="0" fillId="2" borderId="10" xfId="0" applyFill="1" applyBorder="1" applyAlignment="1">
      <alignment horizontal="left" indent="3"/>
    </xf>
    <xf numFmtId="6" fontId="0" fillId="2" borderId="10" xfId="1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left" indent="2"/>
    </xf>
    <xf numFmtId="0" fontId="12" fillId="2" borderId="16" xfId="0" applyFont="1" applyFill="1" applyBorder="1"/>
    <xf numFmtId="0" fontId="0" fillId="2" borderId="1" xfId="0" applyFill="1" applyBorder="1" applyAlignment="1">
      <alignment horizontal="center"/>
    </xf>
    <xf numFmtId="6" fontId="12" fillId="2" borderId="17" xfId="0" applyNumberFormat="1" applyFont="1" applyFill="1" applyBorder="1" applyAlignment="1">
      <alignment horizontal="center"/>
    </xf>
    <xf numFmtId="8" fontId="0" fillId="0" borderId="0" xfId="0" applyNumberFormat="1"/>
    <xf numFmtId="6" fontId="0" fillId="0" borderId="0" xfId="0" applyNumberFormat="1"/>
    <xf numFmtId="0" fontId="8" fillId="0" borderId="0" xfId="0" applyFont="1" applyAlignment="1">
      <alignment horizontal="left" wrapText="1"/>
    </xf>
    <xf numFmtId="0" fontId="14" fillId="2" borderId="7" xfId="0" applyFont="1" applyFill="1" applyBorder="1" applyAlignment="1">
      <alignment horizontal="left" vertical="center"/>
    </xf>
    <xf numFmtId="8" fontId="0" fillId="2" borderId="0" xfId="0" applyNumberForma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right" wrapText="1"/>
    </xf>
    <xf numFmtId="0" fontId="0" fillId="0" borderId="0" xfId="0" applyFill="1"/>
    <xf numFmtId="6" fontId="0" fillId="2" borderId="15" xfId="0" applyNumberFormat="1" applyFill="1" applyBorder="1"/>
    <xf numFmtId="0" fontId="0" fillId="2" borderId="14" xfId="0" applyFill="1" applyBorder="1" applyAlignment="1">
      <alignment horizontal="left" indent="1"/>
    </xf>
    <xf numFmtId="0" fontId="17" fillId="2" borderId="7" xfId="0" applyFont="1" applyFill="1" applyBorder="1" applyAlignment="1">
      <alignment horizontal="left" wrapText="1" indent="2"/>
    </xf>
    <xf numFmtId="165" fontId="9" fillId="0" borderId="18" xfId="0" applyNumberFormat="1" applyFont="1" applyFill="1" applyBorder="1" applyAlignment="1">
      <alignment horizontal="right" wrapText="1"/>
    </xf>
    <xf numFmtId="165" fontId="9" fillId="0" borderId="3" xfId="0" applyNumberFormat="1" applyFont="1" applyFill="1" applyBorder="1" applyAlignment="1">
      <alignment horizontal="right" wrapText="1"/>
    </xf>
    <xf numFmtId="9" fontId="11" fillId="2" borderId="0" xfId="2" applyFont="1" applyFill="1" applyBorder="1" applyAlignment="1">
      <alignment horizontal="center" wrapText="1"/>
    </xf>
    <xf numFmtId="0" fontId="18" fillId="2" borderId="14" xfId="0" applyFont="1" applyFill="1" applyBorder="1"/>
    <xf numFmtId="0" fontId="12" fillId="4" borderId="5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2" fillId="4" borderId="4" xfId="0" applyFont="1" applyFill="1" applyBorder="1" applyAlignment="1">
      <alignment vertical="center"/>
    </xf>
    <xf numFmtId="0" fontId="12" fillId="4" borderId="5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3" borderId="12" xfId="0" applyFont="1" applyFill="1" applyBorder="1" applyAlignment="1"/>
    <xf numFmtId="0" fontId="12" fillId="3" borderId="3" xfId="0" applyFont="1" applyFill="1" applyBorder="1" applyAlignment="1"/>
    <xf numFmtId="0" fontId="12" fillId="3" borderId="13" xfId="0" applyFont="1" applyFill="1" applyBorder="1" applyAlignment="1"/>
    <xf numFmtId="167" fontId="0" fillId="2" borderId="15" xfId="1" applyNumberFormat="1" applyFont="1" applyFill="1" applyBorder="1"/>
    <xf numFmtId="0" fontId="0" fillId="2" borderId="0" xfId="0" applyFill="1" applyBorder="1" applyAlignment="1"/>
    <xf numFmtId="0" fontId="0" fillId="2" borderId="15" xfId="0" applyFill="1" applyBorder="1" applyAlignment="1"/>
    <xf numFmtId="0" fontId="16" fillId="2" borderId="0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/>
    <xf numFmtId="0" fontId="15" fillId="5" borderId="3" xfId="0" applyFont="1" applyFill="1" applyBorder="1" applyAlignment="1"/>
    <xf numFmtId="0" fontId="15" fillId="5" borderId="13" xfId="0" applyFont="1" applyFill="1" applyBorder="1" applyAlignment="1"/>
    <xf numFmtId="0" fontId="0" fillId="2" borderId="14" xfId="0" applyFill="1" applyBorder="1" applyAlignment="1">
      <alignment vertical="center"/>
    </xf>
    <xf numFmtId="0" fontId="19" fillId="2" borderId="0" xfId="0" applyFont="1" applyFill="1" applyBorder="1" applyAlignment="1">
      <alignment horizontal="center"/>
    </xf>
    <xf numFmtId="6" fontId="19" fillId="2" borderId="15" xfId="1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8" fontId="0" fillId="2" borderId="0" xfId="1" applyNumberFormat="1" applyFont="1" applyFill="1" applyBorder="1" applyAlignment="1">
      <alignment horizontal="center" vertical="center"/>
    </xf>
    <xf numFmtId="6" fontId="0" fillId="2" borderId="15" xfId="1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8" fontId="0" fillId="2" borderId="0" xfId="0" applyNumberFormat="1" applyFill="1" applyBorder="1" applyAlignment="1">
      <alignment horizontal="center"/>
    </xf>
    <xf numFmtId="8" fontId="0" fillId="2" borderId="0" xfId="1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left" vertical="center" wrapText="1"/>
    </xf>
    <xf numFmtId="6" fontId="0" fillId="2" borderId="0" xfId="1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wrapText="1" indent="2"/>
    </xf>
    <xf numFmtId="0" fontId="8" fillId="0" borderId="0" xfId="0" applyFont="1" applyAlignment="1">
      <alignment horizontal="left" indent="2"/>
    </xf>
    <xf numFmtId="0" fontId="20" fillId="0" borderId="0" xfId="0" applyFont="1"/>
    <xf numFmtId="0" fontId="20" fillId="0" borderId="0" xfId="0" applyFont="1" applyAlignment="1">
      <alignment horizontal="left" indent="1"/>
    </xf>
    <xf numFmtId="0" fontId="20" fillId="0" borderId="0" xfId="0" applyFont="1" applyAlignment="1">
      <alignment horizontal="left" indent="2"/>
    </xf>
    <xf numFmtId="0" fontId="21" fillId="0" borderId="0" xfId="0" applyFont="1"/>
    <xf numFmtId="0" fontId="22" fillId="0" borderId="0" xfId="0" applyFont="1"/>
    <xf numFmtId="6" fontId="22" fillId="0" borderId="0" xfId="0" applyNumberFormat="1" applyFont="1"/>
    <xf numFmtId="3" fontId="20" fillId="0" borderId="0" xfId="0" applyNumberFormat="1" applyFont="1"/>
    <xf numFmtId="0" fontId="21" fillId="0" borderId="0" xfId="0" applyFont="1" applyAlignment="1">
      <alignment horizontal="left"/>
    </xf>
    <xf numFmtId="165" fontId="4" fillId="0" borderId="19" xfId="0" applyNumberFormat="1" applyFont="1" applyFill="1" applyBorder="1" applyAlignment="1">
      <alignment horizontal="right" wrapText="1"/>
    </xf>
    <xf numFmtId="165" fontId="4" fillId="0" borderId="0" xfId="0" applyNumberFormat="1" applyFont="1" applyFill="1" applyBorder="1" applyAlignment="1">
      <alignment horizontal="right" wrapText="1"/>
    </xf>
    <xf numFmtId="0" fontId="23" fillId="0" borderId="0" xfId="0" applyFont="1"/>
    <xf numFmtId="0" fontId="24" fillId="0" borderId="0" xfId="0" applyFont="1" applyAlignment="1">
      <alignment horizontal="left" indent="1"/>
    </xf>
    <xf numFmtId="6" fontId="20" fillId="0" borderId="0" xfId="0" applyNumberFormat="1" applyFont="1"/>
    <xf numFmtId="0" fontId="24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6" fontId="22" fillId="0" borderId="0" xfId="0" applyNumberFormat="1" applyFont="1" applyAlignment="1">
      <alignment vertical="center"/>
    </xf>
    <xf numFmtId="165" fontId="4" fillId="0" borderId="18" xfId="0" applyNumberFormat="1" applyFont="1" applyFill="1" applyBorder="1" applyAlignment="1">
      <alignment horizontal="right" wrapText="1"/>
    </xf>
    <xf numFmtId="168" fontId="0" fillId="2" borderId="0" xfId="2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3" fillId="6" borderId="14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5" fillId="5" borderId="13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25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wrapText="1"/>
    </xf>
    <xf numFmtId="165" fontId="27" fillId="0" borderId="3" xfId="0" applyNumberFormat="1" applyFont="1" applyBorder="1" applyAlignment="1">
      <alignment horizontal="right" wrapText="1"/>
    </xf>
    <xf numFmtId="164" fontId="27" fillId="0" borderId="0" xfId="0" applyNumberFormat="1" applyFont="1" applyAlignment="1">
      <alignment horizontal="right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27" fillId="0" borderId="0" xfId="0" applyNumberFormat="1" applyFont="1" applyAlignment="1">
      <alignment wrapText="1"/>
    </xf>
    <xf numFmtId="0" fontId="18" fillId="0" borderId="0" xfId="0" applyFont="1"/>
    <xf numFmtId="0" fontId="26" fillId="3" borderId="1" xfId="0" applyFont="1" applyFill="1" applyBorder="1" applyAlignment="1">
      <alignment horizontal="center" vertical="center" wrapText="1"/>
    </xf>
    <xf numFmtId="164" fontId="27" fillId="3" borderId="0" xfId="0" applyNumberFormat="1" applyFont="1" applyFill="1" applyAlignment="1">
      <alignment wrapText="1"/>
    </xf>
    <xf numFmtId="164" fontId="27" fillId="3" borderId="0" xfId="0" applyNumberFormat="1" applyFont="1" applyFill="1" applyAlignment="1">
      <alignment horizontal="right" wrapText="1"/>
    </xf>
    <xf numFmtId="165" fontId="27" fillId="3" borderId="3" xfId="0" applyNumberFormat="1" applyFont="1" applyFill="1" applyBorder="1" applyAlignment="1">
      <alignment horizontal="right" wrapText="1"/>
    </xf>
    <xf numFmtId="171" fontId="29" fillId="0" borderId="0" xfId="2" applyNumberFormat="1" applyFont="1" applyBorder="1" applyAlignment="1">
      <alignment horizontal="center" wrapText="1"/>
    </xf>
    <xf numFmtId="171" fontId="28" fillId="0" borderId="0" xfId="2" applyNumberFormat="1" applyFont="1" applyBorder="1" applyAlignment="1">
      <alignment horizontal="center" wrapText="1"/>
    </xf>
    <xf numFmtId="171" fontId="29" fillId="0" borderId="0" xfId="2" applyNumberFormat="1" applyFont="1" applyAlignment="1">
      <alignment horizontal="center" wrapText="1"/>
    </xf>
    <xf numFmtId="169" fontId="29" fillId="0" borderId="3" xfId="0" applyNumberFormat="1" applyFont="1" applyBorder="1" applyAlignment="1">
      <alignment horizontal="center" wrapText="1"/>
    </xf>
    <xf numFmtId="165" fontId="27" fillId="0" borderId="19" xfId="0" applyNumberFormat="1" applyFont="1" applyBorder="1" applyAlignment="1">
      <alignment horizontal="right" wrapText="1"/>
    </xf>
    <xf numFmtId="165" fontId="27" fillId="0" borderId="3" xfId="0" applyNumberFormat="1" applyFont="1" applyFill="1" applyBorder="1" applyAlignment="1">
      <alignment horizontal="right" wrapText="1"/>
    </xf>
    <xf numFmtId="171" fontId="30" fillId="0" borderId="0" xfId="2" applyNumberFormat="1" applyFont="1" applyBorder="1" applyAlignment="1">
      <alignment horizontal="center" wrapText="1"/>
    </xf>
    <xf numFmtId="171" fontId="29" fillId="0" borderId="1" xfId="2" applyNumberFormat="1" applyFont="1" applyBorder="1" applyAlignment="1">
      <alignment horizontal="center" wrapText="1"/>
    </xf>
    <xf numFmtId="165" fontId="28" fillId="0" borderId="19" xfId="0" applyNumberFormat="1" applyFont="1" applyBorder="1" applyAlignment="1">
      <alignment horizontal="right" wrapText="1"/>
    </xf>
    <xf numFmtId="165" fontId="28" fillId="0" borderId="3" xfId="0" applyNumberFormat="1" applyFont="1" applyFill="1" applyBorder="1" applyAlignment="1">
      <alignment horizontal="right" wrapText="1"/>
    </xf>
    <xf numFmtId="165" fontId="28" fillId="0" borderId="3" xfId="0" applyNumberFormat="1" applyFont="1" applyBorder="1" applyAlignment="1">
      <alignment horizontal="right" wrapText="1"/>
    </xf>
    <xf numFmtId="17" fontId="26" fillId="0" borderId="1" xfId="0" applyNumberFormat="1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acher%20Training%202020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Teacher Training Budget"/>
      <sheetName val="Teacher Training Assumptions"/>
    </sheetNames>
    <sheetDataSet>
      <sheetData sheetId="0"/>
      <sheetData sheetId="1">
        <row r="47">
          <cell r="D47">
            <v>1000</v>
          </cell>
        </row>
        <row r="48">
          <cell r="D48">
            <v>1000</v>
          </cell>
        </row>
        <row r="49">
          <cell r="D49">
            <v>1000</v>
          </cell>
        </row>
        <row r="50">
          <cell r="D50">
            <v>1500</v>
          </cell>
        </row>
        <row r="51">
          <cell r="D51">
            <v>1500</v>
          </cell>
        </row>
        <row r="52">
          <cell r="D52">
            <v>1000</v>
          </cell>
        </row>
        <row r="53">
          <cell r="D53">
            <v>1000</v>
          </cell>
        </row>
        <row r="54">
          <cell r="D54">
            <v>1000</v>
          </cell>
        </row>
        <row r="55">
          <cell r="D55">
            <v>1000</v>
          </cell>
        </row>
        <row r="56">
          <cell r="E56">
            <v>600</v>
          </cell>
        </row>
        <row r="57">
          <cell r="E57">
            <v>1000</v>
          </cell>
        </row>
        <row r="58">
          <cell r="D58">
            <v>250</v>
          </cell>
        </row>
        <row r="59">
          <cell r="E59">
            <v>1000</v>
          </cell>
        </row>
        <row r="60">
          <cell r="D60">
            <v>400</v>
          </cell>
        </row>
        <row r="61">
          <cell r="E61">
            <v>1700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workbookViewId="0">
      <selection activeCell="F7" sqref="F7"/>
    </sheetView>
  </sheetViews>
  <sheetFormatPr baseColWidth="10" defaultColWidth="8.83203125" defaultRowHeight="15"/>
  <cols>
    <col min="1" max="1" width="28.33203125" style="1" customWidth="1"/>
    <col min="2" max="5" width="15.1640625" style="1" customWidth="1"/>
    <col min="6" max="16384" width="8.83203125" style="1"/>
  </cols>
  <sheetData>
    <row r="1" spans="1:5" ht="18">
      <c r="A1" s="164" t="s">
        <v>39</v>
      </c>
      <c r="B1" s="164"/>
      <c r="C1" s="164"/>
      <c r="D1" s="164"/>
      <c r="E1" s="164"/>
    </row>
    <row r="2" spans="1:5" ht="18">
      <c r="A2" s="164" t="s">
        <v>40</v>
      </c>
      <c r="B2" s="164"/>
      <c r="C2" s="164"/>
      <c r="D2" s="164"/>
      <c r="E2" s="164"/>
    </row>
    <row r="3" spans="1:5" s="4" customFormat="1" ht="28">
      <c r="A3" s="2"/>
      <c r="B3" s="3" t="s">
        <v>41</v>
      </c>
      <c r="C3" s="3" t="s">
        <v>43</v>
      </c>
      <c r="D3" s="3" t="s">
        <v>44</v>
      </c>
      <c r="E3" s="3" t="s">
        <v>42</v>
      </c>
    </row>
    <row r="4" spans="1:5" s="4" customFormat="1">
      <c r="A4" s="5" t="s">
        <v>1</v>
      </c>
      <c r="B4" s="6"/>
      <c r="C4" s="6"/>
      <c r="D4" s="6"/>
    </row>
    <row r="5" spans="1:5" s="4" customFormat="1">
      <c r="A5" s="5" t="s">
        <v>2</v>
      </c>
      <c r="B5" s="7">
        <f>93077.24</f>
        <v>93077.24</v>
      </c>
      <c r="C5" s="7">
        <v>58077.16</v>
      </c>
      <c r="D5" s="8">
        <f>(B5-C5)/C5</f>
        <v>0.60264792562170744</v>
      </c>
      <c r="E5" s="7">
        <f>(B5/10)*12</f>
        <v>111692.68799999999</v>
      </c>
    </row>
    <row r="6" spans="1:5" s="4" customFormat="1">
      <c r="A6" s="5" t="s">
        <v>3</v>
      </c>
      <c r="B6" s="7">
        <f>13336</f>
        <v>13336</v>
      </c>
      <c r="C6" s="7">
        <v>5833</v>
      </c>
      <c r="D6" s="8">
        <f>(B6-C6)/C6</f>
        <v>1.2863020744042517</v>
      </c>
      <c r="E6" s="7">
        <f>(B6/10)*12</f>
        <v>16003.199999999999</v>
      </c>
    </row>
    <row r="7" spans="1:5" s="4" customFormat="1">
      <c r="A7" s="5" t="s">
        <v>4</v>
      </c>
      <c r="B7" s="7">
        <f>40668.02</f>
        <v>40668.019999999997</v>
      </c>
      <c r="C7" s="7">
        <v>38000</v>
      </c>
      <c r="D7" s="8">
        <f>(B7-C7)/C7</f>
        <v>7.0211052631578869E-2</v>
      </c>
      <c r="E7" s="7">
        <v>54000</v>
      </c>
    </row>
    <row r="8" spans="1:5" s="4" customFormat="1">
      <c r="A8" s="5" t="s">
        <v>5</v>
      </c>
      <c r="B8" s="7">
        <f>486.2</f>
        <v>486.2</v>
      </c>
      <c r="C8" s="7">
        <v>5000</v>
      </c>
      <c r="D8" s="9">
        <f>(B8-C8)/C8</f>
        <v>-0.90276000000000001</v>
      </c>
      <c r="E8" s="7">
        <f>B8</f>
        <v>486.2</v>
      </c>
    </row>
    <row r="9" spans="1:5" s="4" customFormat="1">
      <c r="A9" s="5" t="s">
        <v>6</v>
      </c>
      <c r="B9" s="7">
        <f>25</f>
        <v>25</v>
      </c>
      <c r="C9" s="7">
        <v>0</v>
      </c>
      <c r="D9" s="7"/>
      <c r="E9" s="7">
        <f>B9</f>
        <v>25</v>
      </c>
    </row>
    <row r="10" spans="1:5" s="4" customFormat="1">
      <c r="A10" s="5" t="s">
        <v>7</v>
      </c>
      <c r="B10" s="7">
        <f>10.82</f>
        <v>10.82</v>
      </c>
      <c r="C10" s="7">
        <v>10</v>
      </c>
      <c r="D10" s="7"/>
      <c r="E10" s="7">
        <f>B10+1.12</f>
        <v>11.940000000000001</v>
      </c>
    </row>
    <row r="11" spans="1:5" s="4" customFormat="1">
      <c r="A11" s="5" t="s">
        <v>8</v>
      </c>
      <c r="B11" s="7">
        <f>213.56</f>
        <v>213.56</v>
      </c>
      <c r="C11" s="7">
        <v>0</v>
      </c>
      <c r="D11" s="7"/>
      <c r="E11" s="7">
        <f>B11</f>
        <v>213.56</v>
      </c>
    </row>
    <row r="12" spans="1:5" s="4" customFormat="1">
      <c r="A12" s="5" t="s">
        <v>9</v>
      </c>
      <c r="B12" s="7">
        <f>7611.86</f>
        <v>7611.86</v>
      </c>
      <c r="C12" s="7">
        <v>10750</v>
      </c>
      <c r="D12" s="9">
        <f>(B12-C12)/C12</f>
        <v>-0.29192000000000001</v>
      </c>
      <c r="E12" s="7">
        <f>B12+1000</f>
        <v>8611.86</v>
      </c>
    </row>
    <row r="13" spans="1:5" s="4" customFormat="1">
      <c r="A13" s="5" t="s">
        <v>10</v>
      </c>
      <c r="B13" s="7">
        <f>895.5</f>
        <v>895.5</v>
      </c>
      <c r="C13" s="7" t="s">
        <v>57</v>
      </c>
      <c r="D13" s="7"/>
      <c r="E13" s="7">
        <f>B13</f>
        <v>895.5</v>
      </c>
    </row>
    <row r="14" spans="1:5" s="4" customFormat="1">
      <c r="A14" s="5" t="s">
        <v>11</v>
      </c>
      <c r="B14" s="7">
        <f>5760.25</f>
        <v>5760.25</v>
      </c>
      <c r="C14" s="7">
        <v>0</v>
      </c>
      <c r="D14" s="7"/>
      <c r="E14" s="7">
        <f>(B14/10)*12</f>
        <v>6912.2999999999993</v>
      </c>
    </row>
    <row r="15" spans="1:5" s="4" customFormat="1">
      <c r="A15" s="5" t="s">
        <v>12</v>
      </c>
      <c r="B15" s="7">
        <f>6641.03</f>
        <v>6641.03</v>
      </c>
      <c r="C15" s="7">
        <v>9833</v>
      </c>
      <c r="D15" s="9">
        <f>(B15-C15)/C15</f>
        <v>-0.32461812264822537</v>
      </c>
      <c r="E15" s="7">
        <f>(B15/10)*12</f>
        <v>7969.235999999999</v>
      </c>
    </row>
    <row r="16" spans="1:5" s="4" customFormat="1">
      <c r="A16" s="5" t="s">
        <v>13</v>
      </c>
      <c r="B16" s="10">
        <f>((((((((((B5)+(B6))+(B7))+(B8))+(B9))+(B10))+(B11))+(B12))+(B13))+(B14))+(B15)</f>
        <v>168725.48</v>
      </c>
      <c r="C16" s="10">
        <f>SUM(C5:C15)</f>
        <v>127503.16</v>
      </c>
      <c r="D16" s="10"/>
      <c r="E16" s="10">
        <f>SUM(E5:E15)</f>
        <v>206821.48399999997</v>
      </c>
    </row>
    <row r="17" spans="1:5" s="4" customFormat="1">
      <c r="A17" s="5" t="s">
        <v>14</v>
      </c>
      <c r="B17" s="10">
        <f>(B16)-(0)</f>
        <v>168725.48</v>
      </c>
      <c r="C17" s="10">
        <f>C16</f>
        <v>127503.16</v>
      </c>
      <c r="D17" s="10"/>
      <c r="E17" s="10">
        <f>E16</f>
        <v>206821.48399999997</v>
      </c>
    </row>
    <row r="18" spans="1:5" s="4" customFormat="1">
      <c r="A18" s="5" t="s">
        <v>15</v>
      </c>
      <c r="B18" s="6"/>
      <c r="C18" s="6"/>
      <c r="D18" s="6"/>
    </row>
    <row r="19" spans="1:5" s="4" customFormat="1">
      <c r="A19" s="5" t="s">
        <v>16</v>
      </c>
      <c r="B19" s="7">
        <f>387.1</f>
        <v>387.1</v>
      </c>
      <c r="C19" s="7">
        <v>2500</v>
      </c>
      <c r="D19" s="8">
        <f>(C19-B19)/C19</f>
        <v>0.84516000000000002</v>
      </c>
      <c r="E19" s="7">
        <f>B19*2</f>
        <v>774.2</v>
      </c>
    </row>
    <row r="20" spans="1:5" s="4" customFormat="1">
      <c r="A20" s="5" t="s">
        <v>17</v>
      </c>
      <c r="B20" s="7">
        <f>0.47</f>
        <v>0.47</v>
      </c>
      <c r="C20" s="7">
        <v>0</v>
      </c>
      <c r="D20" s="7"/>
      <c r="E20" s="7">
        <v>0</v>
      </c>
    </row>
    <row r="21" spans="1:5" s="4" customFormat="1">
      <c r="A21" s="5" t="s">
        <v>18</v>
      </c>
      <c r="B21" s="7">
        <f>973.5</f>
        <v>973.5</v>
      </c>
      <c r="C21" s="7"/>
      <c r="D21" s="7"/>
      <c r="E21" s="7">
        <v>0</v>
      </c>
    </row>
    <row r="22" spans="1:5" s="4" customFormat="1">
      <c r="A22" s="5" t="s">
        <v>19</v>
      </c>
      <c r="B22" s="7">
        <f>120415.14</f>
        <v>120415.14</v>
      </c>
      <c r="C22" s="7">
        <v>106024</v>
      </c>
      <c r="D22" s="9">
        <f>(C22-B22)/C22</f>
        <v>-0.13573473930430846</v>
      </c>
      <c r="E22" s="7">
        <f>(B22/10)*12</f>
        <v>144498.16800000001</v>
      </c>
    </row>
    <row r="23" spans="1:5" s="4" customFormat="1">
      <c r="A23" s="5" t="s">
        <v>20</v>
      </c>
      <c r="B23" s="7">
        <f>459.99</f>
        <v>459.99</v>
      </c>
      <c r="C23" s="7"/>
      <c r="D23" s="7"/>
      <c r="E23" s="7">
        <f>B23*1.5</f>
        <v>689.98500000000001</v>
      </c>
    </row>
    <row r="24" spans="1:5" s="4" customFormat="1">
      <c r="A24" s="5" t="s">
        <v>21</v>
      </c>
      <c r="B24" s="7">
        <f>933.34</f>
        <v>933.34</v>
      </c>
      <c r="C24" s="7">
        <v>1000</v>
      </c>
      <c r="D24" s="8">
        <f>(C24-B24)/C24</f>
        <v>6.6659999999999969E-2</v>
      </c>
      <c r="E24" s="7">
        <f>(B24/10)*12</f>
        <v>1120.008</v>
      </c>
    </row>
    <row r="25" spans="1:5" s="4" customFormat="1">
      <c r="A25" s="5" t="s">
        <v>22</v>
      </c>
      <c r="B25" s="7">
        <f>3696.68</f>
        <v>3696.68</v>
      </c>
      <c r="C25" s="7">
        <v>1850</v>
      </c>
      <c r="D25" s="9">
        <f>(C25-B25)/C25</f>
        <v>-0.99820540540540537</v>
      </c>
      <c r="E25" s="7">
        <f>(B25/10)*12</f>
        <v>4436.0159999999996</v>
      </c>
    </row>
    <row r="26" spans="1:5" s="4" customFormat="1">
      <c r="A26" s="5" t="s">
        <v>23</v>
      </c>
      <c r="B26" s="7">
        <f>346.81</f>
        <v>346.81</v>
      </c>
      <c r="C26" s="7">
        <v>0</v>
      </c>
      <c r="D26" s="9"/>
      <c r="E26" s="7">
        <f>(B26/10)*12</f>
        <v>416.17199999999997</v>
      </c>
    </row>
    <row r="27" spans="1:5" s="4" customFormat="1" ht="29">
      <c r="A27" s="5" t="s">
        <v>24</v>
      </c>
      <c r="B27" s="7">
        <f>1800</f>
        <v>1800</v>
      </c>
      <c r="C27" s="7">
        <v>13500</v>
      </c>
      <c r="D27" s="8">
        <f t="shared" ref="D27:D37" si="0">(C27-B27)/C27</f>
        <v>0.8666666666666667</v>
      </c>
      <c r="E27" s="7">
        <v>10500</v>
      </c>
    </row>
    <row r="28" spans="1:5" s="4" customFormat="1">
      <c r="A28" s="5" t="s">
        <v>25</v>
      </c>
      <c r="B28" s="7">
        <f>603.55</f>
        <v>603.54999999999995</v>
      </c>
      <c r="C28" s="7">
        <v>500</v>
      </c>
      <c r="D28" s="9">
        <f t="shared" si="0"/>
        <v>-0.2070999999999999</v>
      </c>
      <c r="E28" s="7">
        <f>(B28/10)*12</f>
        <v>724.26</v>
      </c>
    </row>
    <row r="29" spans="1:5" s="4" customFormat="1">
      <c r="A29" s="5" t="s">
        <v>26</v>
      </c>
      <c r="B29" s="7">
        <f>4961.13</f>
        <v>4961.13</v>
      </c>
      <c r="C29" s="7">
        <v>6450</v>
      </c>
      <c r="D29" s="8">
        <f t="shared" si="0"/>
        <v>0.23083255813953488</v>
      </c>
      <c r="E29" s="7">
        <v>7000</v>
      </c>
    </row>
    <row r="30" spans="1:5" s="4" customFormat="1">
      <c r="A30" s="5" t="s">
        <v>27</v>
      </c>
      <c r="B30" s="7">
        <f>4937.43</f>
        <v>4937.43</v>
      </c>
      <c r="C30" s="7">
        <v>2731</v>
      </c>
      <c r="D30" s="9">
        <f t="shared" si="0"/>
        <v>-0.80792017575979502</v>
      </c>
      <c r="E30" s="7">
        <f>(B30/10)*12</f>
        <v>5924.9160000000011</v>
      </c>
    </row>
    <row r="31" spans="1:5" s="4" customFormat="1">
      <c r="A31" s="5" t="s">
        <v>28</v>
      </c>
      <c r="B31" s="7">
        <f>4979.4</f>
        <v>4979.3999999999996</v>
      </c>
      <c r="C31" s="7">
        <v>883</v>
      </c>
      <c r="D31" s="9">
        <f t="shared" si="0"/>
        <v>-4.6391845979614947</v>
      </c>
      <c r="E31" s="7">
        <v>5200</v>
      </c>
    </row>
    <row r="32" spans="1:5" s="4" customFormat="1">
      <c r="A32" s="5" t="s">
        <v>29</v>
      </c>
      <c r="B32" s="7">
        <f>1206.86</f>
        <v>1206.8599999999999</v>
      </c>
      <c r="C32" s="7">
        <v>1667</v>
      </c>
      <c r="D32" s="8">
        <f t="shared" si="0"/>
        <v>0.27602879424115184</v>
      </c>
      <c r="E32" s="7">
        <f>(B32/10)*12</f>
        <v>1448.232</v>
      </c>
    </row>
    <row r="33" spans="1:5" s="4" customFormat="1">
      <c r="A33" s="5" t="s">
        <v>30</v>
      </c>
      <c r="B33" s="7">
        <f>487</f>
        <v>487</v>
      </c>
      <c r="C33" s="7">
        <v>2400</v>
      </c>
      <c r="D33" s="8">
        <f t="shared" si="0"/>
        <v>0.79708333333333337</v>
      </c>
      <c r="E33" s="7">
        <f>B33</f>
        <v>487</v>
      </c>
    </row>
    <row r="34" spans="1:5" s="4" customFormat="1">
      <c r="A34" s="5" t="s">
        <v>31</v>
      </c>
      <c r="B34" s="7">
        <f>15000</f>
        <v>15000</v>
      </c>
      <c r="C34" s="7">
        <v>15000</v>
      </c>
      <c r="D34" s="8">
        <f t="shared" si="0"/>
        <v>0</v>
      </c>
      <c r="E34" s="7">
        <f>(B34/10)*12</f>
        <v>18000</v>
      </c>
    </row>
    <row r="35" spans="1:5" s="4" customFormat="1">
      <c r="A35" s="5" t="s">
        <v>32</v>
      </c>
      <c r="B35" s="7">
        <f>1342.85</f>
        <v>1342.85</v>
      </c>
      <c r="C35" s="7">
        <v>4680</v>
      </c>
      <c r="D35" s="8">
        <f t="shared" si="0"/>
        <v>0.71306623931623936</v>
      </c>
      <c r="E35" s="7">
        <f>B35</f>
        <v>1342.85</v>
      </c>
    </row>
    <row r="36" spans="1:5" s="4" customFormat="1">
      <c r="A36" s="5" t="s">
        <v>33</v>
      </c>
      <c r="B36" s="7">
        <f>599.24</f>
        <v>599.24</v>
      </c>
      <c r="C36" s="7"/>
      <c r="D36" s="8"/>
      <c r="E36" s="4">
        <f>(B36/10)*12</f>
        <v>719.08799999999997</v>
      </c>
    </row>
    <row r="37" spans="1:5" s="4" customFormat="1">
      <c r="A37" s="5" t="s">
        <v>34</v>
      </c>
      <c r="B37" s="7">
        <f>936.73</f>
        <v>936.73</v>
      </c>
      <c r="C37" s="7">
        <v>1500</v>
      </c>
      <c r="D37" s="8">
        <f t="shared" si="0"/>
        <v>0.37551333333333331</v>
      </c>
      <c r="E37" s="4">
        <f>(B37/10)*12</f>
        <v>1124.076</v>
      </c>
    </row>
    <row r="38" spans="1:5" s="4" customFormat="1">
      <c r="A38" s="5" t="s">
        <v>35</v>
      </c>
      <c r="B38" s="10">
        <f>((((((((((((((((((B19)+(B20))+(B21))+(B22))+(B23))+(B24))+(B25))+(B26))+(B27))+(B28))+(B29))+(B30))+(B31))+(B32))+(B33))+(B34))+(B35))+(B36))+(B37)</f>
        <v>164067.21999999997</v>
      </c>
      <c r="C38" s="10">
        <f>SUM(C19:C37)</f>
        <v>160685</v>
      </c>
      <c r="D38" s="10"/>
      <c r="E38" s="10">
        <f>SUM(E19:E37)</f>
        <v>204404.97099999999</v>
      </c>
    </row>
    <row r="39" spans="1:5" s="4" customFormat="1">
      <c r="A39" s="5" t="s">
        <v>36</v>
      </c>
      <c r="B39" s="10">
        <f>(B17)-(B38)</f>
        <v>4658.2600000000384</v>
      </c>
      <c r="C39" s="10">
        <f>C38</f>
        <v>160685</v>
      </c>
      <c r="D39" s="10"/>
      <c r="E39" s="10">
        <f>E38</f>
        <v>204404.97099999999</v>
      </c>
    </row>
    <row r="40" spans="1:5" s="4" customFormat="1">
      <c r="A40" s="5" t="s">
        <v>37</v>
      </c>
      <c r="B40" s="11">
        <f>(B39)+(0)</f>
        <v>4658.2600000000384</v>
      </c>
      <c r="C40" s="11">
        <f>C17-C39</f>
        <v>-33181.839999999997</v>
      </c>
      <c r="D40" s="11"/>
      <c r="E40" s="11">
        <f>E17-E39</f>
        <v>2416.5129999999772</v>
      </c>
    </row>
    <row r="41" spans="1:5" s="4" customFormat="1">
      <c r="A41" s="5"/>
      <c r="B41" s="6"/>
      <c r="C41" s="6"/>
      <c r="D41" s="6"/>
    </row>
    <row r="44" spans="1:5">
      <c r="A44" s="165" t="s">
        <v>38</v>
      </c>
      <c r="B44" s="165"/>
      <c r="C44" s="165"/>
      <c r="D44" s="165"/>
      <c r="E44" s="165"/>
    </row>
  </sheetData>
  <mergeCells count="3">
    <mergeCell ref="A1:E1"/>
    <mergeCell ref="A2:E2"/>
    <mergeCell ref="A44:E44"/>
  </mergeCells>
  <pageMargins left="0.25" right="0.25" top="0.75" bottom="0.75" header="0.3" footer="0.3"/>
  <pageSetup orientation="portrait" horizontalDpi="0" verticalDpi="0"/>
  <ignoredErrors>
    <ignoredError sqref="E10:E12 E23 E33:E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5BD0E-7FBE-9242-ABD9-2D727CCA93A6}">
  <dimension ref="A1:N196"/>
  <sheetViews>
    <sheetView topLeftCell="A13" workbookViewId="0">
      <selection activeCell="N26" sqref="N26"/>
    </sheetView>
  </sheetViews>
  <sheetFormatPr baseColWidth="10" defaultRowHeight="15"/>
  <cols>
    <col min="1" max="1" width="32" bestFit="1" customWidth="1"/>
    <col min="2" max="2" width="11.83203125" bestFit="1" customWidth="1"/>
    <col min="5" max="5" width="13.33203125" customWidth="1"/>
    <col min="6" max="6" width="14" customWidth="1"/>
    <col min="11" max="12" width="12.83203125" customWidth="1"/>
    <col min="14" max="14" width="12.1640625" bestFit="1" customWidth="1"/>
  </cols>
  <sheetData>
    <row r="1" spans="1:14" s="15" customFormat="1" ht="32">
      <c r="A1" s="12"/>
      <c r="B1" s="13">
        <v>43831</v>
      </c>
      <c r="C1" s="13">
        <v>43862</v>
      </c>
      <c r="D1" s="13">
        <v>43891</v>
      </c>
      <c r="E1" s="13">
        <v>43922</v>
      </c>
      <c r="F1" s="13">
        <v>43952</v>
      </c>
      <c r="G1" s="13">
        <v>43983</v>
      </c>
      <c r="H1" s="13">
        <v>44013</v>
      </c>
      <c r="I1" s="13">
        <v>44044</v>
      </c>
      <c r="J1" s="13">
        <v>44075</v>
      </c>
      <c r="K1" s="13">
        <v>44105</v>
      </c>
      <c r="L1" s="13">
        <v>44136</v>
      </c>
      <c r="M1" s="13">
        <v>44166</v>
      </c>
      <c r="N1" s="14" t="s">
        <v>58</v>
      </c>
    </row>
    <row r="2" spans="1:14" ht="17" customHeight="1">
      <c r="A2" s="16" t="s">
        <v>1</v>
      </c>
    </row>
    <row r="3" spans="1:14" ht="17" customHeight="1">
      <c r="A3" s="144" t="s">
        <v>159</v>
      </c>
      <c r="B3" s="98">
        <f>'2020 Assumptions'!$F$9*1.05</f>
        <v>10047.764999999999</v>
      </c>
      <c r="C3" s="98">
        <f>'2020 Assumptions'!$F$9*1.05</f>
        <v>10047.764999999999</v>
      </c>
      <c r="D3" s="98">
        <f>'2020 Assumptions'!$F$9*1.05</f>
        <v>10047.764999999999</v>
      </c>
      <c r="E3" s="98">
        <f>'2020 Assumptions'!$F$9</f>
        <v>9569.2999999999993</v>
      </c>
      <c r="F3" s="98">
        <f>'2020 Assumptions'!$F$9</f>
        <v>9569.2999999999993</v>
      </c>
      <c r="G3" s="98">
        <f>'2020 Assumptions'!$F$9</f>
        <v>9569.2999999999993</v>
      </c>
      <c r="H3" s="98">
        <f>'2020 Assumptions'!$F$9</f>
        <v>9569.2999999999993</v>
      </c>
      <c r="I3" s="98">
        <f>'2020 Assumptions'!$F$9</f>
        <v>9569.2999999999993</v>
      </c>
      <c r="J3" s="98">
        <f>'2020 Assumptions'!$F$9</f>
        <v>9569.2999999999993</v>
      </c>
      <c r="K3" s="98">
        <f>'2020 Assumptions'!$F$9</f>
        <v>9569.2999999999993</v>
      </c>
      <c r="L3" s="98">
        <f>'2020 Assumptions'!$F$9</f>
        <v>9569.2999999999993</v>
      </c>
      <c r="M3" s="98">
        <f>'2020 Assumptions'!$F$9</f>
        <v>9569.2999999999993</v>
      </c>
      <c r="N3" s="98">
        <f>SUM(B3:M3)</f>
        <v>116266.99500000002</v>
      </c>
    </row>
    <row r="4" spans="1:14" ht="17" customHeight="1">
      <c r="A4" s="144" t="s">
        <v>158</v>
      </c>
      <c r="B4" s="99">
        <f>'2020 Assumptions'!$K$11</f>
        <v>1350</v>
      </c>
      <c r="C4" s="99">
        <f>'2020 Assumptions'!$K$11</f>
        <v>1350</v>
      </c>
      <c r="D4" s="99">
        <f>'2020 Assumptions'!$K$11</f>
        <v>1350</v>
      </c>
      <c r="E4" s="99">
        <f>'2020 Assumptions'!$K$11</f>
        <v>1350</v>
      </c>
      <c r="F4" s="99">
        <f>'2020 Assumptions'!$K$11</f>
        <v>1350</v>
      </c>
      <c r="G4" s="99">
        <f>'2020 Assumptions'!$K$11</f>
        <v>1350</v>
      </c>
      <c r="H4" s="99">
        <f>'2020 Assumptions'!$K$11</f>
        <v>1350</v>
      </c>
      <c r="I4" s="99">
        <f>'2020 Assumptions'!$K$11</f>
        <v>1350</v>
      </c>
      <c r="J4" s="99">
        <f>'2020 Assumptions'!$K$11</f>
        <v>1350</v>
      </c>
      <c r="K4" s="99">
        <f>'2020 Assumptions'!$K$11</f>
        <v>1350</v>
      </c>
      <c r="L4" s="99">
        <f>'2020 Assumptions'!$K$11</f>
        <v>1350</v>
      </c>
      <c r="M4" s="99">
        <f>'2020 Assumptions'!$K$11</f>
        <v>1350</v>
      </c>
      <c r="N4" s="99">
        <f>SUM(B4:M4)</f>
        <v>16200</v>
      </c>
    </row>
    <row r="5" spans="1:14" ht="17" customHeight="1">
      <c r="A5" s="144" t="s">
        <v>121</v>
      </c>
      <c r="B5" s="99">
        <f>'2020 Assumptions'!K7</f>
        <v>25000</v>
      </c>
      <c r="C5" s="99">
        <f>'2020 Assumptions'!$K$9/10*(1+'2020 Assumptions'!C23)</f>
        <v>2475</v>
      </c>
      <c r="D5" s="99">
        <f>'2020 Assumptions'!$K$9/10*(1+'2020 Assumptions'!C23)</f>
        <v>2475</v>
      </c>
      <c r="E5" s="99">
        <f>'2020 Assumptions'!$K$9/10*(1+'2020 Assumptions'!C23)</f>
        <v>2475</v>
      </c>
      <c r="F5" s="99">
        <f>'2020 Assumptions'!$K$9/10*(1+'2020 Assumptions'!C23)</f>
        <v>2475</v>
      </c>
      <c r="G5" s="99">
        <f>'2020 Assumptions'!$K$9/10*(1+'2020 Assumptions'!C23)</f>
        <v>2475</v>
      </c>
      <c r="H5" s="99">
        <f>'2020 Assumptions'!$K$9/10*(1+'2020 Assumptions'!C23)</f>
        <v>2475</v>
      </c>
      <c r="I5" s="99">
        <f>'2020 Assumptions'!$K$9/10*(1+'2020 Assumptions'!C23)</f>
        <v>2475</v>
      </c>
      <c r="J5" s="99">
        <f>'2020 Assumptions'!$K$9/10*(1+'2020 Assumptions'!C23)</f>
        <v>2475</v>
      </c>
      <c r="K5" s="99">
        <f>'2020 Assumptions'!$K$9/10*(1+'2020 Assumptions'!C23)</f>
        <v>2475</v>
      </c>
      <c r="L5" s="99">
        <f>'2020 Assumptions'!$K$9/10*(1+'2020 Assumptions'!C23)</f>
        <v>2475</v>
      </c>
      <c r="M5" s="99">
        <f>'2020 Assumptions'!K8*(1+'2020 Assumptions'!C23)</f>
        <v>16500</v>
      </c>
      <c r="N5" s="99">
        <f>SUM(B5:M5)</f>
        <v>66250</v>
      </c>
    </row>
    <row r="6" spans="1:14" ht="17" customHeight="1">
      <c r="A6" s="144" t="s">
        <v>94</v>
      </c>
      <c r="C6" s="99">
        <f>'2020 Assumptions'!K17</f>
        <v>20000</v>
      </c>
      <c r="G6" s="99">
        <v>2200</v>
      </c>
      <c r="J6" s="99">
        <f>'2020 Assumptions'!K16</f>
        <v>2500</v>
      </c>
      <c r="N6" s="99">
        <f>SUM(B6:M6)</f>
        <v>24700</v>
      </c>
    </row>
    <row r="7" spans="1:14" ht="17" customHeight="1">
      <c r="A7" s="144" t="s">
        <v>160</v>
      </c>
      <c r="N7" s="99"/>
    </row>
    <row r="8" spans="1:14" ht="17" customHeight="1">
      <c r="A8" s="144" t="s">
        <v>95</v>
      </c>
      <c r="B8" s="98">
        <f>'2020 Assumptions'!$K$18</f>
        <v>1.1000000000000001</v>
      </c>
      <c r="C8" s="98">
        <f>'2020 Assumptions'!$K$18</f>
        <v>1.1000000000000001</v>
      </c>
      <c r="D8" s="98">
        <f>'2020 Assumptions'!$K$18</f>
        <v>1.1000000000000001</v>
      </c>
      <c r="E8" s="98">
        <f>'2020 Assumptions'!$K$18</f>
        <v>1.1000000000000001</v>
      </c>
      <c r="F8" s="98">
        <f>'2020 Assumptions'!$K$18</f>
        <v>1.1000000000000001</v>
      </c>
      <c r="G8" s="98">
        <f>'2020 Assumptions'!$K$18</f>
        <v>1.1000000000000001</v>
      </c>
      <c r="H8" s="98">
        <f>'2020 Assumptions'!$K$18</f>
        <v>1.1000000000000001</v>
      </c>
      <c r="I8" s="98">
        <f>'2020 Assumptions'!$K$18</f>
        <v>1.1000000000000001</v>
      </c>
      <c r="J8" s="98">
        <f>'2020 Assumptions'!$K$18</f>
        <v>1.1000000000000001</v>
      </c>
      <c r="K8" s="98">
        <f>'2020 Assumptions'!$K$18</f>
        <v>1.1000000000000001</v>
      </c>
      <c r="L8" s="98">
        <f>'2020 Assumptions'!$K$18</f>
        <v>1.1000000000000001</v>
      </c>
      <c r="M8" s="98">
        <f>'2020 Assumptions'!$K$18</f>
        <v>1.1000000000000001</v>
      </c>
      <c r="N8" s="98">
        <f>SUM(B8:M8)</f>
        <v>13.199999999999998</v>
      </c>
    </row>
    <row r="9" spans="1:14" ht="17" customHeight="1">
      <c r="A9" s="144" t="s">
        <v>161</v>
      </c>
      <c r="B9" s="99">
        <f>'2020 Assumptions'!$K$19</f>
        <v>700</v>
      </c>
      <c r="C9" s="99">
        <f>'2020 Assumptions'!$K$19</f>
        <v>700</v>
      </c>
      <c r="D9" s="99">
        <f>'2020 Assumptions'!$K$19</f>
        <v>700</v>
      </c>
      <c r="E9" s="99">
        <f>'2020 Assumptions'!$K$19</f>
        <v>700</v>
      </c>
      <c r="F9" s="99">
        <f>'2020 Assumptions'!$K$19</f>
        <v>700</v>
      </c>
      <c r="G9" s="99">
        <f>'2020 Assumptions'!$K$19</f>
        <v>700</v>
      </c>
      <c r="H9" s="99">
        <f>'2020 Assumptions'!$K$19</f>
        <v>700</v>
      </c>
      <c r="I9" s="99">
        <f>'2020 Assumptions'!$K$19</f>
        <v>700</v>
      </c>
      <c r="J9" s="99">
        <f>'2020 Assumptions'!$K$19</f>
        <v>700</v>
      </c>
      <c r="K9" s="99">
        <f>'2020 Assumptions'!$K$19</f>
        <v>700</v>
      </c>
      <c r="L9" s="99">
        <f>'2020 Assumptions'!$K$19</f>
        <v>700</v>
      </c>
      <c r="M9" s="99">
        <f>'2020 Assumptions'!$K$19</f>
        <v>700</v>
      </c>
      <c r="N9" s="99">
        <f>SUM(B9:M9)</f>
        <v>8400</v>
      </c>
    </row>
    <row r="10" spans="1:14" ht="17" customHeight="1">
      <c r="A10" s="148" t="s">
        <v>163</v>
      </c>
      <c r="B10" s="99">
        <f>'2020 Teacher Training Budget'!B11</f>
        <v>37915</v>
      </c>
      <c r="C10" s="99">
        <f>'2020 Teacher Training Budget'!C11</f>
        <v>39165</v>
      </c>
      <c r="D10" s="99">
        <f>'2020 Teacher Training Budget'!D11</f>
        <v>16670</v>
      </c>
      <c r="E10" s="99">
        <f>'2020 Teacher Training Budget'!E11</f>
        <v>0</v>
      </c>
      <c r="F10" s="99">
        <f>'2020 Teacher Training Budget'!F11</f>
        <v>0</v>
      </c>
      <c r="G10" s="99">
        <f>'2020 Teacher Training Budget'!G11</f>
        <v>27165</v>
      </c>
      <c r="H10" s="99">
        <f>'2020 Teacher Training Budget'!H11</f>
        <v>33165</v>
      </c>
      <c r="I10" s="99">
        <f>'2020 Teacher Training Budget'!I11</f>
        <v>12165</v>
      </c>
      <c r="J10" s="99">
        <f>'2020 Teacher Training Budget'!J11</f>
        <v>12165</v>
      </c>
      <c r="K10" s="99">
        <f>'2020 Teacher Training Budget'!K11</f>
        <v>6170</v>
      </c>
      <c r="L10" s="99">
        <f>'2020 Teacher Training Budget'!L11</f>
        <v>6170</v>
      </c>
      <c r="M10" s="99">
        <f>'2020 Teacher Training Budget'!M11</f>
        <v>0</v>
      </c>
      <c r="N10" s="99">
        <f>SUM(B10:M10)</f>
        <v>190750</v>
      </c>
    </row>
    <row r="11" spans="1:14" ht="17" customHeight="1">
      <c r="A11" s="144" t="s">
        <v>162</v>
      </c>
      <c r="B11" s="99">
        <f>'2020 Assumptions'!$K$20</f>
        <v>575</v>
      </c>
      <c r="C11" s="99">
        <f>'2020 Assumptions'!$K$20</f>
        <v>575</v>
      </c>
      <c r="D11" s="99">
        <f>'2020 Assumptions'!$K$20</f>
        <v>575</v>
      </c>
      <c r="E11" s="99">
        <f>'2020 Assumptions'!$K$20</f>
        <v>575</v>
      </c>
      <c r="F11" s="99">
        <f>'2020 Assumptions'!$K$20</f>
        <v>575</v>
      </c>
      <c r="G11" s="99">
        <f>'2020 Assumptions'!$K$20</f>
        <v>575</v>
      </c>
      <c r="H11" s="99">
        <f>'2020 Assumptions'!$K$20</f>
        <v>575</v>
      </c>
      <c r="I11" s="99">
        <f>'2020 Assumptions'!$K$20</f>
        <v>575</v>
      </c>
      <c r="J11" s="99">
        <f>'2020 Assumptions'!$K$20</f>
        <v>575</v>
      </c>
      <c r="K11" s="99">
        <f>'2020 Assumptions'!$K$20</f>
        <v>575</v>
      </c>
      <c r="L11" s="99">
        <f>'2020 Assumptions'!$K$20</f>
        <v>575</v>
      </c>
      <c r="M11" s="99">
        <f>'2020 Assumptions'!$K$20</f>
        <v>575</v>
      </c>
      <c r="N11" s="99">
        <f>SUM(B11:M11)</f>
        <v>6900</v>
      </c>
    </row>
    <row r="12" spans="1:14" ht="17" customHeight="1">
      <c r="A12" s="145" t="s">
        <v>97</v>
      </c>
      <c r="B12" s="99">
        <f>'2020 Assumptions'!$K$21</f>
        <v>650</v>
      </c>
      <c r="C12" s="99">
        <f>'2020 Assumptions'!$K$21</f>
        <v>650</v>
      </c>
      <c r="D12" s="99">
        <f>'2020 Assumptions'!$K$21</f>
        <v>650</v>
      </c>
      <c r="E12" s="99">
        <f>'2020 Assumptions'!$K$21</f>
        <v>650</v>
      </c>
      <c r="F12" s="99">
        <f>'2020 Assumptions'!$K$21</f>
        <v>650</v>
      </c>
      <c r="G12" s="99">
        <f>'2020 Assumptions'!$K$21</f>
        <v>650</v>
      </c>
      <c r="H12" s="99">
        <f>'2020 Assumptions'!$K$21</f>
        <v>650</v>
      </c>
      <c r="I12" s="99">
        <f>'2020 Assumptions'!$K$21</f>
        <v>650</v>
      </c>
      <c r="J12" s="99">
        <f>'2020 Assumptions'!$K$21</f>
        <v>650</v>
      </c>
      <c r="K12" s="99">
        <f>'2020 Assumptions'!$K$21</f>
        <v>650</v>
      </c>
      <c r="L12" s="99">
        <f>'2020 Assumptions'!$K$21</f>
        <v>650</v>
      </c>
      <c r="M12" s="99">
        <f>'2020 Assumptions'!$K$21</f>
        <v>650</v>
      </c>
      <c r="N12" s="99">
        <f>SUM(B12:M12)</f>
        <v>7800</v>
      </c>
    </row>
    <row r="13" spans="1:14" ht="17" customHeight="1">
      <c r="A13" s="16" t="s">
        <v>13</v>
      </c>
      <c r="B13" s="103">
        <f>SUM(B3:B12)</f>
        <v>76238.864999999991</v>
      </c>
      <c r="C13" s="103">
        <f>SUM(C3:C12)</f>
        <v>74963.864999999991</v>
      </c>
      <c r="D13" s="103">
        <f>SUM(D3:D12)</f>
        <v>32468.864999999998</v>
      </c>
      <c r="E13" s="103">
        <f>SUM(E3:E12)</f>
        <v>15320.4</v>
      </c>
      <c r="F13" s="103">
        <f>SUM(F3:F12)</f>
        <v>15320.4</v>
      </c>
      <c r="G13" s="103">
        <f>SUM(G3:G12)</f>
        <v>44685.4</v>
      </c>
      <c r="H13" s="103">
        <f>SUM(H3:H12)</f>
        <v>48485.4</v>
      </c>
      <c r="I13" s="103">
        <f>SUM(I3:I12)</f>
        <v>27485.4</v>
      </c>
      <c r="J13" s="103">
        <f>SUM(J3:J12)</f>
        <v>29985.4</v>
      </c>
      <c r="K13" s="103">
        <f>SUM(K3:K12)</f>
        <v>21490.400000000001</v>
      </c>
      <c r="L13" s="103">
        <f>SUM(L3:L12)</f>
        <v>21490.400000000001</v>
      </c>
      <c r="M13" s="103">
        <f>SUM(M3:M12)</f>
        <v>29345.399999999998</v>
      </c>
      <c r="N13" s="103">
        <f>SUM(N3:N12)</f>
        <v>437280.19500000007</v>
      </c>
    </row>
    <row r="14" spans="1:14" ht="17" customHeight="1">
      <c r="A14" s="16" t="s">
        <v>14</v>
      </c>
      <c r="B14" s="103">
        <f>B13</f>
        <v>76238.864999999991</v>
      </c>
      <c r="C14" s="103">
        <f t="shared" ref="C14:N14" si="0">C13</f>
        <v>74963.864999999991</v>
      </c>
      <c r="D14" s="103">
        <f t="shared" si="0"/>
        <v>32468.864999999998</v>
      </c>
      <c r="E14" s="103">
        <f t="shared" si="0"/>
        <v>15320.4</v>
      </c>
      <c r="F14" s="103">
        <f t="shared" si="0"/>
        <v>15320.4</v>
      </c>
      <c r="G14" s="103">
        <f t="shared" si="0"/>
        <v>44685.4</v>
      </c>
      <c r="H14" s="103">
        <f t="shared" si="0"/>
        <v>48485.4</v>
      </c>
      <c r="I14" s="103">
        <f t="shared" si="0"/>
        <v>27485.4</v>
      </c>
      <c r="J14" s="103">
        <f t="shared" si="0"/>
        <v>29985.4</v>
      </c>
      <c r="K14" s="103">
        <f t="shared" si="0"/>
        <v>21490.400000000001</v>
      </c>
      <c r="L14" s="103">
        <f t="shared" si="0"/>
        <v>21490.400000000001</v>
      </c>
      <c r="M14" s="103">
        <f t="shared" si="0"/>
        <v>29345.399999999998</v>
      </c>
      <c r="N14" s="103">
        <f t="shared" si="0"/>
        <v>437280.19500000007</v>
      </c>
    </row>
    <row r="15" spans="1:14" ht="17" customHeight="1">
      <c r="A15" s="16" t="s">
        <v>15</v>
      </c>
      <c r="B15" s="78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</row>
    <row r="16" spans="1:14" ht="17" customHeight="1">
      <c r="A16" s="144" t="s">
        <v>172</v>
      </c>
      <c r="B16" s="99">
        <f>'2020 Assumptions'!$K$24+'2020 Teacher Training Budget'!$B$13</f>
        <v>183.33333333333331</v>
      </c>
      <c r="C16" s="99">
        <f>'2020 Assumptions'!$K$24+'2020 Teacher Training Budget'!$B$13</f>
        <v>183.33333333333331</v>
      </c>
      <c r="D16" s="99">
        <f>'2020 Assumptions'!$K$24+'2020 Teacher Training Budget'!$B$13</f>
        <v>183.33333333333331</v>
      </c>
      <c r="E16" s="99">
        <f>'2020 Assumptions'!$K$24+'2020 Teacher Training Budget'!$B$13</f>
        <v>183.33333333333331</v>
      </c>
      <c r="F16" s="99">
        <f>'2020 Assumptions'!$K$24+'2020 Teacher Training Budget'!$B$13</f>
        <v>183.33333333333331</v>
      </c>
      <c r="G16" s="99">
        <f>'2020 Assumptions'!$K$24+'2020 Teacher Training Budget'!$B$13</f>
        <v>183.33333333333331</v>
      </c>
      <c r="H16" s="99">
        <f>'2020 Assumptions'!$K$24+'2020 Teacher Training Budget'!$B$13</f>
        <v>183.33333333333331</v>
      </c>
      <c r="I16" s="99">
        <f>'2020 Assumptions'!$K$24+'2020 Teacher Training Budget'!$B$13</f>
        <v>183.33333333333331</v>
      </c>
      <c r="J16" s="99">
        <f>'2020 Assumptions'!$K$24+'2020 Teacher Training Budget'!$B$13</f>
        <v>183.33333333333331</v>
      </c>
      <c r="K16" s="99">
        <f>'2020 Assumptions'!$K$24+'2020 Teacher Training Budget'!$B$13</f>
        <v>183.33333333333331</v>
      </c>
      <c r="L16" s="99">
        <f>'2020 Assumptions'!$K$24+'2020 Teacher Training Budget'!$B$13</f>
        <v>183.33333333333331</v>
      </c>
      <c r="M16" s="99">
        <f>'2020 Assumptions'!$K$24+'2020 Teacher Training Budget'!$B$13</f>
        <v>183.33333333333331</v>
      </c>
      <c r="N16" s="99">
        <f t="shared" ref="N16:N23" si="1">SUM(B16:M16)</f>
        <v>2199.9999999999995</v>
      </c>
    </row>
    <row r="17" spans="1:14" ht="17" customHeight="1">
      <c r="A17" s="144" t="s">
        <v>171</v>
      </c>
      <c r="C17" s="99">
        <f>'2020 Assumptions'!K28</f>
        <v>7500</v>
      </c>
      <c r="G17" s="99">
        <v>700</v>
      </c>
      <c r="J17" s="99">
        <f>'2020 Assumptions'!K27</f>
        <v>250</v>
      </c>
      <c r="N17" s="99">
        <f t="shared" si="1"/>
        <v>8450</v>
      </c>
    </row>
    <row r="18" spans="1:14" ht="17" customHeight="1">
      <c r="A18" s="144" t="s">
        <v>173</v>
      </c>
      <c r="B18" s="99">
        <f>'2020 Assumptions'!$L$30+'2020 Teacher Training Budget'!B16</f>
        <v>19360.933333333334</v>
      </c>
      <c r="C18" s="99">
        <f>'2020 Assumptions'!$L$30+'2020 Teacher Training Budget'!C16</f>
        <v>19360.933333333334</v>
      </c>
      <c r="D18" s="99">
        <f>'2020 Assumptions'!$L$30+'2020 Teacher Training Budget'!D16</f>
        <v>19360.933333333334</v>
      </c>
      <c r="E18" s="99">
        <f>'2020 Assumptions'!$L$30+'2020 Teacher Training Budget'!E16</f>
        <v>19360.933333333334</v>
      </c>
      <c r="F18" s="99">
        <f>'2020 Assumptions'!$L$30+'2020 Teacher Training Budget'!F16</f>
        <v>19360.933333333334</v>
      </c>
      <c r="G18" s="99">
        <f>'2020 Assumptions'!$L$30+'2020 Teacher Training Budget'!G16</f>
        <v>19360.933333333334</v>
      </c>
      <c r="H18" s="99">
        <f>'2020 Assumptions'!$L$30+'2020 Teacher Training Budget'!H16</f>
        <v>19360.933333333334</v>
      </c>
      <c r="I18" s="99">
        <f>'2020 Assumptions'!$L$30+'2020 Teacher Training Budget'!I16</f>
        <v>19360.933333333334</v>
      </c>
      <c r="J18" s="99">
        <f>'2020 Assumptions'!$L$30+'2020 Teacher Training Budget'!J16</f>
        <v>19360.933333333334</v>
      </c>
      <c r="K18" s="99">
        <f>'2020 Assumptions'!$L$30+'2020 Teacher Training Budget'!K16</f>
        <v>19360.933333333334</v>
      </c>
      <c r="L18" s="99">
        <f>'2020 Assumptions'!$L$30+'2020 Teacher Training Budget'!L16</f>
        <v>19360.933333333334</v>
      </c>
      <c r="M18" s="99">
        <f>'2020 Assumptions'!$L$30+'2020 Teacher Training Budget'!M16</f>
        <v>19360.933333333334</v>
      </c>
      <c r="N18" s="99">
        <f t="shared" si="1"/>
        <v>232331.20000000007</v>
      </c>
    </row>
    <row r="19" spans="1:14" ht="17" customHeight="1">
      <c r="A19" s="144" t="s">
        <v>169</v>
      </c>
      <c r="B19" s="99">
        <f>'2020 Teacher Training Budget'!B14</f>
        <v>5000</v>
      </c>
      <c r="C19" s="99">
        <f>'2020 Teacher Training Budget'!C14</f>
        <v>5000</v>
      </c>
      <c r="D19" s="99">
        <f>'2020 Teacher Training Budget'!D14</f>
        <v>5000</v>
      </c>
      <c r="E19" s="99">
        <f>'2020 Teacher Training Budget'!E14</f>
        <v>5000</v>
      </c>
      <c r="F19" s="99">
        <f>'2020 Teacher Training Budget'!F14</f>
        <v>5000</v>
      </c>
      <c r="G19" s="99">
        <f>'2020 Teacher Training Budget'!G14</f>
        <v>5000</v>
      </c>
      <c r="H19" s="99">
        <f>'2020 Teacher Training Budget'!H14</f>
        <v>5000</v>
      </c>
      <c r="I19" s="99">
        <f>'2020 Teacher Training Budget'!I14</f>
        <v>5000</v>
      </c>
      <c r="J19" s="99">
        <f>'2020 Teacher Training Budget'!J14</f>
        <v>5000</v>
      </c>
      <c r="K19" s="99">
        <f>'2020 Teacher Training Budget'!K14</f>
        <v>5000</v>
      </c>
      <c r="L19" s="99">
        <f>'2020 Teacher Training Budget'!L14</f>
        <v>5000</v>
      </c>
      <c r="M19" s="99">
        <f>'2020 Teacher Training Budget'!M14</f>
        <v>5000</v>
      </c>
      <c r="N19" s="99">
        <f t="shared" si="1"/>
        <v>60000</v>
      </c>
    </row>
    <row r="20" spans="1:14" ht="17" customHeight="1">
      <c r="A20" s="144" t="s">
        <v>182</v>
      </c>
      <c r="B20" s="99">
        <f>'2020 Teacher Training Budget'!B15</f>
        <v>332.5</v>
      </c>
      <c r="C20" s="99">
        <f>'2020 Teacher Training Budget'!C15</f>
        <v>332.5</v>
      </c>
      <c r="D20" s="99">
        <f>'2020 Teacher Training Budget'!D15</f>
        <v>332.5</v>
      </c>
      <c r="E20" s="99">
        <f>'2020 Teacher Training Budget'!E15</f>
        <v>332.5</v>
      </c>
      <c r="F20" s="99">
        <f>'2020 Teacher Training Budget'!F15</f>
        <v>332.5</v>
      </c>
      <c r="G20" s="99">
        <f>'2020 Teacher Training Budget'!G15</f>
        <v>332.5</v>
      </c>
      <c r="H20" s="99">
        <f>'2020 Teacher Training Budget'!H15</f>
        <v>332.5</v>
      </c>
      <c r="I20" s="99">
        <f>'2020 Teacher Training Budget'!I15</f>
        <v>332.5</v>
      </c>
      <c r="J20" s="99">
        <f>'2020 Teacher Training Budget'!J15</f>
        <v>332.5</v>
      </c>
      <c r="K20" s="99">
        <f>'2020 Teacher Training Budget'!K15</f>
        <v>332.5</v>
      </c>
      <c r="L20" s="99">
        <f>'2020 Teacher Training Budget'!L15</f>
        <v>332.5</v>
      </c>
      <c r="M20" s="99">
        <f>'2020 Teacher Training Budget'!M15</f>
        <v>332.5</v>
      </c>
      <c r="N20" s="99">
        <f t="shared" si="1"/>
        <v>3990</v>
      </c>
    </row>
    <row r="21" spans="1:14" ht="17" customHeight="1">
      <c r="A21" s="144" t="s">
        <v>153</v>
      </c>
      <c r="B21" s="99">
        <f>'2020 Assumptions'!$K$53</f>
        <v>100</v>
      </c>
      <c r="C21" s="99">
        <f>'2020 Assumptions'!$K$53</f>
        <v>100</v>
      </c>
      <c r="D21" s="99">
        <f>'2020 Assumptions'!$K$53</f>
        <v>100</v>
      </c>
      <c r="E21" s="99">
        <f>'2020 Assumptions'!$K$53</f>
        <v>100</v>
      </c>
      <c r="F21" s="99">
        <f>'2020 Assumptions'!$K$53</f>
        <v>100</v>
      </c>
      <c r="G21" s="99">
        <f>'2020 Assumptions'!$K$53+'2020 Teacher Training Budget'!G19</f>
        <v>700</v>
      </c>
      <c r="H21" s="99">
        <f>'2020 Assumptions'!$K$53</f>
        <v>100</v>
      </c>
      <c r="I21" s="99">
        <f>'2020 Assumptions'!$K$53</f>
        <v>100</v>
      </c>
      <c r="J21" s="99">
        <f>'2020 Assumptions'!$K$53</f>
        <v>100</v>
      </c>
      <c r="K21" s="99">
        <f>'2020 Assumptions'!$K$53</f>
        <v>100</v>
      </c>
      <c r="L21" s="99">
        <f>'2020 Assumptions'!$K$53</f>
        <v>100</v>
      </c>
      <c r="M21" s="99">
        <f>'2020 Assumptions'!$K$53</f>
        <v>100</v>
      </c>
      <c r="N21" s="99">
        <f t="shared" si="1"/>
        <v>1800</v>
      </c>
    </row>
    <row r="22" spans="1:14" ht="17" customHeight="1">
      <c r="A22" s="144" t="s">
        <v>111</v>
      </c>
      <c r="B22" s="99">
        <f>'2020 Assumptions'!$K$38</f>
        <v>350</v>
      </c>
      <c r="C22" s="99">
        <f>'2020 Assumptions'!$K$38</f>
        <v>350</v>
      </c>
      <c r="D22" s="99">
        <f>'2020 Assumptions'!$K$38</f>
        <v>350</v>
      </c>
      <c r="E22" s="99">
        <f>'2020 Assumptions'!$K$38</f>
        <v>350</v>
      </c>
      <c r="F22" s="99">
        <f>'2020 Assumptions'!$K$38</f>
        <v>350</v>
      </c>
      <c r="G22" s="99">
        <f>'2020 Assumptions'!$K$38</f>
        <v>350</v>
      </c>
      <c r="H22" s="99">
        <f>'2020 Assumptions'!$K$38</f>
        <v>350</v>
      </c>
      <c r="I22" s="99">
        <f>'2020 Assumptions'!$K$38</f>
        <v>350</v>
      </c>
      <c r="J22" s="99">
        <f>'2020 Assumptions'!$K$38</f>
        <v>350</v>
      </c>
      <c r="K22" s="99">
        <f>'2020 Assumptions'!$K$38</f>
        <v>350</v>
      </c>
      <c r="L22" s="99">
        <f>'2020 Assumptions'!$K$38</f>
        <v>350</v>
      </c>
      <c r="M22" s="99">
        <f>'2020 Assumptions'!$K$38</f>
        <v>350</v>
      </c>
      <c r="N22" s="99">
        <f t="shared" si="1"/>
        <v>4200</v>
      </c>
    </row>
    <row r="23" spans="1:14" ht="17" customHeight="1">
      <c r="A23" s="144" t="s">
        <v>177</v>
      </c>
      <c r="B23" s="99">
        <f>B5/6*'2020 Assumptions'!K44</f>
        <v>133.33333333333334</v>
      </c>
      <c r="C23" s="98">
        <f>C5*0.8*'2020 Assumptions'!$K$44</f>
        <v>63.36</v>
      </c>
      <c r="D23" s="98">
        <f>D5*0.8*'2020 Assumptions'!$K$44</f>
        <v>63.36</v>
      </c>
      <c r="E23" s="98">
        <f>E5*0.8*'2020 Assumptions'!$K$44</f>
        <v>63.36</v>
      </c>
      <c r="F23" s="98">
        <f>F5*0.8*'2020 Assumptions'!$K$44</f>
        <v>63.36</v>
      </c>
      <c r="G23" s="98">
        <f>G5*0.8*'2020 Assumptions'!$K$44</f>
        <v>63.36</v>
      </c>
      <c r="H23" s="98">
        <f>H5*0.8*'2020 Assumptions'!$K$44</f>
        <v>63.36</v>
      </c>
      <c r="I23" s="98">
        <f>I5*0.8*'2020 Assumptions'!$K$44</f>
        <v>63.36</v>
      </c>
      <c r="J23" s="98">
        <f>J5*0.8*'2020 Assumptions'!$K$44</f>
        <v>63.36</v>
      </c>
      <c r="K23" s="98">
        <f>K5*0.8*'2020 Assumptions'!$K$44</f>
        <v>63.36</v>
      </c>
      <c r="L23" s="98">
        <f>L5*0.8*'2020 Assumptions'!$K$44</f>
        <v>63.36</v>
      </c>
      <c r="M23" s="99">
        <f>M5/4*'2020 Assumptions'!K44</f>
        <v>132</v>
      </c>
      <c r="N23" s="99">
        <f t="shared" si="1"/>
        <v>898.93333333333339</v>
      </c>
    </row>
    <row r="24" spans="1:14" ht="17" customHeight="1">
      <c r="A24" s="144" t="s">
        <v>178</v>
      </c>
      <c r="B24" s="98">
        <f>('2020 Assumptions'!$K$49/12)+('2020 Assumptions'!F58)+'2020 Teacher Training Budget'!B20</f>
        <v>2715.666666666667</v>
      </c>
      <c r="C24" s="98">
        <f>('2020 Assumptions'!$K$49/12)+'2020 Assumptions'!K50+'2020 Assumptions'!F58</f>
        <v>2215.666666666667</v>
      </c>
      <c r="D24" s="99">
        <f>('2020 Assumptions'!$K$49/12)+'2020 Assumptions'!$K$48</f>
        <v>1715.6666666666667</v>
      </c>
      <c r="E24" s="99">
        <f>('2020 Assumptions'!$K$49/12)+'2020 Assumptions'!$K$48</f>
        <v>1715.6666666666667</v>
      </c>
      <c r="F24" s="99">
        <f>('2020 Assumptions'!$K$49/12)+'2020 Assumptions'!$K$48</f>
        <v>1715.6666666666667</v>
      </c>
      <c r="G24" s="99">
        <f>('2020 Assumptions'!$K$49/12)+'2020 Assumptions'!$K$48</f>
        <v>1715.6666666666667</v>
      </c>
      <c r="H24" s="99">
        <f>('2020 Assumptions'!$K$49/12)+'2020 Assumptions'!$K$48</f>
        <v>1715.6666666666667</v>
      </c>
      <c r="I24" s="99">
        <f>('2020 Assumptions'!$K$49/12)+'2020 Assumptions'!$K$48</f>
        <v>1715.6666666666667</v>
      </c>
      <c r="J24" s="99">
        <f>('2020 Assumptions'!$K$49/12)+'2020 Assumptions'!$K$48</f>
        <v>1715.6666666666667</v>
      </c>
      <c r="K24" s="99">
        <f>('2020 Assumptions'!$K$49/12)+'2020 Assumptions'!$K$48</f>
        <v>1715.6666666666667</v>
      </c>
      <c r="L24" s="98">
        <f>('2020 Assumptions'!$K$49/12)+'2020 Assumptions'!$K$48+'2020 Assumptions'!K47</f>
        <v>4715.666666666667</v>
      </c>
      <c r="M24" s="99">
        <f>('2020 Assumptions'!$K$49/12)+'2020 Assumptions'!$K$48</f>
        <v>1715.6666666666667</v>
      </c>
      <c r="N24" s="99">
        <f t="shared" ref="N24:N29" si="2">SUM(B24:M24)</f>
        <v>25088.000000000004</v>
      </c>
    </row>
    <row r="25" spans="1:14" ht="17" customHeight="1">
      <c r="A25" s="144" t="s">
        <v>113</v>
      </c>
      <c r="B25" s="99">
        <f>'2020 Assumptions'!$K$37+'2020 Teacher Training Budget'!B21</f>
        <v>300</v>
      </c>
      <c r="C25" s="99">
        <f>'2020 Assumptions'!$K$37+'2020 Teacher Training Budget'!C21</f>
        <v>300</v>
      </c>
      <c r="D25" s="99">
        <f>'2020 Assumptions'!$K$37+'2020 Teacher Training Budget'!D21</f>
        <v>300</v>
      </c>
      <c r="E25" s="99">
        <f>'2020 Assumptions'!$K$37+'2020 Teacher Training Budget'!E21</f>
        <v>300</v>
      </c>
      <c r="F25" s="99">
        <f>'2020 Assumptions'!$K$37+'2020 Teacher Training Budget'!F21</f>
        <v>300</v>
      </c>
      <c r="G25" s="99">
        <f>'2020 Assumptions'!$K$37+'2020 Teacher Training Budget'!G21</f>
        <v>300</v>
      </c>
      <c r="H25" s="99">
        <f>'2020 Assumptions'!$K$37+'2020 Teacher Training Budget'!H21</f>
        <v>300</v>
      </c>
      <c r="I25" s="99">
        <f>'2020 Assumptions'!$K$37+'2020 Teacher Training Budget'!I21</f>
        <v>300</v>
      </c>
      <c r="J25" s="99">
        <f>'2020 Assumptions'!$K$37+'2020 Teacher Training Budget'!J21</f>
        <v>300</v>
      </c>
      <c r="K25" s="99">
        <f>'2020 Assumptions'!$K$37+'2020 Teacher Training Budget'!K21</f>
        <v>300</v>
      </c>
      <c r="L25" s="99">
        <f>'2020 Assumptions'!$K$37+'2020 Teacher Training Budget'!L21</f>
        <v>300</v>
      </c>
      <c r="M25" s="99">
        <f>'2020 Assumptions'!$K$37+'2020 Teacher Training Budget'!M21</f>
        <v>300</v>
      </c>
      <c r="N25" s="99">
        <f t="shared" si="2"/>
        <v>3600</v>
      </c>
    </row>
    <row r="26" spans="1:14" ht="17" customHeight="1">
      <c r="A26" s="144" t="s">
        <v>179</v>
      </c>
      <c r="B26" s="99">
        <f t="shared" ref="B26:M26" si="3">0.6*B9</f>
        <v>420</v>
      </c>
      <c r="C26" s="99">
        <f t="shared" si="3"/>
        <v>420</v>
      </c>
      <c r="D26" s="99">
        <f t="shared" si="3"/>
        <v>420</v>
      </c>
      <c r="E26" s="99">
        <f t="shared" si="3"/>
        <v>420</v>
      </c>
      <c r="F26" s="99">
        <f t="shared" si="3"/>
        <v>420</v>
      </c>
      <c r="G26" s="99">
        <f t="shared" si="3"/>
        <v>420</v>
      </c>
      <c r="H26" s="99">
        <f t="shared" si="3"/>
        <v>420</v>
      </c>
      <c r="I26" s="99">
        <f t="shared" si="3"/>
        <v>420</v>
      </c>
      <c r="J26" s="99">
        <f t="shared" si="3"/>
        <v>420</v>
      </c>
      <c r="K26" s="99">
        <f t="shared" si="3"/>
        <v>420</v>
      </c>
      <c r="L26" s="99">
        <f t="shared" si="3"/>
        <v>420</v>
      </c>
      <c r="M26" s="99">
        <f t="shared" si="3"/>
        <v>420</v>
      </c>
      <c r="N26" s="99">
        <f t="shared" si="2"/>
        <v>5040</v>
      </c>
    </row>
    <row r="27" spans="1:14" ht="17" customHeight="1">
      <c r="A27" s="144" t="s">
        <v>176</v>
      </c>
      <c r="B27" s="99">
        <f>0.05*B3</f>
        <v>502.38824999999997</v>
      </c>
      <c r="C27" s="99">
        <f>0.05*C3</f>
        <v>502.38824999999997</v>
      </c>
      <c r="D27" s="99">
        <f>0.05*D3</f>
        <v>502.38824999999997</v>
      </c>
      <c r="E27" s="99">
        <f>0.05*E3</f>
        <v>478.46499999999997</v>
      </c>
      <c r="F27" s="99">
        <f>0.05*F3</f>
        <v>478.46499999999997</v>
      </c>
      <c r="G27" s="99">
        <f>0.05*G3</f>
        <v>478.46499999999997</v>
      </c>
      <c r="H27" s="99">
        <f>0.05*H3</f>
        <v>478.46499999999997</v>
      </c>
      <c r="I27" s="99">
        <f>0.05*I3</f>
        <v>478.46499999999997</v>
      </c>
      <c r="J27" s="99">
        <f>0.05*J3</f>
        <v>478.46499999999997</v>
      </c>
      <c r="K27" s="99">
        <f>0.05*K3</f>
        <v>478.46499999999997</v>
      </c>
      <c r="L27" s="99">
        <f>0.05*L3</f>
        <v>478.46499999999997</v>
      </c>
      <c r="M27" s="99">
        <f>0.05*M3</f>
        <v>478.46499999999997</v>
      </c>
      <c r="N27" s="99">
        <f t="shared" si="2"/>
        <v>5813.3497500000003</v>
      </c>
    </row>
    <row r="28" spans="1:14" ht="17" customHeight="1">
      <c r="A28" s="144" t="s">
        <v>114</v>
      </c>
      <c r="B28" s="99">
        <f>'2020 Assumptions'!$L$39+'2020 Teacher Training Budget'!B17</f>
        <v>494.41666666666669</v>
      </c>
      <c r="C28" s="99">
        <f>'2020 Assumptions'!$L$39+'2020 Teacher Training Budget'!C17</f>
        <v>494.41666666666669</v>
      </c>
      <c r="D28" s="99">
        <f>'2020 Assumptions'!$L$39+'2020 Teacher Training Budget'!D17</f>
        <v>494.41666666666669</v>
      </c>
      <c r="E28" s="99">
        <f>'2020 Assumptions'!$L$39+'2020 Assumptions'!K43+'2020 Teacher Training Budget'!E17</f>
        <v>2994.4166666666665</v>
      </c>
      <c r="F28" s="99">
        <f>'2020 Assumptions'!$L$39+'2020 Teacher Training Budget'!F17</f>
        <v>494.41666666666669</v>
      </c>
      <c r="G28" s="99">
        <f>'2020 Assumptions'!$L$39+'2020 Teacher Training Budget'!G17</f>
        <v>494.41666666666669</v>
      </c>
      <c r="H28" s="99">
        <f>'2020 Assumptions'!$L$39+'2020 Teacher Training Budget'!H17</f>
        <v>494.41666666666669</v>
      </c>
      <c r="I28" s="99">
        <f>'2020 Assumptions'!$L$39+'2020 Teacher Training Budget'!I17</f>
        <v>494.41666666666669</v>
      </c>
      <c r="J28" s="99">
        <f>'2020 Assumptions'!$L$39+'2020 Teacher Training Budget'!J17</f>
        <v>494.41666666666669</v>
      </c>
      <c r="K28" s="99">
        <f>'2020 Assumptions'!$L$39+'2020 Teacher Training Budget'!K17</f>
        <v>494.41666666666669</v>
      </c>
      <c r="L28" s="99">
        <f>'2020 Assumptions'!$L$39+'2020 Teacher Training Budget'!L17</f>
        <v>494.41666666666669</v>
      </c>
      <c r="M28" s="99">
        <f>'2020 Assumptions'!$L$39+'2020 Teacher Training Budget'!M17</f>
        <v>494.41666666666669</v>
      </c>
      <c r="N28" s="99">
        <f t="shared" si="2"/>
        <v>8433.0000000000018</v>
      </c>
    </row>
    <row r="29" spans="1:14" ht="17" customHeight="1">
      <c r="A29" s="144" t="s">
        <v>175</v>
      </c>
      <c r="B29" s="99">
        <f>'2020 Assumptions'!$K$45</f>
        <v>100</v>
      </c>
      <c r="C29" s="99">
        <f>'2020 Assumptions'!$K$45</f>
        <v>100</v>
      </c>
      <c r="D29" s="99">
        <f>'2020 Assumptions'!$K$45</f>
        <v>100</v>
      </c>
      <c r="E29" s="99">
        <f>'2020 Assumptions'!$K$45</f>
        <v>100</v>
      </c>
      <c r="F29" s="99">
        <f>'2020 Assumptions'!$K$45</f>
        <v>100</v>
      </c>
      <c r="G29" s="99">
        <f>'2020 Assumptions'!$K$45</f>
        <v>100</v>
      </c>
      <c r="H29" s="99">
        <f>'2020 Assumptions'!$K$45</f>
        <v>100</v>
      </c>
      <c r="I29" s="99">
        <f>'2020 Assumptions'!$K$45</f>
        <v>100</v>
      </c>
      <c r="J29" s="99">
        <f>'2020 Assumptions'!$K$45</f>
        <v>100</v>
      </c>
      <c r="K29" s="99">
        <f>'2020 Assumptions'!$K$45</f>
        <v>100</v>
      </c>
      <c r="L29" s="99">
        <f>'2020 Assumptions'!$K$45</f>
        <v>100</v>
      </c>
      <c r="M29" s="99">
        <f>'2020 Assumptions'!$K$45</f>
        <v>100</v>
      </c>
      <c r="N29" s="99">
        <f t="shared" si="2"/>
        <v>1200</v>
      </c>
    </row>
    <row r="30" spans="1:14" ht="17" customHeight="1">
      <c r="A30" s="144" t="s">
        <v>155</v>
      </c>
      <c r="G30" s="99">
        <f>'2020 Teacher Training Budget'!G22</f>
        <v>1000</v>
      </c>
      <c r="N30" s="99">
        <f t="shared" ref="N30:N35" si="4">SUM(B30:M30)</f>
        <v>1000</v>
      </c>
    </row>
    <row r="31" spans="1:14" ht="17" customHeight="1">
      <c r="A31" s="144" t="s">
        <v>174</v>
      </c>
      <c r="B31" s="99">
        <f>'2020 Assumptions'!$K$52</f>
        <v>1500</v>
      </c>
      <c r="C31" s="99">
        <f>'2020 Assumptions'!$K$52</f>
        <v>1500</v>
      </c>
      <c r="D31" s="99">
        <f>'2020 Assumptions'!$K$52</f>
        <v>1500</v>
      </c>
      <c r="E31" s="99">
        <f>'2020 Assumptions'!$K$52</f>
        <v>1500</v>
      </c>
      <c r="F31" s="99">
        <f>'2020 Assumptions'!$K$52</f>
        <v>1500</v>
      </c>
      <c r="G31" s="99">
        <f>'2020 Assumptions'!$K$52</f>
        <v>1500</v>
      </c>
      <c r="H31" s="99">
        <f>'2020 Assumptions'!$K$52</f>
        <v>1500</v>
      </c>
      <c r="I31" s="99">
        <f>'2020 Assumptions'!$K$52</f>
        <v>1500</v>
      </c>
      <c r="J31" s="99">
        <f>'2020 Assumptions'!$K$52</f>
        <v>1500</v>
      </c>
      <c r="K31" s="99">
        <f>'2020 Assumptions'!$K$52</f>
        <v>1500</v>
      </c>
      <c r="L31" s="99">
        <f>'2020 Assumptions'!$K$52</f>
        <v>1500</v>
      </c>
      <c r="M31" s="99">
        <f>'2020 Assumptions'!$K$52</f>
        <v>1500</v>
      </c>
      <c r="N31" s="99">
        <f t="shared" si="4"/>
        <v>18000</v>
      </c>
    </row>
    <row r="32" spans="1:14" ht="17" customHeight="1">
      <c r="A32" s="144" t="s">
        <v>181</v>
      </c>
      <c r="B32" s="99">
        <f>'2020 Teacher Training Budget'!B18</f>
        <v>1000</v>
      </c>
      <c r="C32" s="99">
        <f>'2020 Teacher Training Budget'!C18</f>
        <v>1000</v>
      </c>
      <c r="D32" s="99">
        <f>'2020 Teacher Training Budget'!D18</f>
        <v>1000</v>
      </c>
      <c r="E32" s="99">
        <f>'2020 Teacher Training Budget'!E18</f>
        <v>0</v>
      </c>
      <c r="F32" s="99">
        <f>'2020 Teacher Training Budget'!F18</f>
        <v>0</v>
      </c>
      <c r="G32" s="99">
        <f>'2020 Teacher Training Budget'!G18</f>
        <v>1500</v>
      </c>
      <c r="H32" s="99">
        <f>'2020 Teacher Training Budget'!H18</f>
        <v>1500</v>
      </c>
      <c r="I32" s="99">
        <f>'2020 Teacher Training Budget'!I18</f>
        <v>1000</v>
      </c>
      <c r="J32" s="99">
        <f>'2020 Teacher Training Budget'!J18</f>
        <v>1000</v>
      </c>
      <c r="K32" s="99">
        <f>'2020 Teacher Training Budget'!K18</f>
        <v>1000</v>
      </c>
      <c r="L32" s="99">
        <f>'2020 Teacher Training Budget'!L18</f>
        <v>1000</v>
      </c>
      <c r="M32" s="99">
        <f>'2020 Teacher Training Budget'!M18</f>
        <v>0</v>
      </c>
      <c r="N32" s="99">
        <f t="shared" si="4"/>
        <v>10000</v>
      </c>
    </row>
    <row r="33" spans="1:14" ht="17" customHeight="1">
      <c r="A33" s="144" t="s">
        <v>183</v>
      </c>
      <c r="B33" s="99">
        <v>100</v>
      </c>
      <c r="G33" s="99">
        <f>900+'2020 Teacher Training Budget'!G24</f>
        <v>2600</v>
      </c>
      <c r="H33" s="99"/>
      <c r="I33" s="99">
        <v>150</v>
      </c>
      <c r="J33" s="99"/>
      <c r="N33" s="99">
        <f t="shared" si="4"/>
        <v>2850</v>
      </c>
    </row>
    <row r="34" spans="1:14" ht="17" customHeight="1">
      <c r="A34" s="144" t="s">
        <v>156</v>
      </c>
      <c r="B34" s="99">
        <f>'2020 Teacher Training Budget'!B23</f>
        <v>400</v>
      </c>
      <c r="C34" s="99">
        <f>'2020 Teacher Training Budget'!C23</f>
        <v>400</v>
      </c>
      <c r="D34" s="99">
        <f>'2020 Teacher Training Budget'!D23</f>
        <v>400</v>
      </c>
      <c r="E34" s="99">
        <f>'2020 Teacher Training Budget'!E23</f>
        <v>400</v>
      </c>
      <c r="F34" s="99">
        <f>'2020 Teacher Training Budget'!F23</f>
        <v>400</v>
      </c>
      <c r="G34" s="99">
        <f>'2020 Teacher Training Budget'!G23</f>
        <v>400</v>
      </c>
      <c r="H34" s="99">
        <f>'2020 Teacher Training Budget'!H23</f>
        <v>400</v>
      </c>
      <c r="I34" s="99">
        <f>'2020 Teacher Training Budget'!I23</f>
        <v>400</v>
      </c>
      <c r="J34" s="99">
        <f>'2020 Teacher Training Budget'!J23</f>
        <v>400</v>
      </c>
      <c r="K34" s="99">
        <f>'2020 Teacher Training Budget'!K23</f>
        <v>400</v>
      </c>
      <c r="L34" s="99">
        <f>'2020 Teacher Training Budget'!L23</f>
        <v>400</v>
      </c>
      <c r="M34" s="99">
        <f>'2020 Teacher Training Budget'!M23</f>
        <v>400</v>
      </c>
      <c r="N34" s="99">
        <f t="shared" si="4"/>
        <v>4800</v>
      </c>
    </row>
    <row r="35" spans="1:14" ht="17" customHeight="1">
      <c r="A35" s="144" t="s">
        <v>91</v>
      </c>
      <c r="B35" s="99">
        <f>'2020 Assumptions'!$K$60</f>
        <v>100</v>
      </c>
      <c r="C35" s="99">
        <f>'2020 Assumptions'!$K$60</f>
        <v>100</v>
      </c>
      <c r="D35" s="99">
        <f>'2020 Assumptions'!$K$60</f>
        <v>100</v>
      </c>
      <c r="E35" s="99">
        <f>'2020 Assumptions'!$K$60</f>
        <v>100</v>
      </c>
      <c r="F35" s="99">
        <f>'2020 Assumptions'!$K$60</f>
        <v>100</v>
      </c>
      <c r="G35" s="99">
        <f>'2020 Assumptions'!$K$60</f>
        <v>100</v>
      </c>
      <c r="H35" s="99">
        <f>'2020 Assumptions'!$K$60</f>
        <v>100</v>
      </c>
      <c r="I35" s="99">
        <f>'2020 Assumptions'!$K$60</f>
        <v>100</v>
      </c>
      <c r="J35" s="99">
        <f>'2020 Assumptions'!$K$60</f>
        <v>100</v>
      </c>
      <c r="K35" s="99">
        <f>'2020 Assumptions'!$K$60</f>
        <v>100</v>
      </c>
      <c r="L35" s="99">
        <f>'2020 Assumptions'!$K$60</f>
        <v>100</v>
      </c>
      <c r="M35" s="99">
        <f>'2020 Assumptions'!$K$60</f>
        <v>100</v>
      </c>
      <c r="N35" s="99">
        <f t="shared" si="4"/>
        <v>1200</v>
      </c>
    </row>
    <row r="36" spans="1:14" ht="17" customHeight="1">
      <c r="A36" s="16" t="s">
        <v>35</v>
      </c>
      <c r="B36" s="103">
        <f t="shared" ref="B36:N36" si="5">SUM(B16:B35)</f>
        <v>33092.571583333338</v>
      </c>
      <c r="C36" s="103">
        <f t="shared" si="5"/>
        <v>39922.598249999988</v>
      </c>
      <c r="D36" s="103">
        <f t="shared" si="5"/>
        <v>31922.598250000003</v>
      </c>
      <c r="E36" s="103">
        <f t="shared" si="5"/>
        <v>33398.675000000003</v>
      </c>
      <c r="F36" s="103">
        <f t="shared" si="5"/>
        <v>30898.675000000003</v>
      </c>
      <c r="G36" s="103">
        <f t="shared" si="5"/>
        <v>37298.675000000003</v>
      </c>
      <c r="H36" s="103">
        <f t="shared" si="5"/>
        <v>32398.675000000003</v>
      </c>
      <c r="I36" s="103">
        <f t="shared" si="5"/>
        <v>32048.675000000003</v>
      </c>
      <c r="J36" s="103">
        <f t="shared" si="5"/>
        <v>32148.675000000003</v>
      </c>
      <c r="K36" s="103">
        <f t="shared" si="5"/>
        <v>31898.675000000003</v>
      </c>
      <c r="L36" s="103">
        <f t="shared" si="5"/>
        <v>34898.675000000003</v>
      </c>
      <c r="M36" s="103">
        <f t="shared" si="5"/>
        <v>30967.315000000002</v>
      </c>
      <c r="N36" s="103">
        <f t="shared" si="5"/>
        <v>400894.48308333341</v>
      </c>
    </row>
    <row r="37" spans="1:14" ht="17" customHeight="1" thickBot="1">
      <c r="A37" s="16" t="s">
        <v>36</v>
      </c>
      <c r="B37" s="108">
        <f t="shared" ref="B37:N37" si="6">B14-B36</f>
        <v>43146.293416666653</v>
      </c>
      <c r="C37" s="108">
        <f t="shared" si="6"/>
        <v>35041.266750000003</v>
      </c>
      <c r="D37" s="108">
        <f t="shared" si="6"/>
        <v>546.26674999999523</v>
      </c>
      <c r="E37" s="108">
        <f t="shared" si="6"/>
        <v>-18078.275000000001</v>
      </c>
      <c r="F37" s="108">
        <f t="shared" si="6"/>
        <v>-15578.275000000003</v>
      </c>
      <c r="G37" s="108">
        <f t="shared" si="6"/>
        <v>7386.7249999999985</v>
      </c>
      <c r="H37" s="108">
        <f t="shared" si="6"/>
        <v>16086.724999999999</v>
      </c>
      <c r="I37" s="108">
        <f t="shared" si="6"/>
        <v>-4563.2750000000015</v>
      </c>
      <c r="J37" s="108">
        <f t="shared" si="6"/>
        <v>-2163.2750000000015</v>
      </c>
      <c r="K37" s="108">
        <f t="shared" si="6"/>
        <v>-10408.275000000001</v>
      </c>
      <c r="L37" s="108">
        <f t="shared" si="6"/>
        <v>-13408.275000000001</v>
      </c>
      <c r="M37" s="108">
        <f t="shared" si="6"/>
        <v>-1621.9150000000045</v>
      </c>
      <c r="N37" s="108">
        <f t="shared" si="6"/>
        <v>36385.711916666653</v>
      </c>
    </row>
    <row r="38" spans="1:14" ht="17" customHeight="1" thickTop="1">
      <c r="A38" s="16" t="s">
        <v>37</v>
      </c>
      <c r="B38" s="109">
        <f>B37</f>
        <v>43146.293416666653</v>
      </c>
      <c r="C38" s="109">
        <f t="shared" ref="C38:N38" si="7">C37</f>
        <v>35041.266750000003</v>
      </c>
      <c r="D38" s="109">
        <f t="shared" si="7"/>
        <v>546.26674999999523</v>
      </c>
      <c r="E38" s="109">
        <f t="shared" si="7"/>
        <v>-18078.275000000001</v>
      </c>
      <c r="F38" s="109">
        <f t="shared" si="7"/>
        <v>-15578.275000000003</v>
      </c>
      <c r="G38" s="109">
        <f t="shared" si="7"/>
        <v>7386.7249999999985</v>
      </c>
      <c r="H38" s="109">
        <f t="shared" si="7"/>
        <v>16086.724999999999</v>
      </c>
      <c r="I38" s="109">
        <f t="shared" si="7"/>
        <v>-4563.2750000000015</v>
      </c>
      <c r="J38" s="109">
        <f t="shared" si="7"/>
        <v>-2163.2750000000015</v>
      </c>
      <c r="K38" s="109">
        <f t="shared" si="7"/>
        <v>-10408.275000000001</v>
      </c>
      <c r="L38" s="109">
        <f t="shared" si="7"/>
        <v>-13408.275000000001</v>
      </c>
      <c r="M38" s="109">
        <f t="shared" si="7"/>
        <v>-1621.9150000000045</v>
      </c>
      <c r="N38" s="109">
        <f t="shared" si="7"/>
        <v>36385.711916666653</v>
      </c>
    </row>
    <row r="39" spans="1:14" ht="17" customHeight="1">
      <c r="B39" s="62"/>
    </row>
    <row r="40" spans="1:14" ht="17" customHeight="1"/>
    <row r="41" spans="1:14" ht="17" customHeight="1"/>
    <row r="42" spans="1:14" ht="17" customHeight="1"/>
    <row r="43" spans="1:14" ht="17" customHeight="1"/>
    <row r="44" spans="1:14" ht="17" customHeight="1"/>
    <row r="45" spans="1:14" ht="17" customHeight="1"/>
    <row r="46" spans="1:14" ht="17" customHeight="1"/>
    <row r="47" spans="1:14" ht="17" customHeight="1"/>
    <row r="48" spans="1:14" ht="17" customHeight="1"/>
    <row r="49" ht="17" customHeight="1"/>
    <row r="50" ht="17" customHeight="1"/>
    <row r="51" ht="17" customHeight="1"/>
    <row r="52" ht="17" customHeight="1"/>
    <row r="53" ht="17" customHeight="1"/>
    <row r="54" ht="17" customHeight="1"/>
    <row r="55" ht="17" customHeight="1"/>
    <row r="56" ht="17" customHeight="1"/>
    <row r="57" ht="17" customHeight="1"/>
    <row r="58" ht="17" customHeight="1"/>
    <row r="59" ht="17" customHeight="1"/>
    <row r="60" ht="17" customHeight="1"/>
    <row r="61" ht="17" customHeight="1"/>
    <row r="62" ht="17" customHeight="1"/>
    <row r="63" ht="17" customHeight="1"/>
    <row r="64" ht="17" customHeight="1"/>
    <row r="65" ht="17" customHeight="1"/>
    <row r="66" ht="17" customHeight="1"/>
    <row r="67" ht="17" customHeight="1"/>
    <row r="68" ht="17" customHeight="1"/>
    <row r="69" ht="17" customHeight="1"/>
    <row r="70" ht="17" customHeight="1"/>
    <row r="71" ht="17" customHeight="1"/>
    <row r="72" ht="17" customHeight="1"/>
    <row r="73" ht="17" customHeight="1"/>
    <row r="74" ht="17" customHeight="1"/>
    <row r="75" ht="17" customHeight="1"/>
    <row r="76" ht="17" customHeight="1"/>
    <row r="77" ht="17" customHeight="1"/>
    <row r="78" ht="17" customHeight="1"/>
    <row r="79" ht="17" customHeight="1"/>
    <row r="80" ht="17" customHeight="1"/>
    <row r="81" ht="17" customHeight="1"/>
    <row r="82" ht="17" customHeight="1"/>
    <row r="83" ht="17" customHeight="1"/>
    <row r="84" ht="17" customHeight="1"/>
    <row r="85" ht="17" customHeight="1"/>
    <row r="86" ht="17" customHeight="1"/>
    <row r="87" ht="17" customHeight="1"/>
    <row r="88" ht="17" customHeight="1"/>
    <row r="89" ht="17" customHeight="1"/>
    <row r="90" ht="17" customHeight="1"/>
    <row r="91" ht="17" customHeight="1"/>
    <row r="92" ht="17" customHeight="1"/>
    <row r="93" ht="17" customHeight="1"/>
    <row r="94" ht="17" customHeight="1"/>
    <row r="95" ht="17" customHeight="1"/>
    <row r="96" ht="17" customHeight="1"/>
    <row r="97" ht="17" customHeight="1"/>
    <row r="98" ht="17" customHeight="1"/>
    <row r="99" ht="17" customHeight="1"/>
    <row r="100" ht="17" customHeight="1"/>
    <row r="101" ht="17" customHeight="1"/>
    <row r="102" ht="17" customHeight="1"/>
    <row r="103" ht="17" customHeight="1"/>
    <row r="104" ht="17" customHeight="1"/>
    <row r="105" ht="17" customHeight="1"/>
    <row r="106" ht="17" customHeight="1"/>
    <row r="107" ht="17" customHeight="1"/>
    <row r="108" ht="17" customHeight="1"/>
    <row r="109" ht="17" customHeight="1"/>
    <row r="110" ht="17" customHeight="1"/>
    <row r="111" ht="17" customHeight="1"/>
    <row r="112" ht="17" customHeight="1"/>
    <row r="113" ht="17" customHeight="1"/>
    <row r="114" ht="17" customHeight="1"/>
    <row r="115" ht="17" customHeight="1"/>
    <row r="116" ht="17" customHeight="1"/>
    <row r="117" ht="17" customHeight="1"/>
    <row r="118" ht="17" customHeight="1"/>
    <row r="119" ht="17" customHeight="1"/>
    <row r="120" ht="17" customHeight="1"/>
    <row r="121" ht="17" customHeight="1"/>
    <row r="122" ht="17" customHeight="1"/>
    <row r="123" ht="17" customHeight="1"/>
    <row r="124" ht="17" customHeight="1"/>
    <row r="125" ht="17" customHeight="1"/>
    <row r="126" ht="17" customHeight="1"/>
    <row r="127" ht="17" customHeight="1"/>
    <row r="128" ht="17" customHeight="1"/>
    <row r="129" ht="17" customHeight="1"/>
    <row r="130" ht="17" customHeight="1"/>
    <row r="131" ht="17" customHeight="1"/>
    <row r="132" ht="17" customHeight="1"/>
    <row r="133" ht="17" customHeight="1"/>
    <row r="134" ht="17" customHeight="1"/>
    <row r="135" ht="17" customHeight="1"/>
    <row r="136" ht="17" customHeight="1"/>
    <row r="137" ht="17" customHeight="1"/>
    <row r="138" ht="17" customHeight="1"/>
    <row r="139" ht="17" customHeight="1"/>
    <row r="140" ht="17" customHeight="1"/>
    <row r="141" ht="17" customHeight="1"/>
    <row r="142" ht="17" customHeight="1"/>
    <row r="143" ht="17" customHeight="1"/>
    <row r="144" ht="17" customHeight="1"/>
    <row r="145" ht="17" customHeight="1"/>
    <row r="146" ht="17" customHeight="1"/>
    <row r="147" ht="17" customHeight="1"/>
    <row r="148" ht="17" customHeight="1"/>
    <row r="149" ht="17" customHeight="1"/>
    <row r="150" ht="17" customHeight="1"/>
    <row r="151" ht="17" customHeight="1"/>
    <row r="152" ht="17" customHeight="1"/>
    <row r="153" ht="17" customHeight="1"/>
    <row r="154" ht="17" customHeight="1"/>
    <row r="155" ht="17" customHeight="1"/>
    <row r="156" ht="17" customHeight="1"/>
    <row r="157" ht="17" customHeight="1"/>
    <row r="158" ht="17" customHeight="1"/>
    <row r="159" ht="17" customHeight="1"/>
    <row r="160" ht="17" customHeight="1"/>
    <row r="161" ht="17" customHeight="1"/>
    <row r="162" ht="17" customHeight="1"/>
    <row r="163" ht="17" customHeight="1"/>
    <row r="164" ht="17" customHeight="1"/>
    <row r="165" ht="17" customHeight="1"/>
    <row r="166" ht="17" customHeight="1"/>
    <row r="167" ht="17" customHeight="1"/>
    <row r="168" ht="17" customHeight="1"/>
    <row r="169" ht="17" customHeight="1"/>
    <row r="170" ht="17" customHeight="1"/>
    <row r="171" ht="17" customHeight="1"/>
    <row r="172" ht="17" customHeight="1"/>
    <row r="173" ht="17" customHeight="1"/>
    <row r="174" ht="17" customHeight="1"/>
    <row r="175" ht="17" customHeight="1"/>
    <row r="176" ht="17" customHeight="1"/>
    <row r="177" ht="17" customHeight="1"/>
    <row r="178" ht="17" customHeight="1"/>
    <row r="179" ht="17" customHeight="1"/>
    <row r="180" ht="17" customHeight="1"/>
    <row r="181" ht="17" customHeight="1"/>
    <row r="182" ht="17" customHeight="1"/>
    <row r="183" ht="17" customHeight="1"/>
    <row r="184" ht="17" customHeight="1"/>
    <row r="185" ht="17" customHeight="1"/>
    <row r="186" ht="17" customHeight="1"/>
    <row r="187" ht="17" customHeight="1"/>
    <row r="188" ht="17" customHeight="1"/>
    <row r="189" ht="17" customHeight="1"/>
    <row r="190" ht="17" customHeight="1"/>
    <row r="191" ht="17" customHeight="1"/>
    <row r="192" ht="17" customHeight="1"/>
    <row r="193" ht="17" customHeight="1"/>
    <row r="194" ht="17" customHeight="1"/>
    <row r="195" ht="17" customHeight="1"/>
    <row r="196" ht="17" customHeight="1"/>
  </sheetData>
  <pageMargins left="0.7" right="0.7" top="0.75" bottom="0.75" header="0.3" footer="0.3"/>
  <ignoredErrors>
    <ignoredError sqref="L24 G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F4D03-81F0-F348-A7FA-3B7C5643A902}">
  <dimension ref="A1:J46"/>
  <sheetViews>
    <sheetView topLeftCell="A23" zoomScale="150" zoomScaleNormal="150" workbookViewId="0">
      <selection activeCell="L36" sqref="L36"/>
    </sheetView>
  </sheetViews>
  <sheetFormatPr baseColWidth="10" defaultColWidth="8.83203125" defaultRowHeight="15"/>
  <cols>
    <col min="1" max="1" width="28.33203125" customWidth="1"/>
    <col min="2" max="3" width="9.5" customWidth="1"/>
    <col min="4" max="4" width="10.33203125" customWidth="1"/>
    <col min="5" max="5" width="11.1640625" customWidth="1"/>
    <col min="6" max="7" width="9.5" customWidth="1"/>
    <col min="8" max="8" width="10.33203125" style="195" customWidth="1"/>
    <col min="9" max="9" width="11.33203125" customWidth="1"/>
    <col min="10" max="10" width="9.5" customWidth="1"/>
  </cols>
  <sheetData>
    <row r="1" spans="1:10" ht="18">
      <c r="A1" s="183" t="s">
        <v>39</v>
      </c>
      <c r="B1" s="184"/>
      <c r="C1" s="184"/>
      <c r="D1" s="184"/>
      <c r="E1" s="184"/>
      <c r="F1" s="184"/>
      <c r="G1" s="184"/>
      <c r="H1" s="184"/>
    </row>
    <row r="2" spans="1:10" ht="18">
      <c r="A2" s="183" t="s">
        <v>184</v>
      </c>
      <c r="B2" s="184"/>
      <c r="C2" s="184"/>
      <c r="D2" s="184"/>
      <c r="E2" s="184"/>
      <c r="F2" s="184"/>
      <c r="G2" s="184"/>
      <c r="H2" s="184"/>
    </row>
    <row r="3" spans="1:10">
      <c r="A3" s="185" t="s">
        <v>185</v>
      </c>
      <c r="B3" s="184"/>
      <c r="C3" s="184"/>
      <c r="D3" s="184"/>
      <c r="E3" s="184"/>
      <c r="F3" s="184"/>
      <c r="G3" s="184"/>
      <c r="H3" s="184"/>
    </row>
    <row r="5" spans="1:10" s="193" customFormat="1" ht="24">
      <c r="A5" s="192"/>
      <c r="B5" s="186" t="s">
        <v>186</v>
      </c>
      <c r="C5" s="186" t="s">
        <v>187</v>
      </c>
      <c r="D5" s="186" t="s">
        <v>188</v>
      </c>
      <c r="E5" s="186" t="s">
        <v>189</v>
      </c>
      <c r="F5" s="186" t="s">
        <v>190</v>
      </c>
      <c r="G5" s="186" t="s">
        <v>191</v>
      </c>
      <c r="H5" s="196" t="s">
        <v>192</v>
      </c>
      <c r="I5" s="186" t="s">
        <v>193</v>
      </c>
      <c r="J5" s="186" t="s">
        <v>202</v>
      </c>
    </row>
    <row r="6" spans="1:10">
      <c r="A6" s="187" t="s">
        <v>1</v>
      </c>
      <c r="B6" s="188"/>
      <c r="C6" s="188"/>
      <c r="D6" s="188"/>
      <c r="E6" s="188"/>
      <c r="F6" s="188"/>
      <c r="G6" s="188"/>
      <c r="H6" s="197"/>
      <c r="I6" s="188"/>
      <c r="J6" s="188"/>
    </row>
    <row r="7" spans="1:10">
      <c r="A7" s="187" t="s">
        <v>2</v>
      </c>
      <c r="B7" s="189">
        <f>14661</f>
        <v>14661</v>
      </c>
      <c r="C7" s="189">
        <f>12058.37</f>
        <v>12058.37</v>
      </c>
      <c r="D7" s="189">
        <f>6644.83</f>
        <v>6644.83</v>
      </c>
      <c r="E7" s="189">
        <f>1191.38</f>
        <v>1191.3800000000001</v>
      </c>
      <c r="F7" s="189">
        <f>620</f>
        <v>620</v>
      </c>
      <c r="G7" s="189">
        <f>2281</f>
        <v>2281</v>
      </c>
      <c r="H7" s="198">
        <f t="shared" ref="H7:H15" si="0">(((((B7)+(C7))+(D7))+(E7))+(F7))+(G7)</f>
        <v>37456.58</v>
      </c>
      <c r="I7" s="189">
        <f>SUM('2020 Budget'!B3:G3)</f>
        <v>58851.195000000007</v>
      </c>
      <c r="J7" s="200">
        <f>H7-I7</f>
        <v>-21394.615000000005</v>
      </c>
    </row>
    <row r="8" spans="1:10">
      <c r="A8" s="187" t="s">
        <v>3</v>
      </c>
      <c r="B8" s="189">
        <f>17760</f>
        <v>17760</v>
      </c>
      <c r="C8" s="189">
        <f>13335</f>
        <v>13335</v>
      </c>
      <c r="D8" s="189">
        <f>1550</f>
        <v>1550</v>
      </c>
      <c r="E8" s="189">
        <f>9990</f>
        <v>9990</v>
      </c>
      <c r="F8" s="189">
        <v>11920.92</v>
      </c>
      <c r="G8" s="189">
        <f>1380</f>
        <v>1380</v>
      </c>
      <c r="H8" s="198">
        <f t="shared" si="0"/>
        <v>55935.92</v>
      </c>
      <c r="I8" s="189">
        <f>SUM('2020 Budget'!B4:G4)</f>
        <v>8100</v>
      </c>
      <c r="J8" s="201">
        <f t="shared" ref="J8:J15" si="1">H8-I8</f>
        <v>47835.92</v>
      </c>
    </row>
    <row r="9" spans="1:10">
      <c r="A9" s="187" t="s">
        <v>4</v>
      </c>
      <c r="B9" s="189">
        <f>23426.49</f>
        <v>23426.49</v>
      </c>
      <c r="C9" s="189">
        <f>25763</f>
        <v>25763</v>
      </c>
      <c r="D9" s="189">
        <f>2950.8</f>
        <v>2950.8</v>
      </c>
      <c r="E9" s="189">
        <f>4855.28</f>
        <v>4855.28</v>
      </c>
      <c r="F9" s="189">
        <v>6134.15</v>
      </c>
      <c r="G9" s="189">
        <f>6081.49</f>
        <v>6081.49</v>
      </c>
      <c r="H9" s="198">
        <f t="shared" si="0"/>
        <v>69211.210000000006</v>
      </c>
      <c r="I9" s="189">
        <f>SUM('2020 Budget'!B5:G5)</f>
        <v>37375</v>
      </c>
      <c r="J9" s="201">
        <f t="shared" si="1"/>
        <v>31836.210000000006</v>
      </c>
    </row>
    <row r="10" spans="1:10">
      <c r="A10" s="187" t="s">
        <v>5</v>
      </c>
      <c r="B10" s="189">
        <f>7806</f>
        <v>7806</v>
      </c>
      <c r="C10" s="189">
        <f>3482+150</f>
        <v>3632</v>
      </c>
      <c r="D10" s="189">
        <f>8885+400</f>
        <v>9285</v>
      </c>
      <c r="E10" s="188"/>
      <c r="F10" s="188">
        <v>100</v>
      </c>
      <c r="G10" s="188">
        <v>125</v>
      </c>
      <c r="H10" s="198">
        <f>SUM(B10:G10)</f>
        <v>20948</v>
      </c>
      <c r="I10" s="188">
        <f>SUM('2020 Budget'!B6:G6)</f>
        <v>22200</v>
      </c>
      <c r="J10" s="200">
        <f t="shared" si="1"/>
        <v>-1252</v>
      </c>
    </row>
    <row r="11" spans="1:10">
      <c r="A11" s="187" t="s">
        <v>7</v>
      </c>
      <c r="B11" s="189">
        <f>1.38</f>
        <v>1.38</v>
      </c>
      <c r="C11" s="189">
        <f>1.57</f>
        <v>1.57</v>
      </c>
      <c r="D11" s="189">
        <f>1.78</f>
        <v>1.78</v>
      </c>
      <c r="E11" s="189">
        <f>1.59</f>
        <v>1.59</v>
      </c>
      <c r="F11" s="189">
        <f>1.2</f>
        <v>1.2</v>
      </c>
      <c r="G11" s="189">
        <f>1.06</f>
        <v>1.06</v>
      </c>
      <c r="H11" s="198">
        <f t="shared" si="0"/>
        <v>8.58</v>
      </c>
      <c r="I11" s="189">
        <f>SUM('2020 Budget'!B8:G8)</f>
        <v>6.6</v>
      </c>
      <c r="J11" s="201">
        <f t="shared" si="1"/>
        <v>1.9800000000000004</v>
      </c>
    </row>
    <row r="12" spans="1:10">
      <c r="A12" s="187" t="s">
        <v>9</v>
      </c>
      <c r="B12" s="189">
        <f>1147</f>
        <v>1147</v>
      </c>
      <c r="C12" s="189">
        <f>4031.25</f>
        <v>4031.25</v>
      </c>
      <c r="D12" s="189">
        <f>237.25</f>
        <v>237.25</v>
      </c>
      <c r="E12" s="188"/>
      <c r="F12" s="188"/>
      <c r="G12" s="189">
        <f>247</f>
        <v>247</v>
      </c>
      <c r="H12" s="198">
        <f t="shared" si="0"/>
        <v>5662.5</v>
      </c>
      <c r="I12" s="189">
        <f>SUM('2020 Budget'!B9:G9)</f>
        <v>4200</v>
      </c>
      <c r="J12" s="201">
        <f t="shared" si="1"/>
        <v>1462.5</v>
      </c>
    </row>
    <row r="13" spans="1:10">
      <c r="A13" s="187" t="s">
        <v>194</v>
      </c>
      <c r="B13" s="189">
        <f>27190.46</f>
        <v>27190.46</v>
      </c>
      <c r="C13" s="189">
        <f>23703.98</f>
        <v>23703.98</v>
      </c>
      <c r="D13" s="189">
        <f>3081.42</f>
        <v>3081.42</v>
      </c>
      <c r="E13" s="189">
        <f>1559.22</f>
        <v>1559.22</v>
      </c>
      <c r="F13" s="189">
        <f>677.88</f>
        <v>677.88</v>
      </c>
      <c r="G13" s="189">
        <f>7037.01</f>
        <v>7037.01</v>
      </c>
      <c r="H13" s="198">
        <f t="shared" si="0"/>
        <v>63249.97</v>
      </c>
      <c r="I13" s="189">
        <f>SUM('2020 Budget'!B10:G10)</f>
        <v>120915</v>
      </c>
      <c r="J13" s="200">
        <f t="shared" si="1"/>
        <v>-57665.03</v>
      </c>
    </row>
    <row r="14" spans="1:10">
      <c r="A14" s="187" t="s">
        <v>11</v>
      </c>
      <c r="B14" s="189">
        <f>924.5</f>
        <v>924.5</v>
      </c>
      <c r="C14" s="189">
        <f>544</f>
        <v>544</v>
      </c>
      <c r="D14" s="189">
        <f>634.5</f>
        <v>634.5</v>
      </c>
      <c r="E14" s="188"/>
      <c r="F14" s="188"/>
      <c r="G14" s="189">
        <f>25</f>
        <v>25</v>
      </c>
      <c r="H14" s="198">
        <f t="shared" si="0"/>
        <v>2128</v>
      </c>
      <c r="I14" s="189">
        <f>SUM('2020 Budget'!B11:G11)</f>
        <v>3450</v>
      </c>
      <c r="J14" s="200">
        <f t="shared" si="1"/>
        <v>-1322</v>
      </c>
    </row>
    <row r="15" spans="1:10">
      <c r="A15" s="187" t="s">
        <v>12</v>
      </c>
      <c r="B15" s="189">
        <f>1575</f>
        <v>1575</v>
      </c>
      <c r="C15" s="189">
        <f>1520.5</f>
        <v>1520.5</v>
      </c>
      <c r="D15" s="188"/>
      <c r="E15" s="188"/>
      <c r="F15" s="188"/>
      <c r="G15" s="188"/>
      <c r="H15" s="198">
        <f t="shared" si="0"/>
        <v>3095.5</v>
      </c>
      <c r="I15" s="188">
        <f>SUM('2020 Budget'!B12:G12)</f>
        <v>3900</v>
      </c>
      <c r="J15" s="202">
        <f t="shared" si="1"/>
        <v>-804.5</v>
      </c>
    </row>
    <row r="16" spans="1:10">
      <c r="A16" s="187" t="s">
        <v>13</v>
      </c>
      <c r="B16" s="190">
        <f>SUM(B7:B15)</f>
        <v>94491.83</v>
      </c>
      <c r="C16" s="190">
        <f t="shared" ref="C16:G16" si="2">SUM(C7:C15)</f>
        <v>84589.67</v>
      </c>
      <c r="D16" s="190">
        <f t="shared" si="2"/>
        <v>24385.58</v>
      </c>
      <c r="E16" s="190">
        <f t="shared" si="2"/>
        <v>17597.47</v>
      </c>
      <c r="F16" s="190">
        <f t="shared" si="2"/>
        <v>19454.150000000001</v>
      </c>
      <c r="G16" s="190">
        <f t="shared" si="2"/>
        <v>17177.559999999998</v>
      </c>
      <c r="H16" s="199">
        <f>SUM(B16:G16)</f>
        <v>257696.26</v>
      </c>
      <c r="I16" s="190">
        <f>SUM(I7:I15)</f>
        <v>258997.79500000001</v>
      </c>
      <c r="J16" s="203">
        <f>J15</f>
        <v>-804.5</v>
      </c>
    </row>
    <row r="17" spans="1:10">
      <c r="A17" s="187" t="s">
        <v>14</v>
      </c>
      <c r="B17" s="190">
        <f t="shared" ref="B17:G17" si="3">(B16)-(0)</f>
        <v>94491.83</v>
      </c>
      <c r="C17" s="190">
        <f t="shared" si="3"/>
        <v>84589.67</v>
      </c>
      <c r="D17" s="190">
        <f t="shared" si="3"/>
        <v>24385.58</v>
      </c>
      <c r="E17" s="190">
        <f t="shared" si="3"/>
        <v>17597.47</v>
      </c>
      <c r="F17" s="190">
        <f t="shared" si="3"/>
        <v>19454.150000000001</v>
      </c>
      <c r="G17" s="190">
        <f t="shared" si="3"/>
        <v>17177.559999999998</v>
      </c>
      <c r="H17" s="199">
        <f>H16</f>
        <v>257696.26</v>
      </c>
      <c r="I17" s="190">
        <f>I16</f>
        <v>258997.79500000001</v>
      </c>
      <c r="J17" s="203">
        <f>J16</f>
        <v>-804.5</v>
      </c>
    </row>
    <row r="18" spans="1:10">
      <c r="A18" s="187" t="s">
        <v>15</v>
      </c>
      <c r="B18" s="188"/>
      <c r="C18" s="188"/>
      <c r="D18" s="188"/>
      <c r="E18" s="188"/>
      <c r="F18" s="188"/>
      <c r="G18" s="188"/>
      <c r="H18" s="197"/>
      <c r="I18" s="188"/>
      <c r="J18" s="188"/>
    </row>
    <row r="19" spans="1:10">
      <c r="A19" s="187" t="s">
        <v>17</v>
      </c>
      <c r="B19" s="188"/>
      <c r="C19" s="188"/>
      <c r="D19" s="188"/>
      <c r="E19" s="189">
        <f>0.46</f>
        <v>0.46</v>
      </c>
      <c r="F19" s="188"/>
      <c r="G19" s="188"/>
      <c r="H19" s="198">
        <f t="shared" ref="H19:H45" si="4">(((((B19)+(C19))+(D19))+(E19))+(F19))+(G19)</f>
        <v>0.46</v>
      </c>
      <c r="I19" s="188">
        <v>0</v>
      </c>
      <c r="J19" s="206">
        <f t="shared" ref="J19:J42" si="5">H19-I19</f>
        <v>0.46</v>
      </c>
    </row>
    <row r="20" spans="1:10">
      <c r="A20" s="187" t="s">
        <v>18</v>
      </c>
      <c r="B20" s="188"/>
      <c r="C20" s="189">
        <f>3505.97</f>
        <v>3505.97</v>
      </c>
      <c r="D20" s="189">
        <f>48.28</f>
        <v>48.28</v>
      </c>
      <c r="E20" s="188"/>
      <c r="F20" s="188"/>
      <c r="G20" s="188"/>
      <c r="H20" s="198">
        <f t="shared" si="4"/>
        <v>3554.25</v>
      </c>
      <c r="I20" s="188">
        <f>SUM('2020 Budget'!B17:G17)</f>
        <v>8200</v>
      </c>
      <c r="J20" s="201">
        <f t="shared" si="5"/>
        <v>-4645.75</v>
      </c>
    </row>
    <row r="21" spans="1:10">
      <c r="A21" s="187" t="s">
        <v>19</v>
      </c>
      <c r="B21" s="189">
        <f>27431.23</f>
        <v>27431.23</v>
      </c>
      <c r="C21" s="189">
        <f>20482.83</f>
        <v>20482.830000000002</v>
      </c>
      <c r="D21" s="189">
        <f>28636.95</f>
        <v>28636.95</v>
      </c>
      <c r="E21" s="189">
        <f>18709.2</f>
        <v>18709.2</v>
      </c>
      <c r="F21" s="189">
        <f>10834.2</f>
        <v>10834.2</v>
      </c>
      <c r="G21" s="189">
        <f>13214.79</f>
        <v>13214.79</v>
      </c>
      <c r="H21" s="198">
        <f t="shared" si="4"/>
        <v>119309.19999999998</v>
      </c>
      <c r="I21" s="189">
        <f>SUM('2020 Budget'!B18:G18)</f>
        <v>116165.6</v>
      </c>
      <c r="J21" s="200">
        <f t="shared" si="5"/>
        <v>3143.5999999999767</v>
      </c>
    </row>
    <row r="22" spans="1:10">
      <c r="A22" s="187" t="s">
        <v>21</v>
      </c>
      <c r="B22" s="189">
        <f>93.33</f>
        <v>93.33</v>
      </c>
      <c r="C22" s="189">
        <f>93.33</f>
        <v>93.33</v>
      </c>
      <c r="D22" s="189">
        <f>718.33</f>
        <v>718.33</v>
      </c>
      <c r="E22" s="189">
        <f>93.37</f>
        <v>93.37</v>
      </c>
      <c r="F22" s="189">
        <f>93.33</f>
        <v>93.33</v>
      </c>
      <c r="G22" s="189">
        <f>93.33</f>
        <v>93.33</v>
      </c>
      <c r="H22" s="198">
        <f t="shared" si="4"/>
        <v>1185.02</v>
      </c>
      <c r="I22" s="189">
        <f>SUM('2020 Budget'!B21:G21)</f>
        <v>1200</v>
      </c>
      <c r="J22" s="201">
        <f t="shared" si="5"/>
        <v>-14.980000000000018</v>
      </c>
    </row>
    <row r="23" spans="1:10">
      <c r="A23" s="187" t="s">
        <v>22</v>
      </c>
      <c r="B23" s="189">
        <f>414.84</f>
        <v>414.84</v>
      </c>
      <c r="C23" s="189">
        <f>302.74</f>
        <v>302.74</v>
      </c>
      <c r="D23" s="189">
        <f>186.08</f>
        <v>186.08</v>
      </c>
      <c r="E23" s="189">
        <f>32.49</f>
        <v>32.49</v>
      </c>
      <c r="F23" s="189">
        <f>199.85</f>
        <v>199.85</v>
      </c>
      <c r="G23" s="189">
        <f>161.53</f>
        <v>161.53</v>
      </c>
      <c r="H23" s="198">
        <f t="shared" si="4"/>
        <v>1297.53</v>
      </c>
      <c r="I23" s="189">
        <f>SUM('2020 Budget'!B22:G22)</f>
        <v>2100</v>
      </c>
      <c r="J23" s="201">
        <f t="shared" si="5"/>
        <v>-802.47</v>
      </c>
    </row>
    <row r="24" spans="1:10">
      <c r="A24" s="187" t="s">
        <v>23</v>
      </c>
      <c r="B24" s="189">
        <f>147.15</f>
        <v>147.15</v>
      </c>
      <c r="C24" s="189">
        <f>82.01</f>
        <v>82.01</v>
      </c>
      <c r="D24" s="189">
        <f>23.43</f>
        <v>23.43</v>
      </c>
      <c r="E24" s="189">
        <f>84.26</f>
        <v>84.26</v>
      </c>
      <c r="F24" s="189">
        <f>100.84</f>
        <v>100.84</v>
      </c>
      <c r="G24" s="189">
        <f>61.32</f>
        <v>61.32</v>
      </c>
      <c r="H24" s="198">
        <f t="shared" si="4"/>
        <v>499.01000000000005</v>
      </c>
      <c r="I24" s="189">
        <f>SUM('2020 Budget'!B23:G23)</f>
        <v>450.13333333333338</v>
      </c>
      <c r="J24" s="200">
        <f t="shared" si="5"/>
        <v>48.876666666666665</v>
      </c>
    </row>
    <row r="25" spans="1:10">
      <c r="A25" s="187" t="s">
        <v>24</v>
      </c>
      <c r="B25" s="189">
        <f>200</f>
        <v>200</v>
      </c>
      <c r="C25" s="189">
        <f>255</f>
        <v>255</v>
      </c>
      <c r="D25" s="189">
        <f>382.5</f>
        <v>382.5</v>
      </c>
      <c r="E25" s="189">
        <f>82</f>
        <v>82</v>
      </c>
      <c r="F25" s="189">
        <f>50</f>
        <v>50</v>
      </c>
      <c r="G25" s="189">
        <f>100</f>
        <v>100</v>
      </c>
      <c r="H25" s="198">
        <f t="shared" si="4"/>
        <v>1069.5</v>
      </c>
      <c r="I25" s="189">
        <f>SUM('2020 Budget'!B24:G24)</f>
        <v>11794</v>
      </c>
      <c r="J25" s="201">
        <f t="shared" si="5"/>
        <v>-10724.5</v>
      </c>
    </row>
    <row r="26" spans="1:10">
      <c r="A26" s="187" t="s">
        <v>25</v>
      </c>
      <c r="B26" s="189">
        <f>222.85</f>
        <v>222.85</v>
      </c>
      <c r="C26" s="189">
        <f>1569.57</f>
        <v>1569.57</v>
      </c>
      <c r="D26" s="189">
        <f>31.49</f>
        <v>31.49</v>
      </c>
      <c r="E26" s="188"/>
      <c r="F26" s="188"/>
      <c r="G26" s="188"/>
      <c r="H26" s="198">
        <f t="shared" si="4"/>
        <v>1823.9099999999999</v>
      </c>
      <c r="I26" s="188">
        <f>SUM('2020 Budget'!B25:G25)</f>
        <v>1800</v>
      </c>
      <c r="J26" s="200">
        <f t="shared" si="5"/>
        <v>23.909999999999854</v>
      </c>
    </row>
    <row r="27" spans="1:10">
      <c r="A27" s="187" t="s">
        <v>26</v>
      </c>
      <c r="B27" s="189">
        <f>1403.02</f>
        <v>1403.02</v>
      </c>
      <c r="C27" s="189">
        <f>683.11</f>
        <v>683.11</v>
      </c>
      <c r="D27" s="188"/>
      <c r="E27" s="188"/>
      <c r="F27" s="188"/>
      <c r="G27" s="188"/>
      <c r="H27" s="198">
        <f t="shared" si="4"/>
        <v>2086.13</v>
      </c>
      <c r="I27" s="188">
        <f>SUM('2020 Budget'!B26:G26)</f>
        <v>2520</v>
      </c>
      <c r="J27" s="201">
        <f t="shared" si="5"/>
        <v>-433.86999999999989</v>
      </c>
    </row>
    <row r="28" spans="1:10">
      <c r="A28" s="187" t="s">
        <v>27</v>
      </c>
      <c r="B28" s="189">
        <f>570.72</f>
        <v>570.72</v>
      </c>
      <c r="C28" s="189">
        <f>874.87</f>
        <v>874.87</v>
      </c>
      <c r="D28" s="189">
        <f>854.96</f>
        <v>854.96</v>
      </c>
      <c r="E28" s="189">
        <f>12.02</f>
        <v>12.02</v>
      </c>
      <c r="F28" s="189">
        <f>165.75</f>
        <v>165.75</v>
      </c>
      <c r="G28" s="189">
        <f>189.79</f>
        <v>189.79</v>
      </c>
      <c r="H28" s="198">
        <f t="shared" si="4"/>
        <v>2668.11</v>
      </c>
      <c r="I28" s="189">
        <f>SUM('2020 Budget'!B27:G27)</f>
        <v>2942.5597499999999</v>
      </c>
      <c r="J28" s="201">
        <f t="shared" si="5"/>
        <v>-274.44974999999977</v>
      </c>
    </row>
    <row r="29" spans="1:10">
      <c r="A29" s="187" t="s">
        <v>28</v>
      </c>
      <c r="B29" s="189">
        <f>521.49</f>
        <v>521.49</v>
      </c>
      <c r="C29" s="189">
        <f>172.91</f>
        <v>172.91</v>
      </c>
      <c r="D29" s="189">
        <f>143.5</f>
        <v>143.5</v>
      </c>
      <c r="E29" s="189">
        <f>896.95</f>
        <v>896.95</v>
      </c>
      <c r="F29" s="189">
        <f>149.8</f>
        <v>149.80000000000001</v>
      </c>
      <c r="G29" s="189">
        <f>452.17</f>
        <v>452.17</v>
      </c>
      <c r="H29" s="198">
        <f t="shared" si="4"/>
        <v>2336.8199999999997</v>
      </c>
      <c r="I29" s="189">
        <f>SUM('2020 Budget'!B28:G28)</f>
        <v>5466.5</v>
      </c>
      <c r="J29" s="201">
        <f t="shared" si="5"/>
        <v>-3129.6800000000003</v>
      </c>
    </row>
    <row r="30" spans="1:10">
      <c r="A30" s="187" t="s">
        <v>29</v>
      </c>
      <c r="B30" s="189">
        <f>310.86</f>
        <v>310.86</v>
      </c>
      <c r="C30" s="189">
        <f>229.43</f>
        <v>229.43</v>
      </c>
      <c r="D30" s="189">
        <f>54.76</f>
        <v>54.76</v>
      </c>
      <c r="E30" s="188"/>
      <c r="F30" s="188"/>
      <c r="G30" s="188"/>
      <c r="H30" s="198">
        <f t="shared" si="4"/>
        <v>595.04999999999995</v>
      </c>
      <c r="I30" s="188">
        <f>SUM('2020 Budget'!B29:G29)</f>
        <v>600</v>
      </c>
      <c r="J30" s="201">
        <f t="shared" si="5"/>
        <v>-4.9500000000000455</v>
      </c>
    </row>
    <row r="31" spans="1:10">
      <c r="A31" s="187" t="s">
        <v>195</v>
      </c>
      <c r="B31" s="188"/>
      <c r="C31" s="188"/>
      <c r="D31" s="188"/>
      <c r="E31" s="188"/>
      <c r="F31" s="188"/>
      <c r="G31" s="188"/>
      <c r="H31" s="198"/>
      <c r="I31" s="188"/>
      <c r="J31" s="200">
        <f t="shared" si="5"/>
        <v>0</v>
      </c>
    </row>
    <row r="32" spans="1:10">
      <c r="A32" s="187" t="s">
        <v>196</v>
      </c>
      <c r="B32" s="188"/>
      <c r="C32" s="188"/>
      <c r="D32" s="188"/>
      <c r="E32" s="189">
        <f>17500</f>
        <v>17500</v>
      </c>
      <c r="F32" s="189">
        <f>7500</f>
        <v>7500</v>
      </c>
      <c r="G32" s="189">
        <f>2500</f>
        <v>2500</v>
      </c>
      <c r="H32" s="198">
        <f t="shared" si="4"/>
        <v>27500</v>
      </c>
      <c r="I32" s="189">
        <f>SUM('2020 Budget'!B19:G19)</f>
        <v>30000</v>
      </c>
      <c r="J32" s="201">
        <f t="shared" si="5"/>
        <v>-2500</v>
      </c>
    </row>
    <row r="33" spans="1:10">
      <c r="A33" s="187" t="s">
        <v>197</v>
      </c>
      <c r="B33" s="188"/>
      <c r="C33" s="188"/>
      <c r="D33" s="188"/>
      <c r="E33" s="189">
        <f>1527.75</f>
        <v>1527.75</v>
      </c>
      <c r="F33" s="189">
        <f>573.75</f>
        <v>573.75</v>
      </c>
      <c r="G33" s="189">
        <f>191.25</f>
        <v>191.25</v>
      </c>
      <c r="H33" s="198">
        <f t="shared" si="4"/>
        <v>2292.75</v>
      </c>
      <c r="I33" s="189">
        <f>SUM('2020 Budget'!B20:G20)</f>
        <v>1995</v>
      </c>
      <c r="J33" s="207">
        <f t="shared" si="5"/>
        <v>297.75</v>
      </c>
    </row>
    <row r="34" spans="1:10">
      <c r="A34" s="187" t="s">
        <v>198</v>
      </c>
      <c r="B34" s="190">
        <f t="shared" ref="B34:G34" si="6">((B31)+(B32))+(B33)</f>
        <v>0</v>
      </c>
      <c r="C34" s="190">
        <f t="shared" si="6"/>
        <v>0</v>
      </c>
      <c r="D34" s="190">
        <f t="shared" si="6"/>
        <v>0</v>
      </c>
      <c r="E34" s="190">
        <f t="shared" si="6"/>
        <v>19027.75</v>
      </c>
      <c r="F34" s="190">
        <f t="shared" si="6"/>
        <v>8073.75</v>
      </c>
      <c r="G34" s="190">
        <f t="shared" si="6"/>
        <v>2691.25</v>
      </c>
      <c r="H34" s="199">
        <f t="shared" si="4"/>
        <v>29792.75</v>
      </c>
      <c r="I34" s="190">
        <f>SUM(I32:I33)</f>
        <v>31995</v>
      </c>
      <c r="J34" s="201">
        <f t="shared" si="5"/>
        <v>-2202.25</v>
      </c>
    </row>
    <row r="35" spans="1:10">
      <c r="A35" s="187" t="s">
        <v>30</v>
      </c>
      <c r="B35" s="188"/>
      <c r="C35" s="188"/>
      <c r="D35" s="188"/>
      <c r="E35" s="188"/>
      <c r="F35" s="188"/>
      <c r="G35" s="189">
        <f>149</f>
        <v>149</v>
      </c>
      <c r="H35" s="198">
        <f t="shared" si="4"/>
        <v>149</v>
      </c>
      <c r="I35" s="189">
        <f>SUM('2020 Budget'!B24:G24)</f>
        <v>11794</v>
      </c>
      <c r="J35" s="201">
        <f t="shared" si="5"/>
        <v>-11645</v>
      </c>
    </row>
    <row r="36" spans="1:10">
      <c r="A36" s="187" t="s">
        <v>31</v>
      </c>
      <c r="B36" s="189">
        <f>1500</f>
        <v>1500</v>
      </c>
      <c r="C36" s="189">
        <f>1500</f>
        <v>1500</v>
      </c>
      <c r="D36" s="189">
        <f>1500</f>
        <v>1500</v>
      </c>
      <c r="E36" s="188"/>
      <c r="F36" s="188"/>
      <c r="G36" s="188"/>
      <c r="H36" s="198">
        <f t="shared" si="4"/>
        <v>4500</v>
      </c>
      <c r="I36" s="188">
        <f>SUM('2020 Budget'!B31:G31)</f>
        <v>9000</v>
      </c>
      <c r="J36" s="201">
        <f t="shared" si="5"/>
        <v>-4500</v>
      </c>
    </row>
    <row r="37" spans="1:10">
      <c r="A37" s="187" t="s">
        <v>199</v>
      </c>
      <c r="B37" s="188"/>
      <c r="C37" s="189">
        <f>150</f>
        <v>150</v>
      </c>
      <c r="D37" s="189">
        <f>150</f>
        <v>150</v>
      </c>
      <c r="E37" s="188"/>
      <c r="F37" s="188"/>
      <c r="G37" s="188"/>
      <c r="H37" s="198">
        <f t="shared" si="4"/>
        <v>300</v>
      </c>
      <c r="I37" s="188">
        <v>0</v>
      </c>
      <c r="J37" s="200">
        <f t="shared" si="5"/>
        <v>300</v>
      </c>
    </row>
    <row r="38" spans="1:10">
      <c r="A38" s="187" t="s">
        <v>200</v>
      </c>
      <c r="B38" s="189">
        <f>2500</f>
        <v>2500</v>
      </c>
      <c r="C38" s="188"/>
      <c r="D38" s="188"/>
      <c r="E38" s="188"/>
      <c r="F38" s="188"/>
      <c r="G38" s="188"/>
      <c r="H38" s="198">
        <f t="shared" si="4"/>
        <v>2500</v>
      </c>
      <c r="I38" s="188">
        <f>SUM('2020 Budget'!B32:G32)</f>
        <v>4500</v>
      </c>
      <c r="J38" s="201">
        <f t="shared" si="5"/>
        <v>-2000</v>
      </c>
    </row>
    <row r="39" spans="1:10">
      <c r="A39" s="187" t="s">
        <v>201</v>
      </c>
      <c r="B39" s="188"/>
      <c r="C39" s="189">
        <f>140.75</f>
        <v>140.75</v>
      </c>
      <c r="D39" s="188"/>
      <c r="E39" s="188"/>
      <c r="F39" s="188"/>
      <c r="G39" s="188"/>
      <c r="H39" s="198">
        <f t="shared" si="4"/>
        <v>140.75</v>
      </c>
      <c r="I39" s="188">
        <v>0</v>
      </c>
      <c r="J39" s="200">
        <f t="shared" si="5"/>
        <v>140.75</v>
      </c>
    </row>
    <row r="40" spans="1:10">
      <c r="A40" s="187" t="s">
        <v>32</v>
      </c>
      <c r="B40" s="189">
        <f>90.48</f>
        <v>90.48</v>
      </c>
      <c r="C40" s="189">
        <f>175</f>
        <v>175</v>
      </c>
      <c r="D40" s="188"/>
      <c r="E40" s="189">
        <f>108.78</f>
        <v>108.78</v>
      </c>
      <c r="F40" s="189">
        <f>38.78</f>
        <v>38.78</v>
      </c>
      <c r="G40" s="188"/>
      <c r="H40" s="198">
        <f t="shared" si="4"/>
        <v>413.03999999999996</v>
      </c>
      <c r="I40" s="188">
        <f>SUM('2020 Budget'!B33:G33)</f>
        <v>2700</v>
      </c>
      <c r="J40" s="201">
        <f t="shared" si="5"/>
        <v>-2286.96</v>
      </c>
    </row>
    <row r="41" spans="1:10">
      <c r="A41" s="187" t="s">
        <v>33</v>
      </c>
      <c r="B41" s="189">
        <f>26.57</f>
        <v>26.57</v>
      </c>
      <c r="C41" s="189">
        <f>604.42</f>
        <v>604.41999999999996</v>
      </c>
      <c r="D41" s="189">
        <f>162.26</f>
        <v>162.26</v>
      </c>
      <c r="E41" s="189">
        <f>1150.72</f>
        <v>1150.72</v>
      </c>
      <c r="F41" s="188"/>
      <c r="G41" s="188"/>
      <c r="H41" s="198">
        <f t="shared" si="4"/>
        <v>1943.97</v>
      </c>
      <c r="I41" s="188">
        <f>SUM('2020 Budget'!B34:G34)</f>
        <v>2400</v>
      </c>
      <c r="J41" s="201">
        <f t="shared" si="5"/>
        <v>-456.03</v>
      </c>
    </row>
    <row r="42" spans="1:10">
      <c r="A42" s="187" t="s">
        <v>34</v>
      </c>
      <c r="B42" s="189">
        <f>98.67</f>
        <v>98.67</v>
      </c>
      <c r="C42" s="189">
        <f>100.15</f>
        <v>100.15</v>
      </c>
      <c r="D42" s="188"/>
      <c r="E42" s="189">
        <f>100.15</f>
        <v>100.15</v>
      </c>
      <c r="F42" s="188"/>
      <c r="G42" s="189">
        <f>79.18</f>
        <v>79.180000000000007</v>
      </c>
      <c r="H42" s="198">
        <f t="shared" si="4"/>
        <v>378.15000000000003</v>
      </c>
      <c r="I42" s="189">
        <f>SUM('2020 Budget'!B35:G35)</f>
        <v>600</v>
      </c>
      <c r="J42" s="201">
        <f t="shared" si="5"/>
        <v>-221.84999999999997</v>
      </c>
    </row>
    <row r="43" spans="1:10">
      <c r="A43" s="187" t="s">
        <v>35</v>
      </c>
      <c r="B43" s="190">
        <f t="shared" ref="B43:G43" si="7">((((((((((((((((((((B19)+(B20))+(B21))+(B22))+(B23))+(B24))+(B25))+(B26))+(B27))+(B28))+(B29))+(B30))+(B34))+(B35))+(B36))+(B37))+(B38))+(B39))+(B40))+(B41))+(B42)</f>
        <v>35531.210000000006</v>
      </c>
      <c r="C43" s="190">
        <f t="shared" si="7"/>
        <v>30922.090000000004</v>
      </c>
      <c r="D43" s="190">
        <f t="shared" si="7"/>
        <v>32892.54</v>
      </c>
      <c r="E43" s="190">
        <f t="shared" si="7"/>
        <v>40298.15</v>
      </c>
      <c r="F43" s="190">
        <f t="shared" si="7"/>
        <v>19706.3</v>
      </c>
      <c r="G43" s="190">
        <f t="shared" si="7"/>
        <v>17192.36</v>
      </c>
      <c r="H43" s="199">
        <f t="shared" si="4"/>
        <v>176542.65000000002</v>
      </c>
      <c r="I43" s="204">
        <f>SUM(I19:I33)+SUM(I35:I42)</f>
        <v>216227.79308333332</v>
      </c>
      <c r="J43" s="208">
        <f>SUM(J19:J33)+SUM(J35:J42)</f>
        <v>-39685.143083333358</v>
      </c>
    </row>
    <row r="44" spans="1:10">
      <c r="A44" s="187" t="s">
        <v>36</v>
      </c>
      <c r="B44" s="190">
        <f t="shared" ref="B44:G44" si="8">(B17)-(B43)</f>
        <v>58960.619999999995</v>
      </c>
      <c r="C44" s="190">
        <f t="shared" si="8"/>
        <v>53667.579999999994</v>
      </c>
      <c r="D44" s="190">
        <f t="shared" si="8"/>
        <v>-8506.9599999999991</v>
      </c>
      <c r="E44" s="190">
        <f t="shared" si="8"/>
        <v>-22700.68</v>
      </c>
      <c r="F44" s="190">
        <f t="shared" si="8"/>
        <v>-252.14999999999782</v>
      </c>
      <c r="G44" s="190">
        <f t="shared" si="8"/>
        <v>-14.80000000000291</v>
      </c>
      <c r="H44" s="199">
        <f t="shared" si="4"/>
        <v>81153.61</v>
      </c>
      <c r="I44" s="205">
        <f>I17-I43</f>
        <v>42770.00191666669</v>
      </c>
      <c r="J44" s="209">
        <f>J17-J43</f>
        <v>38880.643083333358</v>
      </c>
    </row>
    <row r="45" spans="1:10">
      <c r="A45" s="187" t="s">
        <v>37</v>
      </c>
      <c r="B45" s="190">
        <f t="shared" ref="B45:G45" si="9">(B44)+(0)</f>
        <v>58960.619999999995</v>
      </c>
      <c r="C45" s="190">
        <f t="shared" si="9"/>
        <v>53667.579999999994</v>
      </c>
      <c r="D45" s="190">
        <f t="shared" si="9"/>
        <v>-8506.9599999999991</v>
      </c>
      <c r="E45" s="190">
        <f t="shared" si="9"/>
        <v>-22700.68</v>
      </c>
      <c r="F45" s="190">
        <f t="shared" si="9"/>
        <v>-252.14999999999782</v>
      </c>
      <c r="G45" s="190">
        <f t="shared" si="9"/>
        <v>-14.80000000000291</v>
      </c>
      <c r="H45" s="199">
        <f t="shared" si="4"/>
        <v>81153.61</v>
      </c>
      <c r="I45" s="190">
        <f>I44</f>
        <v>42770.00191666669</v>
      </c>
      <c r="J45" s="210">
        <f>J44</f>
        <v>38880.643083333358</v>
      </c>
    </row>
    <row r="46" spans="1:10">
      <c r="A46" s="187"/>
      <c r="B46" s="188"/>
      <c r="C46" s="188"/>
      <c r="D46" s="188"/>
      <c r="E46" s="188"/>
      <c r="F46" s="188"/>
      <c r="G46" s="188"/>
      <c r="H46" s="194"/>
      <c r="I46" s="188"/>
      <c r="J46" s="188"/>
    </row>
  </sheetData>
  <mergeCells count="3">
    <mergeCell ref="A1:H1"/>
    <mergeCell ref="A2:H2"/>
    <mergeCell ref="A3:H3"/>
  </mergeCells>
  <pageMargins left="0.7" right="0.7" top="0.75" bottom="0.75" header="0.3" footer="0.3"/>
  <ignoredErrors>
    <ignoredError sqref="H10 H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05A0A-5810-4447-BD82-73167B4BF794}">
  <dimension ref="A1:Q45"/>
  <sheetViews>
    <sheetView tabSelected="1" topLeftCell="A16" zoomScale="120" zoomScaleNormal="120" workbookViewId="0">
      <selection activeCell="N43" sqref="N43"/>
    </sheetView>
  </sheetViews>
  <sheetFormatPr baseColWidth="10" defaultColWidth="8.83203125" defaultRowHeight="15"/>
  <cols>
    <col min="1" max="1" width="28.33203125" customWidth="1"/>
    <col min="2" max="3" width="9.5" customWidth="1"/>
    <col min="4" max="4" width="10.33203125" customWidth="1"/>
    <col min="5" max="5" width="11.1640625" customWidth="1"/>
    <col min="6" max="9" width="9.5" customWidth="1"/>
    <col min="10" max="10" width="10.33203125" customWidth="1"/>
    <col min="11" max="11" width="11.1640625" customWidth="1"/>
    <col min="12" max="13" width="9.5" customWidth="1"/>
    <col min="14" max="14" width="10" bestFit="1" customWidth="1"/>
  </cols>
  <sheetData>
    <row r="1" spans="1:14" ht="18">
      <c r="A1" s="183" t="s">
        <v>39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4" ht="18">
      <c r="A2" s="183" t="s">
        <v>184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4">
      <c r="A3" s="185" t="s">
        <v>203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4" s="193" customFormat="1">
      <c r="A4" s="192"/>
      <c r="B4" s="211">
        <v>43831</v>
      </c>
      <c r="C4" s="211">
        <v>43862</v>
      </c>
      <c r="D4" s="211">
        <v>43891</v>
      </c>
      <c r="E4" s="211">
        <v>43922</v>
      </c>
      <c r="F4" s="211">
        <v>43952</v>
      </c>
      <c r="G4" s="211">
        <v>43983</v>
      </c>
      <c r="H4" s="211">
        <v>44013</v>
      </c>
      <c r="I4" s="211">
        <v>44044</v>
      </c>
      <c r="J4" s="211">
        <v>44075</v>
      </c>
      <c r="K4" s="211">
        <v>44105</v>
      </c>
      <c r="L4" s="211">
        <v>44136</v>
      </c>
      <c r="M4" s="211">
        <v>44166</v>
      </c>
      <c r="N4" s="211" t="s">
        <v>204</v>
      </c>
    </row>
    <row r="5" spans="1:14">
      <c r="A5" s="187" t="s">
        <v>1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>
      <c r="A6" s="187" t="s">
        <v>2</v>
      </c>
      <c r="B6" s="189">
        <f>14661</f>
        <v>14661</v>
      </c>
      <c r="C6" s="189">
        <f>12058.37</f>
        <v>12058.37</v>
      </c>
      <c r="D6" s="189">
        <f>6644.83</f>
        <v>6644.83</v>
      </c>
      <c r="E6" s="189">
        <f>1191.38</f>
        <v>1191.3800000000001</v>
      </c>
      <c r="F6" s="189">
        <f>620</f>
        <v>620</v>
      </c>
      <c r="G6" s="189">
        <f>2281</f>
        <v>2281</v>
      </c>
      <c r="H6" s="189">
        <v>2000</v>
      </c>
      <c r="I6" s="189">
        <v>2000</v>
      </c>
      <c r="J6" s="189">
        <v>2000</v>
      </c>
      <c r="K6" s="189">
        <v>2000</v>
      </c>
      <c r="L6" s="189">
        <v>2000</v>
      </c>
      <c r="M6" s="189">
        <v>2000</v>
      </c>
      <c r="N6" s="191">
        <f>SUM(B6:M6)</f>
        <v>49456.58</v>
      </c>
    </row>
    <row r="7" spans="1:14">
      <c r="A7" s="187" t="s">
        <v>3</v>
      </c>
      <c r="B7" s="189">
        <f>17760</f>
        <v>17760</v>
      </c>
      <c r="C7" s="189">
        <f>13335</f>
        <v>13335</v>
      </c>
      <c r="D7" s="189">
        <f>1550</f>
        <v>1550</v>
      </c>
      <c r="E7" s="189">
        <f>9990</f>
        <v>9990</v>
      </c>
      <c r="F7" s="189">
        <v>11920.92</v>
      </c>
      <c r="G7" s="189">
        <f>1380</f>
        <v>1380</v>
      </c>
      <c r="H7" s="189">
        <v>500</v>
      </c>
      <c r="I7" s="189">
        <v>500</v>
      </c>
      <c r="J7" s="189">
        <v>3500</v>
      </c>
      <c r="K7" s="189">
        <v>500</v>
      </c>
      <c r="L7" s="189">
        <v>500</v>
      </c>
      <c r="M7" s="189">
        <v>500</v>
      </c>
      <c r="N7" s="191">
        <f t="shared" ref="N7:N13" si="0">SUM(B7:M7)</f>
        <v>61935.92</v>
      </c>
    </row>
    <row r="8" spans="1:14">
      <c r="A8" s="187" t="s">
        <v>4</v>
      </c>
      <c r="B8" s="189">
        <f>23426.49</f>
        <v>23426.49</v>
      </c>
      <c r="C8" s="189">
        <f>25763</f>
        <v>25763</v>
      </c>
      <c r="D8" s="189">
        <f>2950.8</f>
        <v>2950.8</v>
      </c>
      <c r="E8" s="189">
        <f>4855.28</f>
        <v>4855.28</v>
      </c>
      <c r="F8" s="189">
        <v>6134.15</v>
      </c>
      <c r="G8" s="189">
        <f>6081.49</f>
        <v>6081.49</v>
      </c>
      <c r="H8" s="189">
        <v>1000</v>
      </c>
      <c r="I8" s="189">
        <v>600</v>
      </c>
      <c r="J8" s="189">
        <v>600</v>
      </c>
      <c r="K8" s="189">
        <v>2500</v>
      </c>
      <c r="L8" s="189">
        <v>2500</v>
      </c>
      <c r="M8" s="189">
        <v>1000</v>
      </c>
      <c r="N8" s="191">
        <f t="shared" si="0"/>
        <v>77411.210000000006</v>
      </c>
    </row>
    <row r="9" spans="1:14">
      <c r="A9" s="187" t="s">
        <v>5</v>
      </c>
      <c r="B9" s="189">
        <f>7806</f>
        <v>7806</v>
      </c>
      <c r="C9" s="189">
        <f>3482+150</f>
        <v>3632</v>
      </c>
      <c r="D9" s="189">
        <f>8885+400</f>
        <v>9285</v>
      </c>
      <c r="E9" s="188"/>
      <c r="F9" s="188">
        <v>100</v>
      </c>
      <c r="G9" s="188">
        <v>125</v>
      </c>
      <c r="H9" s="188"/>
      <c r="I9" s="188"/>
      <c r="J9" s="188"/>
      <c r="K9" s="188"/>
      <c r="L9" s="188"/>
      <c r="M9" s="188"/>
      <c r="N9" s="191">
        <f t="shared" si="0"/>
        <v>20948</v>
      </c>
    </row>
    <row r="10" spans="1:14">
      <c r="A10" s="187" t="s">
        <v>7</v>
      </c>
      <c r="B10" s="189">
        <f>1.38</f>
        <v>1.38</v>
      </c>
      <c r="C10" s="189">
        <f>1.57</f>
        <v>1.57</v>
      </c>
      <c r="D10" s="189">
        <f>1.78</f>
        <v>1.78</v>
      </c>
      <c r="E10" s="189">
        <f>1.59</f>
        <v>1.59</v>
      </c>
      <c r="F10" s="189">
        <f>1.2</f>
        <v>1.2</v>
      </c>
      <c r="G10" s="189">
        <f>1.06</f>
        <v>1.06</v>
      </c>
      <c r="H10" s="189">
        <v>1.1000000000000001</v>
      </c>
      <c r="I10" s="189">
        <v>1.1000000000000001</v>
      </c>
      <c r="J10" s="189">
        <v>1.1000000000000001</v>
      </c>
      <c r="K10" s="189">
        <v>1.1000000000000001</v>
      </c>
      <c r="L10" s="189">
        <v>1.1000000000000001</v>
      </c>
      <c r="M10" s="189">
        <v>1.1000000000000001</v>
      </c>
      <c r="N10" s="191">
        <f t="shared" si="0"/>
        <v>15.179999999999998</v>
      </c>
    </row>
    <row r="11" spans="1:14">
      <c r="A11" s="187" t="s">
        <v>9</v>
      </c>
      <c r="B11" s="189">
        <f>1147</f>
        <v>1147</v>
      </c>
      <c r="C11" s="189">
        <f>4031.25</f>
        <v>4031.25</v>
      </c>
      <c r="D11" s="189">
        <f>237.25</f>
        <v>237.25</v>
      </c>
      <c r="E11" s="188"/>
      <c r="F11" s="188"/>
      <c r="G11" s="189">
        <f>247</f>
        <v>247</v>
      </c>
      <c r="H11" s="189">
        <v>100</v>
      </c>
      <c r="I11" s="189">
        <v>100</v>
      </c>
      <c r="J11" s="189">
        <v>100</v>
      </c>
      <c r="K11" s="189">
        <v>100</v>
      </c>
      <c r="L11" s="189">
        <v>100</v>
      </c>
      <c r="M11" s="189">
        <v>100</v>
      </c>
      <c r="N11" s="191">
        <f t="shared" si="0"/>
        <v>6262.5</v>
      </c>
    </row>
    <row r="12" spans="1:14">
      <c r="A12" s="187" t="s">
        <v>194</v>
      </c>
      <c r="B12" s="189">
        <f>27190.46</f>
        <v>27190.46</v>
      </c>
      <c r="C12" s="189">
        <f>23703.98</f>
        <v>23703.98</v>
      </c>
      <c r="D12" s="189">
        <f>3081.42</f>
        <v>3081.42</v>
      </c>
      <c r="E12" s="189">
        <f>1559.22</f>
        <v>1559.22</v>
      </c>
      <c r="F12" s="189">
        <f>677.88</f>
        <v>677.88</v>
      </c>
      <c r="G12" s="189">
        <f>7037.01</f>
        <v>7037.01</v>
      </c>
      <c r="H12" s="189">
        <v>3400</v>
      </c>
      <c r="I12" s="189">
        <v>3400</v>
      </c>
      <c r="J12" s="189">
        <v>3400</v>
      </c>
      <c r="K12" s="189">
        <v>3400</v>
      </c>
      <c r="L12" s="189">
        <v>3400</v>
      </c>
      <c r="M12" s="189">
        <v>3400</v>
      </c>
      <c r="N12" s="191">
        <f t="shared" si="0"/>
        <v>83649.97</v>
      </c>
    </row>
    <row r="13" spans="1:14">
      <c r="A13" s="187" t="s">
        <v>11</v>
      </c>
      <c r="B13" s="189">
        <f>924.5</f>
        <v>924.5</v>
      </c>
      <c r="C13" s="189">
        <f>544</f>
        <v>544</v>
      </c>
      <c r="D13" s="189">
        <f>634.5</f>
        <v>634.5</v>
      </c>
      <c r="E13" s="188"/>
      <c r="F13" s="188"/>
      <c r="G13" s="189">
        <f>25</f>
        <v>25</v>
      </c>
      <c r="H13" s="189">
        <v>20</v>
      </c>
      <c r="I13" s="189">
        <v>20</v>
      </c>
      <c r="J13" s="189">
        <v>20</v>
      </c>
      <c r="K13" s="189">
        <v>20</v>
      </c>
      <c r="L13" s="189">
        <v>20</v>
      </c>
      <c r="M13" s="189">
        <v>20</v>
      </c>
      <c r="N13" s="191">
        <f t="shared" si="0"/>
        <v>2248</v>
      </c>
    </row>
    <row r="14" spans="1:14">
      <c r="A14" s="187" t="s">
        <v>12</v>
      </c>
      <c r="B14" s="189">
        <f>1575</f>
        <v>1575</v>
      </c>
      <c r="C14" s="189">
        <f>1520.5</f>
        <v>1520.5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94">
        <f>SUM(B14:M14)</f>
        <v>3095.5</v>
      </c>
    </row>
    <row r="15" spans="1:14">
      <c r="A15" s="187" t="s">
        <v>13</v>
      </c>
      <c r="B15" s="190">
        <f>SUM(B6:B14)</f>
        <v>94491.83</v>
      </c>
      <c r="C15" s="190">
        <f t="shared" ref="C15:G15" si="1">SUM(C6:C14)</f>
        <v>84589.67</v>
      </c>
      <c r="D15" s="190">
        <f t="shared" si="1"/>
        <v>24385.58</v>
      </c>
      <c r="E15" s="190">
        <f t="shared" si="1"/>
        <v>17597.47</v>
      </c>
      <c r="F15" s="190">
        <f t="shared" si="1"/>
        <v>19454.150000000001</v>
      </c>
      <c r="G15" s="190">
        <f t="shared" si="1"/>
        <v>17177.559999999998</v>
      </c>
      <c r="H15" s="190">
        <f t="shared" ref="H15" si="2">SUM(H6:H14)</f>
        <v>7021.1</v>
      </c>
      <c r="I15" s="190">
        <f t="shared" ref="I15" si="3">SUM(I6:I14)</f>
        <v>6621.1</v>
      </c>
      <c r="J15" s="190">
        <f t="shared" ref="J15" si="4">SUM(J6:J14)</f>
        <v>9621.1</v>
      </c>
      <c r="K15" s="190">
        <f t="shared" ref="K15" si="5">SUM(K6:K14)</f>
        <v>8521.1</v>
      </c>
      <c r="L15" s="190">
        <f t="shared" ref="L15" si="6">SUM(L6:L14)</f>
        <v>8521.1</v>
      </c>
      <c r="M15" s="190">
        <f t="shared" ref="M15" si="7">SUM(M6:M14)</f>
        <v>7021.1</v>
      </c>
      <c r="N15" s="190">
        <f>SUM(B15:M15)</f>
        <v>305022.85999999987</v>
      </c>
    </row>
    <row r="16" spans="1:14">
      <c r="A16" s="187" t="s">
        <v>14</v>
      </c>
      <c r="B16" s="190">
        <f t="shared" ref="B16:G16" si="8">(B15)-(0)</f>
        <v>94491.83</v>
      </c>
      <c r="C16" s="190">
        <f t="shared" si="8"/>
        <v>84589.67</v>
      </c>
      <c r="D16" s="190">
        <f t="shared" si="8"/>
        <v>24385.58</v>
      </c>
      <c r="E16" s="190">
        <f t="shared" si="8"/>
        <v>17597.47</v>
      </c>
      <c r="F16" s="190">
        <f t="shared" si="8"/>
        <v>19454.150000000001</v>
      </c>
      <c r="G16" s="190">
        <f t="shared" si="8"/>
        <v>17177.559999999998</v>
      </c>
      <c r="H16" s="190">
        <f>H15</f>
        <v>7021.1</v>
      </c>
      <c r="I16" s="190">
        <f t="shared" ref="I16:M16" si="9">I15</f>
        <v>6621.1</v>
      </c>
      <c r="J16" s="190">
        <f t="shared" si="9"/>
        <v>9621.1</v>
      </c>
      <c r="K16" s="190">
        <f t="shared" si="9"/>
        <v>8521.1</v>
      </c>
      <c r="L16" s="190">
        <f t="shared" si="9"/>
        <v>8521.1</v>
      </c>
      <c r="M16" s="190">
        <f t="shared" si="9"/>
        <v>7021.1</v>
      </c>
      <c r="N16" s="190">
        <f>N15</f>
        <v>305022.85999999987</v>
      </c>
    </row>
    <row r="17" spans="1:17">
      <c r="A17" s="187" t="s">
        <v>15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</row>
    <row r="18" spans="1:17">
      <c r="A18" s="187" t="s">
        <v>17</v>
      </c>
      <c r="B18" s="188"/>
      <c r="C18" s="188"/>
      <c r="D18" s="188"/>
      <c r="E18" s="189">
        <f>0.46</f>
        <v>0.46</v>
      </c>
      <c r="F18" s="188"/>
      <c r="G18" s="188"/>
      <c r="H18" s="188"/>
      <c r="I18" s="188"/>
      <c r="J18" s="188"/>
      <c r="K18" s="188"/>
      <c r="L18" s="188"/>
      <c r="M18" s="188"/>
      <c r="N18" s="188">
        <f>SUM(B18:M18)</f>
        <v>0.46</v>
      </c>
    </row>
    <row r="19" spans="1:17">
      <c r="A19" s="187" t="s">
        <v>18</v>
      </c>
      <c r="B19" s="188"/>
      <c r="C19" s="189">
        <f>3505.97</f>
        <v>3505.97</v>
      </c>
      <c r="D19" s="189">
        <f>48.28</f>
        <v>48.28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>
        <f t="shared" ref="N19:N32" si="10">SUM(B19:M19)</f>
        <v>3554.25</v>
      </c>
    </row>
    <row r="20" spans="1:17">
      <c r="A20" s="187" t="s">
        <v>19</v>
      </c>
      <c r="B20" s="189">
        <f>27431.23</f>
        <v>27431.23</v>
      </c>
      <c r="C20" s="189">
        <f>20482.83</f>
        <v>20482.830000000002</v>
      </c>
      <c r="D20" s="189">
        <f>28636.95</f>
        <v>28636.95</v>
      </c>
      <c r="E20" s="189">
        <f>18709.2</f>
        <v>18709.2</v>
      </c>
      <c r="F20" s="189">
        <f>10834.2</f>
        <v>10834.2</v>
      </c>
      <c r="G20" s="189">
        <f>13214.79</f>
        <v>13214.79</v>
      </c>
      <c r="H20" s="189">
        <v>13250</v>
      </c>
      <c r="I20" s="189">
        <v>13250</v>
      </c>
      <c r="J20" s="189">
        <v>13250</v>
      </c>
      <c r="K20" s="189">
        <v>13250</v>
      </c>
      <c r="L20" s="189">
        <v>13250</v>
      </c>
      <c r="M20" s="189">
        <v>13250</v>
      </c>
      <c r="N20" s="188">
        <f t="shared" si="10"/>
        <v>198809.19999999998</v>
      </c>
    </row>
    <row r="21" spans="1:17">
      <c r="A21" s="187" t="s">
        <v>21</v>
      </c>
      <c r="B21" s="189">
        <f>93.33</f>
        <v>93.33</v>
      </c>
      <c r="C21" s="189">
        <f>93.33</f>
        <v>93.33</v>
      </c>
      <c r="D21" s="189">
        <f>718.33</f>
        <v>718.33</v>
      </c>
      <c r="E21" s="189">
        <f>93.37</f>
        <v>93.37</v>
      </c>
      <c r="F21" s="189">
        <f>93.33</f>
        <v>93.33</v>
      </c>
      <c r="G21" s="189">
        <f>93.33</f>
        <v>93.33</v>
      </c>
      <c r="H21" s="189">
        <f t="shared" ref="H21:M21" si="11">93.33</f>
        <v>93.33</v>
      </c>
      <c r="I21" s="189">
        <f t="shared" si="11"/>
        <v>93.33</v>
      </c>
      <c r="J21" s="189">
        <f t="shared" si="11"/>
        <v>93.33</v>
      </c>
      <c r="K21" s="189">
        <f t="shared" si="11"/>
        <v>93.33</v>
      </c>
      <c r="L21" s="189">
        <f t="shared" si="11"/>
        <v>93.33</v>
      </c>
      <c r="M21" s="189">
        <f t="shared" si="11"/>
        <v>93.33</v>
      </c>
      <c r="N21" s="188">
        <f t="shared" si="10"/>
        <v>1744.9999999999995</v>
      </c>
    </row>
    <row r="22" spans="1:17">
      <c r="A22" s="187" t="s">
        <v>22</v>
      </c>
      <c r="B22" s="189">
        <f>414.84</f>
        <v>414.84</v>
      </c>
      <c r="C22" s="189">
        <f>302.74</f>
        <v>302.74</v>
      </c>
      <c r="D22" s="189">
        <f>186.08</f>
        <v>186.08</v>
      </c>
      <c r="E22" s="189">
        <f>32.49</f>
        <v>32.49</v>
      </c>
      <c r="F22" s="189">
        <f>199.85</f>
        <v>199.85</v>
      </c>
      <c r="G22" s="189">
        <f>161.53</f>
        <v>161.53</v>
      </c>
      <c r="H22" s="189">
        <v>175</v>
      </c>
      <c r="I22" s="189">
        <v>175</v>
      </c>
      <c r="J22" s="189">
        <v>175</v>
      </c>
      <c r="K22" s="189">
        <v>175</v>
      </c>
      <c r="L22" s="189">
        <v>175</v>
      </c>
      <c r="M22" s="189">
        <v>175</v>
      </c>
      <c r="N22" s="188">
        <f t="shared" si="10"/>
        <v>2347.5299999999997</v>
      </c>
    </row>
    <row r="23" spans="1:17">
      <c r="A23" s="187" t="s">
        <v>23</v>
      </c>
      <c r="B23" s="189">
        <f>147.15</f>
        <v>147.15</v>
      </c>
      <c r="C23" s="189">
        <f>82.01</f>
        <v>82.01</v>
      </c>
      <c r="D23" s="189">
        <f>23.43</f>
        <v>23.43</v>
      </c>
      <c r="E23" s="189">
        <f>84.26</f>
        <v>84.26</v>
      </c>
      <c r="F23" s="189">
        <f>100.84</f>
        <v>100.84</v>
      </c>
      <c r="G23" s="189">
        <f>61.32</f>
        <v>61.32</v>
      </c>
      <c r="H23" s="189">
        <v>50</v>
      </c>
      <c r="I23" s="189">
        <v>50</v>
      </c>
      <c r="J23" s="189">
        <v>50</v>
      </c>
      <c r="K23" s="189">
        <v>50</v>
      </c>
      <c r="L23" s="189">
        <v>50</v>
      </c>
      <c r="M23" s="189">
        <v>50</v>
      </c>
      <c r="N23" s="188">
        <f t="shared" si="10"/>
        <v>799.01</v>
      </c>
    </row>
    <row r="24" spans="1:17">
      <c r="A24" s="187" t="s">
        <v>24</v>
      </c>
      <c r="B24" s="189">
        <f>200</f>
        <v>200</v>
      </c>
      <c r="C24" s="189">
        <f>255</f>
        <v>255</v>
      </c>
      <c r="D24" s="189">
        <f>382.5</f>
        <v>382.5</v>
      </c>
      <c r="E24" s="189">
        <f>82</f>
        <v>82</v>
      </c>
      <c r="F24" s="189">
        <f>50</f>
        <v>50</v>
      </c>
      <c r="G24" s="189">
        <f>100</f>
        <v>100</v>
      </c>
      <c r="H24" s="189">
        <v>300</v>
      </c>
      <c r="I24" s="189">
        <v>300</v>
      </c>
      <c r="J24" s="189">
        <v>300</v>
      </c>
      <c r="K24" s="189">
        <v>300</v>
      </c>
      <c r="L24" s="189">
        <v>300</v>
      </c>
      <c r="M24" s="189">
        <v>300</v>
      </c>
      <c r="N24" s="188">
        <f t="shared" si="10"/>
        <v>2869.5</v>
      </c>
    </row>
    <row r="25" spans="1:17">
      <c r="A25" s="187" t="s">
        <v>25</v>
      </c>
      <c r="B25" s="189">
        <f>222.85</f>
        <v>222.85</v>
      </c>
      <c r="C25" s="189">
        <f>1569.57</f>
        <v>1569.57</v>
      </c>
      <c r="D25" s="189">
        <f>31.49</f>
        <v>31.49</v>
      </c>
      <c r="E25" s="188"/>
      <c r="F25" s="188"/>
      <c r="G25" s="188"/>
      <c r="H25" s="188"/>
      <c r="I25" s="188"/>
      <c r="J25" s="188"/>
      <c r="K25" s="188"/>
      <c r="L25" s="188"/>
      <c r="M25" s="188"/>
      <c r="N25" s="188">
        <f t="shared" si="10"/>
        <v>1823.9099999999999</v>
      </c>
    </row>
    <row r="26" spans="1:17">
      <c r="A26" s="187" t="s">
        <v>26</v>
      </c>
      <c r="B26" s="189">
        <f>1403.02</f>
        <v>1403.02</v>
      </c>
      <c r="C26" s="189">
        <f>683.11</f>
        <v>683.11</v>
      </c>
      <c r="D26" s="188"/>
      <c r="E26" s="188"/>
      <c r="F26" s="188"/>
      <c r="G26" s="188"/>
      <c r="H26" s="188"/>
      <c r="I26" s="188">
        <v>400</v>
      </c>
      <c r="J26" s="188"/>
      <c r="K26" s="188"/>
      <c r="L26" s="188">
        <v>300</v>
      </c>
      <c r="M26" s="188">
        <v>300</v>
      </c>
      <c r="N26" s="188">
        <f t="shared" si="10"/>
        <v>3086.13</v>
      </c>
      <c r="Q26">
        <v>288113.96999999997</v>
      </c>
    </row>
    <row r="27" spans="1:17">
      <c r="A27" s="187" t="s">
        <v>27</v>
      </c>
      <c r="B27" s="189">
        <f>570.72</f>
        <v>570.72</v>
      </c>
      <c r="C27" s="189">
        <f>874.87</f>
        <v>874.87</v>
      </c>
      <c r="D27" s="189">
        <f>854.96</f>
        <v>854.96</v>
      </c>
      <c r="E27" s="189">
        <f>12.02</f>
        <v>12.02</v>
      </c>
      <c r="F27" s="189">
        <f>165.75</f>
        <v>165.75</v>
      </c>
      <c r="G27" s="189">
        <f>189.79</f>
        <v>189.79</v>
      </c>
      <c r="H27" s="189">
        <v>200</v>
      </c>
      <c r="I27" s="189">
        <v>200</v>
      </c>
      <c r="J27" s="189">
        <v>200</v>
      </c>
      <c r="K27" s="189">
        <v>200</v>
      </c>
      <c r="L27" s="189">
        <v>200</v>
      </c>
      <c r="M27" s="189">
        <v>200</v>
      </c>
      <c r="N27" s="188">
        <f t="shared" si="10"/>
        <v>3868.11</v>
      </c>
      <c r="Q27">
        <v>17625.810000000001</v>
      </c>
    </row>
    <row r="28" spans="1:17">
      <c r="A28" s="187" t="s">
        <v>28</v>
      </c>
      <c r="B28" s="189">
        <f>521.49</f>
        <v>521.49</v>
      </c>
      <c r="C28" s="189">
        <f>172.91</f>
        <v>172.91</v>
      </c>
      <c r="D28" s="189">
        <f>143.5</f>
        <v>143.5</v>
      </c>
      <c r="E28" s="189">
        <f>896.95</f>
        <v>896.95</v>
      </c>
      <c r="F28" s="189">
        <f>149.8</f>
        <v>149.80000000000001</v>
      </c>
      <c r="G28" s="189">
        <f>452.17</f>
        <v>452.17</v>
      </c>
      <c r="H28" s="189">
        <v>200</v>
      </c>
      <c r="I28" s="189">
        <v>200</v>
      </c>
      <c r="J28" s="189">
        <v>200</v>
      </c>
      <c r="K28" s="189">
        <v>200</v>
      </c>
      <c r="L28" s="189">
        <v>200</v>
      </c>
      <c r="M28" s="189">
        <v>200</v>
      </c>
      <c r="N28" s="188">
        <f t="shared" si="10"/>
        <v>3536.8199999999997</v>
      </c>
      <c r="Q28">
        <f>Q26+Q27</f>
        <v>305739.77999999997</v>
      </c>
    </row>
    <row r="29" spans="1:17">
      <c r="A29" s="187" t="s">
        <v>29</v>
      </c>
      <c r="B29" s="189">
        <f>310.86</f>
        <v>310.86</v>
      </c>
      <c r="C29" s="189">
        <f>229.43</f>
        <v>229.43</v>
      </c>
      <c r="D29" s="189">
        <f>54.76</f>
        <v>54.76</v>
      </c>
      <c r="E29" s="188"/>
      <c r="F29" s="188"/>
      <c r="G29" s="188"/>
      <c r="H29" s="188">
        <v>50</v>
      </c>
      <c r="I29" s="188">
        <v>50</v>
      </c>
      <c r="J29" s="188">
        <v>50</v>
      </c>
      <c r="K29" s="188">
        <v>50</v>
      </c>
      <c r="L29" s="188">
        <v>50</v>
      </c>
      <c r="M29" s="188">
        <v>50</v>
      </c>
      <c r="N29" s="188">
        <f t="shared" si="10"/>
        <v>895.05</v>
      </c>
    </row>
    <row r="30" spans="1:17">
      <c r="A30" s="187" t="s">
        <v>195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>
        <f t="shared" si="10"/>
        <v>0</v>
      </c>
    </row>
    <row r="31" spans="1:17">
      <c r="A31" s="187" t="s">
        <v>196</v>
      </c>
      <c r="B31" s="188"/>
      <c r="C31" s="188"/>
      <c r="D31" s="188"/>
      <c r="E31" s="189">
        <f>17500</f>
        <v>17500</v>
      </c>
      <c r="F31" s="189">
        <f>7500</f>
        <v>7500</v>
      </c>
      <c r="G31" s="189">
        <f>2500</f>
        <v>2500</v>
      </c>
      <c r="H31" s="189">
        <v>7500</v>
      </c>
      <c r="I31" s="189">
        <v>5000</v>
      </c>
      <c r="J31" s="189">
        <v>5000</v>
      </c>
      <c r="K31" s="189">
        <v>5000</v>
      </c>
      <c r="L31" s="189">
        <v>5000</v>
      </c>
      <c r="M31" s="189">
        <v>5000</v>
      </c>
      <c r="N31" s="188">
        <f t="shared" si="10"/>
        <v>60000</v>
      </c>
    </row>
    <row r="32" spans="1:17">
      <c r="A32" s="187" t="s">
        <v>197</v>
      </c>
      <c r="B32" s="188"/>
      <c r="C32" s="188"/>
      <c r="D32" s="188"/>
      <c r="E32" s="189">
        <f>1527.75</f>
        <v>1527.75</v>
      </c>
      <c r="F32" s="189">
        <f>573.75</f>
        <v>573.75</v>
      </c>
      <c r="G32" s="189">
        <f>191.25</f>
        <v>191.25</v>
      </c>
      <c r="H32" s="189">
        <f>G32*3</f>
        <v>573.75</v>
      </c>
      <c r="I32" s="189">
        <f>G32*2</f>
        <v>382.5</v>
      </c>
      <c r="J32" s="189">
        <v>382.5</v>
      </c>
      <c r="K32" s="189">
        <v>382.5</v>
      </c>
      <c r="L32" s="189">
        <v>382.5</v>
      </c>
      <c r="M32" s="189">
        <v>382.5</v>
      </c>
      <c r="N32" s="188">
        <f t="shared" si="10"/>
        <v>4779</v>
      </c>
    </row>
    <row r="33" spans="1:14">
      <c r="A33" s="187" t="s">
        <v>198</v>
      </c>
      <c r="B33" s="190">
        <f t="shared" ref="B33:G33" si="12">((B30)+(B31))+(B32)</f>
        <v>0</v>
      </c>
      <c r="C33" s="190">
        <f t="shared" si="12"/>
        <v>0</v>
      </c>
      <c r="D33" s="190">
        <f t="shared" si="12"/>
        <v>0</v>
      </c>
      <c r="E33" s="190">
        <f t="shared" si="12"/>
        <v>19027.75</v>
      </c>
      <c r="F33" s="190">
        <f t="shared" si="12"/>
        <v>8073.75</v>
      </c>
      <c r="G33" s="190">
        <f t="shared" si="12"/>
        <v>2691.25</v>
      </c>
      <c r="H33" s="190">
        <f>SUM(H31:H32)</f>
        <v>8073.75</v>
      </c>
      <c r="I33" s="190">
        <f t="shared" ref="I33:M33" si="13">SUM(I31:I32)</f>
        <v>5382.5</v>
      </c>
      <c r="J33" s="190">
        <f t="shared" si="13"/>
        <v>5382.5</v>
      </c>
      <c r="K33" s="190">
        <f t="shared" si="13"/>
        <v>5382.5</v>
      </c>
      <c r="L33" s="190">
        <f t="shared" si="13"/>
        <v>5382.5</v>
      </c>
      <c r="M33" s="190">
        <f t="shared" si="13"/>
        <v>5382.5</v>
      </c>
      <c r="N33" s="190">
        <f>SUM(N31:N32)</f>
        <v>64779</v>
      </c>
    </row>
    <row r="34" spans="1:14">
      <c r="A34" s="187" t="s">
        <v>30</v>
      </c>
      <c r="B34" s="188"/>
      <c r="C34" s="188"/>
      <c r="D34" s="188"/>
      <c r="E34" s="188"/>
      <c r="F34" s="188"/>
      <c r="G34" s="189">
        <f>149</f>
        <v>149</v>
      </c>
      <c r="H34" s="189"/>
      <c r="I34" s="189"/>
      <c r="J34" s="189">
        <v>500</v>
      </c>
      <c r="K34" s="189"/>
      <c r="L34" s="189">
        <v>500</v>
      </c>
      <c r="M34" s="189"/>
      <c r="N34" s="189">
        <f>SUM(B34:M34)</f>
        <v>1149</v>
      </c>
    </row>
    <row r="35" spans="1:14">
      <c r="A35" s="187" t="s">
        <v>31</v>
      </c>
      <c r="B35" s="189">
        <f>1500</f>
        <v>1500</v>
      </c>
      <c r="C35" s="189">
        <f>1500</f>
        <v>1500</v>
      </c>
      <c r="D35" s="189">
        <f>1500</f>
        <v>1500</v>
      </c>
      <c r="E35" s="188"/>
      <c r="F35" s="188"/>
      <c r="G35" s="188"/>
      <c r="H35" s="188"/>
      <c r="I35" s="188"/>
      <c r="J35" s="188"/>
      <c r="K35" s="188">
        <v>1500</v>
      </c>
      <c r="L35" s="188">
        <v>1500</v>
      </c>
      <c r="M35" s="188">
        <v>1500</v>
      </c>
      <c r="N35" s="189">
        <f>SUM(B35:M35)</f>
        <v>9000</v>
      </c>
    </row>
    <row r="36" spans="1:14">
      <c r="A36" s="187" t="s">
        <v>199</v>
      </c>
      <c r="B36" s="188"/>
      <c r="C36" s="189">
        <f>150</f>
        <v>150</v>
      </c>
      <c r="D36" s="189">
        <f>150</f>
        <v>150</v>
      </c>
      <c r="E36" s="188"/>
      <c r="F36" s="188"/>
      <c r="G36" s="188"/>
      <c r="H36" s="188">
        <v>300</v>
      </c>
      <c r="I36" s="188">
        <v>150</v>
      </c>
      <c r="J36" s="188">
        <v>150</v>
      </c>
      <c r="K36" s="188">
        <v>150</v>
      </c>
      <c r="L36" s="188">
        <v>150</v>
      </c>
      <c r="M36" s="188">
        <v>150</v>
      </c>
      <c r="N36" s="189">
        <f>SUM(B36:M36)</f>
        <v>1350</v>
      </c>
    </row>
    <row r="37" spans="1:14">
      <c r="A37" s="187" t="s">
        <v>200</v>
      </c>
      <c r="B37" s="189">
        <f>2500</f>
        <v>2500</v>
      </c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9">
        <f t="shared" ref="N37:N41" si="14">SUM(B37:M37)</f>
        <v>2500</v>
      </c>
    </row>
    <row r="38" spans="1:14">
      <c r="A38" s="187" t="s">
        <v>201</v>
      </c>
      <c r="B38" s="188"/>
      <c r="C38" s="189">
        <f>140.75</f>
        <v>140.75</v>
      </c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9">
        <f t="shared" si="14"/>
        <v>140.75</v>
      </c>
    </row>
    <row r="39" spans="1:14">
      <c r="A39" s="187" t="s">
        <v>32</v>
      </c>
      <c r="B39" s="189">
        <f>90.48</f>
        <v>90.48</v>
      </c>
      <c r="C39" s="189">
        <f>175</f>
        <v>175</v>
      </c>
      <c r="D39" s="188"/>
      <c r="E39" s="189">
        <f>108.78</f>
        <v>108.78</v>
      </c>
      <c r="F39" s="189">
        <f>38.78</f>
        <v>38.78</v>
      </c>
      <c r="G39" s="188"/>
      <c r="H39" s="188"/>
      <c r="I39" s="188">
        <v>150</v>
      </c>
      <c r="J39" s="188"/>
      <c r="K39" s="188"/>
      <c r="L39" s="188"/>
      <c r="M39" s="188"/>
      <c r="N39" s="189">
        <f t="shared" si="14"/>
        <v>563.04</v>
      </c>
    </row>
    <row r="40" spans="1:14">
      <c r="A40" s="187" t="s">
        <v>33</v>
      </c>
      <c r="B40" s="189">
        <f>26.57</f>
        <v>26.57</v>
      </c>
      <c r="C40" s="189">
        <f>604.42</f>
        <v>604.41999999999996</v>
      </c>
      <c r="D40" s="189">
        <f>162.26</f>
        <v>162.26</v>
      </c>
      <c r="E40" s="189">
        <f>1150.72</f>
        <v>1150.72</v>
      </c>
      <c r="F40" s="188"/>
      <c r="G40" s="188"/>
      <c r="H40" s="188"/>
      <c r="I40" s="188"/>
      <c r="J40" s="188"/>
      <c r="K40" s="188"/>
      <c r="L40" s="188"/>
      <c r="M40" s="188"/>
      <c r="N40" s="189">
        <f t="shared" si="14"/>
        <v>1943.97</v>
      </c>
    </row>
    <row r="41" spans="1:14">
      <c r="A41" s="187" t="s">
        <v>34</v>
      </c>
      <c r="B41" s="189">
        <f>98.67</f>
        <v>98.67</v>
      </c>
      <c r="C41" s="189">
        <f>100.15</f>
        <v>100.15</v>
      </c>
      <c r="D41" s="188"/>
      <c r="E41" s="189">
        <f>100.15</f>
        <v>100.15</v>
      </c>
      <c r="F41" s="188"/>
      <c r="G41" s="189">
        <f>79.18</f>
        <v>79.180000000000007</v>
      </c>
      <c r="H41" s="189">
        <f t="shared" ref="H41:M41" si="15">100.15</f>
        <v>100.15</v>
      </c>
      <c r="I41" s="189">
        <f t="shared" si="15"/>
        <v>100.15</v>
      </c>
      <c r="J41" s="189">
        <f t="shared" si="15"/>
        <v>100.15</v>
      </c>
      <c r="K41" s="189">
        <f t="shared" si="15"/>
        <v>100.15</v>
      </c>
      <c r="L41" s="189">
        <f t="shared" si="15"/>
        <v>100.15</v>
      </c>
      <c r="M41" s="189">
        <f t="shared" si="15"/>
        <v>100.15</v>
      </c>
      <c r="N41" s="189">
        <f t="shared" si="14"/>
        <v>979.05</v>
      </c>
    </row>
    <row r="42" spans="1:14">
      <c r="A42" s="187" t="s">
        <v>35</v>
      </c>
      <c r="B42" s="190">
        <f t="shared" ref="B42:G42" si="16">((((((((((((((((((((B18)+(B19))+(B20))+(B21))+(B22))+(B23))+(B24))+(B25))+(B26))+(B27))+(B28))+(B29))+(B33))+(B34))+(B35))+(B36))+(B37))+(B38))+(B39))+(B40))+(B41)</f>
        <v>35531.210000000006</v>
      </c>
      <c r="C42" s="190">
        <f t="shared" si="16"/>
        <v>30922.090000000004</v>
      </c>
      <c r="D42" s="190">
        <f t="shared" si="16"/>
        <v>32892.54</v>
      </c>
      <c r="E42" s="190">
        <f t="shared" si="16"/>
        <v>40298.15</v>
      </c>
      <c r="F42" s="190">
        <f t="shared" si="16"/>
        <v>19706.3</v>
      </c>
      <c r="G42" s="190">
        <f t="shared" si="16"/>
        <v>17192.36</v>
      </c>
      <c r="H42" s="190">
        <f t="shared" ref="H42" si="17">((((((((((((((((((((H18)+(H19))+(H20))+(H21))+(H22))+(H23))+(H24))+(H25))+(H26))+(H27))+(H28))+(H29))+(H33))+(H34))+(H35))+(H36))+(H37))+(H38))+(H39))+(H40))+(H41)</f>
        <v>22792.230000000003</v>
      </c>
      <c r="I42" s="190">
        <f t="shared" ref="I42" si="18">((((((((((((((((((((I18)+(I19))+(I20))+(I21))+(I22))+(I23))+(I24))+(I25))+(I26))+(I27))+(I28))+(I29))+(I33))+(I34))+(I35))+(I36))+(I37))+(I38))+(I39))+(I40))+(I41)</f>
        <v>20500.980000000003</v>
      </c>
      <c r="J42" s="190">
        <f t="shared" ref="J42" si="19">((((((((((((((((((((J18)+(J19))+(J20))+(J21))+(J22))+(J23))+(J24))+(J25))+(J26))+(J27))+(J28))+(J29))+(J33))+(J34))+(J35))+(J36))+(J37))+(J38))+(J39))+(J40))+(J41)</f>
        <v>20450.980000000003</v>
      </c>
      <c r="K42" s="190">
        <f t="shared" ref="K42" si="20">((((((((((((((((((((K18)+(K19))+(K20))+(K21))+(K22))+(K23))+(K24))+(K25))+(K26))+(K27))+(K28))+(K29))+(K33))+(K34))+(K35))+(K36))+(K37))+(K38))+(K39))+(K40))+(K41)</f>
        <v>21450.980000000003</v>
      </c>
      <c r="L42" s="190">
        <f t="shared" ref="L42" si="21">((((((((((((((((((((L18)+(L19))+(L20))+(L21))+(L22))+(L23))+(L24))+(L25))+(L26))+(L27))+(L28))+(L29))+(L33))+(L34))+(L35))+(L36))+(L37))+(L38))+(L39))+(L40))+(L41)</f>
        <v>22250.980000000003</v>
      </c>
      <c r="M42" s="190">
        <f t="shared" ref="M42" si="22">((((((((((((((((((((M18)+(M19))+(M20))+(M21))+(M22))+(M23))+(M24))+(M25))+(M26))+(M27))+(M28))+(M29))+(M33))+(M34))+(M35))+(M36))+(M37))+(M38))+(M39))+(M40))+(M41)</f>
        <v>21750.980000000003</v>
      </c>
      <c r="N42" s="190">
        <f>SUM(B42:M42)</f>
        <v>305739.78000000003</v>
      </c>
    </row>
    <row r="43" spans="1:14">
      <c r="A43" s="187" t="s">
        <v>36</v>
      </c>
      <c r="B43" s="190">
        <f t="shared" ref="B43:G43" si="23">(B16)-(B42)</f>
        <v>58960.619999999995</v>
      </c>
      <c r="C43" s="190">
        <f t="shared" si="23"/>
        <v>53667.579999999994</v>
      </c>
      <c r="D43" s="190">
        <f t="shared" si="23"/>
        <v>-8506.9599999999991</v>
      </c>
      <c r="E43" s="190">
        <f t="shared" si="23"/>
        <v>-22700.68</v>
      </c>
      <c r="F43" s="190">
        <f t="shared" si="23"/>
        <v>-252.14999999999782</v>
      </c>
      <c r="G43" s="190">
        <f t="shared" si="23"/>
        <v>-14.80000000000291</v>
      </c>
      <c r="H43" s="190">
        <f>H15-H42</f>
        <v>-15771.130000000003</v>
      </c>
      <c r="I43" s="190">
        <f t="shared" ref="I43:M43" si="24">I15-I42</f>
        <v>-13879.880000000003</v>
      </c>
      <c r="J43" s="190">
        <f t="shared" si="24"/>
        <v>-10829.880000000003</v>
      </c>
      <c r="K43" s="190">
        <f t="shared" si="24"/>
        <v>-12929.880000000003</v>
      </c>
      <c r="L43" s="190">
        <f t="shared" si="24"/>
        <v>-13729.880000000003</v>
      </c>
      <c r="M43" s="190">
        <f t="shared" si="24"/>
        <v>-14729.880000000003</v>
      </c>
      <c r="N43" s="190">
        <f>N16-N42</f>
        <v>-716.92000000015832</v>
      </c>
    </row>
    <row r="44" spans="1:14">
      <c r="A44" s="187" t="s">
        <v>37</v>
      </c>
      <c r="B44" s="190">
        <f t="shared" ref="B44:G44" si="25">(B43)+(0)</f>
        <v>58960.619999999995</v>
      </c>
      <c r="C44" s="190">
        <f t="shared" si="25"/>
        <v>53667.579999999994</v>
      </c>
      <c r="D44" s="190">
        <f t="shared" si="25"/>
        <v>-8506.9599999999991</v>
      </c>
      <c r="E44" s="190">
        <f t="shared" si="25"/>
        <v>-22700.68</v>
      </c>
      <c r="F44" s="190">
        <f t="shared" si="25"/>
        <v>-252.14999999999782</v>
      </c>
      <c r="G44" s="190">
        <f t="shared" si="25"/>
        <v>-14.80000000000291</v>
      </c>
      <c r="H44" s="190">
        <f>H43</f>
        <v>-15771.130000000003</v>
      </c>
      <c r="I44" s="190">
        <f t="shared" ref="I44:N44" si="26">I43</f>
        <v>-13879.880000000003</v>
      </c>
      <c r="J44" s="190">
        <f t="shared" si="26"/>
        <v>-10829.880000000003</v>
      </c>
      <c r="K44" s="190">
        <f t="shared" si="26"/>
        <v>-12929.880000000003</v>
      </c>
      <c r="L44" s="190">
        <f t="shared" si="26"/>
        <v>-13729.880000000003</v>
      </c>
      <c r="M44" s="190">
        <f t="shared" si="26"/>
        <v>-14729.880000000003</v>
      </c>
      <c r="N44" s="190">
        <f t="shared" si="26"/>
        <v>-716.92000000015832</v>
      </c>
    </row>
    <row r="45" spans="1:14">
      <c r="A45" s="187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</row>
  </sheetData>
  <mergeCells count="3">
    <mergeCell ref="A3:M3"/>
    <mergeCell ref="A1:M1"/>
    <mergeCell ref="A2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E488A-19CF-944A-B0AC-AE840F0449D7}">
  <dimension ref="A1:N27"/>
  <sheetViews>
    <sheetView workbookViewId="0">
      <selection activeCell="A28" sqref="A28"/>
    </sheetView>
  </sheetViews>
  <sheetFormatPr baseColWidth="10" defaultRowHeight="15"/>
  <cols>
    <col min="1" max="1" width="29.1640625" customWidth="1"/>
    <col min="2" max="2" width="13.83203125" customWidth="1"/>
    <col min="3" max="3" width="12.5" customWidth="1"/>
    <col min="4" max="4" width="12.83203125" customWidth="1"/>
    <col min="5" max="5" width="13.5" customWidth="1"/>
    <col min="6" max="14" width="13.83203125" customWidth="1"/>
  </cols>
  <sheetData>
    <row r="1" spans="1:14" s="12" customFormat="1" ht="32">
      <c r="B1" s="13">
        <v>43831</v>
      </c>
      <c r="C1" s="13">
        <v>43862</v>
      </c>
      <c r="D1" s="13">
        <v>43891</v>
      </c>
      <c r="E1" s="13">
        <v>43922</v>
      </c>
      <c r="F1" s="13">
        <v>43952</v>
      </c>
      <c r="G1" s="13">
        <v>43983</v>
      </c>
      <c r="H1" s="13">
        <v>44013</v>
      </c>
      <c r="I1" s="13">
        <v>44044</v>
      </c>
      <c r="J1" s="13">
        <v>44075</v>
      </c>
      <c r="K1" s="13">
        <v>44105</v>
      </c>
      <c r="L1" s="13">
        <v>44136</v>
      </c>
      <c r="M1" s="13">
        <v>44166</v>
      </c>
      <c r="N1" s="14" t="s">
        <v>58</v>
      </c>
    </row>
    <row r="2" spans="1:14" s="150" customFormat="1" ht="16">
      <c r="A2" s="149" t="s">
        <v>45</v>
      </c>
      <c r="B2" s="146"/>
    </row>
    <row r="3" spans="1:14" s="150" customFormat="1" ht="16">
      <c r="A3" s="146" t="s">
        <v>163</v>
      </c>
      <c r="B3" s="146"/>
    </row>
    <row r="4" spans="1:14" s="150" customFormat="1" ht="16">
      <c r="A4" s="147" t="s">
        <v>126</v>
      </c>
      <c r="B4" s="151">
        <f>'2020 Assumptions'!Q9</f>
        <v>7500</v>
      </c>
      <c r="C4" s="151">
        <f>'2020 Assumptions'!Q10</f>
        <v>8750</v>
      </c>
      <c r="N4" s="151">
        <f>SUM(B4:M4)</f>
        <v>16250</v>
      </c>
    </row>
    <row r="5" spans="1:14" s="150" customFormat="1" ht="16">
      <c r="A5" s="147" t="s">
        <v>164</v>
      </c>
      <c r="B5" s="151">
        <f>'2020 Assumptions'!Q12</f>
        <v>16665</v>
      </c>
      <c r="C5" s="151">
        <f>'2020 Assumptions'!Q13</f>
        <v>16665</v>
      </c>
      <c r="D5" s="152">
        <f>'2020 Assumptions'!Q14</f>
        <v>16670</v>
      </c>
      <c r="N5" s="151">
        <f t="shared" ref="N5:N9" si="0">SUM(B5:M5)</f>
        <v>50000</v>
      </c>
    </row>
    <row r="6" spans="1:14" s="150" customFormat="1" ht="16">
      <c r="A6" s="147" t="s">
        <v>165</v>
      </c>
      <c r="B6" s="151">
        <f>'2020 Assumptions'!Q16</f>
        <v>13750</v>
      </c>
      <c r="C6" s="151">
        <f>'2020 Assumptions'!Q17</f>
        <v>13750</v>
      </c>
      <c r="N6" s="151">
        <f t="shared" si="0"/>
        <v>27500</v>
      </c>
    </row>
    <row r="7" spans="1:14" s="150" customFormat="1" ht="16">
      <c r="A7" s="147" t="s">
        <v>166</v>
      </c>
      <c r="B7" s="152"/>
      <c r="G7" s="151">
        <f>'2020 Assumptions'!Q19</f>
        <v>21000</v>
      </c>
      <c r="H7" s="151">
        <f>'2020 Assumptions'!Q20</f>
        <v>21000</v>
      </c>
      <c r="N7" s="151">
        <f t="shared" si="0"/>
        <v>42000</v>
      </c>
    </row>
    <row r="8" spans="1:14" s="150" customFormat="1" ht="16">
      <c r="A8" s="147" t="s">
        <v>135</v>
      </c>
      <c r="B8" s="152"/>
      <c r="G8" s="151">
        <f>'2020 Assumptions'!Q22</f>
        <v>6165</v>
      </c>
      <c r="H8" s="151">
        <f>'2020 Assumptions'!Q23</f>
        <v>6165</v>
      </c>
      <c r="I8" s="151">
        <f>'2020 Assumptions'!Q24</f>
        <v>6165</v>
      </c>
      <c r="J8" s="151">
        <f>'2020 Assumptions'!Q25</f>
        <v>6165</v>
      </c>
      <c r="K8" s="151">
        <f>'2020 Assumptions'!Q26</f>
        <v>6170</v>
      </c>
      <c r="L8" s="151">
        <f>'2020 Assumptions'!Q27</f>
        <v>6170</v>
      </c>
      <c r="N8" s="151">
        <f t="shared" si="0"/>
        <v>37000</v>
      </c>
    </row>
    <row r="9" spans="1:14" s="150" customFormat="1" ht="16">
      <c r="A9" s="147" t="s">
        <v>167</v>
      </c>
      <c r="B9" s="152"/>
      <c r="H9" s="151">
        <f>'2020 Assumptions'!Q29</f>
        <v>6000</v>
      </c>
      <c r="I9" s="151">
        <f>'2020 Assumptions'!Q30</f>
        <v>6000</v>
      </c>
      <c r="J9" s="151">
        <f>'2020 Assumptions'!Q31</f>
        <v>6000</v>
      </c>
      <c r="N9" s="151">
        <f t="shared" si="0"/>
        <v>18000</v>
      </c>
    </row>
    <row r="10" spans="1:14" s="150" customFormat="1" ht="16">
      <c r="A10" s="153" t="s">
        <v>168</v>
      </c>
      <c r="B10" s="154">
        <f>SUM(B4:B9)</f>
        <v>37915</v>
      </c>
      <c r="C10" s="154">
        <f t="shared" ref="C10:N10" si="1">SUM(C4:C9)</f>
        <v>39165</v>
      </c>
      <c r="D10" s="154">
        <f t="shared" si="1"/>
        <v>16670</v>
      </c>
      <c r="E10" s="154">
        <f t="shared" si="1"/>
        <v>0</v>
      </c>
      <c r="F10" s="154">
        <f t="shared" si="1"/>
        <v>0</v>
      </c>
      <c r="G10" s="154">
        <f t="shared" si="1"/>
        <v>27165</v>
      </c>
      <c r="H10" s="154">
        <f t="shared" si="1"/>
        <v>33165</v>
      </c>
      <c r="I10" s="154">
        <f t="shared" si="1"/>
        <v>12165</v>
      </c>
      <c r="J10" s="154">
        <f t="shared" si="1"/>
        <v>12165</v>
      </c>
      <c r="K10" s="154">
        <f t="shared" si="1"/>
        <v>6170</v>
      </c>
      <c r="L10" s="154">
        <f t="shared" si="1"/>
        <v>6170</v>
      </c>
      <c r="M10" s="154">
        <f t="shared" si="1"/>
        <v>0</v>
      </c>
      <c r="N10" s="154">
        <f t="shared" si="1"/>
        <v>190750</v>
      </c>
    </row>
    <row r="11" spans="1:14" s="150" customFormat="1" ht="16">
      <c r="A11" s="16" t="s">
        <v>14</v>
      </c>
      <c r="B11" s="155">
        <f>B10</f>
        <v>37915</v>
      </c>
      <c r="C11" s="155">
        <f>C10</f>
        <v>39165</v>
      </c>
      <c r="D11" s="155">
        <f t="shared" ref="D11:N11" si="2">D10</f>
        <v>16670</v>
      </c>
      <c r="E11" s="155">
        <f t="shared" si="2"/>
        <v>0</v>
      </c>
      <c r="F11" s="155">
        <f t="shared" si="2"/>
        <v>0</v>
      </c>
      <c r="G11" s="155">
        <f t="shared" si="2"/>
        <v>27165</v>
      </c>
      <c r="H11" s="155">
        <f t="shared" si="2"/>
        <v>33165</v>
      </c>
      <c r="I11" s="155">
        <f t="shared" si="2"/>
        <v>12165</v>
      </c>
      <c r="J11" s="155">
        <f t="shared" si="2"/>
        <v>12165</v>
      </c>
      <c r="K11" s="155">
        <f t="shared" si="2"/>
        <v>6170</v>
      </c>
      <c r="L11" s="155">
        <f t="shared" si="2"/>
        <v>6170</v>
      </c>
      <c r="M11" s="155">
        <f t="shared" si="2"/>
        <v>0</v>
      </c>
      <c r="N11" s="155">
        <f t="shared" si="2"/>
        <v>190750</v>
      </c>
    </row>
    <row r="12" spans="1:14" s="150" customFormat="1" ht="16">
      <c r="A12" s="156" t="s">
        <v>15</v>
      </c>
      <c r="B12" s="146"/>
    </row>
    <row r="13" spans="1:14" s="150" customFormat="1" ht="16">
      <c r="A13" s="100" t="s">
        <v>16</v>
      </c>
      <c r="B13" s="151">
        <f>'2020 Assumptions'!$Q$41</f>
        <v>83.333333333333329</v>
      </c>
      <c r="C13" s="151">
        <f>'2020 Assumptions'!$Q$41</f>
        <v>83.333333333333329</v>
      </c>
      <c r="D13" s="151">
        <f>'2020 Assumptions'!$Q$41</f>
        <v>83.333333333333329</v>
      </c>
      <c r="E13" s="151">
        <f>'2020 Assumptions'!$Q$41</f>
        <v>83.333333333333329</v>
      </c>
      <c r="F13" s="151">
        <f>'2020 Assumptions'!$Q$41</f>
        <v>83.333333333333329</v>
      </c>
      <c r="G13" s="151">
        <f>'2020 Assumptions'!$Q$41</f>
        <v>83.333333333333329</v>
      </c>
      <c r="H13" s="151">
        <f>'2020 Assumptions'!$Q$41</f>
        <v>83.333333333333329</v>
      </c>
      <c r="I13" s="151">
        <f>'2020 Assumptions'!$Q$41</f>
        <v>83.333333333333329</v>
      </c>
      <c r="J13" s="151">
        <f>'2020 Assumptions'!$Q$41</f>
        <v>83.333333333333329</v>
      </c>
      <c r="K13" s="151">
        <f>'2020 Assumptions'!$Q$41</f>
        <v>83.333333333333329</v>
      </c>
      <c r="L13" s="151">
        <f>'2020 Assumptions'!$Q$41</f>
        <v>83.333333333333329</v>
      </c>
      <c r="M13" s="151">
        <f>'2020 Assumptions'!$Q$41</f>
        <v>83.333333333333329</v>
      </c>
      <c r="N13" s="151">
        <f t="shared" ref="N13:N24" si="3">SUM(B13:M13)</f>
        <v>1000.0000000000001</v>
      </c>
    </row>
    <row r="14" spans="1:14" s="150" customFormat="1" ht="16">
      <c r="A14" s="157" t="s">
        <v>169</v>
      </c>
      <c r="B14" s="151">
        <f>'2020 Assumptions'!$Q$42</f>
        <v>5000</v>
      </c>
      <c r="C14" s="151">
        <f>'2020 Assumptions'!$Q$42</f>
        <v>5000</v>
      </c>
      <c r="D14" s="151">
        <f>'2020 Assumptions'!$Q$42</f>
        <v>5000</v>
      </c>
      <c r="E14" s="151">
        <f>'2020 Assumptions'!$Q$42</f>
        <v>5000</v>
      </c>
      <c r="F14" s="151">
        <f>'2020 Assumptions'!$Q$42</f>
        <v>5000</v>
      </c>
      <c r="G14" s="151">
        <f>'2020 Assumptions'!$Q$42</f>
        <v>5000</v>
      </c>
      <c r="H14" s="151">
        <f>'2020 Assumptions'!$Q$42</f>
        <v>5000</v>
      </c>
      <c r="I14" s="151">
        <f>'2020 Assumptions'!$Q$42</f>
        <v>5000</v>
      </c>
      <c r="J14" s="151">
        <f>'2020 Assumptions'!$Q$42</f>
        <v>5000</v>
      </c>
      <c r="K14" s="151">
        <f>'2020 Assumptions'!$Q$42</f>
        <v>5000</v>
      </c>
      <c r="L14" s="151">
        <f>'2020 Assumptions'!$Q$42</f>
        <v>5000</v>
      </c>
      <c r="M14" s="151">
        <f>'2020 Assumptions'!$Q$42</f>
        <v>5000</v>
      </c>
      <c r="N14" s="151">
        <f t="shared" si="3"/>
        <v>60000</v>
      </c>
    </row>
    <row r="15" spans="1:14" s="150" customFormat="1" ht="16">
      <c r="A15" s="157" t="s">
        <v>149</v>
      </c>
      <c r="B15" s="151">
        <f>'2020 Assumptions'!$Q$43</f>
        <v>332.5</v>
      </c>
      <c r="C15" s="151">
        <f>'2020 Assumptions'!$Q$43</f>
        <v>332.5</v>
      </c>
      <c r="D15" s="151">
        <f>'2020 Assumptions'!$Q$43</f>
        <v>332.5</v>
      </c>
      <c r="E15" s="151">
        <f>'2020 Assumptions'!$Q$43</f>
        <v>332.5</v>
      </c>
      <c r="F15" s="151">
        <f>'2020 Assumptions'!$Q$43</f>
        <v>332.5</v>
      </c>
      <c r="G15" s="151">
        <f>'2020 Assumptions'!$Q$43</f>
        <v>332.5</v>
      </c>
      <c r="H15" s="151">
        <f>'2020 Assumptions'!$Q$43</f>
        <v>332.5</v>
      </c>
      <c r="I15" s="151">
        <f>'2020 Assumptions'!$Q$43</f>
        <v>332.5</v>
      </c>
      <c r="J15" s="151">
        <f>'2020 Assumptions'!$Q$43</f>
        <v>332.5</v>
      </c>
      <c r="K15" s="151">
        <f>'2020 Assumptions'!$Q$43</f>
        <v>332.5</v>
      </c>
      <c r="L15" s="151">
        <f>'2020 Assumptions'!$Q$43</f>
        <v>332.5</v>
      </c>
      <c r="M15" s="151">
        <f>'2020 Assumptions'!$Q$43</f>
        <v>332.5</v>
      </c>
      <c r="N15" s="151">
        <f t="shared" si="3"/>
        <v>3990</v>
      </c>
    </row>
    <row r="16" spans="1:14" s="150" customFormat="1" ht="16">
      <c r="A16" s="157" t="s">
        <v>150</v>
      </c>
      <c r="B16" s="151">
        <f>'2020 Assumptions'!$Q$44</f>
        <v>4583.333333333333</v>
      </c>
      <c r="C16" s="151">
        <f>'2020 Assumptions'!$Q$44</f>
        <v>4583.333333333333</v>
      </c>
      <c r="D16" s="151">
        <f>'2020 Assumptions'!$Q$44</f>
        <v>4583.333333333333</v>
      </c>
      <c r="E16" s="151">
        <f>'2020 Assumptions'!$Q$44</f>
        <v>4583.333333333333</v>
      </c>
      <c r="F16" s="151">
        <f>'2020 Assumptions'!$Q$44</f>
        <v>4583.333333333333</v>
      </c>
      <c r="G16" s="151">
        <f>'2020 Assumptions'!$Q$44</f>
        <v>4583.333333333333</v>
      </c>
      <c r="H16" s="151">
        <f>'2020 Assumptions'!$Q$44</f>
        <v>4583.333333333333</v>
      </c>
      <c r="I16" s="151">
        <f>'2020 Assumptions'!$Q$44</f>
        <v>4583.333333333333</v>
      </c>
      <c r="J16" s="151">
        <f>'2020 Assumptions'!$Q$44</f>
        <v>4583.333333333333</v>
      </c>
      <c r="K16" s="151">
        <f>'2020 Assumptions'!$Q$44</f>
        <v>4583.333333333333</v>
      </c>
      <c r="L16" s="151">
        <f>'2020 Assumptions'!$Q$44</f>
        <v>4583.333333333333</v>
      </c>
      <c r="M16" s="151">
        <f>'2020 Assumptions'!$Q$44</f>
        <v>4583.333333333333</v>
      </c>
      <c r="N16" s="151">
        <f t="shared" si="3"/>
        <v>55000.000000000007</v>
      </c>
    </row>
    <row r="17" spans="1:14" s="150" customFormat="1" ht="16">
      <c r="A17" s="157" t="s">
        <v>170</v>
      </c>
      <c r="B17" s="151">
        <f>'2020 Assumptions'!$Q$45</f>
        <v>416.66666666666669</v>
      </c>
      <c r="C17" s="151">
        <f>'2020 Assumptions'!$Q$45</f>
        <v>416.66666666666669</v>
      </c>
      <c r="D17" s="151">
        <f>'2020 Assumptions'!$Q$45</f>
        <v>416.66666666666669</v>
      </c>
      <c r="E17" s="151">
        <f>'2020 Assumptions'!$Q$45</f>
        <v>416.66666666666669</v>
      </c>
      <c r="F17" s="151">
        <f>'2020 Assumptions'!$Q$45</f>
        <v>416.66666666666669</v>
      </c>
      <c r="G17" s="151">
        <f>'2020 Assumptions'!$Q$45</f>
        <v>416.66666666666669</v>
      </c>
      <c r="H17" s="151">
        <f>'2020 Assumptions'!$Q$45</f>
        <v>416.66666666666669</v>
      </c>
      <c r="I17" s="151">
        <f>'2020 Assumptions'!$Q$45</f>
        <v>416.66666666666669</v>
      </c>
      <c r="J17" s="151">
        <f>'2020 Assumptions'!$Q$45</f>
        <v>416.66666666666669</v>
      </c>
      <c r="K17" s="151">
        <f>'2020 Assumptions'!$Q$45</f>
        <v>416.66666666666669</v>
      </c>
      <c r="L17" s="151">
        <f>'2020 Assumptions'!$Q$45</f>
        <v>416.66666666666669</v>
      </c>
      <c r="M17" s="151">
        <f>'2020 Assumptions'!$Q$45</f>
        <v>416.66666666666669</v>
      </c>
      <c r="N17" s="151">
        <f t="shared" si="3"/>
        <v>5000</v>
      </c>
    </row>
    <row r="18" spans="1:14" s="150" customFormat="1" ht="16">
      <c r="A18" s="157" t="s">
        <v>152</v>
      </c>
      <c r="B18" s="158">
        <f>'[1]Teacher Training Assumptions'!D47</f>
        <v>1000</v>
      </c>
      <c r="C18" s="151">
        <f>'[1]Teacher Training Assumptions'!D48</f>
        <v>1000</v>
      </c>
      <c r="D18" s="151">
        <f>'[1]Teacher Training Assumptions'!D49</f>
        <v>1000</v>
      </c>
      <c r="G18" s="151">
        <f>'[1]Teacher Training Assumptions'!D50</f>
        <v>1500</v>
      </c>
      <c r="H18" s="151">
        <f>'[1]Teacher Training Assumptions'!D51</f>
        <v>1500</v>
      </c>
      <c r="I18" s="151">
        <f>'[1]Teacher Training Assumptions'!D52</f>
        <v>1000</v>
      </c>
      <c r="J18" s="151">
        <f>'[1]Teacher Training Assumptions'!D53</f>
        <v>1000</v>
      </c>
      <c r="K18" s="151">
        <f>'[1]Teacher Training Assumptions'!D54</f>
        <v>1000</v>
      </c>
      <c r="L18" s="151">
        <f>'[1]Teacher Training Assumptions'!D55</f>
        <v>1000</v>
      </c>
      <c r="N18" s="151">
        <f t="shared" si="3"/>
        <v>10000</v>
      </c>
    </row>
    <row r="19" spans="1:14" s="150" customFormat="1" ht="16">
      <c r="A19" s="157" t="s">
        <v>153</v>
      </c>
      <c r="B19" s="146"/>
      <c r="G19" s="151">
        <f>'[1]Teacher Training Assumptions'!E56</f>
        <v>600</v>
      </c>
      <c r="N19" s="151">
        <f t="shared" si="3"/>
        <v>600</v>
      </c>
    </row>
    <row r="20" spans="1:14" s="150" customFormat="1" ht="16">
      <c r="A20" s="157" t="s">
        <v>154</v>
      </c>
      <c r="B20" s="158">
        <f>'[1]Teacher Training Assumptions'!E57</f>
        <v>1000</v>
      </c>
      <c r="N20" s="151">
        <f t="shared" si="3"/>
        <v>1000</v>
      </c>
    </row>
    <row r="21" spans="1:14" s="150" customFormat="1" ht="16">
      <c r="A21" s="157" t="s">
        <v>113</v>
      </c>
      <c r="B21" s="158">
        <f>'[1]Teacher Training Assumptions'!$D58</f>
        <v>250</v>
      </c>
      <c r="C21" s="158">
        <f>'[1]Teacher Training Assumptions'!$D58</f>
        <v>250</v>
      </c>
      <c r="D21" s="158">
        <f>'[1]Teacher Training Assumptions'!$D58</f>
        <v>250</v>
      </c>
      <c r="E21" s="158">
        <f>'[1]Teacher Training Assumptions'!$D58</f>
        <v>250</v>
      </c>
      <c r="F21" s="158">
        <f>'[1]Teacher Training Assumptions'!$D58</f>
        <v>250</v>
      </c>
      <c r="G21" s="158">
        <f>'[1]Teacher Training Assumptions'!$D58</f>
        <v>250</v>
      </c>
      <c r="H21" s="158">
        <f>'[1]Teacher Training Assumptions'!$D58</f>
        <v>250</v>
      </c>
      <c r="I21" s="158">
        <f>'[1]Teacher Training Assumptions'!$D58</f>
        <v>250</v>
      </c>
      <c r="J21" s="158">
        <f>'[1]Teacher Training Assumptions'!$D58</f>
        <v>250</v>
      </c>
      <c r="K21" s="158">
        <f>'[1]Teacher Training Assumptions'!$D58</f>
        <v>250</v>
      </c>
      <c r="L21" s="158">
        <f>'[1]Teacher Training Assumptions'!$D58</f>
        <v>250</v>
      </c>
      <c r="M21" s="158">
        <f>'[1]Teacher Training Assumptions'!$D58</f>
        <v>250</v>
      </c>
      <c r="N21" s="151">
        <f t="shared" si="3"/>
        <v>3000</v>
      </c>
    </row>
    <row r="22" spans="1:14" s="150" customFormat="1" ht="16">
      <c r="A22" s="157" t="s">
        <v>155</v>
      </c>
      <c r="B22" s="146"/>
      <c r="G22" s="151">
        <f>'[1]Teacher Training Assumptions'!E59</f>
        <v>1000</v>
      </c>
      <c r="N22" s="151">
        <f t="shared" si="3"/>
        <v>1000</v>
      </c>
    </row>
    <row r="23" spans="1:14" s="150" customFormat="1" ht="16">
      <c r="A23" s="157" t="s">
        <v>156</v>
      </c>
      <c r="B23" s="151">
        <f>'[1]Teacher Training Assumptions'!$D60</f>
        <v>400</v>
      </c>
      <c r="C23" s="151">
        <f>'[1]Teacher Training Assumptions'!$D60</f>
        <v>400</v>
      </c>
      <c r="D23" s="151">
        <f>'[1]Teacher Training Assumptions'!$D60</f>
        <v>400</v>
      </c>
      <c r="E23" s="151">
        <f>'[1]Teacher Training Assumptions'!$D60</f>
        <v>400</v>
      </c>
      <c r="F23" s="151">
        <f>'[1]Teacher Training Assumptions'!$D60</f>
        <v>400</v>
      </c>
      <c r="G23" s="151">
        <f>'[1]Teacher Training Assumptions'!$D60</f>
        <v>400</v>
      </c>
      <c r="H23" s="151">
        <f>'[1]Teacher Training Assumptions'!$D60</f>
        <v>400</v>
      </c>
      <c r="I23" s="151">
        <f>'[1]Teacher Training Assumptions'!$D60</f>
        <v>400</v>
      </c>
      <c r="J23" s="151">
        <f>'[1]Teacher Training Assumptions'!$D60</f>
        <v>400</v>
      </c>
      <c r="K23" s="151">
        <f>'[1]Teacher Training Assumptions'!$D60</f>
        <v>400</v>
      </c>
      <c r="L23" s="151">
        <f>'[1]Teacher Training Assumptions'!$D60</f>
        <v>400</v>
      </c>
      <c r="M23" s="151">
        <f>'[1]Teacher Training Assumptions'!$D60</f>
        <v>400</v>
      </c>
      <c r="N23" s="151">
        <f t="shared" si="3"/>
        <v>4800</v>
      </c>
    </row>
    <row r="24" spans="1:14" s="160" customFormat="1" ht="49" customHeight="1">
      <c r="A24" s="159" t="s">
        <v>157</v>
      </c>
      <c r="G24" s="161">
        <f>'[1]Teacher Training Assumptions'!E61</f>
        <v>1700</v>
      </c>
      <c r="N24" s="161">
        <f t="shared" si="3"/>
        <v>1700</v>
      </c>
    </row>
    <row r="25" spans="1:14" s="150" customFormat="1" ht="16">
      <c r="A25" s="153" t="s">
        <v>35</v>
      </c>
      <c r="B25" s="154">
        <f>SUM(B13:B24)</f>
        <v>13065.833333333332</v>
      </c>
      <c r="C25" s="154">
        <f t="shared" ref="C25:M25" si="4">SUM(C13:C24)</f>
        <v>12065.833333333332</v>
      </c>
      <c r="D25" s="154">
        <f t="shared" si="4"/>
        <v>12065.833333333332</v>
      </c>
      <c r="E25" s="154">
        <f t="shared" si="4"/>
        <v>11065.833333333332</v>
      </c>
      <c r="F25" s="154">
        <f t="shared" si="4"/>
        <v>11065.833333333332</v>
      </c>
      <c r="G25" s="154">
        <f t="shared" si="4"/>
        <v>15865.833333333332</v>
      </c>
      <c r="H25" s="154">
        <f t="shared" si="4"/>
        <v>12565.833333333332</v>
      </c>
      <c r="I25" s="154">
        <f t="shared" si="4"/>
        <v>12065.833333333332</v>
      </c>
      <c r="J25" s="154">
        <f t="shared" si="4"/>
        <v>12065.833333333332</v>
      </c>
      <c r="K25" s="154">
        <f t="shared" si="4"/>
        <v>12065.833333333332</v>
      </c>
      <c r="L25" s="154">
        <f t="shared" si="4"/>
        <v>12065.833333333332</v>
      </c>
      <c r="M25" s="154">
        <f t="shared" si="4"/>
        <v>11065.833333333332</v>
      </c>
      <c r="N25" s="154">
        <f>SUM(N13:N24)</f>
        <v>147090</v>
      </c>
    </row>
    <row r="26" spans="1:14" s="150" customFormat="1" ht="25" customHeight="1" thickBot="1">
      <c r="A26" s="16" t="s">
        <v>36</v>
      </c>
      <c r="B26" s="162">
        <f>B11-B25</f>
        <v>24849.166666666668</v>
      </c>
      <c r="C26" s="162">
        <f t="shared" ref="C26:N26" si="5">C11-C25</f>
        <v>27099.166666666668</v>
      </c>
      <c r="D26" s="162">
        <f t="shared" si="5"/>
        <v>4604.1666666666679</v>
      </c>
      <c r="E26" s="162">
        <f t="shared" si="5"/>
        <v>-11065.833333333332</v>
      </c>
      <c r="F26" s="162">
        <f t="shared" si="5"/>
        <v>-11065.833333333332</v>
      </c>
      <c r="G26" s="162">
        <f t="shared" si="5"/>
        <v>11299.166666666668</v>
      </c>
      <c r="H26" s="162">
        <f t="shared" si="5"/>
        <v>20599.166666666668</v>
      </c>
      <c r="I26" s="162">
        <f t="shared" si="5"/>
        <v>99.166666666667879</v>
      </c>
      <c r="J26" s="162">
        <f t="shared" si="5"/>
        <v>99.166666666667879</v>
      </c>
      <c r="K26" s="162">
        <f t="shared" si="5"/>
        <v>-5895.8333333333321</v>
      </c>
      <c r="L26" s="162">
        <f t="shared" si="5"/>
        <v>-5895.8333333333321</v>
      </c>
      <c r="M26" s="162">
        <f t="shared" si="5"/>
        <v>-11065.833333333332</v>
      </c>
      <c r="N26" s="162">
        <f t="shared" si="5"/>
        <v>43660</v>
      </c>
    </row>
    <row r="27" spans="1:14" s="150" customFormat="1" ht="25" customHeight="1" thickTop="1">
      <c r="A27" s="16" t="s">
        <v>37</v>
      </c>
      <c r="B27" s="154">
        <f>B26</f>
        <v>24849.166666666668</v>
      </c>
      <c r="C27" s="154">
        <f t="shared" ref="C27:N27" si="6">C26</f>
        <v>27099.166666666668</v>
      </c>
      <c r="D27" s="154">
        <f t="shared" si="6"/>
        <v>4604.1666666666679</v>
      </c>
      <c r="E27" s="154">
        <f t="shared" si="6"/>
        <v>-11065.833333333332</v>
      </c>
      <c r="F27" s="154">
        <f t="shared" si="6"/>
        <v>-11065.833333333332</v>
      </c>
      <c r="G27" s="154">
        <f t="shared" si="6"/>
        <v>11299.166666666668</v>
      </c>
      <c r="H27" s="154">
        <f t="shared" si="6"/>
        <v>20599.166666666668</v>
      </c>
      <c r="I27" s="154">
        <f t="shared" si="6"/>
        <v>99.166666666667879</v>
      </c>
      <c r="J27" s="154">
        <f t="shared" si="6"/>
        <v>99.166666666667879</v>
      </c>
      <c r="K27" s="154">
        <f t="shared" si="6"/>
        <v>-5895.8333333333321</v>
      </c>
      <c r="L27" s="154">
        <f t="shared" si="6"/>
        <v>-5895.8333333333321</v>
      </c>
      <c r="M27" s="154">
        <f t="shared" si="6"/>
        <v>-11065.833333333332</v>
      </c>
      <c r="N27" s="154">
        <f t="shared" si="6"/>
        <v>43660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666E2-69B4-D54C-A475-D0C04565AA27}">
  <dimension ref="A1:AE113"/>
  <sheetViews>
    <sheetView topLeftCell="A25" zoomScale="90" zoomScaleNormal="90" workbookViewId="0">
      <selection activeCell="O61" sqref="O61"/>
    </sheetView>
  </sheetViews>
  <sheetFormatPr baseColWidth="10" defaultColWidth="7.33203125" defaultRowHeight="15"/>
  <cols>
    <col min="1" max="1" width="3.6640625" style="1" customWidth="1"/>
    <col min="2" max="2" width="22.6640625" customWidth="1"/>
    <col min="5" max="5" width="8.1640625" customWidth="1"/>
    <col min="6" max="6" width="9.5" customWidth="1"/>
    <col min="7" max="7" width="3.5" customWidth="1"/>
    <col min="9" max="9" width="42.83203125" customWidth="1"/>
    <col min="10" max="10" width="9.5" bestFit="1" customWidth="1"/>
    <col min="11" max="11" width="11.1640625" customWidth="1"/>
    <col min="12" max="12" width="8.1640625" style="1" bestFit="1" customWidth="1"/>
    <col min="13" max="13" width="7.6640625" style="1" customWidth="1"/>
    <col min="14" max="14" width="3.6640625" style="1" customWidth="1"/>
    <col min="15" max="15" width="34.83203125" customWidth="1"/>
    <col min="16" max="16" width="15.1640625" style="143" customWidth="1"/>
    <col min="17" max="18" width="11.6640625" customWidth="1"/>
    <col min="19" max="19" width="4" customWidth="1"/>
    <col min="20" max="20" width="9.33203125" bestFit="1" customWidth="1"/>
    <col min="21" max="21" width="9.83203125" customWidth="1"/>
    <col min="22" max="22" width="9.33203125" bestFit="1" customWidth="1"/>
    <col min="23" max="23" width="9.33203125" customWidth="1"/>
    <col min="24" max="24" width="12.33203125" customWidth="1"/>
    <col min="26" max="30" width="7.33203125" style="1"/>
  </cols>
  <sheetData>
    <row r="1" spans="1:31" ht="16" thickBot="1">
      <c r="A1" s="24"/>
      <c r="B1" s="18"/>
      <c r="C1" s="18"/>
      <c r="D1" s="18"/>
      <c r="E1" s="18"/>
      <c r="F1" s="18"/>
      <c r="G1" s="18"/>
      <c r="H1" s="18"/>
      <c r="I1" s="18"/>
      <c r="J1" s="18"/>
      <c r="K1" s="18"/>
      <c r="N1" s="24"/>
      <c r="O1" s="18"/>
      <c r="P1" s="115"/>
      <c r="Q1" s="18"/>
      <c r="R1" s="18"/>
      <c r="S1" s="18"/>
    </row>
    <row r="2" spans="1:31" ht="25" customHeight="1">
      <c r="A2" s="168" t="s">
        <v>59</v>
      </c>
      <c r="B2" s="169"/>
      <c r="C2" s="169"/>
      <c r="D2" s="169"/>
      <c r="E2" s="169"/>
      <c r="F2" s="169"/>
      <c r="G2" s="170"/>
      <c r="H2" s="1"/>
      <c r="I2" s="171" t="s">
        <v>107</v>
      </c>
      <c r="J2" s="172"/>
      <c r="K2" s="172"/>
      <c r="L2" s="173"/>
      <c r="N2" s="116" t="s">
        <v>124</v>
      </c>
      <c r="O2" s="117"/>
      <c r="P2" s="112"/>
      <c r="Q2" s="117"/>
      <c r="R2" s="117"/>
      <c r="S2" s="118"/>
      <c r="T2" s="1"/>
      <c r="U2" s="1"/>
      <c r="V2" s="1"/>
      <c r="W2" s="1"/>
      <c r="X2" s="1"/>
      <c r="Y2" s="1"/>
    </row>
    <row r="3" spans="1:31">
      <c r="A3" s="25"/>
      <c r="B3" s="26"/>
      <c r="C3" s="26"/>
      <c r="D3" s="26"/>
      <c r="E3" s="26"/>
      <c r="F3" s="26"/>
      <c r="G3" s="27"/>
      <c r="H3" s="1"/>
      <c r="I3" s="17"/>
      <c r="J3" s="24"/>
      <c r="K3" s="24"/>
      <c r="L3" s="19"/>
      <c r="N3" s="25"/>
      <c r="O3" s="26"/>
      <c r="P3" s="26"/>
      <c r="Q3" s="26"/>
      <c r="R3" s="26"/>
      <c r="S3" s="27"/>
      <c r="T3" s="1"/>
      <c r="U3" s="1"/>
      <c r="V3" s="1"/>
      <c r="W3" s="1"/>
      <c r="X3" s="1"/>
      <c r="Y3" s="1"/>
      <c r="AE3" s="1"/>
    </row>
    <row r="4" spans="1:31" ht="19" customHeight="1">
      <c r="A4" s="166" t="s">
        <v>45</v>
      </c>
      <c r="B4" s="167"/>
      <c r="C4" s="167"/>
      <c r="D4" s="28"/>
      <c r="E4" s="28"/>
      <c r="F4" s="28"/>
      <c r="G4" s="29"/>
      <c r="H4" s="1"/>
      <c r="I4" s="30" t="s">
        <v>45</v>
      </c>
      <c r="J4" s="31"/>
      <c r="K4" s="32"/>
      <c r="L4" s="22" t="s">
        <v>60</v>
      </c>
      <c r="N4" s="166" t="s">
        <v>45</v>
      </c>
      <c r="O4" s="167"/>
      <c r="P4" s="167"/>
      <c r="Q4" s="28"/>
      <c r="R4" s="28"/>
      <c r="S4" s="29"/>
      <c r="T4" s="1"/>
      <c r="U4" s="1"/>
      <c r="V4" s="1"/>
      <c r="W4" s="1"/>
      <c r="X4" s="1"/>
      <c r="Y4" s="1"/>
      <c r="AE4" s="1"/>
    </row>
    <row r="5" spans="1:31" ht="10" customHeight="1">
      <c r="A5" s="33"/>
      <c r="B5" s="28"/>
      <c r="C5" s="28"/>
      <c r="D5" s="28"/>
      <c r="E5" s="28"/>
      <c r="F5" s="28"/>
      <c r="G5" s="29"/>
      <c r="H5" s="1"/>
      <c r="I5" s="34"/>
      <c r="J5" s="35"/>
      <c r="K5" s="32"/>
      <c r="L5" s="19"/>
      <c r="N5" s="33"/>
      <c r="O5" s="28"/>
      <c r="P5" s="28"/>
      <c r="Q5" s="28"/>
      <c r="R5" s="28"/>
      <c r="S5" s="29"/>
      <c r="T5" s="1"/>
      <c r="U5" s="1"/>
      <c r="V5" s="1"/>
      <c r="W5" s="1"/>
      <c r="X5" s="1"/>
      <c r="Y5" s="1"/>
      <c r="AE5" s="1"/>
    </row>
    <row r="6" spans="1:31" ht="15" customHeight="1">
      <c r="A6" s="33"/>
      <c r="B6" s="177" t="s">
        <v>61</v>
      </c>
      <c r="C6" s="178"/>
      <c r="D6" s="178"/>
      <c r="E6" s="178"/>
      <c r="F6" s="179"/>
      <c r="G6" s="29"/>
      <c r="H6" s="1"/>
      <c r="I6" s="36" t="s">
        <v>62</v>
      </c>
      <c r="J6" s="37"/>
      <c r="K6" s="32"/>
      <c r="L6" s="38">
        <f>SUM(K7:K9)</f>
        <v>62500</v>
      </c>
      <c r="N6" s="33"/>
      <c r="O6" s="119" t="s">
        <v>125</v>
      </c>
      <c r="P6" s="114"/>
      <c r="Q6" s="120"/>
      <c r="R6" s="121"/>
      <c r="S6" s="29"/>
      <c r="T6" s="1"/>
      <c r="U6" s="1"/>
      <c r="V6" s="1"/>
      <c r="W6" s="1"/>
      <c r="X6" s="1"/>
      <c r="Y6" s="1"/>
      <c r="AE6" s="1"/>
    </row>
    <row r="7" spans="1:31">
      <c r="A7" s="33"/>
      <c r="B7" s="33"/>
      <c r="C7" s="28"/>
      <c r="D7" s="28"/>
      <c r="E7" s="28"/>
      <c r="F7" s="39" t="s">
        <v>63</v>
      </c>
      <c r="G7" s="29"/>
      <c r="H7" s="1"/>
      <c r="I7" s="40" t="s">
        <v>64</v>
      </c>
      <c r="J7" s="41"/>
      <c r="K7" s="32">
        <v>25000</v>
      </c>
      <c r="L7" s="42"/>
      <c r="N7" s="33"/>
      <c r="O7" s="33"/>
      <c r="P7" s="28"/>
      <c r="Q7" s="28"/>
      <c r="R7" s="39"/>
      <c r="S7" s="29"/>
      <c r="T7" s="1"/>
      <c r="U7" s="1"/>
      <c r="V7" s="1"/>
      <c r="W7" s="1"/>
      <c r="X7" s="1"/>
      <c r="Y7" s="1"/>
      <c r="AE7" s="1"/>
    </row>
    <row r="8" spans="1:31" s="1" customFormat="1">
      <c r="A8" s="33"/>
      <c r="B8" s="43"/>
      <c r="C8" s="24"/>
      <c r="D8" s="24"/>
      <c r="E8" s="28"/>
      <c r="F8" s="44"/>
      <c r="G8" s="45"/>
      <c r="I8" s="40" t="s">
        <v>65</v>
      </c>
      <c r="J8" s="41"/>
      <c r="K8" s="32">
        <v>15000</v>
      </c>
      <c r="L8" s="42"/>
      <c r="N8" s="33"/>
      <c r="O8" s="43" t="s">
        <v>126</v>
      </c>
      <c r="P8" s="50"/>
      <c r="Q8" s="28"/>
      <c r="R8" s="122">
        <f>Q9+Q10</f>
        <v>16250</v>
      </c>
      <c r="S8" s="45"/>
    </row>
    <row r="9" spans="1:31" s="1" customFormat="1">
      <c r="A9" s="33"/>
      <c r="B9" s="46" t="s">
        <v>66</v>
      </c>
      <c r="C9" s="28"/>
      <c r="D9" s="28"/>
      <c r="E9" s="28"/>
      <c r="F9" s="47">
        <f>D10*D11*D12*D13</f>
        <v>9569.2999999999993</v>
      </c>
      <c r="G9" s="45"/>
      <c r="I9" s="40" t="s">
        <v>123</v>
      </c>
      <c r="J9" s="41"/>
      <c r="K9" s="32">
        <f>10*2250</f>
        <v>22500</v>
      </c>
      <c r="L9" s="42"/>
      <c r="N9" s="33"/>
      <c r="O9" s="106" t="s">
        <v>127</v>
      </c>
      <c r="P9" s="50"/>
      <c r="Q9" s="52">
        <v>7500</v>
      </c>
      <c r="R9" s="122"/>
      <c r="S9" s="45"/>
    </row>
    <row r="10" spans="1:31" s="1" customFormat="1">
      <c r="A10" s="43"/>
      <c r="B10" s="48" t="s">
        <v>67</v>
      </c>
      <c r="C10" s="28"/>
      <c r="D10" s="49">
        <v>34</v>
      </c>
      <c r="E10" s="24"/>
      <c r="F10" s="45"/>
      <c r="G10" s="45"/>
      <c r="I10" s="36"/>
      <c r="J10" s="37"/>
      <c r="K10" s="24"/>
      <c r="L10" s="38"/>
      <c r="N10" s="33"/>
      <c r="O10" s="106" t="s">
        <v>128</v>
      </c>
      <c r="P10" s="50"/>
      <c r="Q10" s="52">
        <v>8750</v>
      </c>
      <c r="R10" s="122"/>
      <c r="S10" s="45"/>
    </row>
    <row r="11" spans="1:31" s="1" customFormat="1">
      <c r="A11" s="43"/>
      <c r="B11" s="48" t="s">
        <v>68</v>
      </c>
      <c r="C11" s="24"/>
      <c r="D11" s="50">
        <v>13</v>
      </c>
      <c r="E11" s="24"/>
      <c r="F11" s="45"/>
      <c r="G11" s="45"/>
      <c r="I11" s="36" t="s">
        <v>70</v>
      </c>
      <c r="J11" s="37"/>
      <c r="K11" s="32">
        <v>1350</v>
      </c>
      <c r="L11" s="38">
        <f>K11*12</f>
        <v>16200</v>
      </c>
      <c r="N11" s="33"/>
      <c r="O11" s="43" t="s">
        <v>129</v>
      </c>
      <c r="P11" s="28"/>
      <c r="Q11" s="28"/>
      <c r="R11" s="122">
        <f>Q12+Q13+Q14</f>
        <v>50000</v>
      </c>
      <c r="S11" s="45"/>
    </row>
    <row r="12" spans="1:31" s="1" customFormat="1">
      <c r="A12" s="43"/>
      <c r="B12" s="51" t="s">
        <v>69</v>
      </c>
      <c r="C12" s="24"/>
      <c r="D12" s="52">
        <v>5</v>
      </c>
      <c r="E12" s="24"/>
      <c r="F12" s="45"/>
      <c r="G12" s="45"/>
      <c r="I12" s="40"/>
      <c r="J12" s="41"/>
      <c r="K12" s="32"/>
      <c r="L12" s="19"/>
      <c r="N12" s="33"/>
      <c r="O12" s="106" t="s">
        <v>127</v>
      </c>
      <c r="P12" s="28"/>
      <c r="Q12" s="52">
        <v>16665</v>
      </c>
      <c r="R12" s="122"/>
      <c r="S12" s="45"/>
    </row>
    <row r="13" spans="1:31" s="1" customFormat="1">
      <c r="A13" s="43"/>
      <c r="B13" s="51" t="s">
        <v>71</v>
      </c>
      <c r="C13" s="24"/>
      <c r="D13" s="50">
        <v>4.33</v>
      </c>
      <c r="E13" s="24"/>
      <c r="F13" s="45"/>
      <c r="G13" s="45"/>
      <c r="I13" s="36" t="s">
        <v>72</v>
      </c>
      <c r="J13" s="37"/>
      <c r="K13" s="32"/>
      <c r="L13" s="19"/>
      <c r="N13" s="33"/>
      <c r="O13" s="106" t="s">
        <v>128</v>
      </c>
      <c r="P13" s="28"/>
      <c r="Q13" s="52">
        <v>16665</v>
      </c>
      <c r="R13" s="122"/>
      <c r="S13" s="45"/>
    </row>
    <row r="14" spans="1:31" s="1" customFormat="1">
      <c r="A14" s="43"/>
      <c r="B14" s="43"/>
      <c r="C14" s="24"/>
      <c r="D14" s="24"/>
      <c r="E14" s="24"/>
      <c r="F14" s="45"/>
      <c r="G14" s="45"/>
      <c r="I14" s="36" t="s">
        <v>94</v>
      </c>
      <c r="J14" s="37"/>
      <c r="K14" s="32"/>
      <c r="L14" s="19"/>
      <c r="N14" s="33"/>
      <c r="O14" s="106" t="s">
        <v>130</v>
      </c>
      <c r="P14" s="28"/>
      <c r="Q14" s="52">
        <v>16670</v>
      </c>
      <c r="R14" s="122"/>
      <c r="S14" s="45"/>
    </row>
    <row r="15" spans="1:31" s="1" customFormat="1">
      <c r="A15" s="43"/>
      <c r="B15" s="53"/>
      <c r="C15" s="54"/>
      <c r="D15" s="54"/>
      <c r="E15" s="54"/>
      <c r="F15" s="55"/>
      <c r="G15" s="45"/>
      <c r="I15" s="40" t="s">
        <v>46</v>
      </c>
      <c r="J15" s="41"/>
      <c r="K15" s="61">
        <v>2500</v>
      </c>
      <c r="L15" s="19"/>
      <c r="N15" s="43"/>
      <c r="O15" s="43" t="s">
        <v>131</v>
      </c>
      <c r="P15" s="28"/>
      <c r="Q15" s="24"/>
      <c r="R15" s="122">
        <f>Q16+Q17</f>
        <v>27500</v>
      </c>
      <c r="S15" s="45"/>
    </row>
    <row r="16" spans="1:31" s="1" customFormat="1">
      <c r="A16" s="43"/>
      <c r="B16" s="24"/>
      <c r="C16" s="24"/>
      <c r="D16" s="24"/>
      <c r="E16" s="24"/>
      <c r="F16" s="24"/>
      <c r="G16" s="45"/>
      <c r="I16" s="40" t="s">
        <v>47</v>
      </c>
      <c r="J16" s="41"/>
      <c r="K16" s="32">
        <v>2500</v>
      </c>
      <c r="L16" s="19"/>
      <c r="N16" s="43"/>
      <c r="O16" s="106" t="s">
        <v>127</v>
      </c>
      <c r="P16" s="28"/>
      <c r="Q16" s="52">
        <v>13750</v>
      </c>
      <c r="R16" s="122"/>
      <c r="S16" s="45"/>
    </row>
    <row r="17" spans="1:31" s="1" customFormat="1">
      <c r="A17" s="43"/>
      <c r="B17" s="180" t="s">
        <v>92</v>
      </c>
      <c r="C17" s="181"/>
      <c r="D17" s="181"/>
      <c r="E17" s="181"/>
      <c r="F17" s="182"/>
      <c r="G17" s="45"/>
      <c r="I17" s="40" t="s">
        <v>48</v>
      </c>
      <c r="J17" s="41"/>
      <c r="K17" s="61">
        <v>20000</v>
      </c>
      <c r="L17" s="19"/>
      <c r="N17" s="43"/>
      <c r="O17" s="106" t="s">
        <v>128</v>
      </c>
      <c r="P17" s="28"/>
      <c r="Q17" s="52">
        <v>13750</v>
      </c>
      <c r="R17" s="122"/>
      <c r="S17" s="45"/>
    </row>
    <row r="18" spans="1:31" s="1" customFormat="1" ht="40">
      <c r="A18" s="43"/>
      <c r="B18" s="43"/>
      <c r="C18" s="56" t="s">
        <v>73</v>
      </c>
      <c r="D18" s="56" t="s">
        <v>74</v>
      </c>
      <c r="E18" s="56" t="s">
        <v>75</v>
      </c>
      <c r="F18" s="57" t="s">
        <v>76</v>
      </c>
      <c r="G18" s="45"/>
      <c r="I18" s="101" t="s">
        <v>95</v>
      </c>
      <c r="J18" s="41"/>
      <c r="K18" s="102">
        <v>1.1000000000000001</v>
      </c>
      <c r="L18" s="19"/>
      <c r="N18" s="43"/>
      <c r="O18" s="43" t="s">
        <v>132</v>
      </c>
      <c r="P18" s="50"/>
      <c r="Q18" s="24"/>
      <c r="R18" s="122">
        <v>42000</v>
      </c>
      <c r="S18" s="45"/>
    </row>
    <row r="19" spans="1:31" s="1" customFormat="1">
      <c r="A19" s="43"/>
      <c r="B19" s="58" t="s">
        <v>77</v>
      </c>
      <c r="C19" s="52">
        <v>20</v>
      </c>
      <c r="D19" s="59">
        <f>F19/F21</f>
        <v>0.8571428571428571</v>
      </c>
      <c r="E19" s="50">
        <v>30</v>
      </c>
      <c r="F19" s="60">
        <f>C19*E19</f>
        <v>600</v>
      </c>
      <c r="G19" s="45"/>
      <c r="I19" s="36" t="s">
        <v>78</v>
      </c>
      <c r="J19" s="37"/>
      <c r="K19" s="32">
        <f>F21</f>
        <v>700</v>
      </c>
      <c r="L19" s="19"/>
      <c r="N19" s="43"/>
      <c r="O19" s="106" t="s">
        <v>133</v>
      </c>
      <c r="P19" s="50"/>
      <c r="Q19" s="52">
        <v>21000</v>
      </c>
      <c r="R19" s="122"/>
      <c r="S19" s="45"/>
    </row>
    <row r="20" spans="1:31" s="1" customFormat="1">
      <c r="A20" s="43"/>
      <c r="B20" s="58" t="s">
        <v>79</v>
      </c>
      <c r="C20" s="52">
        <v>20</v>
      </c>
      <c r="D20" s="59">
        <f>F20/F21</f>
        <v>0.14285714285714285</v>
      </c>
      <c r="E20" s="50">
        <v>5</v>
      </c>
      <c r="F20" s="60">
        <f>C20*E20</f>
        <v>100</v>
      </c>
      <c r="G20" s="45"/>
      <c r="I20" s="21" t="s">
        <v>96</v>
      </c>
      <c r="J20" s="63"/>
      <c r="K20" s="32">
        <v>575</v>
      </c>
      <c r="L20" s="19"/>
      <c r="N20" s="43"/>
      <c r="O20" s="106" t="s">
        <v>134</v>
      </c>
      <c r="P20" s="50"/>
      <c r="Q20" s="52">
        <v>21000</v>
      </c>
      <c r="R20" s="122"/>
      <c r="S20" s="45"/>
    </row>
    <row r="21" spans="1:31" s="1" customFormat="1">
      <c r="A21" s="43"/>
      <c r="B21" s="64" t="s">
        <v>0</v>
      </c>
      <c r="C21" s="54"/>
      <c r="D21" s="54"/>
      <c r="E21" s="54"/>
      <c r="F21" s="65">
        <f>SUM(F19:F20)</f>
        <v>700</v>
      </c>
      <c r="G21" s="45"/>
      <c r="I21" s="17" t="s">
        <v>97</v>
      </c>
      <c r="J21" s="24"/>
      <c r="K21" s="32">
        <v>650</v>
      </c>
      <c r="L21" s="19"/>
      <c r="N21" s="43"/>
      <c r="O21" s="43" t="s">
        <v>135</v>
      </c>
      <c r="P21" s="50"/>
      <c r="Q21" s="24"/>
      <c r="R21" s="122">
        <f>SUM(Q22:Q27)</f>
        <v>37000</v>
      </c>
      <c r="S21" s="45"/>
    </row>
    <row r="22" spans="1:31">
      <c r="A22" s="43"/>
      <c r="B22" s="20"/>
      <c r="C22" s="20"/>
      <c r="D22" s="20"/>
      <c r="E22" s="20"/>
      <c r="F22" s="20"/>
      <c r="G22" s="45"/>
      <c r="H22" s="1"/>
      <c r="I22" s="17"/>
      <c r="J22" s="24"/>
      <c r="K22" s="32"/>
      <c r="L22" s="19"/>
      <c r="N22" s="43"/>
      <c r="O22" s="106" t="s">
        <v>133</v>
      </c>
      <c r="P22" s="50"/>
      <c r="Q22" s="52">
        <v>6165</v>
      </c>
      <c r="R22" s="122"/>
      <c r="S22" s="45"/>
      <c r="T22" s="1"/>
      <c r="U22" s="1"/>
      <c r="V22" s="1"/>
      <c r="W22" s="1"/>
      <c r="X22" s="1"/>
      <c r="Y22" s="1"/>
      <c r="AE22" s="1"/>
    </row>
    <row r="23" spans="1:31">
      <c r="A23" s="43"/>
      <c r="B23" s="20" t="s">
        <v>121</v>
      </c>
      <c r="C23" s="110">
        <v>0.1</v>
      </c>
      <c r="D23" s="20"/>
      <c r="E23" s="20"/>
      <c r="F23" s="20"/>
      <c r="G23" s="45"/>
      <c r="H23" s="1"/>
      <c r="I23" s="30" t="s">
        <v>15</v>
      </c>
      <c r="J23" s="31"/>
      <c r="K23" s="24"/>
      <c r="L23" s="19"/>
      <c r="N23" s="43"/>
      <c r="O23" s="106" t="s">
        <v>134</v>
      </c>
      <c r="P23" s="50"/>
      <c r="Q23" s="52">
        <v>6165</v>
      </c>
      <c r="R23" s="122"/>
      <c r="S23" s="45"/>
      <c r="T23" s="1"/>
      <c r="U23" s="1"/>
      <c r="V23" s="1"/>
      <c r="W23" s="1"/>
      <c r="X23" s="1"/>
      <c r="Y23" s="1"/>
      <c r="AE23" s="1"/>
    </row>
    <row r="24" spans="1:31" ht="19" customHeight="1">
      <c r="A24" s="43"/>
      <c r="B24" s="20"/>
      <c r="C24" s="20"/>
      <c r="D24" s="20"/>
      <c r="E24" s="20"/>
      <c r="F24" s="20"/>
      <c r="G24" s="45"/>
      <c r="H24" s="1"/>
      <c r="I24" s="67" t="s">
        <v>49</v>
      </c>
      <c r="J24" s="68"/>
      <c r="K24" s="32">
        <v>100</v>
      </c>
      <c r="L24" s="69">
        <f>K24*12</f>
        <v>1200</v>
      </c>
      <c r="N24" s="43"/>
      <c r="O24" s="106" t="s">
        <v>136</v>
      </c>
      <c r="P24" s="50"/>
      <c r="Q24" s="52">
        <v>6165</v>
      </c>
      <c r="R24" s="122"/>
      <c r="S24" s="45"/>
      <c r="T24" s="1"/>
      <c r="U24" s="1"/>
      <c r="V24" s="1"/>
      <c r="W24" s="1"/>
      <c r="X24" s="1"/>
      <c r="Y24" s="1"/>
      <c r="AE24" s="1"/>
    </row>
    <row r="25" spans="1:31" ht="26" customHeight="1">
      <c r="A25" s="43"/>
      <c r="B25" s="83"/>
      <c r="C25" s="83"/>
      <c r="D25" s="83"/>
      <c r="E25" s="83"/>
      <c r="F25" s="61"/>
      <c r="G25" s="45"/>
      <c r="H25" s="1"/>
      <c r="I25" s="67" t="s">
        <v>93</v>
      </c>
      <c r="J25" s="68"/>
      <c r="K25" s="32"/>
      <c r="L25" s="19"/>
      <c r="N25" s="43"/>
      <c r="O25" s="106" t="s">
        <v>137</v>
      </c>
      <c r="P25" s="50"/>
      <c r="Q25" s="52">
        <v>6165</v>
      </c>
      <c r="R25" s="122"/>
      <c r="S25" s="45"/>
      <c r="T25" s="1"/>
      <c r="U25" s="1"/>
      <c r="V25" s="1"/>
      <c r="W25" s="1"/>
      <c r="X25" s="1"/>
      <c r="Y25" s="1"/>
      <c r="AE25" s="1"/>
    </row>
    <row r="26" spans="1:31">
      <c r="A26" s="166" t="s">
        <v>15</v>
      </c>
      <c r="B26" s="167"/>
      <c r="C26" s="167"/>
      <c r="D26" s="83"/>
      <c r="E26" s="83"/>
      <c r="F26" s="61"/>
      <c r="G26" s="45"/>
      <c r="H26" s="1"/>
      <c r="I26" s="40" t="s">
        <v>46</v>
      </c>
      <c r="J26" s="41"/>
      <c r="K26" s="61">
        <v>1500</v>
      </c>
      <c r="L26" s="19"/>
      <c r="N26" s="43"/>
      <c r="O26" s="106" t="s">
        <v>138</v>
      </c>
      <c r="P26" s="50"/>
      <c r="Q26" s="52">
        <v>6170</v>
      </c>
      <c r="R26" s="122"/>
      <c r="S26" s="45"/>
      <c r="T26" s="1"/>
      <c r="U26" s="1"/>
      <c r="V26" s="1"/>
      <c r="W26" s="1"/>
      <c r="X26" s="1"/>
      <c r="Y26" s="1"/>
      <c r="AE26" s="1"/>
    </row>
    <row r="27" spans="1:31">
      <c r="A27" s="43"/>
      <c r="B27" s="24"/>
      <c r="C27" s="24"/>
      <c r="D27" s="24"/>
      <c r="E27" s="24"/>
      <c r="F27" s="24"/>
      <c r="G27" s="45"/>
      <c r="H27" s="1"/>
      <c r="I27" s="40" t="s">
        <v>47</v>
      </c>
      <c r="J27" s="41"/>
      <c r="K27" s="32">
        <v>250</v>
      </c>
      <c r="L27" s="19"/>
      <c r="N27" s="43"/>
      <c r="O27" s="106" t="s">
        <v>139</v>
      </c>
      <c r="P27" s="50"/>
      <c r="Q27" s="52">
        <v>6170</v>
      </c>
      <c r="R27" s="122"/>
      <c r="S27" s="45"/>
      <c r="T27" s="1"/>
      <c r="U27" s="1"/>
      <c r="V27" s="1"/>
      <c r="W27" s="1"/>
      <c r="X27" s="1"/>
      <c r="Y27" s="1"/>
      <c r="AE27" s="1"/>
    </row>
    <row r="28" spans="1:31" s="1" customFormat="1">
      <c r="A28" s="43"/>
      <c r="B28" s="174" t="s">
        <v>102</v>
      </c>
      <c r="C28" s="175"/>
      <c r="D28" s="175"/>
      <c r="E28" s="175"/>
      <c r="F28" s="176"/>
      <c r="G28" s="45"/>
      <c r="I28" s="40" t="s">
        <v>48</v>
      </c>
      <c r="J28" s="41"/>
      <c r="K28" s="61">
        <v>7500</v>
      </c>
      <c r="L28" s="19"/>
      <c r="N28" s="43"/>
      <c r="O28" s="43" t="s">
        <v>140</v>
      </c>
      <c r="P28" s="50"/>
      <c r="Q28" s="24"/>
      <c r="R28" s="122">
        <v>18000</v>
      </c>
      <c r="S28" s="45"/>
    </row>
    <row r="29" spans="1:31" s="1" customFormat="1" ht="17" customHeight="1">
      <c r="A29" s="43"/>
      <c r="B29" s="43"/>
      <c r="C29" s="24"/>
      <c r="D29" s="24"/>
      <c r="E29" s="24"/>
      <c r="F29" s="45"/>
      <c r="G29" s="45"/>
      <c r="I29" s="40" t="s">
        <v>120</v>
      </c>
      <c r="J29" s="41"/>
      <c r="K29" s="61"/>
      <c r="L29" s="19"/>
      <c r="N29" s="43"/>
      <c r="O29" s="106" t="s">
        <v>141</v>
      </c>
      <c r="P29" s="50"/>
      <c r="Q29" s="52">
        <v>6000</v>
      </c>
      <c r="R29" s="45"/>
      <c r="S29" s="45"/>
    </row>
    <row r="30" spans="1:31" s="1" customFormat="1">
      <c r="A30" s="43"/>
      <c r="B30" s="46" t="s">
        <v>104</v>
      </c>
      <c r="C30" s="24"/>
      <c r="D30" s="24"/>
      <c r="E30" s="24"/>
      <c r="F30" s="89">
        <f>E31*E32*E33</f>
        <v>4416.6000000000004</v>
      </c>
      <c r="G30" s="45"/>
      <c r="I30" s="73" t="s">
        <v>80</v>
      </c>
      <c r="J30" s="68"/>
      <c r="K30" s="32"/>
      <c r="L30" s="69">
        <f>SUM(K31:K36)</f>
        <v>14777.6</v>
      </c>
      <c r="N30" s="43"/>
      <c r="O30" s="106" t="s">
        <v>136</v>
      </c>
      <c r="P30" s="50"/>
      <c r="Q30" s="52">
        <v>6000</v>
      </c>
      <c r="R30" s="45"/>
      <c r="S30" s="45"/>
    </row>
    <row r="31" spans="1:31" s="1" customFormat="1">
      <c r="A31" s="43"/>
      <c r="B31" s="43" t="s">
        <v>82</v>
      </c>
      <c r="C31" s="24"/>
      <c r="D31" s="24"/>
      <c r="E31" s="50">
        <f>D10</f>
        <v>34</v>
      </c>
      <c r="F31" s="45"/>
      <c r="G31" s="45"/>
      <c r="I31" s="75" t="s">
        <v>98</v>
      </c>
      <c r="J31" s="71"/>
      <c r="K31" s="32">
        <f>F35</f>
        <v>2598</v>
      </c>
      <c r="L31" s="72"/>
      <c r="N31" s="43"/>
      <c r="O31" s="106" t="s">
        <v>137</v>
      </c>
      <c r="P31" s="50"/>
      <c r="Q31" s="52">
        <v>6000</v>
      </c>
      <c r="R31" s="45"/>
      <c r="S31" s="45"/>
    </row>
    <row r="32" spans="1:31" ht="16" customHeight="1">
      <c r="A32" s="43"/>
      <c r="B32" s="43" t="s">
        <v>83</v>
      </c>
      <c r="C32" s="24"/>
      <c r="D32" s="24"/>
      <c r="E32" s="52">
        <v>30</v>
      </c>
      <c r="F32" s="45"/>
      <c r="G32" s="45"/>
      <c r="H32" s="1"/>
      <c r="I32" s="75" t="s">
        <v>101</v>
      </c>
      <c r="J32" s="71"/>
      <c r="K32" s="32">
        <f>F30</f>
        <v>4416.6000000000004</v>
      </c>
      <c r="L32" s="72"/>
      <c r="N32" s="43"/>
      <c r="O32" s="43"/>
      <c r="P32" s="50"/>
      <c r="Q32" s="123"/>
      <c r="R32" s="124"/>
      <c r="S32" s="45"/>
      <c r="T32" s="1"/>
      <c r="U32" s="1"/>
      <c r="V32" s="1"/>
      <c r="W32" s="1"/>
      <c r="X32" s="1"/>
      <c r="Y32" s="1"/>
      <c r="AE32" s="1"/>
    </row>
    <row r="33" spans="1:31" ht="18" customHeight="1">
      <c r="A33" s="43"/>
      <c r="B33" s="43" t="s">
        <v>84</v>
      </c>
      <c r="C33" s="24"/>
      <c r="D33" s="24"/>
      <c r="E33" s="50">
        <v>4.33</v>
      </c>
      <c r="F33" s="45"/>
      <c r="G33" s="45"/>
      <c r="H33" s="1"/>
      <c r="I33" s="75" t="s">
        <v>99</v>
      </c>
      <c r="J33" s="74"/>
      <c r="K33" s="32">
        <f>F40</f>
        <v>2944.4</v>
      </c>
      <c r="L33" s="72"/>
      <c r="N33" s="43"/>
      <c r="O33" s="53"/>
      <c r="P33" s="96"/>
      <c r="Q33" s="54"/>
      <c r="R33" s="55"/>
      <c r="S33" s="45"/>
      <c r="T33" s="1"/>
      <c r="U33" s="1"/>
      <c r="V33" s="1"/>
      <c r="W33" s="1"/>
      <c r="X33" s="1"/>
      <c r="Y33" s="1"/>
      <c r="AE33" s="1"/>
    </row>
    <row r="34" spans="1:31" ht="14" customHeight="1">
      <c r="A34" s="43"/>
      <c r="B34" s="43"/>
      <c r="C34" s="24"/>
      <c r="D34" s="24"/>
      <c r="E34" s="24"/>
      <c r="F34" s="45"/>
      <c r="G34" s="45"/>
      <c r="H34" s="1"/>
      <c r="I34" s="75" t="s">
        <v>100</v>
      </c>
      <c r="J34" s="76"/>
      <c r="K34" s="32">
        <f>F46</f>
        <v>1818.6000000000001</v>
      </c>
      <c r="L34" s="72"/>
      <c r="N34" s="43"/>
      <c r="O34" s="24"/>
      <c r="P34" s="50"/>
      <c r="Q34" s="24"/>
      <c r="R34" s="24"/>
      <c r="S34" s="45"/>
      <c r="T34" s="1"/>
      <c r="U34" s="1"/>
      <c r="V34" s="1"/>
      <c r="W34" s="1"/>
      <c r="X34" s="1"/>
      <c r="Y34" s="1"/>
      <c r="AE34" s="1"/>
    </row>
    <row r="35" spans="1:31" ht="18" customHeight="1">
      <c r="A35" s="43"/>
      <c r="B35" s="46" t="s">
        <v>85</v>
      </c>
      <c r="C35" s="24"/>
      <c r="D35" s="24"/>
      <c r="E35" s="24"/>
      <c r="F35" s="89">
        <f>E36*E37*E38</f>
        <v>2598</v>
      </c>
      <c r="G35" s="45"/>
      <c r="H35" s="1"/>
      <c r="I35" s="75" t="s">
        <v>81</v>
      </c>
      <c r="J35" s="76"/>
      <c r="K35" s="32">
        <f>F55</f>
        <v>3000</v>
      </c>
      <c r="L35" s="72"/>
      <c r="N35" s="43"/>
      <c r="O35" s="20"/>
      <c r="P35" s="20"/>
      <c r="Q35" s="20"/>
      <c r="R35" s="20"/>
      <c r="S35" s="45"/>
      <c r="T35" s="1"/>
      <c r="U35" s="1"/>
      <c r="V35" s="1"/>
      <c r="W35" s="1"/>
      <c r="X35" s="1"/>
      <c r="Y35" s="1"/>
      <c r="AE35" s="1"/>
    </row>
    <row r="36" spans="1:31">
      <c r="A36" s="43"/>
      <c r="B36" s="43" t="s">
        <v>86</v>
      </c>
      <c r="C36" s="24"/>
      <c r="D36" s="24"/>
      <c r="E36" s="50">
        <v>40</v>
      </c>
      <c r="F36" s="45"/>
      <c r="G36" s="90"/>
      <c r="H36" s="1"/>
      <c r="I36" s="75" t="s">
        <v>103</v>
      </c>
      <c r="J36" s="76"/>
      <c r="K36" s="32">
        <f>F50</f>
        <v>0</v>
      </c>
      <c r="L36" s="72"/>
      <c r="N36" s="43"/>
      <c r="O36" s="83"/>
      <c r="P36" s="125"/>
      <c r="Q36" s="83"/>
      <c r="R36" s="61"/>
      <c r="S36" s="45"/>
      <c r="T36" s="1"/>
      <c r="U36" s="1"/>
      <c r="V36" s="1"/>
      <c r="W36" s="1"/>
      <c r="X36" s="1"/>
      <c r="Y36" s="1"/>
      <c r="AE36" s="1"/>
    </row>
    <row r="37" spans="1:31" ht="18" customHeight="1">
      <c r="A37" s="43"/>
      <c r="B37" s="43" t="s">
        <v>87</v>
      </c>
      <c r="C37" s="24"/>
      <c r="D37" s="24"/>
      <c r="E37" s="32">
        <v>15</v>
      </c>
      <c r="F37" s="45"/>
      <c r="G37" s="45"/>
      <c r="H37" s="1"/>
      <c r="I37" s="73" t="s">
        <v>113</v>
      </c>
      <c r="J37" s="76"/>
      <c r="K37" s="32">
        <v>50</v>
      </c>
      <c r="L37" s="72"/>
      <c r="N37" s="166" t="s">
        <v>15</v>
      </c>
      <c r="O37" s="167"/>
      <c r="P37" s="167"/>
      <c r="Q37" s="83"/>
      <c r="R37" s="61"/>
      <c r="S37" s="45"/>
      <c r="T37" s="1"/>
      <c r="U37" s="1"/>
      <c r="V37" s="1"/>
      <c r="W37" s="1"/>
      <c r="X37" s="1"/>
      <c r="Y37" s="1"/>
      <c r="AE37" s="1"/>
    </row>
    <row r="38" spans="1:31" ht="15" customHeight="1">
      <c r="A38" s="94"/>
      <c r="B38" s="43" t="s">
        <v>84</v>
      </c>
      <c r="C38" s="24"/>
      <c r="D38" s="24"/>
      <c r="E38" s="50">
        <v>4.33</v>
      </c>
      <c r="F38" s="45"/>
      <c r="G38" s="45"/>
      <c r="H38" s="1"/>
      <c r="I38" s="73" t="s">
        <v>111</v>
      </c>
      <c r="J38" s="76"/>
      <c r="K38" s="32">
        <v>350</v>
      </c>
      <c r="L38" s="72"/>
      <c r="N38" s="43"/>
      <c r="O38" s="24"/>
      <c r="P38" s="50"/>
      <c r="Q38" s="24"/>
      <c r="R38" s="24"/>
      <c r="S38" s="45"/>
      <c r="T38" s="1"/>
      <c r="U38" s="1"/>
      <c r="V38" s="1"/>
      <c r="W38" s="1"/>
      <c r="X38" s="1"/>
      <c r="Y38" s="1"/>
      <c r="AE38" s="1"/>
    </row>
    <row r="39" spans="1:31" s="86" customFormat="1" ht="16" customHeight="1">
      <c r="A39" s="43"/>
      <c r="B39" s="43"/>
      <c r="C39" s="24"/>
      <c r="D39" s="24"/>
      <c r="E39" s="50"/>
      <c r="F39" s="45"/>
      <c r="G39" s="45"/>
      <c r="H39" s="66"/>
      <c r="I39" s="73" t="s">
        <v>114</v>
      </c>
      <c r="J39" s="76"/>
      <c r="K39" s="32"/>
      <c r="L39" s="69">
        <f>SUM(K40:K42)</f>
        <v>77.75</v>
      </c>
      <c r="M39" s="66"/>
      <c r="N39" s="43"/>
      <c r="O39" s="126" t="s">
        <v>142</v>
      </c>
      <c r="P39" s="113"/>
      <c r="Q39" s="127"/>
      <c r="R39" s="128"/>
      <c r="S39" s="45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</row>
    <row r="40" spans="1:31">
      <c r="A40" s="43"/>
      <c r="B40" s="46" t="s">
        <v>105</v>
      </c>
      <c r="C40" s="24"/>
      <c r="D40" s="24"/>
      <c r="E40" s="50"/>
      <c r="F40" s="89">
        <f>E41*E42*E43</f>
        <v>2944.4</v>
      </c>
      <c r="G40" s="45"/>
      <c r="H40" s="1"/>
      <c r="I40" s="75" t="s">
        <v>115</v>
      </c>
      <c r="J40" s="76"/>
      <c r="K40" s="32">
        <v>22.76</v>
      </c>
      <c r="L40" s="72"/>
      <c r="N40" s="43"/>
      <c r="O40" s="129"/>
      <c r="P40" s="130" t="s">
        <v>143</v>
      </c>
      <c r="Q40" s="130" t="s">
        <v>144</v>
      </c>
      <c r="R40" s="131" t="s">
        <v>145</v>
      </c>
      <c r="S40" s="45"/>
      <c r="T40" s="1"/>
      <c r="U40" s="1"/>
      <c r="V40" s="1"/>
      <c r="W40" s="1"/>
      <c r="X40" s="1"/>
      <c r="Y40" s="1"/>
      <c r="AE40" s="1"/>
    </row>
    <row r="41" spans="1:31" s="1" customFormat="1">
      <c r="A41" s="43"/>
      <c r="B41" s="43" t="s">
        <v>86</v>
      </c>
      <c r="C41" s="24"/>
      <c r="D41" s="24"/>
      <c r="E41" s="50">
        <v>40</v>
      </c>
      <c r="F41" s="45"/>
      <c r="G41" s="45"/>
      <c r="I41" s="75" t="s">
        <v>116</v>
      </c>
      <c r="J41" s="76"/>
      <c r="K41" s="32">
        <v>45</v>
      </c>
      <c r="L41" s="72"/>
      <c r="N41" s="129"/>
      <c r="O41" s="129" t="s">
        <v>146</v>
      </c>
      <c r="P41" s="132" t="s">
        <v>147</v>
      </c>
      <c r="Q41" s="133">
        <f>R41/12</f>
        <v>83.333333333333329</v>
      </c>
      <c r="R41" s="134">
        <v>1000</v>
      </c>
      <c r="S41" s="135"/>
    </row>
    <row r="42" spans="1:31" s="1" customFormat="1">
      <c r="A42" s="43"/>
      <c r="B42" s="43" t="s">
        <v>87</v>
      </c>
      <c r="C42" s="24"/>
      <c r="D42" s="24"/>
      <c r="E42" s="32">
        <v>17</v>
      </c>
      <c r="F42" s="45"/>
      <c r="G42" s="45"/>
      <c r="I42" s="75" t="s">
        <v>56</v>
      </c>
      <c r="J42" s="76"/>
      <c r="K42" s="32">
        <v>9.99</v>
      </c>
      <c r="L42" s="72"/>
      <c r="N42" s="43"/>
      <c r="O42" s="129" t="s">
        <v>148</v>
      </c>
      <c r="P42" s="132" t="s">
        <v>147</v>
      </c>
      <c r="Q42" s="136">
        <f>R42/12</f>
        <v>5000</v>
      </c>
      <c r="R42" s="60">
        <v>60000</v>
      </c>
      <c r="S42" s="45"/>
    </row>
    <row r="43" spans="1:31" s="1" customFormat="1">
      <c r="A43" s="43"/>
      <c r="B43" s="43" t="s">
        <v>84</v>
      </c>
      <c r="C43" s="24"/>
      <c r="D43" s="24"/>
      <c r="E43" s="50">
        <v>4.33</v>
      </c>
      <c r="F43" s="45"/>
      <c r="G43" s="45"/>
      <c r="I43" s="75" t="s">
        <v>117</v>
      </c>
      <c r="J43" s="76"/>
      <c r="K43" s="32">
        <v>2500</v>
      </c>
      <c r="L43" s="72"/>
      <c r="N43" s="43"/>
      <c r="O43" s="129" t="s">
        <v>149</v>
      </c>
      <c r="P43" s="132" t="s">
        <v>147</v>
      </c>
      <c r="Q43" s="136">
        <f>R43/12</f>
        <v>332.5</v>
      </c>
      <c r="R43" s="60">
        <f>R42*0.0665</f>
        <v>3990</v>
      </c>
      <c r="S43" s="45"/>
    </row>
    <row r="44" spans="1:31" s="1" customFormat="1">
      <c r="A44" s="43"/>
      <c r="B44" s="43"/>
      <c r="C44" s="24"/>
      <c r="D44" s="24"/>
      <c r="E44" s="50"/>
      <c r="F44" s="45"/>
      <c r="G44" s="45"/>
      <c r="I44" s="73" t="s">
        <v>180</v>
      </c>
      <c r="J44" s="76"/>
      <c r="K44" s="163">
        <v>3.2000000000000001E-2</v>
      </c>
      <c r="L44" s="72"/>
      <c r="N44" s="43"/>
      <c r="O44" s="129" t="s">
        <v>150</v>
      </c>
      <c r="P44" s="132" t="s">
        <v>147</v>
      </c>
      <c r="Q44" s="136">
        <f>R44/12</f>
        <v>4583.333333333333</v>
      </c>
      <c r="R44" s="60">
        <v>55000</v>
      </c>
      <c r="S44" s="45"/>
    </row>
    <row r="45" spans="1:31" s="1" customFormat="1">
      <c r="A45" s="43"/>
      <c r="B45" s="46" t="s">
        <v>106</v>
      </c>
      <c r="C45" s="24"/>
      <c r="D45" s="24"/>
      <c r="E45" s="50"/>
      <c r="F45" s="45"/>
      <c r="G45" s="45"/>
      <c r="I45" s="73" t="s">
        <v>118</v>
      </c>
      <c r="J45" s="76"/>
      <c r="K45" s="32">
        <v>100</v>
      </c>
      <c r="L45" s="72"/>
      <c r="N45" s="129"/>
      <c r="O45" s="129" t="s">
        <v>151</v>
      </c>
      <c r="P45" s="132" t="s">
        <v>147</v>
      </c>
      <c r="Q45" s="137">
        <f>R45/12</f>
        <v>416.66666666666669</v>
      </c>
      <c r="R45" s="60">
        <v>5000</v>
      </c>
      <c r="S45" s="135"/>
    </row>
    <row r="46" spans="1:31" s="1" customFormat="1">
      <c r="A46" s="43"/>
      <c r="B46" s="43" t="s">
        <v>86</v>
      </c>
      <c r="C46" s="24"/>
      <c r="D46" s="24"/>
      <c r="E46" s="50">
        <v>30</v>
      </c>
      <c r="F46" s="89">
        <f>E46*E48*E47</f>
        <v>1818.6000000000001</v>
      </c>
      <c r="G46" s="45"/>
      <c r="I46" s="77" t="s">
        <v>50</v>
      </c>
      <c r="J46" s="76"/>
      <c r="K46" s="78"/>
      <c r="L46" s="69"/>
      <c r="N46" s="129"/>
      <c r="O46" s="129" t="s">
        <v>152</v>
      </c>
      <c r="P46" s="132" t="s">
        <v>147</v>
      </c>
      <c r="Q46" s="52"/>
      <c r="R46" s="60">
        <f>SUM(Q47:Q55)</f>
        <v>10000</v>
      </c>
      <c r="S46" s="135"/>
    </row>
    <row r="47" spans="1:31" s="1" customFormat="1">
      <c r="A47" s="43"/>
      <c r="B47" s="43" t="s">
        <v>87</v>
      </c>
      <c r="C47" s="24"/>
      <c r="D47" s="24"/>
      <c r="E47" s="32">
        <v>14</v>
      </c>
      <c r="F47" s="45"/>
      <c r="G47" s="45"/>
      <c r="I47" s="79" t="s">
        <v>122</v>
      </c>
      <c r="J47" s="76"/>
      <c r="K47" s="32">
        <v>3000</v>
      </c>
      <c r="L47" s="69"/>
      <c r="N47" s="43"/>
      <c r="O47" s="106" t="s">
        <v>127</v>
      </c>
      <c r="P47" s="50"/>
      <c r="Q47" s="52">
        <v>1000</v>
      </c>
      <c r="R47" s="45"/>
      <c r="S47" s="45"/>
    </row>
    <row r="48" spans="1:31" s="1" customFormat="1">
      <c r="A48" s="43"/>
      <c r="B48" s="43" t="s">
        <v>84</v>
      </c>
      <c r="C48" s="24"/>
      <c r="D48" s="24"/>
      <c r="E48" s="50">
        <v>4.33</v>
      </c>
      <c r="F48" s="45"/>
      <c r="G48" s="45"/>
      <c r="I48" s="79" t="s">
        <v>110</v>
      </c>
      <c r="J48" s="80"/>
      <c r="K48" s="32">
        <f>F58</f>
        <v>1299</v>
      </c>
      <c r="L48" s="19"/>
      <c r="N48" s="43"/>
      <c r="O48" s="106" t="s">
        <v>128</v>
      </c>
      <c r="P48" s="50"/>
      <c r="Q48" s="52">
        <v>1000</v>
      </c>
      <c r="R48" s="45"/>
      <c r="S48" s="45"/>
    </row>
    <row r="49" spans="1:19" s="1" customFormat="1">
      <c r="A49" s="43"/>
      <c r="B49" s="43"/>
      <c r="C49" s="24"/>
      <c r="D49" s="24"/>
      <c r="E49" s="50"/>
      <c r="F49" s="45"/>
      <c r="G49" s="45"/>
      <c r="I49" s="81" t="s">
        <v>109</v>
      </c>
      <c r="J49" s="82"/>
      <c r="K49" s="32">
        <v>5000</v>
      </c>
      <c r="L49" s="19"/>
      <c r="N49" s="43"/>
      <c r="O49" s="106" t="s">
        <v>130</v>
      </c>
      <c r="P49" s="50"/>
      <c r="Q49" s="52">
        <v>1000</v>
      </c>
      <c r="R49" s="45"/>
      <c r="S49" s="45"/>
    </row>
    <row r="50" spans="1:19" s="1" customFormat="1">
      <c r="A50" s="43"/>
      <c r="B50" s="46" t="s">
        <v>88</v>
      </c>
      <c r="C50" s="24"/>
      <c r="D50" s="24"/>
      <c r="E50" s="50"/>
      <c r="F50" s="89">
        <f>E51*E52*E53</f>
        <v>0</v>
      </c>
      <c r="G50" s="45"/>
      <c r="I50" s="81" t="s">
        <v>112</v>
      </c>
      <c r="J50" s="82"/>
      <c r="K50" s="32">
        <v>500</v>
      </c>
      <c r="L50" s="19"/>
      <c r="N50" s="43"/>
      <c r="O50" s="106" t="s">
        <v>133</v>
      </c>
      <c r="P50" s="50"/>
      <c r="Q50" s="52">
        <v>1500</v>
      </c>
      <c r="R50" s="45"/>
      <c r="S50" s="45"/>
    </row>
    <row r="51" spans="1:19" s="1" customFormat="1">
      <c r="A51" s="43"/>
      <c r="B51" s="43" t="s">
        <v>86</v>
      </c>
      <c r="C51" s="24"/>
      <c r="D51" s="24"/>
      <c r="E51" s="50"/>
      <c r="F51" s="45"/>
      <c r="G51" s="45"/>
      <c r="I51" s="81" t="s">
        <v>51</v>
      </c>
      <c r="J51" s="82"/>
      <c r="K51" s="32"/>
      <c r="L51" s="19"/>
      <c r="N51" s="43"/>
      <c r="O51" s="106" t="s">
        <v>134</v>
      </c>
      <c r="P51" s="50"/>
      <c r="Q51" s="52">
        <v>1500</v>
      </c>
      <c r="R51" s="45"/>
      <c r="S51" s="45"/>
    </row>
    <row r="52" spans="1:19" s="1" customFormat="1">
      <c r="A52" s="43"/>
      <c r="B52" s="43" t="s">
        <v>87</v>
      </c>
      <c r="C52" s="24"/>
      <c r="D52" s="24"/>
      <c r="E52" s="32"/>
      <c r="F52" s="45"/>
      <c r="G52" s="45"/>
      <c r="I52" s="21" t="s">
        <v>90</v>
      </c>
      <c r="J52" s="82"/>
      <c r="K52" s="32">
        <v>1500</v>
      </c>
      <c r="L52" s="19"/>
      <c r="N52" s="43"/>
      <c r="O52" s="106" t="s">
        <v>136</v>
      </c>
      <c r="P52" s="50"/>
      <c r="Q52" s="52">
        <v>1000</v>
      </c>
      <c r="R52" s="45"/>
      <c r="S52" s="45"/>
    </row>
    <row r="53" spans="1:19" s="1" customFormat="1">
      <c r="A53" s="43"/>
      <c r="B53" s="43" t="s">
        <v>84</v>
      </c>
      <c r="C53" s="24"/>
      <c r="D53" s="24"/>
      <c r="E53" s="50"/>
      <c r="F53" s="45"/>
      <c r="G53" s="45"/>
      <c r="I53" s="21" t="s">
        <v>89</v>
      </c>
      <c r="J53" s="82"/>
      <c r="K53" s="32">
        <v>100</v>
      </c>
      <c r="L53" s="19"/>
      <c r="N53" s="43"/>
      <c r="O53" s="106" t="s">
        <v>137</v>
      </c>
      <c r="P53" s="50"/>
      <c r="Q53" s="52">
        <v>1000</v>
      </c>
      <c r="R53" s="45"/>
      <c r="S53" s="45"/>
    </row>
    <row r="54" spans="1:19" s="1" customFormat="1">
      <c r="A54" s="43"/>
      <c r="B54" s="43"/>
      <c r="C54" s="24"/>
      <c r="D54" s="24"/>
      <c r="E54" s="50"/>
      <c r="F54" s="45"/>
      <c r="G54" s="45"/>
      <c r="I54" s="67" t="s">
        <v>119</v>
      </c>
      <c r="J54" s="68"/>
      <c r="K54" s="32">
        <v>1050</v>
      </c>
      <c r="L54" s="19"/>
      <c r="N54" s="43"/>
      <c r="O54" s="106" t="s">
        <v>138</v>
      </c>
      <c r="P54" s="50"/>
      <c r="Q54" s="52">
        <v>1000</v>
      </c>
      <c r="R54" s="45"/>
      <c r="S54" s="45"/>
    </row>
    <row r="55" spans="1:19" s="1" customFormat="1">
      <c r="A55" s="43"/>
      <c r="B55" s="111" t="s">
        <v>81</v>
      </c>
      <c r="C55" s="24"/>
      <c r="D55" s="24"/>
      <c r="E55" s="50"/>
      <c r="F55" s="105">
        <v>3000</v>
      </c>
      <c r="G55" s="45"/>
      <c r="I55" s="70"/>
      <c r="J55" s="71"/>
      <c r="K55" s="32"/>
      <c r="L55" s="19"/>
      <c r="N55" s="43"/>
      <c r="O55" s="106" t="s">
        <v>139</v>
      </c>
      <c r="P55" s="50"/>
      <c r="Q55" s="52">
        <v>1000</v>
      </c>
      <c r="R55" s="45"/>
      <c r="S55" s="45"/>
    </row>
    <row r="56" spans="1:19" s="1" customFormat="1">
      <c r="A56" s="43"/>
      <c r="B56" s="106"/>
      <c r="C56" s="24"/>
      <c r="D56" s="24"/>
      <c r="E56" s="50"/>
      <c r="F56" s="45"/>
      <c r="G56" s="45"/>
      <c r="I56" s="77" t="s">
        <v>52</v>
      </c>
      <c r="J56" s="84"/>
      <c r="K56" s="24"/>
      <c r="L56" s="85"/>
      <c r="N56" s="129"/>
      <c r="O56" s="138" t="s">
        <v>153</v>
      </c>
      <c r="P56" s="132" t="s">
        <v>133</v>
      </c>
      <c r="Q56" s="139"/>
      <c r="R56" s="134">
        <v>600</v>
      </c>
      <c r="S56" s="135"/>
    </row>
    <row r="57" spans="1:19" s="1" customFormat="1">
      <c r="A57" s="43"/>
      <c r="B57" s="43"/>
      <c r="C57" s="24"/>
      <c r="D57" s="24"/>
      <c r="E57" s="50"/>
      <c r="F57" s="45"/>
      <c r="G57" s="45"/>
      <c r="I57" s="81" t="s">
        <v>53</v>
      </c>
      <c r="J57" s="82"/>
      <c r="K57" s="32">
        <v>2000</v>
      </c>
      <c r="L57" s="19"/>
      <c r="N57" s="129"/>
      <c r="O57" s="129" t="s">
        <v>154</v>
      </c>
      <c r="P57" s="132" t="s">
        <v>127</v>
      </c>
      <c r="Q57" s="139"/>
      <c r="R57" s="134">
        <v>1000</v>
      </c>
      <c r="S57" s="135"/>
    </row>
    <row r="58" spans="1:19" s="1" customFormat="1">
      <c r="A58" s="43"/>
      <c r="B58" s="111" t="s">
        <v>108</v>
      </c>
      <c r="C58" s="24"/>
      <c r="D58" s="24"/>
      <c r="E58" s="50"/>
      <c r="F58" s="89">
        <f>E59*E60*E61</f>
        <v>1299</v>
      </c>
      <c r="G58" s="45"/>
      <c r="I58" s="87" t="s">
        <v>54</v>
      </c>
      <c r="J58" s="88"/>
      <c r="K58" s="32">
        <v>1200</v>
      </c>
      <c r="L58" s="19"/>
      <c r="N58" s="129"/>
      <c r="O58" s="129" t="s">
        <v>113</v>
      </c>
      <c r="P58" s="132" t="s">
        <v>147</v>
      </c>
      <c r="Q58" s="139">
        <f>R58/12</f>
        <v>250</v>
      </c>
      <c r="R58" s="134">
        <v>3000</v>
      </c>
      <c r="S58" s="135"/>
    </row>
    <row r="59" spans="1:19" s="1" customFormat="1">
      <c r="A59" s="43"/>
      <c r="B59" s="43" t="s">
        <v>86</v>
      </c>
      <c r="C59" s="24"/>
      <c r="D59" s="24"/>
      <c r="E59" s="50">
        <v>20</v>
      </c>
      <c r="F59" s="45"/>
      <c r="G59" s="45"/>
      <c r="I59" s="87" t="s">
        <v>55</v>
      </c>
      <c r="J59" s="88"/>
      <c r="K59" s="32">
        <v>3600</v>
      </c>
      <c r="L59" s="19"/>
      <c r="N59" s="140"/>
      <c r="O59" s="129" t="s">
        <v>155</v>
      </c>
      <c r="P59" s="132" t="s">
        <v>133</v>
      </c>
      <c r="Q59" s="139"/>
      <c r="R59" s="134">
        <v>1000</v>
      </c>
      <c r="S59" s="135"/>
    </row>
    <row r="60" spans="1:19" s="1" customFormat="1">
      <c r="A60" s="43"/>
      <c r="B60" s="43" t="s">
        <v>87</v>
      </c>
      <c r="C60" s="24"/>
      <c r="D60" s="24"/>
      <c r="E60" s="32">
        <v>15</v>
      </c>
      <c r="F60" s="45"/>
      <c r="G60" s="45"/>
      <c r="I60" s="107" t="s">
        <v>91</v>
      </c>
      <c r="J60" s="88"/>
      <c r="K60" s="32">
        <v>100</v>
      </c>
      <c r="L60" s="19"/>
      <c r="N60" s="129"/>
      <c r="O60" s="129" t="s">
        <v>156</v>
      </c>
      <c r="P60" s="132" t="s">
        <v>147</v>
      </c>
      <c r="Q60" s="139">
        <f>R60/12</f>
        <v>400</v>
      </c>
      <c r="R60" s="134">
        <v>4800</v>
      </c>
      <c r="S60" s="141"/>
    </row>
    <row r="61" spans="1:19" s="1" customFormat="1" ht="46" thickBot="1">
      <c r="A61" s="43"/>
      <c r="B61" s="43" t="s">
        <v>84</v>
      </c>
      <c r="C61" s="24"/>
      <c r="D61" s="24"/>
      <c r="E61" s="50">
        <v>4.33</v>
      </c>
      <c r="F61" s="45"/>
      <c r="G61" s="45"/>
      <c r="I61" s="91"/>
      <c r="J61" s="92"/>
      <c r="K61" s="93"/>
      <c r="L61" s="23"/>
      <c r="N61" s="129"/>
      <c r="O61" s="138" t="s">
        <v>157</v>
      </c>
      <c r="P61" s="132" t="s">
        <v>133</v>
      </c>
      <c r="Q61" s="139"/>
      <c r="R61" s="134">
        <v>1700</v>
      </c>
      <c r="S61" s="135"/>
    </row>
    <row r="62" spans="1:19" s="1" customFormat="1">
      <c r="A62" s="43"/>
      <c r="B62" s="43"/>
      <c r="C62" s="24"/>
      <c r="D62" s="24"/>
      <c r="E62" s="50"/>
      <c r="F62" s="45"/>
      <c r="G62" s="45"/>
      <c r="N62" s="129"/>
      <c r="O62" s="138"/>
      <c r="P62" s="132"/>
      <c r="Q62" s="139"/>
      <c r="R62" s="134"/>
      <c r="S62" s="135"/>
    </row>
    <row r="63" spans="1:19" s="1" customFormat="1">
      <c r="A63" s="43"/>
      <c r="B63" s="43"/>
      <c r="C63" s="24"/>
      <c r="D63" s="24"/>
      <c r="E63" s="50"/>
      <c r="F63" s="45"/>
      <c r="G63" s="45"/>
      <c r="N63" s="43"/>
      <c r="O63" s="95"/>
      <c r="P63" s="96"/>
      <c r="Q63" s="96"/>
      <c r="R63" s="97"/>
      <c r="S63" s="45"/>
    </row>
    <row r="64" spans="1:19" s="1" customFormat="1">
      <c r="A64" s="24"/>
      <c r="B64" s="95"/>
      <c r="C64" s="54"/>
      <c r="D64" s="54"/>
      <c r="E64" s="96"/>
      <c r="F64" s="97"/>
      <c r="G64" s="45"/>
      <c r="N64" s="53"/>
      <c r="O64" s="54"/>
      <c r="P64" s="96"/>
      <c r="Q64" s="54"/>
      <c r="R64" s="54"/>
      <c r="S64" s="55"/>
    </row>
    <row r="65" spans="1:19">
      <c r="A65" s="54"/>
      <c r="B65" s="24"/>
      <c r="C65" s="24"/>
      <c r="D65" s="24"/>
      <c r="E65" s="24"/>
      <c r="F65" s="24"/>
      <c r="G65" s="55"/>
      <c r="H65" s="1"/>
      <c r="I65" s="1"/>
      <c r="J65" s="1"/>
      <c r="K65" s="1"/>
      <c r="O65" s="1"/>
      <c r="P65" s="142"/>
      <c r="Q65" s="1"/>
      <c r="R65" s="1"/>
      <c r="S65" s="1"/>
    </row>
    <row r="66" spans="1:19">
      <c r="B66" s="54"/>
      <c r="C66" s="54"/>
      <c r="D66" s="54"/>
      <c r="E66" s="54"/>
      <c r="F66" s="54"/>
      <c r="G66" s="1"/>
      <c r="H66" s="1"/>
      <c r="I66" s="1"/>
      <c r="J66" s="1"/>
      <c r="K66" s="1"/>
      <c r="O66" s="1"/>
      <c r="P66" s="142"/>
      <c r="Q66" s="1"/>
      <c r="R66" s="1"/>
      <c r="S66" s="1"/>
    </row>
    <row r="67" spans="1:19" s="1" customFormat="1">
      <c r="P67" s="142"/>
    </row>
    <row r="68" spans="1:19" s="1" customFormat="1">
      <c r="P68" s="142"/>
    </row>
    <row r="69" spans="1:19" s="1" customFormat="1">
      <c r="P69" s="142"/>
    </row>
    <row r="70" spans="1:19" s="1" customFormat="1">
      <c r="P70" s="142"/>
    </row>
    <row r="71" spans="1:19" s="1" customFormat="1">
      <c r="P71" s="142"/>
    </row>
    <row r="72" spans="1:19" s="1" customFormat="1">
      <c r="P72" s="142"/>
    </row>
    <row r="73" spans="1:19" s="1" customFormat="1">
      <c r="P73" s="142"/>
    </row>
    <row r="74" spans="1:19" s="1" customFormat="1">
      <c r="P74" s="142"/>
    </row>
    <row r="75" spans="1:19" s="1" customFormat="1">
      <c r="P75" s="142"/>
    </row>
    <row r="76" spans="1:19" s="1" customFormat="1">
      <c r="P76" s="142"/>
    </row>
    <row r="77" spans="1:19" s="1" customFormat="1">
      <c r="P77" s="142"/>
    </row>
    <row r="78" spans="1:19" s="1" customFormat="1">
      <c r="P78" s="142"/>
    </row>
    <row r="79" spans="1:19" s="1" customFormat="1">
      <c r="P79" s="142"/>
    </row>
    <row r="80" spans="1:19" s="1" customFormat="1">
      <c r="P80" s="142"/>
    </row>
    <row r="81" spans="2:19" s="1" customFormat="1">
      <c r="P81" s="142"/>
    </row>
    <row r="82" spans="2:19" s="1" customFormat="1">
      <c r="P82" s="142"/>
    </row>
    <row r="83" spans="2:19" s="1" customFormat="1">
      <c r="P83" s="142"/>
      <c r="S83"/>
    </row>
    <row r="84" spans="2:19" s="1" customFormat="1">
      <c r="G84"/>
      <c r="P84" s="142"/>
      <c r="S84"/>
    </row>
    <row r="85" spans="2:19" s="1" customFormat="1">
      <c r="G85"/>
      <c r="P85" s="142"/>
      <c r="S85"/>
    </row>
    <row r="86" spans="2:19" s="1" customFormat="1">
      <c r="G86"/>
      <c r="P86" s="142"/>
      <c r="S86"/>
    </row>
    <row r="87" spans="2:19" s="1" customFormat="1">
      <c r="G87"/>
      <c r="P87" s="142"/>
      <c r="S87"/>
    </row>
    <row r="88" spans="2:19" s="1" customFormat="1">
      <c r="G88"/>
      <c r="P88" s="142"/>
      <c r="S88"/>
    </row>
    <row r="89" spans="2:19" s="1" customFormat="1">
      <c r="G89"/>
      <c r="P89" s="142"/>
      <c r="S89"/>
    </row>
    <row r="90" spans="2:19" s="1" customFormat="1">
      <c r="G90"/>
      <c r="P90" s="142"/>
      <c r="S90"/>
    </row>
    <row r="91" spans="2:19" s="1" customFormat="1">
      <c r="G91"/>
      <c r="P91" s="142"/>
      <c r="S91"/>
    </row>
    <row r="92" spans="2:19" s="1" customFormat="1">
      <c r="G92"/>
      <c r="P92" s="142"/>
      <c r="S92"/>
    </row>
    <row r="93" spans="2:19" s="1" customFormat="1">
      <c r="G93"/>
      <c r="P93" s="142"/>
      <c r="S93"/>
    </row>
    <row r="94" spans="2:19">
      <c r="B94" s="1"/>
      <c r="C94" s="1"/>
      <c r="D94" s="1"/>
      <c r="E94" s="1"/>
      <c r="F94" s="1"/>
      <c r="I94" s="1"/>
      <c r="J94" s="1"/>
      <c r="K94" s="1"/>
      <c r="O94" s="1"/>
      <c r="P94" s="142"/>
      <c r="Q94" s="1"/>
      <c r="R94" s="1"/>
    </row>
    <row r="95" spans="2:19">
      <c r="B95" s="1"/>
      <c r="C95" s="1"/>
      <c r="D95" s="1"/>
      <c r="E95" s="1"/>
      <c r="F95" s="1"/>
      <c r="I95" s="1"/>
      <c r="J95" s="1"/>
      <c r="K95" s="1"/>
    </row>
    <row r="96" spans="2:19">
      <c r="B96" s="1"/>
      <c r="C96" s="1"/>
      <c r="D96" s="1"/>
      <c r="E96" s="1"/>
      <c r="F96" s="1"/>
      <c r="I96" s="1"/>
      <c r="J96" s="1"/>
      <c r="K96" s="1"/>
    </row>
    <row r="97" spans="9:11">
      <c r="I97" s="1"/>
      <c r="J97" s="1"/>
      <c r="K97" s="1"/>
    </row>
    <row r="98" spans="9:11">
      <c r="I98" s="1"/>
      <c r="J98" s="1"/>
      <c r="K98" s="1"/>
    </row>
    <row r="99" spans="9:11">
      <c r="I99" s="1"/>
      <c r="J99" s="1"/>
      <c r="K99" s="1"/>
    </row>
    <row r="100" spans="9:11">
      <c r="I100" s="1"/>
      <c r="J100" s="1"/>
      <c r="K100" s="1"/>
    </row>
    <row r="101" spans="9:11">
      <c r="I101" s="1"/>
      <c r="J101" s="1"/>
      <c r="K101" s="1"/>
    </row>
    <row r="102" spans="9:11">
      <c r="I102" s="1"/>
      <c r="J102" s="1"/>
      <c r="K102" s="1"/>
    </row>
    <row r="103" spans="9:11">
      <c r="I103" s="1"/>
      <c r="J103" s="1"/>
      <c r="K103" s="1"/>
    </row>
    <row r="104" spans="9:11">
      <c r="I104" s="1"/>
      <c r="J104" s="1"/>
      <c r="K104" s="1"/>
    </row>
    <row r="105" spans="9:11">
      <c r="I105" s="1"/>
      <c r="J105" s="1"/>
      <c r="K105" s="1"/>
    </row>
    <row r="106" spans="9:11">
      <c r="I106" s="1"/>
      <c r="J106" s="1"/>
      <c r="K106" s="1"/>
    </row>
    <row r="107" spans="9:11">
      <c r="I107" s="1"/>
      <c r="J107" s="1"/>
      <c r="K107" s="1"/>
    </row>
    <row r="108" spans="9:11">
      <c r="I108" s="1"/>
      <c r="J108" s="1"/>
      <c r="K108" s="1"/>
    </row>
    <row r="109" spans="9:11">
      <c r="I109" s="1"/>
      <c r="J109" s="1"/>
      <c r="K109" s="1"/>
    </row>
    <row r="110" spans="9:11">
      <c r="I110" s="1"/>
      <c r="J110" s="1"/>
      <c r="K110" s="1"/>
    </row>
    <row r="111" spans="9:11">
      <c r="I111" s="1"/>
      <c r="J111" s="1"/>
      <c r="K111" s="1"/>
    </row>
    <row r="112" spans="9:11">
      <c r="I112" s="1"/>
      <c r="J112" s="1"/>
      <c r="K112" s="1"/>
    </row>
    <row r="113" spans="9:11">
      <c r="I113" s="1"/>
      <c r="J113" s="1"/>
      <c r="K113" s="1"/>
    </row>
  </sheetData>
  <mergeCells count="9">
    <mergeCell ref="N37:P37"/>
    <mergeCell ref="A2:G2"/>
    <mergeCell ref="I2:L2"/>
    <mergeCell ref="B28:F28"/>
    <mergeCell ref="A26:C26"/>
    <mergeCell ref="A4:C4"/>
    <mergeCell ref="B6:F6"/>
    <mergeCell ref="B17:F17"/>
    <mergeCell ref="N4:P4"/>
  </mergeCells>
  <pageMargins left="0.7" right="0.7" top="0.75" bottom="0.75" header="0.3" footer="0.3"/>
  <pageSetup orientation="portrait" horizontalDpi="0" verticalDpi="0"/>
  <ignoredErrors>
    <ignoredError sqref="L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2019 Profit and Loss</vt:lpstr>
      <vt:lpstr>2020 Budget</vt:lpstr>
      <vt:lpstr>Mid-Year</vt:lpstr>
      <vt:lpstr>2020 Reforcasted</vt:lpstr>
      <vt:lpstr>2020 Teacher Training Budget</vt:lpstr>
      <vt:lpstr>2020 Assumptions</vt:lpstr>
      <vt:lpstr>'2019 Profit and Loss'!Print_Area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cp:lastPrinted>2019-11-11T02:04:49Z</cp:lastPrinted>
  <dcterms:created xsi:type="dcterms:W3CDTF">2019-11-11T01:10:40Z</dcterms:created>
  <dcterms:modified xsi:type="dcterms:W3CDTF">2020-07-30T23:30:51Z</dcterms:modified>
</cp:coreProperties>
</file>