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mstaggs/Dropbox/Finance/2021/"/>
    </mc:Choice>
  </mc:AlternateContent>
  <xr:revisionPtr revIDLastSave="0" documentId="10_ncr:8100000_{C977FA0C-19E7-1049-9F3A-8A71F0CDED47}" xr6:coauthVersionLast="32" xr6:coauthVersionMax="32" xr10:uidLastSave="{00000000-0000-0000-0000-000000000000}"/>
  <bookViews>
    <workbookView xWindow="3260" yWindow="460" windowWidth="25300" windowHeight="16260" activeTab="2" xr2:uid="{00000000-000D-0000-FFFF-FFFF00000000}"/>
  </bookViews>
  <sheets>
    <sheet name="2019 Profit and Loss" sheetId="1" state="hidden" r:id="rId1"/>
    <sheet name="2021 Budget" sheetId="3" r:id="rId2"/>
    <sheet name="2021 Assumptions" sheetId="4" r:id="rId3"/>
  </sheets>
  <definedNames>
    <definedName name="_xlnm.Print_Area" localSheetId="0">'2019 Profit and Loss'!$A$1:$E$41</definedName>
  </definedNames>
  <calcPr calcId="162913" concurrentCalc="0"/>
</workbook>
</file>

<file path=xl/calcChain.xml><?xml version="1.0" encoding="utf-8"?>
<calcChain xmlns="http://schemas.openxmlformats.org/spreadsheetml/2006/main">
  <c r="D18" i="4" l="1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N30" i="3"/>
  <c r="L30" i="3"/>
  <c r="M30" i="3"/>
  <c r="K30" i="3"/>
  <c r="J30" i="3"/>
  <c r="I30" i="3"/>
  <c r="H30" i="3"/>
  <c r="G30" i="3"/>
  <c r="F30" i="3"/>
  <c r="E30" i="3"/>
  <c r="D30" i="3"/>
  <c r="C30" i="3"/>
  <c r="B30" i="3"/>
  <c r="B3" i="3"/>
  <c r="D3" i="3"/>
  <c r="E3" i="3"/>
  <c r="F3" i="3"/>
  <c r="G3" i="3"/>
  <c r="H3" i="3"/>
  <c r="I3" i="3"/>
  <c r="J3" i="3"/>
  <c r="K3" i="3"/>
  <c r="L3" i="3"/>
  <c r="M3" i="3"/>
  <c r="N3" i="3"/>
  <c r="B4" i="3"/>
  <c r="C4" i="3"/>
  <c r="D4" i="3"/>
  <c r="E4" i="3"/>
  <c r="F4" i="3"/>
  <c r="G4" i="3"/>
  <c r="H4" i="3"/>
  <c r="I4" i="3"/>
  <c r="J4" i="3"/>
  <c r="K4" i="3"/>
  <c r="L4" i="3"/>
  <c r="M4" i="3"/>
  <c r="N4" i="3"/>
  <c r="B5" i="3"/>
  <c r="C5" i="3"/>
  <c r="D5" i="3"/>
  <c r="E5" i="3"/>
  <c r="F5" i="3"/>
  <c r="G5" i="3"/>
  <c r="H5" i="3"/>
  <c r="I5" i="3"/>
  <c r="J5" i="3"/>
  <c r="K5" i="3"/>
  <c r="L5" i="3"/>
  <c r="M5" i="3"/>
  <c r="N5" i="3"/>
  <c r="G6" i="3"/>
  <c r="K6" i="3"/>
  <c r="N6" i="3"/>
  <c r="B7" i="3"/>
  <c r="C7" i="3"/>
  <c r="D7" i="3"/>
  <c r="E7" i="3"/>
  <c r="F7" i="3"/>
  <c r="G7" i="3"/>
  <c r="H7" i="3"/>
  <c r="I7" i="3"/>
  <c r="J7" i="3"/>
  <c r="K7" i="3"/>
  <c r="L7" i="3"/>
  <c r="M7" i="3"/>
  <c r="N7" i="3"/>
  <c r="B8" i="3"/>
  <c r="C8" i="3"/>
  <c r="D8" i="3"/>
  <c r="E8" i="3"/>
  <c r="F8" i="3"/>
  <c r="G8" i="3"/>
  <c r="H8" i="3"/>
  <c r="I8" i="3"/>
  <c r="J8" i="3"/>
  <c r="K8" i="3"/>
  <c r="L8" i="3"/>
  <c r="M8" i="3"/>
  <c r="N8" i="3"/>
  <c r="B9" i="3"/>
  <c r="C9" i="3"/>
  <c r="D9" i="3"/>
  <c r="F9" i="3"/>
  <c r="G9" i="3"/>
  <c r="H9" i="3"/>
  <c r="I9" i="3"/>
  <c r="J9" i="3"/>
  <c r="K9" i="3"/>
  <c r="L9" i="3"/>
  <c r="M9" i="3"/>
  <c r="N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N12" i="3"/>
  <c r="N13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G16" i="3"/>
  <c r="N16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B22" i="3"/>
  <c r="E22" i="3"/>
  <c r="H22" i="3"/>
  <c r="K22" i="3"/>
  <c r="N22" i="3"/>
  <c r="D23" i="3"/>
  <c r="G23" i="3"/>
  <c r="H23" i="3"/>
  <c r="K23" i="3"/>
  <c r="M23" i="3"/>
  <c r="N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B34" i="3"/>
  <c r="D34" i="3"/>
  <c r="E34" i="3"/>
  <c r="F34" i="3"/>
  <c r="G34" i="3"/>
  <c r="H34" i="3"/>
  <c r="I34" i="3"/>
  <c r="J34" i="3"/>
  <c r="K34" i="3"/>
  <c r="L34" i="3"/>
  <c r="M34" i="3"/>
  <c r="C34" i="3"/>
  <c r="N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B42" i="3"/>
  <c r="H42" i="3"/>
  <c r="I42" i="3"/>
  <c r="J42" i="3"/>
  <c r="K42" i="3"/>
  <c r="L42" i="3"/>
  <c r="M42" i="3"/>
  <c r="N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N37" i="3"/>
  <c r="N40" i="3"/>
  <c r="N44" i="3"/>
  <c r="N45" i="3"/>
  <c r="N46" i="3"/>
  <c r="F24" i="4"/>
  <c r="F27" i="4"/>
  <c r="F30" i="4"/>
  <c r="K27" i="4"/>
  <c r="Q22" i="4"/>
  <c r="R18" i="4"/>
  <c r="R36" i="4"/>
  <c r="L47" i="4"/>
  <c r="Q40" i="4"/>
  <c r="R38" i="4"/>
  <c r="L64" i="4"/>
  <c r="K58" i="4"/>
  <c r="E25" i="4"/>
  <c r="E31" i="4"/>
  <c r="Q14" i="4"/>
  <c r="Q13" i="4"/>
  <c r="Q17" i="4"/>
  <c r="Q16" i="4"/>
  <c r="Q11" i="4"/>
  <c r="L6" i="4"/>
  <c r="Q28" i="4"/>
  <c r="M12" i="3"/>
  <c r="M13" i="3"/>
  <c r="M44" i="3"/>
  <c r="M45" i="3"/>
  <c r="M46" i="3"/>
  <c r="L12" i="3"/>
  <c r="L13" i="3"/>
  <c r="L44" i="3"/>
  <c r="L45" i="3"/>
  <c r="L46" i="3"/>
  <c r="K12" i="3"/>
  <c r="K13" i="3"/>
  <c r="K44" i="3"/>
  <c r="K45" i="3"/>
  <c r="K46" i="3"/>
  <c r="J12" i="3"/>
  <c r="J13" i="3"/>
  <c r="J44" i="3"/>
  <c r="J45" i="3"/>
  <c r="J46" i="3"/>
  <c r="I44" i="3"/>
  <c r="I12" i="3"/>
  <c r="I13" i="3"/>
  <c r="I45" i="3"/>
  <c r="I46" i="3"/>
  <c r="H12" i="3"/>
  <c r="H13" i="3"/>
  <c r="H44" i="3"/>
  <c r="H45" i="3"/>
  <c r="H46" i="3"/>
  <c r="G44" i="3"/>
  <c r="G12" i="3"/>
  <c r="G13" i="3"/>
  <c r="G45" i="3"/>
  <c r="G46" i="3"/>
  <c r="F12" i="3"/>
  <c r="F13" i="3"/>
  <c r="F44" i="3"/>
  <c r="F45" i="3"/>
  <c r="F46" i="3"/>
  <c r="E12" i="3"/>
  <c r="E13" i="3"/>
  <c r="E44" i="3"/>
  <c r="E45" i="3"/>
  <c r="E46" i="3"/>
  <c r="D12" i="3"/>
  <c r="D13" i="3"/>
  <c r="D44" i="3"/>
  <c r="D45" i="3"/>
  <c r="D46" i="3"/>
  <c r="C12" i="3"/>
  <c r="C13" i="3"/>
  <c r="C44" i="3"/>
  <c r="C45" i="3"/>
  <c r="C46" i="3"/>
  <c r="B44" i="3"/>
  <c r="B12" i="3"/>
  <c r="B13" i="3"/>
  <c r="B45" i="3"/>
  <c r="B46" i="3"/>
  <c r="L35" i="4"/>
  <c r="L18" i="4"/>
  <c r="E16" i="1"/>
  <c r="E17" i="1"/>
  <c r="E40" i="1"/>
  <c r="C40" i="1"/>
  <c r="E39" i="1"/>
  <c r="C39" i="1"/>
  <c r="E38" i="1"/>
  <c r="E37" i="1"/>
  <c r="E36" i="1"/>
  <c r="E35" i="1"/>
  <c r="E34" i="1"/>
  <c r="E33" i="1"/>
  <c r="E32" i="1"/>
  <c r="E30" i="1"/>
  <c r="E28" i="1"/>
  <c r="E26" i="1"/>
  <c r="E25" i="1"/>
  <c r="E24" i="1"/>
  <c r="E23" i="1"/>
  <c r="E22" i="1"/>
  <c r="E19" i="1"/>
  <c r="D37" i="1"/>
  <c r="D35" i="1"/>
  <c r="D34" i="1"/>
  <c r="D33" i="1"/>
  <c r="D32" i="1"/>
  <c r="D31" i="1"/>
  <c r="D30" i="1"/>
  <c r="D29" i="1"/>
  <c r="D28" i="1"/>
  <c r="D27" i="1"/>
  <c r="C38" i="1"/>
  <c r="D25" i="1"/>
  <c r="D24" i="1"/>
  <c r="D22" i="1"/>
  <c r="D19" i="1"/>
  <c r="C17" i="1"/>
  <c r="C16" i="1"/>
  <c r="E15" i="1"/>
  <c r="E14" i="1"/>
  <c r="E13" i="1"/>
  <c r="E12" i="1"/>
  <c r="E11" i="1"/>
  <c r="E10" i="1"/>
  <c r="E9" i="1"/>
  <c r="E8" i="1"/>
  <c r="E6" i="1"/>
  <c r="E5" i="1"/>
  <c r="D15" i="1"/>
  <c r="D12" i="1"/>
  <c r="D8" i="1"/>
  <c r="D7" i="1"/>
  <c r="D6" i="1"/>
  <c r="D5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</calcChain>
</file>

<file path=xl/sharedStrings.xml><?xml version="1.0" encoding="utf-8"?>
<sst xmlns="http://schemas.openxmlformats.org/spreadsheetml/2006/main" count="227" uniqueCount="192">
  <si>
    <t>Income</t>
  </si>
  <si>
    <t xml:space="preserve">   Classes</t>
  </si>
  <si>
    <t xml:space="preserve">   Community Partnerships</t>
  </si>
  <si>
    <t xml:space="preserve">   Donations</t>
  </si>
  <si>
    <t xml:space="preserve">   Fundraising Events</t>
  </si>
  <si>
    <t xml:space="preserve">   Gift Cards</t>
  </si>
  <si>
    <t xml:space="preserve">   Interest Earned</t>
  </si>
  <si>
    <t xml:space="preserve">   Reimbursement</t>
  </si>
  <si>
    <t xml:space="preserve">   Sales of Product</t>
  </si>
  <si>
    <t xml:space="preserve">   Vendor Space</t>
  </si>
  <si>
    <t xml:space="preserve">   Water, Mat or Towel</t>
  </si>
  <si>
    <t xml:space="preserve">   Workshops &amp; Special Events</t>
  </si>
  <si>
    <t>Total Income</t>
  </si>
  <si>
    <t>Gross Profit</t>
  </si>
  <si>
    <t>Expenses</t>
  </si>
  <si>
    <t xml:space="preserve">   Advertising &amp; Marketing</t>
  </si>
  <si>
    <t xml:space="preserve">   Bank Charges &amp; Fees</t>
  </si>
  <si>
    <t xml:space="preserve">   Event Expenses</t>
  </si>
  <si>
    <t xml:space="preserve">   Independent Contractors</t>
  </si>
  <si>
    <t xml:space="preserve">   Instruction Expenses</t>
  </si>
  <si>
    <t xml:space="preserve">   Insurance</t>
  </si>
  <si>
    <t xml:space="preserve">   Job Supplies</t>
  </si>
  <si>
    <t xml:space="preserve">   Kindful Fees</t>
  </si>
  <si>
    <t xml:space="preserve">   Legal &amp; Professional Services</t>
  </si>
  <si>
    <t xml:space="preserve">   Meals &amp; Entertainment</t>
  </si>
  <si>
    <t xml:space="preserve">   Merchandise Expense</t>
  </si>
  <si>
    <t xml:space="preserve">   MindBody Fee</t>
  </si>
  <si>
    <t xml:space="preserve">   Office Supplies &amp; Software</t>
  </si>
  <si>
    <t xml:space="preserve">   Other Business Expenses</t>
  </si>
  <si>
    <t xml:space="preserve">   Professional Development</t>
  </si>
  <si>
    <t xml:space="preserve">   Rent &amp; Lease</t>
  </si>
  <si>
    <t xml:space="preserve">   Taxes &amp; Licenses</t>
  </si>
  <si>
    <t xml:space="preserve">   Travel</t>
  </si>
  <si>
    <t xml:space="preserve">   Utilities</t>
  </si>
  <si>
    <t>Total Expenses</t>
  </si>
  <si>
    <t>Net Operating Income</t>
  </si>
  <si>
    <t>Net Income</t>
  </si>
  <si>
    <t>Sunday, Nov 10, 2019 05:10:40 PM GMT-8 - Cash Basis</t>
  </si>
  <si>
    <t>Small World Yoga</t>
  </si>
  <si>
    <t>Profit and Loss</t>
  </si>
  <si>
    <t>Jan-Oct 2019 Actuals</t>
  </si>
  <si>
    <t>2019 Forecast</t>
  </si>
  <si>
    <t>Jan-Oct 2019 Budgeted</t>
  </si>
  <si>
    <t>% Change</t>
  </si>
  <si>
    <t>Revenue</t>
  </si>
  <si>
    <t>Int'l Day of Yoga</t>
  </si>
  <si>
    <t>Music City Yoga Fest</t>
  </si>
  <si>
    <t>Marketing Expenses</t>
  </si>
  <si>
    <t>Professional Services</t>
  </si>
  <si>
    <t>Legal</t>
  </si>
  <si>
    <t>Teacher Appreciation/Development Expenses</t>
  </si>
  <si>
    <t>Outreach Teacher Socials &amp; Workshops</t>
  </si>
  <si>
    <t>Teacher Appreciation Committee</t>
  </si>
  <si>
    <t>Teacher Professional Development</t>
  </si>
  <si>
    <t>Dropbox</t>
  </si>
  <si>
    <t>N/A</t>
  </si>
  <si>
    <t>Studio Revenue and Expense Assumptions</t>
  </si>
  <si>
    <t>per year</t>
  </si>
  <si>
    <t>Studio Class Assumptions</t>
  </si>
  <si>
    <t>Donations - Unrestricted</t>
  </si>
  <si>
    <t>per month</t>
  </si>
  <si>
    <t>Jan</t>
  </si>
  <si>
    <t>Dec</t>
  </si>
  <si>
    <t>Studio Class Revenue</t>
  </si>
  <si>
    <t xml:space="preserve">Community Partnerships </t>
  </si>
  <si>
    <t>Grants - Restricted</t>
  </si>
  <si>
    <t>Independent Contractor Expense</t>
  </si>
  <si>
    <t>Outreach Teachers</t>
  </si>
  <si>
    <t>Monthly Wages for Studio Manager</t>
  </si>
  <si>
    <t xml:space="preserve">     Hours per Week</t>
  </si>
  <si>
    <t xml:space="preserve">     Hourly Rate</t>
  </si>
  <si>
    <t>Studio &amp; Liability Insurance</t>
  </si>
  <si>
    <t>Rent</t>
  </si>
  <si>
    <t>Utilities</t>
  </si>
  <si>
    <t>Event Expense</t>
  </si>
  <si>
    <t>Fundraising Events</t>
  </si>
  <si>
    <t>Interest Earned</t>
  </si>
  <si>
    <t>Mat, Towel or Water</t>
  </si>
  <si>
    <t>Workshops &amp; Special Events</t>
  </si>
  <si>
    <t>Independent Contractors Expense</t>
  </si>
  <si>
    <t>Monthly Studio Teachers Wages</t>
  </si>
  <si>
    <t>Monthly Wages for Outreach Relationship Manager</t>
  </si>
  <si>
    <t>Monthly Wages for Outreach Coordinator</t>
  </si>
  <si>
    <t>SWY Organization - Studio &amp; Outreach Revenue &amp; Expense Assumptions</t>
  </si>
  <si>
    <t>Fundraising Administrative Assistant</t>
  </si>
  <si>
    <t>Fundraising Administrative Assistant (per month)</t>
  </si>
  <si>
    <t>Job Supplies</t>
  </si>
  <si>
    <t>Meals &amp; Entertainment</t>
  </si>
  <si>
    <t>Office Supplies &amp; Software</t>
  </si>
  <si>
    <t>Google - Email</t>
  </si>
  <si>
    <t>Account Analysis Fee</t>
  </si>
  <si>
    <t xml:space="preserve">Other Business Expenses </t>
  </si>
  <si>
    <t>Tax &amp; Licenses Expense (year)</t>
  </si>
  <si>
    <t>Yoga on the Diamond</t>
  </si>
  <si>
    <t>Donations</t>
  </si>
  <si>
    <t>Teacher Training Revenue and Expense Assumptions</t>
  </si>
  <si>
    <t>Teacher Training Assumptions</t>
  </si>
  <si>
    <t>January</t>
  </si>
  <si>
    <t>February</t>
  </si>
  <si>
    <t>Nashville Winter</t>
  </si>
  <si>
    <t>March</t>
  </si>
  <si>
    <t>June</t>
  </si>
  <si>
    <t>July</t>
  </si>
  <si>
    <t>Nashville 300 Hour</t>
  </si>
  <si>
    <t>September</t>
  </si>
  <si>
    <t>October</t>
  </si>
  <si>
    <t>Myrtle Beach Summer</t>
  </si>
  <si>
    <t xml:space="preserve">July </t>
  </si>
  <si>
    <t>Teacher Training Expense Assumptions</t>
  </si>
  <si>
    <t>Expense Mode</t>
  </si>
  <si>
    <t>Per Month</t>
  </si>
  <si>
    <t>Annually</t>
  </si>
  <si>
    <t>Advertisement</t>
  </si>
  <si>
    <t>Monthly</t>
  </si>
  <si>
    <t>Insurance</t>
  </si>
  <si>
    <t>Professional Development</t>
  </si>
  <si>
    <t>Travel</t>
  </si>
  <si>
    <t>Community Partnerships</t>
  </si>
  <si>
    <t>Classes</t>
  </si>
  <si>
    <t>Sales of Product</t>
  </si>
  <si>
    <t>Water, Mat or Towel</t>
  </si>
  <si>
    <t>Teacher Training</t>
  </si>
  <si>
    <t>Salary Expense</t>
  </si>
  <si>
    <t>Event Expenses</t>
  </si>
  <si>
    <t>Advertising &amp; Marketing</t>
  </si>
  <si>
    <t>Independent Contractors</t>
  </si>
  <si>
    <t>Rent &amp; Lease</t>
  </si>
  <si>
    <t>Other Business Expenses</t>
  </si>
  <si>
    <t>MindBody Fee</t>
  </si>
  <si>
    <t>Kindful Fees</t>
  </si>
  <si>
    <t>Legal &amp; Professional Services</t>
  </si>
  <si>
    <t>Merchandise Expense</t>
  </si>
  <si>
    <t>Kindful Fees (3.2% of credit card donations)</t>
  </si>
  <si>
    <t xml:space="preserve">Space Rental </t>
  </si>
  <si>
    <t>Payroll Taxes</t>
  </si>
  <si>
    <t>Taxes, Fees &amp; Licenses</t>
  </si>
  <si>
    <t>Baptiste Affiliate Dues (April)</t>
  </si>
  <si>
    <t xml:space="preserve">Accounting </t>
  </si>
  <si>
    <t>Jan-Mar</t>
  </si>
  <si>
    <t>Jan-Apr</t>
  </si>
  <si>
    <t>May (w/Big Payback)</t>
  </si>
  <si>
    <t>Jun-Sept</t>
  </si>
  <si>
    <t>Oct &amp; Nov</t>
  </si>
  <si>
    <t>Foundation Donations</t>
  </si>
  <si>
    <t>Boedecker (Jan)</t>
  </si>
  <si>
    <t>Predators (May)</t>
  </si>
  <si>
    <t>Community (June)</t>
  </si>
  <si>
    <t>Memorial (Dec)</t>
  </si>
  <si>
    <t>Int'l Day of Yoga (Jun)</t>
  </si>
  <si>
    <t>Music City Yoga Fest (Oct)</t>
  </si>
  <si>
    <t>Event Merchandise (Jun &amp; Oct)</t>
  </si>
  <si>
    <t>SWY Retail/ Merchandise (monthly except Jun &amp; Oct)</t>
  </si>
  <si>
    <t>Oxford Summer</t>
  </si>
  <si>
    <t>May</t>
  </si>
  <si>
    <t>July - December</t>
  </si>
  <si>
    <t>Workshops &amp; Special Events (per quarter)</t>
  </si>
  <si>
    <t>Bi-Weekly Pay</t>
  </si>
  <si>
    <t>Apr</t>
  </si>
  <si>
    <t>Oct</t>
  </si>
  <si>
    <t>(per month)</t>
  </si>
  <si>
    <t>(see detailed breakout)</t>
  </si>
  <si>
    <t>Executive Director Gross Wages</t>
  </si>
  <si>
    <t>Oxford (Jan)</t>
  </si>
  <si>
    <t>Myrtle Beach (Jul-Dec)</t>
  </si>
  <si>
    <t>Techsoup (Quickbooks) - Jan</t>
  </si>
  <si>
    <t>Kindful (annual fee) - April</t>
  </si>
  <si>
    <t>Outreach Tool - Jan</t>
  </si>
  <si>
    <t>General Office Supplies</t>
  </si>
  <si>
    <t>Repair &amp; Maintenance</t>
  </si>
  <si>
    <t>Teacher Training Licensing Fee - Jan</t>
  </si>
  <si>
    <t>Licenses(Entrepreneur Center, Yoga Alliance, Insurance) - June</t>
  </si>
  <si>
    <t>2021 Forecast</t>
  </si>
  <si>
    <t>Fall 200 Hour Training</t>
  </si>
  <si>
    <t>Independent Contractor Fees</t>
  </si>
  <si>
    <t>Nashville Winter - March</t>
  </si>
  <si>
    <t>Oxford Summer - July</t>
  </si>
  <si>
    <t>Nashville 300 Hour - June</t>
  </si>
  <si>
    <t>Fall 200 Hour - October</t>
  </si>
  <si>
    <t>Myrtle Beach (Jul-Dec) - December</t>
  </si>
  <si>
    <t>Jul-Nov</t>
  </si>
  <si>
    <t>April-Jun</t>
  </si>
  <si>
    <t>Feb</t>
  </si>
  <si>
    <t>Jun</t>
  </si>
  <si>
    <t>Aug</t>
  </si>
  <si>
    <t>Sept</t>
  </si>
  <si>
    <t>Studio Teachers</t>
  </si>
  <si>
    <t>Studio Manager</t>
  </si>
  <si>
    <t>Outreach Relationship Manager</t>
  </si>
  <si>
    <t>Outreach Coordinator</t>
  </si>
  <si>
    <t>Teacher Training Instruction</t>
  </si>
  <si>
    <t>Accounting</t>
  </si>
  <si>
    <t>Development Coordinator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</si>
</sst>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0\ _€"/>
    <numFmt numFmtId="165" formatCode="&quot;$&quot;* #,##0.00\ _€"/>
    <numFmt numFmtId="166" formatCode="[$-409]mmm\-yy;@"/>
    <numFmt numFmtId="167" formatCode="_(&quot;$&quot;* #,##0_);_(&quot;$&quot;* \(#,##0\);_(&quot;$&quot;* &quot;-&quot;??_);_(@_)"/>
    <numFmt numFmtId="168" formatCode="0.0%"/>
    <numFmt numFmtId="169" formatCode="&quot;$&quot;* #,##0\ _€"/>
  </numFmts>
  <fonts count="23"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rgb="FF00B050"/>
      <name val="Arial"/>
      <family val="2"/>
    </font>
    <font>
      <b/>
      <sz val="11"/>
      <color rgb="FFFF0000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name val="Calibri"/>
      <family val="2"/>
      <scheme val="minor"/>
    </font>
    <font>
      <b/>
      <sz val="10"/>
      <name val="MS Sans Serif"/>
    </font>
    <font>
      <b/>
      <sz val="10"/>
      <color rgb="FF000000"/>
      <name val="Arial"/>
      <family val="2"/>
    </font>
    <font>
      <sz val="10"/>
      <color rgb="FF000000"/>
      <name val="Trebuchet MS"/>
      <family val="2"/>
    </font>
    <font>
      <b/>
      <sz val="10"/>
      <name val="MS Sans Serif"/>
      <family val="2"/>
    </font>
    <font>
      <b/>
      <sz val="11"/>
      <name val="Calibri"/>
      <family val="2"/>
    </font>
    <font>
      <sz val="10"/>
      <color rgb="FF000000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name val="MS Sans Serif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64">
    <xf numFmtId="0" fontId="0" fillId="0" borderId="0" xfId="0"/>
    <xf numFmtId="0" fontId="0" fillId="2" borderId="0" xfId="0" applyFill="1"/>
    <xf numFmtId="0" fontId="0" fillId="2" borderId="0" xfId="0" applyFont="1" applyFill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9" fillId="2" borderId="0" xfId="0" applyFont="1" applyFill="1" applyAlignment="1">
      <alignment horizontal="left" wrapText="1"/>
    </xf>
    <xf numFmtId="164" fontId="5" fillId="2" borderId="0" xfId="0" applyNumberFormat="1" applyFont="1" applyFill="1" applyAlignment="1">
      <alignment wrapText="1"/>
    </xf>
    <xf numFmtId="164" fontId="5" fillId="2" borderId="0" xfId="0" applyNumberFormat="1" applyFont="1" applyFill="1" applyAlignment="1">
      <alignment horizontal="right" wrapText="1"/>
    </xf>
    <xf numFmtId="9" fontId="6" fillId="2" borderId="0" xfId="2" applyFont="1" applyFill="1" applyAlignment="1">
      <alignment horizontal="center" wrapText="1"/>
    </xf>
    <xf numFmtId="9" fontId="7" fillId="2" borderId="0" xfId="2" applyFont="1" applyFill="1" applyAlignment="1">
      <alignment horizontal="center" wrapText="1"/>
    </xf>
    <xf numFmtId="165" fontId="9" fillId="2" borderId="2" xfId="0" applyNumberFormat="1" applyFont="1" applyFill="1" applyBorder="1" applyAlignment="1">
      <alignment horizontal="right" wrapText="1"/>
    </xf>
    <xf numFmtId="165" fontId="9" fillId="2" borderId="3" xfId="0" applyNumberFormat="1" applyFont="1" applyFill="1" applyBorder="1" applyAlignment="1">
      <alignment horizontal="right" wrapText="1"/>
    </xf>
    <xf numFmtId="0" fontId="8" fillId="0" borderId="0" xfId="0" applyFont="1" applyAlignment="1">
      <alignment vertical="center"/>
    </xf>
    <xf numFmtId="16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0" fillId="2" borderId="7" xfId="0" applyFill="1" applyBorder="1"/>
    <xf numFmtId="0" fontId="10" fillId="2" borderId="0" xfId="0" applyFont="1" applyFill="1" applyBorder="1"/>
    <xf numFmtId="0" fontId="0" fillId="2" borderId="8" xfId="0" applyFill="1" applyBorder="1"/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/>
    <xf numFmtId="0" fontId="0" fillId="2" borderId="0" xfId="0" applyFill="1" applyBorder="1"/>
    <xf numFmtId="0" fontId="11" fillId="2" borderId="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6" fontId="0" fillId="2" borderId="0" xfId="0" applyNumberForma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2" fillId="2" borderId="7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6" fontId="11" fillId="2" borderId="8" xfId="0" applyNumberFormat="1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left" vertical="center" indent="2"/>
    </xf>
    <xf numFmtId="0" fontId="13" fillId="2" borderId="0" xfId="0" applyFont="1" applyFill="1" applyBorder="1" applyAlignment="1">
      <alignment horizontal="left" vertical="center" indent="2"/>
    </xf>
    <xf numFmtId="0" fontId="0" fillId="2" borderId="8" xfId="0" applyFill="1" applyBorder="1" applyAlignment="1">
      <alignment horizontal="center"/>
    </xf>
    <xf numFmtId="0" fontId="0" fillId="2" borderId="14" xfId="0" applyFill="1" applyBorder="1"/>
    <xf numFmtId="0" fontId="0" fillId="2" borderId="15" xfId="0" applyFill="1" applyBorder="1"/>
    <xf numFmtId="0" fontId="11" fillId="2" borderId="14" xfId="0" applyFont="1" applyFill="1" applyBorder="1"/>
    <xf numFmtId="8" fontId="11" fillId="2" borderId="15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horizontal="left" vertical="top" indent="1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left" vertical="top" indent="1"/>
    </xf>
    <xf numFmtId="6" fontId="0" fillId="2" borderId="0" xfId="1" applyNumberFormat="1" applyFont="1" applyFill="1" applyBorder="1" applyAlignment="1">
      <alignment horizontal="center"/>
    </xf>
    <xf numFmtId="0" fontId="0" fillId="2" borderId="16" xfId="0" applyFill="1" applyBorder="1"/>
    <xf numFmtId="0" fontId="0" fillId="2" borderId="1" xfId="0" applyFill="1" applyBorder="1"/>
    <xf numFmtId="0" fontId="0" fillId="2" borderId="17" xfId="0" applyFill="1" applyBorder="1"/>
    <xf numFmtId="6" fontId="0" fillId="2" borderId="0" xfId="0" applyNumberFormat="1" applyFill="1" applyBorder="1" applyAlignment="1">
      <alignment horizontal="center" vertical="center"/>
    </xf>
    <xf numFmtId="0" fontId="0" fillId="0" borderId="0" xfId="0" applyBorder="1"/>
    <xf numFmtId="0" fontId="0" fillId="2" borderId="0" xfId="0" applyFill="1" applyBorder="1" applyAlignment="1">
      <alignment horizontal="left" indent="2"/>
    </xf>
    <xf numFmtId="0" fontId="0" fillId="2" borderId="0" xfId="0" applyFill="1" applyAlignment="1">
      <alignment horizontal="left" indent="2"/>
    </xf>
    <xf numFmtId="0" fontId="0" fillId="2" borderId="7" xfId="0" applyFill="1" applyBorder="1" applyAlignment="1">
      <alignment wrapText="1"/>
    </xf>
    <xf numFmtId="0" fontId="0" fillId="2" borderId="0" xfId="0" applyFill="1" applyBorder="1" applyAlignment="1">
      <alignment wrapText="1"/>
    </xf>
    <xf numFmtId="6" fontId="0" fillId="2" borderId="8" xfId="0" applyNumberFormat="1" applyFill="1" applyBorder="1"/>
    <xf numFmtId="0" fontId="0" fillId="2" borderId="7" xfId="0" applyFill="1" applyBorder="1" applyAlignment="1">
      <alignment horizontal="left" wrapText="1" indent="2"/>
    </xf>
    <xf numFmtId="0" fontId="0" fillId="2" borderId="0" xfId="0" applyFill="1" applyBorder="1" applyAlignment="1">
      <alignment horizontal="left" wrapText="1" indent="2"/>
    </xf>
    <xf numFmtId="8" fontId="0" fillId="2" borderId="8" xfId="0" applyNumberFormat="1" applyFill="1" applyBorder="1"/>
    <xf numFmtId="0" fontId="0" fillId="2" borderId="7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 indent="1"/>
    </xf>
    <xf numFmtId="6" fontId="0" fillId="2" borderId="0" xfId="1" applyNumberFormat="1" applyFont="1" applyFill="1" applyBorder="1" applyAlignment="1">
      <alignment horizontal="left" wrapText="1" indent="1"/>
    </xf>
    <xf numFmtId="0" fontId="0" fillId="2" borderId="7" xfId="0" applyFont="1" applyFill="1" applyBorder="1" applyAlignment="1">
      <alignment wrapText="1"/>
    </xf>
    <xf numFmtId="0" fontId="0" fillId="0" borderId="0" xfId="0" applyFill="1" applyBorder="1"/>
    <xf numFmtId="0" fontId="0" fillId="2" borderId="7" xfId="0" applyFont="1" applyFill="1" applyBorder="1" applyAlignment="1">
      <alignment horizontal="left" wrapText="1" indent="3"/>
    </xf>
    <xf numFmtId="0" fontId="0" fillId="2" borderId="0" xfId="0" applyFont="1" applyFill="1" applyBorder="1" applyAlignment="1">
      <alignment horizontal="left" wrapText="1" indent="3"/>
    </xf>
    <xf numFmtId="0" fontId="0" fillId="2" borderId="7" xfId="0" applyFill="1" applyBorder="1" applyAlignment="1">
      <alignment horizontal="left" indent="3"/>
    </xf>
    <xf numFmtId="0" fontId="0" fillId="2" borderId="0" xfId="0" applyFill="1" applyBorder="1" applyAlignment="1">
      <alignment horizontal="left" indent="3"/>
    </xf>
    <xf numFmtId="0" fontId="15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wrapText="1"/>
    </xf>
    <xf numFmtId="0" fontId="0" fillId="2" borderId="8" xfId="0" applyFill="1" applyBorder="1" applyAlignment="1">
      <alignment horizontal="left" indent="2"/>
    </xf>
    <xf numFmtId="0" fontId="16" fillId="2" borderId="7" xfId="0" applyFont="1" applyFill="1" applyBorder="1" applyAlignment="1">
      <alignment horizontal="left" wrapText="1" indent="3"/>
    </xf>
    <xf numFmtId="0" fontId="16" fillId="2" borderId="0" xfId="0" applyFont="1" applyFill="1" applyBorder="1" applyAlignment="1">
      <alignment horizontal="left" wrapText="1" indent="3"/>
    </xf>
    <xf numFmtId="6" fontId="11" fillId="2" borderId="15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left" indent="3"/>
    </xf>
    <xf numFmtId="0" fontId="0" fillId="2" borderId="10" xfId="0" applyFill="1" applyBorder="1" applyAlignment="1">
      <alignment horizontal="left" indent="3"/>
    </xf>
    <xf numFmtId="6" fontId="0" fillId="2" borderId="10" xfId="1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left" indent="2"/>
    </xf>
    <xf numFmtId="0" fontId="11" fillId="2" borderId="16" xfId="0" applyFont="1" applyFill="1" applyBorder="1"/>
    <xf numFmtId="0" fontId="0" fillId="2" borderId="1" xfId="0" applyFill="1" applyBorder="1" applyAlignment="1">
      <alignment horizontal="center"/>
    </xf>
    <xf numFmtId="6" fontId="11" fillId="2" borderId="17" xfId="0" applyNumberFormat="1" applyFont="1" applyFill="1" applyBorder="1" applyAlignment="1">
      <alignment horizontal="center"/>
    </xf>
    <xf numFmtId="8" fontId="0" fillId="0" borderId="0" xfId="0" applyNumberFormat="1"/>
    <xf numFmtId="6" fontId="0" fillId="0" borderId="0" xfId="0" applyNumberFormat="1"/>
    <xf numFmtId="0" fontId="13" fillId="2" borderId="7" xfId="0" applyFont="1" applyFill="1" applyBorder="1" applyAlignment="1">
      <alignment horizontal="left" vertical="center"/>
    </xf>
    <xf numFmtId="8" fontId="0" fillId="2" borderId="0" xfId="0" applyNumberFormat="1" applyFill="1" applyBorder="1" applyAlignment="1">
      <alignment horizontal="center" vertical="center"/>
    </xf>
    <xf numFmtId="0" fontId="0" fillId="0" borderId="0" xfId="0" applyFill="1"/>
    <xf numFmtId="0" fontId="0" fillId="2" borderId="14" xfId="0" applyFill="1" applyBorder="1" applyAlignment="1">
      <alignment horizontal="left" indent="1"/>
    </xf>
    <xf numFmtId="0" fontId="16" fillId="2" borderId="7" xfId="0" applyFont="1" applyFill="1" applyBorder="1" applyAlignment="1">
      <alignment horizontal="left" wrapText="1" indent="2"/>
    </xf>
    <xf numFmtId="0" fontId="17" fillId="2" borderId="14" xfId="0" applyFont="1" applyFill="1" applyBorder="1"/>
    <xf numFmtId="0" fontId="10" fillId="2" borderId="0" xfId="0" applyFont="1" applyFill="1" applyBorder="1" applyAlignment="1">
      <alignment horizontal="center"/>
    </xf>
    <xf numFmtId="167" fontId="0" fillId="2" borderId="15" xfId="1" applyNumberFormat="1" applyFont="1" applyFill="1" applyBorder="1"/>
    <xf numFmtId="0" fontId="0" fillId="2" borderId="14" xfId="0" applyFill="1" applyBorder="1" applyAlignment="1">
      <alignment vertical="center"/>
    </xf>
    <xf numFmtId="0" fontId="18" fillId="2" borderId="0" xfId="0" applyFont="1" applyFill="1" applyBorder="1" applyAlignment="1">
      <alignment horizontal="center"/>
    </xf>
    <xf numFmtId="6" fontId="18" fillId="2" borderId="15" xfId="1" applyNumberFormat="1" applyFont="1" applyFill="1" applyBorder="1" applyAlignment="1">
      <alignment horizontal="center"/>
    </xf>
    <xf numFmtId="8" fontId="0" fillId="2" borderId="0" xfId="1" applyNumberFormat="1" applyFont="1" applyFill="1" applyBorder="1" applyAlignment="1">
      <alignment horizontal="center" vertical="center"/>
    </xf>
    <xf numFmtId="6" fontId="0" fillId="2" borderId="15" xfId="1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left" vertical="center" wrapText="1"/>
    </xf>
    <xf numFmtId="6" fontId="0" fillId="2" borderId="0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8" fillId="0" borderId="0" xfId="0" applyFont="1" applyAlignment="1">
      <alignment horizontal="left" wrapText="1" indent="2"/>
    </xf>
    <xf numFmtId="0" fontId="8" fillId="0" borderId="0" xfId="0" applyFont="1" applyAlignment="1">
      <alignment horizontal="left" indent="2"/>
    </xf>
    <xf numFmtId="0" fontId="19" fillId="0" borderId="0" xfId="0" applyFont="1" applyAlignment="1">
      <alignment horizontal="left" indent="2"/>
    </xf>
    <xf numFmtId="168" fontId="0" fillId="2" borderId="0" xfId="2" applyNumberFormat="1" applyFont="1" applyFill="1" applyBorder="1" applyAlignment="1">
      <alignment horizontal="center"/>
    </xf>
    <xf numFmtId="0" fontId="0" fillId="0" borderId="0" xfId="0"/>
    <xf numFmtId="0" fontId="20" fillId="2" borderId="0" xfId="0" applyFont="1" applyFill="1" applyBorder="1" applyAlignment="1">
      <alignment horizontal="center"/>
    </xf>
    <xf numFmtId="6" fontId="0" fillId="0" borderId="0" xfId="0" applyNumberFormat="1" applyAlignment="1">
      <alignment horizontal="right"/>
    </xf>
    <xf numFmtId="0" fontId="13" fillId="2" borderId="7" xfId="0" applyFont="1" applyFill="1" applyBorder="1" applyAlignment="1">
      <alignment horizontal="left" vertical="center" indent="1"/>
    </xf>
    <xf numFmtId="6" fontId="17" fillId="2" borderId="15" xfId="0" applyNumberFormat="1" applyFont="1" applyFill="1" applyBorder="1"/>
    <xf numFmtId="6" fontId="17" fillId="2" borderId="8" xfId="0" applyNumberFormat="1" applyFont="1" applyFill="1" applyBorder="1"/>
    <xf numFmtId="0" fontId="0" fillId="2" borderId="14" xfId="0" applyFill="1" applyBorder="1" applyAlignment="1">
      <alignment horizontal="left" vertical="center" indent="1"/>
    </xf>
    <xf numFmtId="6" fontId="3" fillId="2" borderId="15" xfId="1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wrapText="1" indent="2"/>
    </xf>
    <xf numFmtId="0" fontId="0" fillId="2" borderId="14" xfId="0" applyFill="1" applyBorder="1" applyAlignment="1">
      <alignment horizontal="left" vertical="center" wrapText="1" indent="2"/>
    </xf>
    <xf numFmtId="169" fontId="9" fillId="0" borderId="2" xfId="0" applyNumberFormat="1" applyFont="1" applyFill="1" applyBorder="1" applyAlignment="1">
      <alignment horizontal="right" wrapText="1"/>
    </xf>
    <xf numFmtId="169" fontId="9" fillId="0" borderId="18" xfId="0" applyNumberFormat="1" applyFont="1" applyFill="1" applyBorder="1" applyAlignment="1">
      <alignment horizontal="right" wrapText="1"/>
    </xf>
    <xf numFmtId="169" fontId="9" fillId="0" borderId="3" xfId="0" applyNumberFormat="1" applyFont="1" applyFill="1" applyBorder="1" applyAlignment="1">
      <alignment horizontal="right" wrapText="1"/>
    </xf>
    <xf numFmtId="0" fontId="0" fillId="2" borderId="14" xfId="0" applyFill="1" applyBorder="1" applyAlignment="1">
      <alignment horizontal="left"/>
    </xf>
    <xf numFmtId="6" fontId="0" fillId="2" borderId="15" xfId="1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left" indent="1"/>
    </xf>
    <xf numFmtId="0" fontId="11" fillId="2" borderId="4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vertical="center"/>
    </xf>
    <xf numFmtId="0" fontId="11" fillId="2" borderId="12" xfId="0" applyFont="1" applyFill="1" applyBorder="1" applyAlignment="1"/>
    <xf numFmtId="0" fontId="11" fillId="2" borderId="3" xfId="0" applyFont="1" applyFill="1" applyBorder="1" applyAlignment="1"/>
    <xf numFmtId="0" fontId="11" fillId="2" borderId="13" xfId="0" applyFont="1" applyFill="1" applyBorder="1" applyAlignment="1"/>
    <xf numFmtId="0" fontId="14" fillId="2" borderId="12" xfId="0" applyFont="1" applyFill="1" applyBorder="1" applyAlignment="1"/>
    <xf numFmtId="0" fontId="14" fillId="2" borderId="3" xfId="0" applyFont="1" applyFill="1" applyBorder="1" applyAlignment="1">
      <alignment horizontal="center"/>
    </xf>
    <xf numFmtId="0" fontId="14" fillId="2" borderId="3" xfId="0" applyFont="1" applyFill="1" applyBorder="1" applyAlignment="1"/>
    <xf numFmtId="0" fontId="14" fillId="2" borderId="13" xfId="0" applyFont="1" applyFill="1" applyBorder="1" applyAlignment="1"/>
    <xf numFmtId="0" fontId="11" fillId="2" borderId="22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0" fillId="2" borderId="9" xfId="0" applyFill="1" applyBorder="1"/>
    <xf numFmtId="0" fontId="11" fillId="2" borderId="10" xfId="0" applyFont="1" applyFill="1" applyBorder="1"/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6" fontId="11" fillId="2" borderId="1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8" fillId="0" borderId="0" xfId="0" applyFont="1" applyAlignment="1">
      <alignment horizontal="left" wrapText="1" indent="3"/>
    </xf>
    <xf numFmtId="6" fontId="0" fillId="0" borderId="0" xfId="0" applyNumberFormat="1" applyFill="1"/>
    <xf numFmtId="0" fontId="8" fillId="0" borderId="0" xfId="0" applyFont="1" applyAlignment="1">
      <alignment horizontal="left" wrapText="1" indent="4"/>
    </xf>
    <xf numFmtId="0" fontId="21" fillId="0" borderId="0" xfId="0" applyFont="1"/>
    <xf numFmtId="169" fontId="0" fillId="0" borderId="0" xfId="0" applyNumberFormat="1"/>
    <xf numFmtId="0" fontId="22" fillId="0" borderId="0" xfId="0" applyFont="1" applyFill="1" applyAlignment="1">
      <alignment horizontal="left" wrapText="1" indent="2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2" fillId="2" borderId="7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workbookViewId="0">
      <selection activeCell="F7" sqref="F7"/>
    </sheetView>
  </sheetViews>
  <sheetFormatPr baseColWidth="10" defaultColWidth="8.83203125" defaultRowHeight="15"/>
  <cols>
    <col min="1" max="1" width="28.33203125" style="1" customWidth="1"/>
    <col min="2" max="5" width="15.1640625" style="1" customWidth="1"/>
    <col min="6" max="16384" width="8.83203125" style="1"/>
  </cols>
  <sheetData>
    <row r="1" spans="1:5" ht="18">
      <c r="A1" s="148" t="s">
        <v>38</v>
      </c>
      <c r="B1" s="148"/>
      <c r="C1" s="148"/>
      <c r="D1" s="148"/>
      <c r="E1" s="148"/>
    </row>
    <row r="2" spans="1:5" ht="18">
      <c r="A2" s="148" t="s">
        <v>39</v>
      </c>
      <c r="B2" s="148"/>
      <c r="C2" s="148"/>
      <c r="D2" s="148"/>
      <c r="E2" s="148"/>
    </row>
    <row r="3" spans="1:5" s="4" customFormat="1" ht="28">
      <c r="A3" s="2"/>
      <c r="B3" s="3" t="s">
        <v>40</v>
      </c>
      <c r="C3" s="3" t="s">
        <v>42</v>
      </c>
      <c r="D3" s="3" t="s">
        <v>43</v>
      </c>
      <c r="E3" s="3" t="s">
        <v>41</v>
      </c>
    </row>
    <row r="4" spans="1:5" s="4" customFormat="1">
      <c r="A4" s="5" t="s">
        <v>0</v>
      </c>
      <c r="B4" s="6"/>
      <c r="C4" s="6"/>
      <c r="D4" s="6"/>
    </row>
    <row r="5" spans="1:5" s="4" customFormat="1">
      <c r="A5" s="5" t="s">
        <v>1</v>
      </c>
      <c r="B5" s="7">
        <f>93077.24</f>
        <v>93077.24</v>
      </c>
      <c r="C5" s="7">
        <v>58077.16</v>
      </c>
      <c r="D5" s="8">
        <f>(B5-C5)/C5</f>
        <v>0.60264792562170744</v>
      </c>
      <c r="E5" s="7">
        <f>(B5/10)*12</f>
        <v>111692.68799999999</v>
      </c>
    </row>
    <row r="6" spans="1:5" s="4" customFormat="1">
      <c r="A6" s="5" t="s">
        <v>2</v>
      </c>
      <c r="B6" s="7">
        <f>13336</f>
        <v>13336</v>
      </c>
      <c r="C6" s="7">
        <v>5833</v>
      </c>
      <c r="D6" s="8">
        <f>(B6-C6)/C6</f>
        <v>1.2863020744042517</v>
      </c>
      <c r="E6" s="7">
        <f>(B6/10)*12</f>
        <v>16003.199999999999</v>
      </c>
    </row>
    <row r="7" spans="1:5" s="4" customFormat="1">
      <c r="A7" s="5" t="s">
        <v>3</v>
      </c>
      <c r="B7" s="7">
        <f>40668.02</f>
        <v>40668.019999999997</v>
      </c>
      <c r="C7" s="7">
        <v>38000</v>
      </c>
      <c r="D7" s="8">
        <f>(B7-C7)/C7</f>
        <v>7.0211052631578869E-2</v>
      </c>
      <c r="E7" s="7">
        <v>54000</v>
      </c>
    </row>
    <row r="8" spans="1:5" s="4" customFormat="1">
      <c r="A8" s="5" t="s">
        <v>4</v>
      </c>
      <c r="B8" s="7">
        <f>486.2</f>
        <v>486.2</v>
      </c>
      <c r="C8" s="7">
        <v>5000</v>
      </c>
      <c r="D8" s="9">
        <f>(B8-C8)/C8</f>
        <v>-0.90276000000000001</v>
      </c>
      <c r="E8" s="7">
        <f>B8</f>
        <v>486.2</v>
      </c>
    </row>
    <row r="9" spans="1:5" s="4" customFormat="1">
      <c r="A9" s="5" t="s">
        <v>5</v>
      </c>
      <c r="B9" s="7">
        <f>25</f>
        <v>25</v>
      </c>
      <c r="C9" s="7">
        <v>0</v>
      </c>
      <c r="D9" s="7"/>
      <c r="E9" s="7">
        <f>B9</f>
        <v>25</v>
      </c>
    </row>
    <row r="10" spans="1:5" s="4" customFormat="1">
      <c r="A10" s="5" t="s">
        <v>6</v>
      </c>
      <c r="B10" s="7">
        <f>10.82</f>
        <v>10.82</v>
      </c>
      <c r="C10" s="7">
        <v>10</v>
      </c>
      <c r="D10" s="7"/>
      <c r="E10" s="7">
        <f>B10+1.12</f>
        <v>11.940000000000001</v>
      </c>
    </row>
    <row r="11" spans="1:5" s="4" customFormat="1">
      <c r="A11" s="5" t="s">
        <v>7</v>
      </c>
      <c r="B11" s="7">
        <f>213.56</f>
        <v>213.56</v>
      </c>
      <c r="C11" s="7">
        <v>0</v>
      </c>
      <c r="D11" s="7"/>
      <c r="E11" s="7">
        <f>B11</f>
        <v>213.56</v>
      </c>
    </row>
    <row r="12" spans="1:5" s="4" customFormat="1">
      <c r="A12" s="5" t="s">
        <v>8</v>
      </c>
      <c r="B12" s="7">
        <f>7611.86</f>
        <v>7611.86</v>
      </c>
      <c r="C12" s="7">
        <v>10750</v>
      </c>
      <c r="D12" s="9">
        <f>(B12-C12)/C12</f>
        <v>-0.29192000000000001</v>
      </c>
      <c r="E12" s="7">
        <f>B12+1000</f>
        <v>8611.86</v>
      </c>
    </row>
    <row r="13" spans="1:5" s="4" customFormat="1">
      <c r="A13" s="5" t="s">
        <v>9</v>
      </c>
      <c r="B13" s="7">
        <f>895.5</f>
        <v>895.5</v>
      </c>
      <c r="C13" s="7" t="s">
        <v>55</v>
      </c>
      <c r="D13" s="7"/>
      <c r="E13" s="7">
        <f>B13</f>
        <v>895.5</v>
      </c>
    </row>
    <row r="14" spans="1:5" s="4" customFormat="1">
      <c r="A14" s="5" t="s">
        <v>10</v>
      </c>
      <c r="B14" s="7">
        <f>5760.25</f>
        <v>5760.25</v>
      </c>
      <c r="C14" s="7">
        <v>0</v>
      </c>
      <c r="D14" s="7"/>
      <c r="E14" s="7">
        <f>(B14/10)*12</f>
        <v>6912.2999999999993</v>
      </c>
    </row>
    <row r="15" spans="1:5" s="4" customFormat="1">
      <c r="A15" s="5" t="s">
        <v>11</v>
      </c>
      <c r="B15" s="7">
        <f>6641.03</f>
        <v>6641.03</v>
      </c>
      <c r="C15" s="7">
        <v>9833</v>
      </c>
      <c r="D15" s="9">
        <f>(B15-C15)/C15</f>
        <v>-0.32461812264822537</v>
      </c>
      <c r="E15" s="7">
        <f>(B15/10)*12</f>
        <v>7969.235999999999</v>
      </c>
    </row>
    <row r="16" spans="1:5" s="4" customFormat="1">
      <c r="A16" s="5" t="s">
        <v>12</v>
      </c>
      <c r="B16" s="10">
        <f>((((((((((B5)+(B6))+(B7))+(B8))+(B9))+(B10))+(B11))+(B12))+(B13))+(B14))+(B15)</f>
        <v>168725.48</v>
      </c>
      <c r="C16" s="10">
        <f>SUM(C5:C15)</f>
        <v>127503.16</v>
      </c>
      <c r="D16" s="10"/>
      <c r="E16" s="10">
        <f>SUM(E5:E15)</f>
        <v>206821.48399999997</v>
      </c>
    </row>
    <row r="17" spans="1:5" s="4" customFormat="1">
      <c r="A17" s="5" t="s">
        <v>13</v>
      </c>
      <c r="B17" s="10">
        <f>(B16)-(0)</f>
        <v>168725.48</v>
      </c>
      <c r="C17" s="10">
        <f>C16</f>
        <v>127503.16</v>
      </c>
      <c r="D17" s="10"/>
      <c r="E17" s="10">
        <f>E16</f>
        <v>206821.48399999997</v>
      </c>
    </row>
    <row r="18" spans="1:5" s="4" customFormat="1">
      <c r="A18" s="5" t="s">
        <v>14</v>
      </c>
      <c r="B18" s="6"/>
      <c r="C18" s="6"/>
      <c r="D18" s="6"/>
    </row>
    <row r="19" spans="1:5" s="4" customFormat="1">
      <c r="A19" s="5" t="s">
        <v>15</v>
      </c>
      <c r="B19" s="7">
        <f>387.1</f>
        <v>387.1</v>
      </c>
      <c r="C19" s="7">
        <v>2500</v>
      </c>
      <c r="D19" s="8">
        <f>(C19-B19)/C19</f>
        <v>0.84516000000000002</v>
      </c>
      <c r="E19" s="7">
        <f>B19*2</f>
        <v>774.2</v>
      </c>
    </row>
    <row r="20" spans="1:5" s="4" customFormat="1">
      <c r="A20" s="5" t="s">
        <v>16</v>
      </c>
      <c r="B20" s="7">
        <f>0.47</f>
        <v>0.47</v>
      </c>
      <c r="C20" s="7">
        <v>0</v>
      </c>
      <c r="D20" s="7"/>
      <c r="E20" s="7">
        <v>0</v>
      </c>
    </row>
    <row r="21" spans="1:5" s="4" customFormat="1">
      <c r="A21" s="5" t="s">
        <v>17</v>
      </c>
      <c r="B21" s="7">
        <f>973.5</f>
        <v>973.5</v>
      </c>
      <c r="C21" s="7"/>
      <c r="D21" s="7"/>
      <c r="E21" s="7">
        <v>0</v>
      </c>
    </row>
    <row r="22" spans="1:5" s="4" customFormat="1">
      <c r="A22" s="5" t="s">
        <v>18</v>
      </c>
      <c r="B22" s="7">
        <f>120415.14</f>
        <v>120415.14</v>
      </c>
      <c r="C22" s="7">
        <v>106024</v>
      </c>
      <c r="D22" s="9">
        <f>(C22-B22)/C22</f>
        <v>-0.13573473930430846</v>
      </c>
      <c r="E22" s="7">
        <f>(B22/10)*12</f>
        <v>144498.16800000001</v>
      </c>
    </row>
    <row r="23" spans="1:5" s="4" customFormat="1">
      <c r="A23" s="5" t="s">
        <v>19</v>
      </c>
      <c r="B23" s="7">
        <f>459.99</f>
        <v>459.99</v>
      </c>
      <c r="C23" s="7"/>
      <c r="D23" s="7"/>
      <c r="E23" s="7">
        <f>B23*1.5</f>
        <v>689.98500000000001</v>
      </c>
    </row>
    <row r="24" spans="1:5" s="4" customFormat="1">
      <c r="A24" s="5" t="s">
        <v>20</v>
      </c>
      <c r="B24" s="7">
        <f>933.34</f>
        <v>933.34</v>
      </c>
      <c r="C24" s="7">
        <v>1000</v>
      </c>
      <c r="D24" s="8">
        <f>(C24-B24)/C24</f>
        <v>6.6659999999999969E-2</v>
      </c>
      <c r="E24" s="7">
        <f>(B24/10)*12</f>
        <v>1120.008</v>
      </c>
    </row>
    <row r="25" spans="1:5" s="4" customFormat="1">
      <c r="A25" s="5" t="s">
        <v>21</v>
      </c>
      <c r="B25" s="7">
        <f>3696.68</f>
        <v>3696.68</v>
      </c>
      <c r="C25" s="7">
        <v>1850</v>
      </c>
      <c r="D25" s="9">
        <f>(C25-B25)/C25</f>
        <v>-0.99820540540540537</v>
      </c>
      <c r="E25" s="7">
        <f>(B25/10)*12</f>
        <v>4436.0159999999996</v>
      </c>
    </row>
    <row r="26" spans="1:5" s="4" customFormat="1">
      <c r="A26" s="5" t="s">
        <v>22</v>
      </c>
      <c r="B26" s="7">
        <f>346.81</f>
        <v>346.81</v>
      </c>
      <c r="C26" s="7">
        <v>0</v>
      </c>
      <c r="D26" s="9"/>
      <c r="E26" s="7">
        <f>(B26/10)*12</f>
        <v>416.17199999999997</v>
      </c>
    </row>
    <row r="27" spans="1:5" s="4" customFormat="1" ht="29">
      <c r="A27" s="5" t="s">
        <v>23</v>
      </c>
      <c r="B27" s="7">
        <f>1800</f>
        <v>1800</v>
      </c>
      <c r="C27" s="7">
        <v>13500</v>
      </c>
      <c r="D27" s="8">
        <f t="shared" ref="D27:D37" si="0">(C27-B27)/C27</f>
        <v>0.8666666666666667</v>
      </c>
      <c r="E27" s="7">
        <v>10500</v>
      </c>
    </row>
    <row r="28" spans="1:5" s="4" customFormat="1">
      <c r="A28" s="5" t="s">
        <v>24</v>
      </c>
      <c r="B28" s="7">
        <f>603.55</f>
        <v>603.54999999999995</v>
      </c>
      <c r="C28" s="7">
        <v>500</v>
      </c>
      <c r="D28" s="9">
        <f t="shared" si="0"/>
        <v>-0.2070999999999999</v>
      </c>
      <c r="E28" s="7">
        <f>(B28/10)*12</f>
        <v>724.26</v>
      </c>
    </row>
    <row r="29" spans="1:5" s="4" customFormat="1">
      <c r="A29" s="5" t="s">
        <v>25</v>
      </c>
      <c r="B29" s="7">
        <f>4961.13</f>
        <v>4961.13</v>
      </c>
      <c r="C29" s="7">
        <v>6450</v>
      </c>
      <c r="D29" s="8">
        <f t="shared" si="0"/>
        <v>0.23083255813953488</v>
      </c>
      <c r="E29" s="7">
        <v>7000</v>
      </c>
    </row>
    <row r="30" spans="1:5" s="4" customFormat="1">
      <c r="A30" s="5" t="s">
        <v>26</v>
      </c>
      <c r="B30" s="7">
        <f>4937.43</f>
        <v>4937.43</v>
      </c>
      <c r="C30" s="7">
        <v>2731</v>
      </c>
      <c r="D30" s="9">
        <f t="shared" si="0"/>
        <v>-0.80792017575979502</v>
      </c>
      <c r="E30" s="7">
        <f>(B30/10)*12</f>
        <v>5924.9160000000011</v>
      </c>
    </row>
    <row r="31" spans="1:5" s="4" customFormat="1">
      <c r="A31" s="5" t="s">
        <v>27</v>
      </c>
      <c r="B31" s="7">
        <f>4979.4</f>
        <v>4979.3999999999996</v>
      </c>
      <c r="C31" s="7">
        <v>883</v>
      </c>
      <c r="D31" s="9">
        <f t="shared" si="0"/>
        <v>-4.6391845979614947</v>
      </c>
      <c r="E31" s="7">
        <v>5200</v>
      </c>
    </row>
    <row r="32" spans="1:5" s="4" customFormat="1">
      <c r="A32" s="5" t="s">
        <v>28</v>
      </c>
      <c r="B32" s="7">
        <f>1206.86</f>
        <v>1206.8599999999999</v>
      </c>
      <c r="C32" s="7">
        <v>1667</v>
      </c>
      <c r="D32" s="8">
        <f t="shared" si="0"/>
        <v>0.27602879424115184</v>
      </c>
      <c r="E32" s="7">
        <f>(B32/10)*12</f>
        <v>1448.232</v>
      </c>
    </row>
    <row r="33" spans="1:5" s="4" customFormat="1">
      <c r="A33" s="5" t="s">
        <v>29</v>
      </c>
      <c r="B33" s="7">
        <f>487</f>
        <v>487</v>
      </c>
      <c r="C33" s="7">
        <v>2400</v>
      </c>
      <c r="D33" s="8">
        <f t="shared" si="0"/>
        <v>0.79708333333333337</v>
      </c>
      <c r="E33" s="7">
        <f>B33</f>
        <v>487</v>
      </c>
    </row>
    <row r="34" spans="1:5" s="4" customFormat="1">
      <c r="A34" s="5" t="s">
        <v>30</v>
      </c>
      <c r="B34" s="7">
        <f>15000</f>
        <v>15000</v>
      </c>
      <c r="C34" s="7">
        <v>15000</v>
      </c>
      <c r="D34" s="8">
        <f t="shared" si="0"/>
        <v>0</v>
      </c>
      <c r="E34" s="7">
        <f>(B34/10)*12</f>
        <v>18000</v>
      </c>
    </row>
    <row r="35" spans="1:5" s="4" customFormat="1">
      <c r="A35" s="5" t="s">
        <v>31</v>
      </c>
      <c r="B35" s="7">
        <f>1342.85</f>
        <v>1342.85</v>
      </c>
      <c r="C35" s="7">
        <v>4680</v>
      </c>
      <c r="D35" s="8">
        <f t="shared" si="0"/>
        <v>0.71306623931623936</v>
      </c>
      <c r="E35" s="7">
        <f>B35</f>
        <v>1342.85</v>
      </c>
    </row>
    <row r="36" spans="1:5" s="4" customFormat="1">
      <c r="A36" s="5" t="s">
        <v>32</v>
      </c>
      <c r="B36" s="7">
        <f>599.24</f>
        <v>599.24</v>
      </c>
      <c r="C36" s="7"/>
      <c r="D36" s="8"/>
      <c r="E36" s="4">
        <f>(B36/10)*12</f>
        <v>719.08799999999997</v>
      </c>
    </row>
    <row r="37" spans="1:5" s="4" customFormat="1">
      <c r="A37" s="5" t="s">
        <v>33</v>
      </c>
      <c r="B37" s="7">
        <f>936.73</f>
        <v>936.73</v>
      </c>
      <c r="C37" s="7">
        <v>1500</v>
      </c>
      <c r="D37" s="8">
        <f t="shared" si="0"/>
        <v>0.37551333333333331</v>
      </c>
      <c r="E37" s="4">
        <f>(B37/10)*12</f>
        <v>1124.076</v>
      </c>
    </row>
    <row r="38" spans="1:5" s="4" customFormat="1">
      <c r="A38" s="5" t="s">
        <v>34</v>
      </c>
      <c r="B38" s="10">
        <f>((((((((((((((((((B19)+(B20))+(B21))+(B22))+(B23))+(B24))+(B25))+(B26))+(B27))+(B28))+(B29))+(B30))+(B31))+(B32))+(B33))+(B34))+(B35))+(B36))+(B37)</f>
        <v>164067.21999999997</v>
      </c>
      <c r="C38" s="10">
        <f>SUM(C19:C37)</f>
        <v>160685</v>
      </c>
      <c r="D38" s="10"/>
      <c r="E38" s="10">
        <f>SUM(E19:E37)</f>
        <v>204404.97099999999</v>
      </c>
    </row>
    <row r="39" spans="1:5" s="4" customFormat="1">
      <c r="A39" s="5" t="s">
        <v>35</v>
      </c>
      <c r="B39" s="10">
        <f>(B17)-(B38)</f>
        <v>4658.2600000000384</v>
      </c>
      <c r="C39" s="10">
        <f>C38</f>
        <v>160685</v>
      </c>
      <c r="D39" s="10"/>
      <c r="E39" s="10">
        <f>E38</f>
        <v>204404.97099999999</v>
      </c>
    </row>
    <row r="40" spans="1:5" s="4" customFormat="1">
      <c r="A40" s="5" t="s">
        <v>36</v>
      </c>
      <c r="B40" s="11">
        <f>(B39)+(0)</f>
        <v>4658.2600000000384</v>
      </c>
      <c r="C40" s="11">
        <f>C17-C39</f>
        <v>-33181.839999999997</v>
      </c>
      <c r="D40" s="11"/>
      <c r="E40" s="11">
        <f>E17-E39</f>
        <v>2416.5129999999772</v>
      </c>
    </row>
    <row r="41" spans="1:5" s="4" customFormat="1">
      <c r="A41" s="5"/>
      <c r="B41" s="6"/>
      <c r="C41" s="6"/>
      <c r="D41" s="6"/>
    </row>
    <row r="44" spans="1:5">
      <c r="A44" s="149" t="s">
        <v>37</v>
      </c>
      <c r="B44" s="149"/>
      <c r="C44" s="149"/>
      <c r="D44" s="149"/>
      <c r="E44" s="149"/>
    </row>
  </sheetData>
  <mergeCells count="3">
    <mergeCell ref="A1:E1"/>
    <mergeCell ref="A2:E2"/>
    <mergeCell ref="A44:E44"/>
  </mergeCells>
  <pageMargins left="0.25" right="0.25" top="0.75" bottom="0.75" header="0.3" footer="0.3"/>
  <pageSetup orientation="portrait" horizontalDpi="0" verticalDpi="0"/>
  <ignoredErrors>
    <ignoredError sqref="E10:E12 E23 E33:E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5BD0E-7FBE-9242-ABD9-2D727CCA93A6}">
  <dimension ref="A1:P204"/>
  <sheetViews>
    <sheetView workbookViewId="0">
      <selection activeCell="E19" sqref="E19"/>
    </sheetView>
  </sheetViews>
  <sheetFormatPr baseColWidth="10" defaultRowHeight="15"/>
  <cols>
    <col min="1" max="1" width="34.5" customWidth="1"/>
    <col min="2" max="2" width="11.83203125" customWidth="1"/>
    <col min="3" max="3" width="13.33203125" customWidth="1"/>
    <col min="4" max="4" width="10.83203125" customWidth="1"/>
    <col min="5" max="5" width="13.33203125" customWidth="1"/>
    <col min="6" max="6" width="14" customWidth="1"/>
    <col min="7" max="8" width="10.83203125" customWidth="1"/>
    <col min="9" max="10" width="14.5" customWidth="1"/>
    <col min="11" max="12" width="12.83203125" customWidth="1"/>
    <col min="13" max="13" width="10.83203125" customWidth="1"/>
    <col min="14" max="14" width="12.1640625" bestFit="1" customWidth="1"/>
  </cols>
  <sheetData>
    <row r="1" spans="1:16" s="15" customFormat="1" ht="32">
      <c r="A1" s="12"/>
      <c r="B1" s="13">
        <v>44197</v>
      </c>
      <c r="C1" s="13">
        <v>44228</v>
      </c>
      <c r="D1" s="13">
        <v>44256</v>
      </c>
      <c r="E1" s="13">
        <v>44287</v>
      </c>
      <c r="F1" s="13">
        <v>44317</v>
      </c>
      <c r="G1" s="13">
        <v>44348</v>
      </c>
      <c r="H1" s="13">
        <v>44378</v>
      </c>
      <c r="I1" s="13">
        <v>44409</v>
      </c>
      <c r="J1" s="13">
        <v>44440</v>
      </c>
      <c r="K1" s="13">
        <v>44470</v>
      </c>
      <c r="L1" s="13">
        <v>44501</v>
      </c>
      <c r="M1" s="13">
        <v>44531</v>
      </c>
      <c r="N1" s="14" t="s">
        <v>171</v>
      </c>
    </row>
    <row r="2" spans="1:16" ht="17" customHeight="1">
      <c r="A2" s="16" t="s">
        <v>0</v>
      </c>
    </row>
    <row r="3" spans="1:16" ht="17" customHeight="1">
      <c r="A3" s="98" t="s">
        <v>118</v>
      </c>
      <c r="B3" s="104">
        <f>'2021 Assumptions'!$D$10</f>
        <v>6000</v>
      </c>
      <c r="C3" s="81">
        <v>6000</v>
      </c>
      <c r="D3" s="104">
        <f>'2021 Assumptions'!$D$10</f>
        <v>6000</v>
      </c>
      <c r="E3" s="81">
        <f>'2021 Assumptions'!$D$11</f>
        <v>4500</v>
      </c>
      <c r="F3" s="81">
        <f>'2021 Assumptions'!$D$11</f>
        <v>4500</v>
      </c>
      <c r="G3" s="81">
        <f>'2021 Assumptions'!$D$11</f>
        <v>4500</v>
      </c>
      <c r="H3" s="81">
        <f>'2021 Assumptions'!$D$12</f>
        <v>6000</v>
      </c>
      <c r="I3" s="81">
        <f>'2021 Assumptions'!$D$12</f>
        <v>6000</v>
      </c>
      <c r="J3" s="81">
        <f>'2021 Assumptions'!D12</f>
        <v>6000</v>
      </c>
      <c r="K3" s="81">
        <f>'2021 Assumptions'!D12</f>
        <v>6000</v>
      </c>
      <c r="L3" s="81">
        <f>'2021 Assumptions'!D12</f>
        <v>6000</v>
      </c>
      <c r="M3" s="81">
        <f>'2021 Assumptions'!D13</f>
        <v>5000</v>
      </c>
      <c r="N3" s="81">
        <f t="shared" ref="N3:N11" si="0">SUM(B3:M3)</f>
        <v>66500</v>
      </c>
    </row>
    <row r="4" spans="1:16" ht="17" customHeight="1">
      <c r="A4" s="98" t="s">
        <v>117</v>
      </c>
      <c r="B4" s="81">
        <f>'2021 Assumptions'!$K$18</f>
        <v>2500</v>
      </c>
      <c r="C4" s="81">
        <f>'2021 Assumptions'!$K$18</f>
        <v>2500</v>
      </c>
      <c r="D4" s="81">
        <f>'2021 Assumptions'!$K$18</f>
        <v>2500</v>
      </c>
      <c r="E4" s="81">
        <f>'2021 Assumptions'!$K$18</f>
        <v>2500</v>
      </c>
      <c r="F4" s="81">
        <f>'2021 Assumptions'!$K$18</f>
        <v>2500</v>
      </c>
      <c r="G4" s="81">
        <f>'2021 Assumptions'!$K$18</f>
        <v>2500</v>
      </c>
      <c r="H4" s="81">
        <f>'2021 Assumptions'!$K$18</f>
        <v>2500</v>
      </c>
      <c r="I4" s="81">
        <f>'2021 Assumptions'!$K$18</f>
        <v>2500</v>
      </c>
      <c r="J4" s="81">
        <f>'2021 Assumptions'!$K$18</f>
        <v>2500</v>
      </c>
      <c r="K4" s="81">
        <f>'2021 Assumptions'!$K$18</f>
        <v>2500</v>
      </c>
      <c r="L4" s="81">
        <f>'2021 Assumptions'!$K$18</f>
        <v>2500</v>
      </c>
      <c r="M4" s="81">
        <f>'2021 Assumptions'!$K$18</f>
        <v>2500</v>
      </c>
      <c r="N4" s="81">
        <f t="shared" si="0"/>
        <v>30000</v>
      </c>
    </row>
    <row r="5" spans="1:16" ht="17" customHeight="1">
      <c r="A5" s="98" t="s">
        <v>94</v>
      </c>
      <c r="B5" s="81">
        <f>'2021 Assumptions'!$K$7+'2021 Assumptions'!K13</f>
        <v>31000</v>
      </c>
      <c r="C5" s="81">
        <f>'2021 Assumptions'!$K$7</f>
        <v>1000</v>
      </c>
      <c r="D5" s="81">
        <f>'2021 Assumptions'!$K$7</f>
        <v>1000</v>
      </c>
      <c r="E5" s="81">
        <f>'2021 Assumptions'!$K$7</f>
        <v>1000</v>
      </c>
      <c r="F5" s="81">
        <f>'2021 Assumptions'!K8+'2021 Assumptions'!K14</f>
        <v>6500</v>
      </c>
      <c r="G5" s="81">
        <f>'2021 Assumptions'!$K$9+'2021 Assumptions'!K15</f>
        <v>6000</v>
      </c>
      <c r="H5" s="81">
        <f>'2021 Assumptions'!$K$9</f>
        <v>1000</v>
      </c>
      <c r="I5" s="81">
        <f>'2021 Assumptions'!$K$9</f>
        <v>1000</v>
      </c>
      <c r="J5" s="81">
        <f>'2021 Assumptions'!$K$9</f>
        <v>1000</v>
      </c>
      <c r="K5" s="81">
        <f>'2021 Assumptions'!$K$10</f>
        <v>2500</v>
      </c>
      <c r="L5" s="81">
        <f>'2021 Assumptions'!$K$10</f>
        <v>2500</v>
      </c>
      <c r="M5" s="81">
        <f>'2021 Assumptions'!K11+'2021 Assumptions'!K16</f>
        <v>12000</v>
      </c>
      <c r="N5" s="81">
        <f t="shared" si="0"/>
        <v>66500</v>
      </c>
      <c r="P5" s="81"/>
    </row>
    <row r="6" spans="1:16" ht="17" customHeight="1">
      <c r="A6" s="98" t="s">
        <v>75</v>
      </c>
      <c r="C6" s="81"/>
      <c r="G6" s="81">
        <f>'2021 Assumptions'!K21</f>
        <v>10000</v>
      </c>
      <c r="J6" s="81"/>
      <c r="K6" s="81">
        <f>'2021 Assumptions'!K22</f>
        <v>20000</v>
      </c>
      <c r="N6" s="81">
        <f t="shared" si="0"/>
        <v>30000</v>
      </c>
    </row>
    <row r="7" spans="1:16" ht="17" customHeight="1">
      <c r="A7" s="98" t="s">
        <v>76</v>
      </c>
      <c r="B7" s="80">
        <f>'2021 Assumptions'!$K$23</f>
        <v>1.25</v>
      </c>
      <c r="C7" s="80">
        <f>'2021 Assumptions'!$K$23</f>
        <v>1.25</v>
      </c>
      <c r="D7" s="80">
        <f>'2021 Assumptions'!$K$23</f>
        <v>1.25</v>
      </c>
      <c r="E7" s="80">
        <f>'2021 Assumptions'!$K$23</f>
        <v>1.25</v>
      </c>
      <c r="F7" s="80">
        <f>'2021 Assumptions'!$K$23</f>
        <v>1.25</v>
      </c>
      <c r="G7" s="80">
        <f>'2021 Assumptions'!$K$23</f>
        <v>1.25</v>
      </c>
      <c r="H7" s="80">
        <f>'2021 Assumptions'!$K$23</f>
        <v>1.25</v>
      </c>
      <c r="I7" s="80">
        <f>'2021 Assumptions'!$K$23</f>
        <v>1.25</v>
      </c>
      <c r="J7" s="80">
        <f>'2021 Assumptions'!$K$23</f>
        <v>1.25</v>
      </c>
      <c r="K7" s="80">
        <f>'2021 Assumptions'!$K$23</f>
        <v>1.25</v>
      </c>
      <c r="L7" s="80">
        <f>'2021 Assumptions'!$K$23</f>
        <v>1.25</v>
      </c>
      <c r="M7" s="80">
        <f>'2021 Assumptions'!$K$23</f>
        <v>1.25</v>
      </c>
      <c r="N7" s="80">
        <f t="shared" si="0"/>
        <v>15</v>
      </c>
    </row>
    <row r="8" spans="1:16" ht="17" customHeight="1">
      <c r="A8" s="98" t="s">
        <v>119</v>
      </c>
      <c r="B8" s="81">
        <f>'2021 Assumptions'!$K$24</f>
        <v>100</v>
      </c>
      <c r="C8" s="81">
        <f>'2021 Assumptions'!$K$24</f>
        <v>100</v>
      </c>
      <c r="D8" s="81">
        <f>'2021 Assumptions'!$K$24</f>
        <v>100</v>
      </c>
      <c r="E8" s="81">
        <f>'2021 Assumptions'!$K$24</f>
        <v>100</v>
      </c>
      <c r="F8" s="81">
        <f>'2021 Assumptions'!$K$24</f>
        <v>100</v>
      </c>
      <c r="G8" s="81">
        <f>'2021 Assumptions'!K25</f>
        <v>1000</v>
      </c>
      <c r="H8" s="81">
        <f>'2021 Assumptions'!$K$24</f>
        <v>100</v>
      </c>
      <c r="I8" s="81">
        <f>'2021 Assumptions'!$K$24</f>
        <v>100</v>
      </c>
      <c r="J8" s="81">
        <f>'2021 Assumptions'!$K$24</f>
        <v>100</v>
      </c>
      <c r="K8" s="81">
        <f>'2021 Assumptions'!K25</f>
        <v>1000</v>
      </c>
      <c r="L8" s="81">
        <f>'2021 Assumptions'!$K$24</f>
        <v>100</v>
      </c>
      <c r="M8" s="81">
        <f>'2021 Assumptions'!$K$24</f>
        <v>100</v>
      </c>
      <c r="N8" s="81">
        <f t="shared" si="0"/>
        <v>3000</v>
      </c>
    </row>
    <row r="9" spans="1:16" ht="17" customHeight="1">
      <c r="A9" s="100" t="s">
        <v>121</v>
      </c>
      <c r="B9" s="81">
        <f>'2021 Assumptions'!Q9</f>
        <v>8335</v>
      </c>
      <c r="C9" s="81">
        <f>'2021 Assumptions'!Q10</f>
        <v>8335</v>
      </c>
      <c r="D9" s="81">
        <f>'2021 Assumptions'!Q11</f>
        <v>8330</v>
      </c>
      <c r="E9" s="81"/>
      <c r="F9" s="81">
        <f>'2021 Assumptions'!Q16</f>
        <v>7500</v>
      </c>
      <c r="G9" s="81">
        <f>'2021 Assumptions'!Q13+'2021 Assumptions'!Q17</f>
        <v>20000</v>
      </c>
      <c r="H9" s="81">
        <f>'2021 Assumptions'!Q14+'2021 Assumptions'!Q22</f>
        <v>15000</v>
      </c>
      <c r="I9" s="81">
        <f>'2021 Assumptions'!$Q$22</f>
        <v>2500</v>
      </c>
      <c r="J9" s="81">
        <f>'2021 Assumptions'!$Q$22+'2021 Assumptions'!Q19</f>
        <v>15000</v>
      </c>
      <c r="K9" s="81">
        <f>'2021 Assumptions'!$Q$22+'2021 Assumptions'!Q20</f>
        <v>15000</v>
      </c>
      <c r="L9" s="81">
        <f>'2021 Assumptions'!$Q$22</f>
        <v>2500</v>
      </c>
      <c r="M9" s="81">
        <f>'2021 Assumptions'!$Q$22</f>
        <v>2500</v>
      </c>
      <c r="N9" s="81">
        <f t="shared" si="0"/>
        <v>105000</v>
      </c>
    </row>
    <row r="10" spans="1:16" ht="17" customHeight="1">
      <c r="A10" s="98" t="s">
        <v>120</v>
      </c>
      <c r="B10" s="81">
        <f>'2021 Assumptions'!$K$26</f>
        <v>25</v>
      </c>
      <c r="C10" s="81">
        <f>'2021 Assumptions'!$K$26</f>
        <v>25</v>
      </c>
      <c r="D10" s="81">
        <f>'2021 Assumptions'!$K$26</f>
        <v>25</v>
      </c>
      <c r="E10" s="81">
        <f>'2021 Assumptions'!$K$26</f>
        <v>25</v>
      </c>
      <c r="F10" s="81">
        <f>'2021 Assumptions'!$K$26</f>
        <v>25</v>
      </c>
      <c r="G10" s="81">
        <f>'2021 Assumptions'!$K$26</f>
        <v>25</v>
      </c>
      <c r="H10" s="81">
        <f>'2021 Assumptions'!$K$26</f>
        <v>25</v>
      </c>
      <c r="I10" s="81">
        <f>'2021 Assumptions'!$K$26</f>
        <v>25</v>
      </c>
      <c r="J10" s="81">
        <f>'2021 Assumptions'!$K$26</f>
        <v>25</v>
      </c>
      <c r="K10" s="81">
        <f>'2021 Assumptions'!$K$26</f>
        <v>25</v>
      </c>
      <c r="L10" s="81">
        <f>'2021 Assumptions'!$K$26</f>
        <v>25</v>
      </c>
      <c r="M10" s="81">
        <f>'2021 Assumptions'!$K$26</f>
        <v>25</v>
      </c>
      <c r="N10" s="81">
        <f t="shared" si="0"/>
        <v>300</v>
      </c>
    </row>
    <row r="11" spans="1:16" ht="17" customHeight="1">
      <c r="A11" s="99" t="s">
        <v>78</v>
      </c>
      <c r="B11" s="81">
        <f>'2021 Assumptions'!$K$27+'2021 Assumptions'!K28</f>
        <v>283.33333333333331</v>
      </c>
      <c r="C11" s="81">
        <f>'2021 Assumptions'!$K$27+'2021 Assumptions'!K29</f>
        <v>383.33333333333331</v>
      </c>
      <c r="D11" s="81">
        <f>'2021 Assumptions'!$K$27</f>
        <v>83.333333333333329</v>
      </c>
      <c r="E11" s="81">
        <f>'2021 Assumptions'!$K$27</f>
        <v>83.333333333333329</v>
      </c>
      <c r="F11" s="81">
        <f>'2021 Assumptions'!$K$27</f>
        <v>83.333333333333329</v>
      </c>
      <c r="G11" s="81">
        <f>'2021 Assumptions'!$K$27+'2021 Assumptions'!K30</f>
        <v>583.33333333333337</v>
      </c>
      <c r="H11" s="81">
        <f>'2021 Assumptions'!$K$27</f>
        <v>83.333333333333329</v>
      </c>
      <c r="I11" s="81">
        <f>'2021 Assumptions'!$K$27+'2021 Assumptions'!K31</f>
        <v>583.33333333333337</v>
      </c>
      <c r="J11" s="81">
        <f>'2021 Assumptions'!$K$27+'2021 Assumptions'!K32</f>
        <v>583.33333333333337</v>
      </c>
      <c r="K11" s="81">
        <f>'2021 Assumptions'!$K$27+'2021 Assumptions'!K33</f>
        <v>583.33333333333337</v>
      </c>
      <c r="L11" s="81">
        <f>'2021 Assumptions'!$K$27</f>
        <v>83.333333333333329</v>
      </c>
      <c r="M11" s="81">
        <f>'2021 Assumptions'!$K$27</f>
        <v>83.333333333333329</v>
      </c>
      <c r="N11" s="81">
        <f t="shared" si="0"/>
        <v>3500.0000000000005</v>
      </c>
    </row>
    <row r="12" spans="1:16" ht="17" customHeight="1">
      <c r="A12" s="16" t="s">
        <v>12</v>
      </c>
      <c r="B12" s="112">
        <f t="shared" ref="B12:N12" si="1">SUM(B3:B11)</f>
        <v>48244.583333333336</v>
      </c>
      <c r="C12" s="112">
        <f t="shared" si="1"/>
        <v>18344.583333333332</v>
      </c>
      <c r="D12" s="112">
        <f t="shared" si="1"/>
        <v>18039.583333333332</v>
      </c>
      <c r="E12" s="112">
        <f t="shared" si="1"/>
        <v>8209.5833333333339</v>
      </c>
      <c r="F12" s="112">
        <f t="shared" si="1"/>
        <v>21209.583333333332</v>
      </c>
      <c r="G12" s="112">
        <f t="shared" si="1"/>
        <v>44609.583333333336</v>
      </c>
      <c r="H12" s="112">
        <f t="shared" si="1"/>
        <v>24709.583333333332</v>
      </c>
      <c r="I12" s="112">
        <f t="shared" si="1"/>
        <v>12709.583333333334</v>
      </c>
      <c r="J12" s="112">
        <f t="shared" si="1"/>
        <v>25209.583333333332</v>
      </c>
      <c r="K12" s="112">
        <f t="shared" si="1"/>
        <v>47609.583333333336</v>
      </c>
      <c r="L12" s="112">
        <f t="shared" si="1"/>
        <v>13709.583333333334</v>
      </c>
      <c r="M12" s="112">
        <f t="shared" si="1"/>
        <v>22209.583333333332</v>
      </c>
      <c r="N12" s="112">
        <f t="shared" si="1"/>
        <v>304815</v>
      </c>
    </row>
    <row r="13" spans="1:16" ht="17" customHeight="1">
      <c r="A13" s="16" t="s">
        <v>13</v>
      </c>
      <c r="B13" s="112">
        <f t="shared" ref="B13:N13" si="2">B12</f>
        <v>48244.583333333336</v>
      </c>
      <c r="C13" s="112">
        <f t="shared" si="2"/>
        <v>18344.583333333332</v>
      </c>
      <c r="D13" s="112">
        <f t="shared" si="2"/>
        <v>18039.583333333332</v>
      </c>
      <c r="E13" s="112">
        <f t="shared" si="2"/>
        <v>8209.5833333333339</v>
      </c>
      <c r="F13" s="112">
        <f t="shared" si="2"/>
        <v>21209.583333333332</v>
      </c>
      <c r="G13" s="112">
        <f t="shared" si="2"/>
        <v>44609.583333333336</v>
      </c>
      <c r="H13" s="112">
        <f t="shared" si="2"/>
        <v>24709.583333333332</v>
      </c>
      <c r="I13" s="112">
        <f t="shared" si="2"/>
        <v>12709.583333333334</v>
      </c>
      <c r="J13" s="112">
        <f t="shared" si="2"/>
        <v>25209.583333333332</v>
      </c>
      <c r="K13" s="112">
        <f t="shared" si="2"/>
        <v>47609.583333333336</v>
      </c>
      <c r="L13" s="112">
        <f t="shared" si="2"/>
        <v>13709.583333333334</v>
      </c>
      <c r="M13" s="112">
        <f t="shared" si="2"/>
        <v>22209.583333333332</v>
      </c>
      <c r="N13" s="112">
        <f t="shared" si="2"/>
        <v>304815</v>
      </c>
    </row>
    <row r="14" spans="1:16" ht="17" customHeight="1">
      <c r="A14" s="16" t="s">
        <v>14</v>
      </c>
      <c r="B14" s="62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</row>
    <row r="15" spans="1:16" ht="17" customHeight="1">
      <c r="A15" s="98" t="s">
        <v>124</v>
      </c>
      <c r="B15" s="81">
        <f>'2021 Assumptions'!$K$35+'2021 Assumptions'!$Q$28</f>
        <v>183.33333333333331</v>
      </c>
      <c r="C15" s="81">
        <f>'2021 Assumptions'!$K$35+'2021 Assumptions'!$Q$28</f>
        <v>183.33333333333331</v>
      </c>
      <c r="D15" s="81">
        <f>'2021 Assumptions'!$K$35+'2021 Assumptions'!$Q$28</f>
        <v>183.33333333333331</v>
      </c>
      <c r="E15" s="81">
        <f>'2021 Assumptions'!$K$35+'2021 Assumptions'!$Q$28</f>
        <v>183.33333333333331</v>
      </c>
      <c r="F15" s="81">
        <f>'2021 Assumptions'!$K$35+'2021 Assumptions'!$Q$28</f>
        <v>183.33333333333331</v>
      </c>
      <c r="G15" s="81">
        <f>'2021 Assumptions'!$K$35+'2021 Assumptions'!$Q$28</f>
        <v>183.33333333333331</v>
      </c>
      <c r="H15" s="81">
        <f>'2021 Assumptions'!$K$35+'2021 Assumptions'!$Q$28</f>
        <v>183.33333333333331</v>
      </c>
      <c r="I15" s="81">
        <f>'2021 Assumptions'!$K$35+'2021 Assumptions'!$Q$28</f>
        <v>183.33333333333331</v>
      </c>
      <c r="J15" s="81">
        <f>'2021 Assumptions'!$K$35+'2021 Assumptions'!$Q$28</f>
        <v>183.33333333333331</v>
      </c>
      <c r="K15" s="81">
        <f>'2021 Assumptions'!$K$35+'2021 Assumptions'!$Q$28</f>
        <v>183.33333333333331</v>
      </c>
      <c r="L15" s="81">
        <f>'2021 Assumptions'!$K$35+'2021 Assumptions'!$Q$28</f>
        <v>183.33333333333331</v>
      </c>
      <c r="M15" s="81">
        <f>'2021 Assumptions'!$K$35+'2021 Assumptions'!$Q$28</f>
        <v>183.33333333333331</v>
      </c>
      <c r="N15" s="81">
        <f t="shared" ref="N15:N28" si="3">SUM(B15:M15)</f>
        <v>2199.9999999999995</v>
      </c>
    </row>
    <row r="16" spans="1:16" ht="17" customHeight="1">
      <c r="A16" s="110" t="s">
        <v>123</v>
      </c>
      <c r="C16" s="81"/>
      <c r="G16" s="81">
        <f>'2021 Assumptions'!K37</f>
        <v>1000</v>
      </c>
      <c r="J16" s="81"/>
      <c r="K16" s="81">
        <v>4000</v>
      </c>
      <c r="N16" s="81">
        <f t="shared" si="3"/>
        <v>5000</v>
      </c>
    </row>
    <row r="17" spans="1:14" ht="17" customHeight="1">
      <c r="A17" s="98" t="s">
        <v>125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</row>
    <row r="18" spans="1:14" s="102" customFormat="1" ht="17" customHeight="1">
      <c r="A18" s="144" t="s">
        <v>185</v>
      </c>
      <c r="B18" s="81">
        <f>'2021 Assumptions'!F22</f>
        <v>2400</v>
      </c>
      <c r="C18" s="81">
        <f>'2021 Assumptions'!$F$22</f>
        <v>2400</v>
      </c>
      <c r="D18" s="81">
        <f>'2021 Assumptions'!$F$22</f>
        <v>2400</v>
      </c>
      <c r="E18" s="81">
        <f>'2021 Assumptions'!$F$22</f>
        <v>2400</v>
      </c>
      <c r="F18" s="81">
        <f>'2021 Assumptions'!$F$22</f>
        <v>2400</v>
      </c>
      <c r="G18" s="81">
        <f>'2021 Assumptions'!$F$22</f>
        <v>2400</v>
      </c>
      <c r="H18" s="81">
        <f>'2021 Assumptions'!$F$22</f>
        <v>2400</v>
      </c>
      <c r="I18" s="81">
        <f>'2021 Assumptions'!$F$22</f>
        <v>2400</v>
      </c>
      <c r="J18" s="81">
        <f>'2021 Assumptions'!$F$22</f>
        <v>2400</v>
      </c>
      <c r="K18" s="143">
        <f>'2021 Assumptions'!$F$22</f>
        <v>2400</v>
      </c>
      <c r="L18" s="81">
        <f>'2021 Assumptions'!$F$22</f>
        <v>2400</v>
      </c>
      <c r="M18" s="81">
        <f>'2021 Assumptions'!$F$22</f>
        <v>2400</v>
      </c>
      <c r="N18" s="81">
        <f t="shared" ref="N18:N23" si="4">SUM(B18:M18)</f>
        <v>28800</v>
      </c>
    </row>
    <row r="19" spans="1:14" s="102" customFormat="1" ht="17" customHeight="1">
      <c r="A19" s="144" t="s">
        <v>186</v>
      </c>
      <c r="B19" s="81">
        <f>'2021 Assumptions'!F24</f>
        <v>2779.8</v>
      </c>
      <c r="C19" s="81">
        <f>'2021 Assumptions'!$F$24</f>
        <v>2779.8</v>
      </c>
      <c r="D19" s="81">
        <f>'2021 Assumptions'!$F$24</f>
        <v>2779.8</v>
      </c>
      <c r="E19" s="81">
        <f>'2021 Assumptions'!$F$24</f>
        <v>2779.8</v>
      </c>
      <c r="F19" s="81">
        <f>'2021 Assumptions'!$F$24</f>
        <v>2779.8</v>
      </c>
      <c r="G19" s="81">
        <f>'2021 Assumptions'!$F$24</f>
        <v>2779.8</v>
      </c>
      <c r="H19" s="81">
        <f>'2021 Assumptions'!$F$24</f>
        <v>2779.8</v>
      </c>
      <c r="I19" s="81">
        <f>'2021 Assumptions'!$F$24</f>
        <v>2779.8</v>
      </c>
      <c r="J19" s="81">
        <f>'2021 Assumptions'!$F$24</f>
        <v>2779.8</v>
      </c>
      <c r="K19" s="143">
        <f>'2021 Assumptions'!$F$24</f>
        <v>2779.8</v>
      </c>
      <c r="L19" s="81">
        <f>'2021 Assumptions'!$F$24</f>
        <v>2779.8</v>
      </c>
      <c r="M19" s="81">
        <f>'2021 Assumptions'!$F$24</f>
        <v>2779.8</v>
      </c>
      <c r="N19" s="81">
        <f t="shared" si="4"/>
        <v>33357.599999999999</v>
      </c>
    </row>
    <row r="20" spans="1:14" s="102" customFormat="1" ht="17" customHeight="1">
      <c r="A20" s="144" t="s">
        <v>187</v>
      </c>
      <c r="B20" s="81">
        <f>'2021 Assumptions'!F27</f>
        <v>2946</v>
      </c>
      <c r="C20" s="81">
        <f>'2021 Assumptions'!$F$27</f>
        <v>2946</v>
      </c>
      <c r="D20" s="81">
        <f>'2021 Assumptions'!$F$27</f>
        <v>2946</v>
      </c>
      <c r="E20" s="81">
        <f>'2021 Assumptions'!$F$27</f>
        <v>2946</v>
      </c>
      <c r="F20" s="81">
        <f>'2021 Assumptions'!$F$27</f>
        <v>2946</v>
      </c>
      <c r="G20" s="81">
        <f>'2021 Assumptions'!$F$27</f>
        <v>2946</v>
      </c>
      <c r="H20" s="81">
        <f>'2021 Assumptions'!$F$27</f>
        <v>2946</v>
      </c>
      <c r="I20" s="81">
        <f>'2021 Assumptions'!$F$27</f>
        <v>2946</v>
      </c>
      <c r="J20" s="81">
        <f>'2021 Assumptions'!$F$27</f>
        <v>2946</v>
      </c>
      <c r="K20" s="143">
        <f>'2021 Assumptions'!$F$27</f>
        <v>2946</v>
      </c>
      <c r="L20" s="81">
        <f>'2021 Assumptions'!$F$27</f>
        <v>2946</v>
      </c>
      <c r="M20" s="81">
        <f>'2021 Assumptions'!$F$27</f>
        <v>2946</v>
      </c>
      <c r="N20" s="81">
        <f t="shared" si="4"/>
        <v>35352</v>
      </c>
    </row>
    <row r="21" spans="1:14" s="102" customFormat="1" ht="17" customHeight="1">
      <c r="A21" s="144" t="s">
        <v>188</v>
      </c>
      <c r="B21" s="81">
        <f>'2021 Assumptions'!F30</f>
        <v>1950</v>
      </c>
      <c r="C21" s="81">
        <f>'2021 Assumptions'!$F$30</f>
        <v>1950</v>
      </c>
      <c r="D21" s="81">
        <f>'2021 Assumptions'!$F$30</f>
        <v>1950</v>
      </c>
      <c r="E21" s="81">
        <f>'2021 Assumptions'!$F$30</f>
        <v>1950</v>
      </c>
      <c r="F21" s="81">
        <f>'2021 Assumptions'!$F$30</f>
        <v>1950</v>
      </c>
      <c r="G21" s="81">
        <f>'2021 Assumptions'!$F$30</f>
        <v>1950</v>
      </c>
      <c r="H21" s="81">
        <f>'2021 Assumptions'!$F$30</f>
        <v>1950</v>
      </c>
      <c r="I21" s="81">
        <f>'2021 Assumptions'!$F$30</f>
        <v>1950</v>
      </c>
      <c r="J21" s="81">
        <f>'2021 Assumptions'!$F$30</f>
        <v>1950</v>
      </c>
      <c r="K21" s="143">
        <f>'2021 Assumptions'!$F$30</f>
        <v>1950</v>
      </c>
      <c r="L21" s="81">
        <f>'2021 Assumptions'!$F$30</f>
        <v>1950</v>
      </c>
      <c r="M21" s="81">
        <f>'2021 Assumptions'!$F$30</f>
        <v>1950</v>
      </c>
      <c r="N21" s="81">
        <f t="shared" si="4"/>
        <v>23400</v>
      </c>
    </row>
    <row r="22" spans="1:14" s="102" customFormat="1" ht="17" customHeight="1">
      <c r="A22" s="144" t="s">
        <v>67</v>
      </c>
      <c r="B22" s="81">
        <f>'2021 Assumptions'!E35</f>
        <v>4000</v>
      </c>
      <c r="C22" s="81">
        <v>0</v>
      </c>
      <c r="D22" s="81">
        <v>0</v>
      </c>
      <c r="E22" s="81">
        <f>'2021 Assumptions'!E36</f>
        <v>5000</v>
      </c>
      <c r="F22" s="81">
        <v>0</v>
      </c>
      <c r="G22" s="81">
        <v>0</v>
      </c>
      <c r="H22" s="81">
        <f>'2021 Assumptions'!E37</f>
        <v>5000</v>
      </c>
      <c r="I22" s="81">
        <v>0</v>
      </c>
      <c r="J22" s="81">
        <v>0</v>
      </c>
      <c r="K22" s="143">
        <f>'2021 Assumptions'!E38</f>
        <v>5000</v>
      </c>
      <c r="L22" s="81">
        <v>0</v>
      </c>
      <c r="M22" s="81">
        <v>0</v>
      </c>
      <c r="N22" s="81">
        <f t="shared" si="4"/>
        <v>19000</v>
      </c>
    </row>
    <row r="23" spans="1:14" s="102" customFormat="1" ht="17" customHeight="1">
      <c r="A23" s="144" t="s">
        <v>189</v>
      </c>
      <c r="B23" s="81">
        <v>0</v>
      </c>
      <c r="C23" s="81">
        <v>0</v>
      </c>
      <c r="D23" s="81">
        <f>'2021 Assumptions'!R30</f>
        <v>5000</v>
      </c>
      <c r="E23" s="81">
        <v>0</v>
      </c>
      <c r="F23" s="81">
        <v>0</v>
      </c>
      <c r="G23" s="81">
        <f>'2021 Assumptions'!R32</f>
        <v>5000</v>
      </c>
      <c r="H23" s="81">
        <f>'2021 Assumptions'!R31</f>
        <v>5000</v>
      </c>
      <c r="I23" s="81">
        <v>0</v>
      </c>
      <c r="J23" s="81">
        <v>0</v>
      </c>
      <c r="K23" s="143">
        <f>'2021 Assumptions'!R33</f>
        <v>5000</v>
      </c>
      <c r="L23" s="81">
        <v>0</v>
      </c>
      <c r="M23" s="81">
        <f>'2021 Assumptions'!R34</f>
        <v>5000</v>
      </c>
      <c r="N23" s="81">
        <f t="shared" si="4"/>
        <v>25000</v>
      </c>
    </row>
    <row r="24" spans="1:14" ht="17" customHeight="1">
      <c r="A24" s="98" t="s">
        <v>122</v>
      </c>
      <c r="B24" s="81">
        <f>'2021 Assumptions'!$K$43</f>
        <v>5000</v>
      </c>
      <c r="C24" s="81">
        <f>'2021 Assumptions'!$K$43</f>
        <v>5000</v>
      </c>
      <c r="D24" s="81">
        <f>'2021 Assumptions'!$K$43</f>
        <v>5000</v>
      </c>
      <c r="E24" s="81">
        <f>'2021 Assumptions'!$K$43</f>
        <v>5000</v>
      </c>
      <c r="F24" s="81">
        <f>'2021 Assumptions'!$K$43</f>
        <v>5000</v>
      </c>
      <c r="G24" s="81">
        <f>'2021 Assumptions'!$K$43</f>
        <v>5000</v>
      </c>
      <c r="H24" s="81">
        <f>'2021 Assumptions'!$K$43</f>
        <v>5000</v>
      </c>
      <c r="I24" s="81">
        <f>'2021 Assumptions'!$K$43</f>
        <v>5000</v>
      </c>
      <c r="J24" s="81">
        <f>'2021 Assumptions'!$K$43</f>
        <v>5000</v>
      </c>
      <c r="K24" s="81">
        <f>'2021 Assumptions'!$K$43</f>
        <v>5000</v>
      </c>
      <c r="L24" s="81">
        <f>'2021 Assumptions'!$K$43</f>
        <v>5000</v>
      </c>
      <c r="M24" s="81">
        <f>'2021 Assumptions'!$K$43</f>
        <v>5000</v>
      </c>
      <c r="N24" s="81">
        <f t="shared" si="3"/>
        <v>60000</v>
      </c>
    </row>
    <row r="25" spans="1:14" ht="17" customHeight="1">
      <c r="A25" s="98" t="s">
        <v>134</v>
      </c>
      <c r="B25" s="81">
        <f>'2021 Assumptions'!$K$44</f>
        <v>382.5</v>
      </c>
      <c r="C25" s="81">
        <f>'2021 Assumptions'!$K$44</f>
        <v>382.5</v>
      </c>
      <c r="D25" s="81">
        <f>'2021 Assumptions'!$K$44</f>
        <v>382.5</v>
      </c>
      <c r="E25" s="81">
        <f>'2021 Assumptions'!$K$44</f>
        <v>382.5</v>
      </c>
      <c r="F25" s="81">
        <f>'2021 Assumptions'!$K$44</f>
        <v>382.5</v>
      </c>
      <c r="G25" s="81">
        <f>'2021 Assumptions'!$K$44</f>
        <v>382.5</v>
      </c>
      <c r="H25" s="81">
        <f>'2021 Assumptions'!$K$44</f>
        <v>382.5</v>
      </c>
      <c r="I25" s="81">
        <f>'2021 Assumptions'!$K$44</f>
        <v>382.5</v>
      </c>
      <c r="J25" s="81">
        <f>'2021 Assumptions'!$K$44</f>
        <v>382.5</v>
      </c>
      <c r="K25" s="81">
        <f>'2021 Assumptions'!$K$44</f>
        <v>382.5</v>
      </c>
      <c r="L25" s="81">
        <f>'2021 Assumptions'!$K$44</f>
        <v>382.5</v>
      </c>
      <c r="M25" s="81">
        <f>'2021 Assumptions'!$K$44</f>
        <v>382.5</v>
      </c>
      <c r="N25" s="81">
        <f t="shared" si="3"/>
        <v>4590</v>
      </c>
    </row>
    <row r="26" spans="1:14" ht="17" customHeight="1">
      <c r="A26" s="98" t="s">
        <v>114</v>
      </c>
      <c r="B26" s="81">
        <f>'2021 Assumptions'!$K$63</f>
        <v>100</v>
      </c>
      <c r="C26" s="81">
        <f>'2021 Assumptions'!$K$63</f>
        <v>100</v>
      </c>
      <c r="D26" s="81">
        <f>'2021 Assumptions'!$K$63</f>
        <v>100</v>
      </c>
      <c r="E26" s="81">
        <f>'2021 Assumptions'!$K$63</f>
        <v>100</v>
      </c>
      <c r="F26" s="81">
        <f>'2021 Assumptions'!$K$63</f>
        <v>100</v>
      </c>
      <c r="G26" s="81">
        <f>'2021 Assumptions'!$K$63+'2021 Assumptions'!R35</f>
        <v>700</v>
      </c>
      <c r="H26" s="81">
        <f>'2021 Assumptions'!$K$63</f>
        <v>100</v>
      </c>
      <c r="I26" s="81">
        <f>'2021 Assumptions'!$K$63</f>
        <v>100</v>
      </c>
      <c r="J26" s="81">
        <f>'2021 Assumptions'!$K$63</f>
        <v>100</v>
      </c>
      <c r="K26" s="81">
        <f>'2021 Assumptions'!$K$63</f>
        <v>100</v>
      </c>
      <c r="L26" s="81">
        <f>'2021 Assumptions'!$K$63</f>
        <v>100</v>
      </c>
      <c r="M26" s="81">
        <f>'2021 Assumptions'!$K$63</f>
        <v>100</v>
      </c>
      <c r="N26" s="81">
        <f t="shared" si="3"/>
        <v>1800</v>
      </c>
    </row>
    <row r="27" spans="1:14" ht="17" customHeight="1">
      <c r="A27" s="98" t="s">
        <v>86</v>
      </c>
      <c r="B27" s="81">
        <f>'2021 Assumptions'!$K$46</f>
        <v>175</v>
      </c>
      <c r="C27" s="81">
        <f>'2021 Assumptions'!$K$46</f>
        <v>175</v>
      </c>
      <c r="D27" s="81">
        <f>'2021 Assumptions'!$K$46</f>
        <v>175</v>
      </c>
      <c r="E27" s="81">
        <f>'2021 Assumptions'!$K$46</f>
        <v>175</v>
      </c>
      <c r="F27" s="81">
        <f>'2021 Assumptions'!$K$46</f>
        <v>175</v>
      </c>
      <c r="G27" s="81">
        <f>'2021 Assumptions'!$K$46</f>
        <v>175</v>
      </c>
      <c r="H27" s="81">
        <f>'2021 Assumptions'!$K$46</f>
        <v>175</v>
      </c>
      <c r="I27" s="81">
        <f>'2021 Assumptions'!$K$46</f>
        <v>175</v>
      </c>
      <c r="J27" s="81">
        <f>'2021 Assumptions'!$K$46</f>
        <v>175</v>
      </c>
      <c r="K27" s="81">
        <f>'2021 Assumptions'!$K$46</f>
        <v>175</v>
      </c>
      <c r="L27" s="81">
        <f>'2021 Assumptions'!$K$46</f>
        <v>175</v>
      </c>
      <c r="M27" s="81">
        <f>'2021 Assumptions'!$K$46</f>
        <v>175</v>
      </c>
      <c r="N27" s="81">
        <f t="shared" si="3"/>
        <v>2100</v>
      </c>
    </row>
    <row r="28" spans="1:14" ht="17" customHeight="1">
      <c r="A28" s="147" t="s">
        <v>129</v>
      </c>
      <c r="B28" s="81">
        <f>B5/6*'2021 Assumptions'!K55</f>
        <v>165.33333333333334</v>
      </c>
      <c r="C28" s="81">
        <f>C5*0.8*'2021 Assumptions'!$K$55</f>
        <v>25.6</v>
      </c>
      <c r="D28" s="81">
        <f>D5*0.8*'2021 Assumptions'!$K$55</f>
        <v>25.6</v>
      </c>
      <c r="E28" s="81">
        <f>E5*0.8*'2021 Assumptions'!$K$55</f>
        <v>25.6</v>
      </c>
      <c r="F28" s="81">
        <f>F5*0.8*'2021 Assumptions'!$K$55</f>
        <v>166.4</v>
      </c>
      <c r="G28" s="81">
        <f>G5*0.8*'2021 Assumptions'!$K$55</f>
        <v>153.6</v>
      </c>
      <c r="H28" s="81">
        <f>H5*0.8*'2021 Assumptions'!$K$55</f>
        <v>25.6</v>
      </c>
      <c r="I28" s="81">
        <f>I5*0.8*'2021 Assumptions'!$K$55</f>
        <v>25.6</v>
      </c>
      <c r="J28" s="81">
        <f>J5*0.8*'2021 Assumptions'!$K$55</f>
        <v>25.6</v>
      </c>
      <c r="K28" s="81">
        <f>K5*0.8*'2021 Assumptions'!$K$55</f>
        <v>64</v>
      </c>
      <c r="L28" s="81">
        <f>L5*0.8*'2021 Assumptions'!$K$55</f>
        <v>64</v>
      </c>
      <c r="M28" s="81">
        <f>M5/4*'2021 Assumptions'!K55</f>
        <v>96</v>
      </c>
      <c r="N28" s="81">
        <f t="shared" si="3"/>
        <v>862.93333333333339</v>
      </c>
    </row>
    <row r="29" spans="1:14" ht="17" customHeight="1">
      <c r="A29" s="98" t="s">
        <v>130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</row>
    <row r="30" spans="1:14" s="102" customFormat="1" ht="17" customHeight="1">
      <c r="A30" s="142" t="s">
        <v>191</v>
      </c>
      <c r="B30" s="81">
        <f>'2021 Assumptions'!$F$40</f>
        <v>1300</v>
      </c>
      <c r="C30" s="81">
        <f>'2021 Assumptions'!$F$40</f>
        <v>1300</v>
      </c>
      <c r="D30" s="81">
        <f>'2021 Assumptions'!$F$40</f>
        <v>1300</v>
      </c>
      <c r="E30" s="81">
        <f>'2021 Assumptions'!$F$40</f>
        <v>1300</v>
      </c>
      <c r="F30" s="81">
        <f>'2021 Assumptions'!$F$40</f>
        <v>1300</v>
      </c>
      <c r="G30" s="81">
        <f>'2021 Assumptions'!$F$40</f>
        <v>1300</v>
      </c>
      <c r="H30" s="81">
        <f>'2021 Assumptions'!$F$40</f>
        <v>1300</v>
      </c>
      <c r="I30" s="81">
        <f>'2021 Assumptions'!$F$40</f>
        <v>1300</v>
      </c>
      <c r="J30" s="81">
        <f>'2021 Assumptions'!$F$40</f>
        <v>1300</v>
      </c>
      <c r="K30" s="81">
        <f>'2021 Assumptions'!$F$40</f>
        <v>1300</v>
      </c>
      <c r="L30" s="81">
        <f>'2021 Assumptions'!$F$40</f>
        <v>1300</v>
      </c>
      <c r="M30" s="81">
        <f>'2021 Assumptions'!$F$40</f>
        <v>1300</v>
      </c>
      <c r="N30" s="81">
        <f>SUM(B30:M30)</f>
        <v>15600</v>
      </c>
    </row>
    <row r="31" spans="1:14" s="102" customFormat="1" ht="17" customHeight="1">
      <c r="A31" s="142" t="s">
        <v>190</v>
      </c>
      <c r="B31" s="81">
        <f>'2021 Assumptions'!$K$59</f>
        <v>500</v>
      </c>
      <c r="C31" s="81">
        <f>'2021 Assumptions'!$K$59</f>
        <v>500</v>
      </c>
      <c r="D31" s="81">
        <f>'2021 Assumptions'!$K$59</f>
        <v>500</v>
      </c>
      <c r="E31" s="81">
        <f>'2021 Assumptions'!$K$59</f>
        <v>500</v>
      </c>
      <c r="F31" s="81">
        <f>'2021 Assumptions'!$K$59</f>
        <v>500</v>
      </c>
      <c r="G31" s="81">
        <f>'2021 Assumptions'!$K$59</f>
        <v>500</v>
      </c>
      <c r="H31" s="81">
        <f>'2021 Assumptions'!$K$59</f>
        <v>500</v>
      </c>
      <c r="I31" s="81">
        <f>'2021 Assumptions'!$K$59</f>
        <v>500</v>
      </c>
      <c r="J31" s="81">
        <f>'2021 Assumptions'!$K$59</f>
        <v>500</v>
      </c>
      <c r="K31" s="81">
        <f>'2021 Assumptions'!$K$59</f>
        <v>500</v>
      </c>
      <c r="L31" s="81">
        <f>'2021 Assumptions'!$K$59</f>
        <v>500</v>
      </c>
      <c r="M31" s="81">
        <f>'2021 Assumptions'!$K$59</f>
        <v>500</v>
      </c>
      <c r="N31" s="81">
        <f>SUM(B31:M31)</f>
        <v>6000</v>
      </c>
    </row>
    <row r="32" spans="1:14" ht="17" customHeight="1">
      <c r="A32" s="98" t="s">
        <v>87</v>
      </c>
      <c r="B32" s="81">
        <f>'2021 Assumptions'!$Q$36</f>
        <v>50</v>
      </c>
      <c r="C32" s="81">
        <f>'2021 Assumptions'!$Q$36</f>
        <v>50</v>
      </c>
      <c r="D32" s="81">
        <f>'2021 Assumptions'!$Q$36</f>
        <v>50</v>
      </c>
      <c r="E32" s="81">
        <f>'2021 Assumptions'!$Q$36</f>
        <v>50</v>
      </c>
      <c r="F32" s="81">
        <f>'2021 Assumptions'!$Q$36</f>
        <v>50</v>
      </c>
      <c r="G32" s="81">
        <f>'2021 Assumptions'!$Q$36</f>
        <v>50</v>
      </c>
      <c r="H32" s="81">
        <f>'2021 Assumptions'!$Q$36</f>
        <v>50</v>
      </c>
      <c r="I32" s="81">
        <f>'2021 Assumptions'!$Q$36</f>
        <v>50</v>
      </c>
      <c r="J32" s="81">
        <f>'2021 Assumptions'!$Q$36</f>
        <v>50</v>
      </c>
      <c r="K32" s="81">
        <f>'2021 Assumptions'!$Q$36</f>
        <v>50</v>
      </c>
      <c r="L32" s="81">
        <f>'2021 Assumptions'!$Q$36</f>
        <v>50</v>
      </c>
      <c r="M32" s="81">
        <f>'2021 Assumptions'!$Q$36</f>
        <v>50</v>
      </c>
      <c r="N32" s="81">
        <f t="shared" ref="N32:N36" si="5">SUM(B32:M32)</f>
        <v>600</v>
      </c>
    </row>
    <row r="33" spans="1:16" ht="17" customHeight="1">
      <c r="A33" s="98" t="s">
        <v>131</v>
      </c>
      <c r="B33" s="81">
        <f t="shared" ref="B33:M33" si="6">0.6*B8</f>
        <v>60</v>
      </c>
      <c r="C33" s="81">
        <f t="shared" si="6"/>
        <v>60</v>
      </c>
      <c r="D33" s="81">
        <f t="shared" si="6"/>
        <v>60</v>
      </c>
      <c r="E33" s="81">
        <f t="shared" si="6"/>
        <v>60</v>
      </c>
      <c r="F33" s="81">
        <f t="shared" si="6"/>
        <v>60</v>
      </c>
      <c r="G33" s="81">
        <f t="shared" si="6"/>
        <v>600</v>
      </c>
      <c r="H33" s="81">
        <f t="shared" si="6"/>
        <v>60</v>
      </c>
      <c r="I33" s="81">
        <f t="shared" si="6"/>
        <v>60</v>
      </c>
      <c r="J33" s="81">
        <f t="shared" si="6"/>
        <v>60</v>
      </c>
      <c r="K33" s="81">
        <f t="shared" si="6"/>
        <v>600</v>
      </c>
      <c r="L33" s="81">
        <f t="shared" si="6"/>
        <v>60</v>
      </c>
      <c r="M33" s="81">
        <f t="shared" si="6"/>
        <v>60</v>
      </c>
      <c r="N33" s="81">
        <f t="shared" si="5"/>
        <v>1800</v>
      </c>
    </row>
    <row r="34" spans="1:16" ht="17" customHeight="1">
      <c r="A34" s="98" t="s">
        <v>128</v>
      </c>
      <c r="B34" s="81">
        <f t="shared" ref="B34:M34" si="7">0.05*B3</f>
        <v>300</v>
      </c>
      <c r="C34" s="81">
        <f t="shared" si="7"/>
        <v>300</v>
      </c>
      <c r="D34" s="81">
        <f t="shared" si="7"/>
        <v>300</v>
      </c>
      <c r="E34" s="81">
        <f t="shared" si="7"/>
        <v>225</v>
      </c>
      <c r="F34" s="81">
        <f t="shared" si="7"/>
        <v>225</v>
      </c>
      <c r="G34" s="81">
        <f t="shared" si="7"/>
        <v>225</v>
      </c>
      <c r="H34" s="81">
        <f t="shared" si="7"/>
        <v>300</v>
      </c>
      <c r="I34" s="81">
        <f t="shared" si="7"/>
        <v>300</v>
      </c>
      <c r="J34" s="81">
        <f t="shared" si="7"/>
        <v>300</v>
      </c>
      <c r="K34" s="81">
        <f t="shared" si="7"/>
        <v>300</v>
      </c>
      <c r="L34" s="81">
        <f t="shared" si="7"/>
        <v>300</v>
      </c>
      <c r="M34" s="81">
        <f t="shared" si="7"/>
        <v>250</v>
      </c>
      <c r="N34" s="81">
        <f t="shared" si="5"/>
        <v>3325</v>
      </c>
    </row>
    <row r="35" spans="1:16" ht="17" customHeight="1">
      <c r="A35" s="98" t="s">
        <v>88</v>
      </c>
      <c r="B35" s="81">
        <f>'2021 Assumptions'!$L$47+'2021 Assumptions'!K52+'2021 Assumptions'!K53</f>
        <v>564.77</v>
      </c>
      <c r="C35" s="81">
        <f>'2021 Assumptions'!$L$47</f>
        <v>189.77</v>
      </c>
      <c r="D35" s="81">
        <f>'2021 Assumptions'!$L$47</f>
        <v>189.77</v>
      </c>
      <c r="E35" s="81">
        <f>'2021 Assumptions'!$L$47+'2021 Assumptions'!K54</f>
        <v>789.77</v>
      </c>
      <c r="F35" s="81">
        <f>'2021 Assumptions'!$L$47</f>
        <v>189.77</v>
      </c>
      <c r="G35" s="81">
        <f>'2021 Assumptions'!$L$47</f>
        <v>189.77</v>
      </c>
      <c r="H35" s="81">
        <f>'2021 Assumptions'!$L$47</f>
        <v>189.77</v>
      </c>
      <c r="I35" s="81">
        <f>'2021 Assumptions'!$L$47</f>
        <v>189.77</v>
      </c>
      <c r="J35" s="81">
        <f>'2021 Assumptions'!$L$47</f>
        <v>189.77</v>
      </c>
      <c r="K35" s="81">
        <f>'2021 Assumptions'!$L$47</f>
        <v>189.77</v>
      </c>
      <c r="L35" s="81">
        <f>'2021 Assumptions'!$L$47</f>
        <v>189.77</v>
      </c>
      <c r="M35" s="81">
        <f>'2021 Assumptions'!$L$47</f>
        <v>189.77</v>
      </c>
      <c r="N35" s="81">
        <f t="shared" si="5"/>
        <v>3252.24</v>
      </c>
    </row>
    <row r="36" spans="1:16" ht="17" customHeight="1">
      <c r="A36" s="98" t="s">
        <v>127</v>
      </c>
      <c r="B36" s="81">
        <f>'2021 Assumptions'!$K$56</f>
        <v>100</v>
      </c>
      <c r="C36" s="81">
        <f>'2021 Assumptions'!$K$56</f>
        <v>100</v>
      </c>
      <c r="D36" s="81">
        <f>'2021 Assumptions'!$K$56</f>
        <v>100</v>
      </c>
      <c r="E36" s="81">
        <f>'2021 Assumptions'!$K$56</f>
        <v>100</v>
      </c>
      <c r="F36" s="81">
        <f>'2021 Assumptions'!$K$56</f>
        <v>100</v>
      </c>
      <c r="G36" s="81">
        <f>'2021 Assumptions'!$K$56</f>
        <v>100</v>
      </c>
      <c r="H36" s="81">
        <f>'2021 Assumptions'!$K$56</f>
        <v>100</v>
      </c>
      <c r="I36" s="81">
        <f>'2021 Assumptions'!$K$56</f>
        <v>100</v>
      </c>
      <c r="J36" s="81">
        <f>'2021 Assumptions'!$K$56</f>
        <v>100</v>
      </c>
      <c r="K36" s="81">
        <f>'2021 Assumptions'!$K$56</f>
        <v>100</v>
      </c>
      <c r="L36" s="81">
        <f>'2021 Assumptions'!$K$56</f>
        <v>100</v>
      </c>
      <c r="M36" s="81">
        <f>'2021 Assumptions'!$K$56</f>
        <v>100</v>
      </c>
      <c r="N36" s="81">
        <f t="shared" si="5"/>
        <v>1200</v>
      </c>
    </row>
    <row r="37" spans="1:16" ht="17" customHeight="1">
      <c r="A37" s="110" t="s">
        <v>115</v>
      </c>
      <c r="G37" s="81"/>
      <c r="N37" s="81">
        <f t="shared" ref="N37:N43" si="8">SUM(B37:M37)</f>
        <v>0</v>
      </c>
    </row>
    <row r="38" spans="1:16" s="102" customFormat="1" ht="17" customHeight="1">
      <c r="A38" s="98" t="s">
        <v>168</v>
      </c>
      <c r="B38" s="81">
        <f>'2021 Assumptions'!$K$61</f>
        <v>150</v>
      </c>
      <c r="C38" s="81">
        <f>'2021 Assumptions'!$K$61</f>
        <v>150</v>
      </c>
      <c r="D38" s="81">
        <f>'2021 Assumptions'!$K$61</f>
        <v>150</v>
      </c>
      <c r="E38" s="81">
        <f>'2021 Assumptions'!$K$61</f>
        <v>150</v>
      </c>
      <c r="F38" s="81">
        <f>'2021 Assumptions'!$K$61</f>
        <v>150</v>
      </c>
      <c r="G38" s="81">
        <f>'2021 Assumptions'!$K$61</f>
        <v>150</v>
      </c>
      <c r="H38" s="81">
        <f>'2021 Assumptions'!$K$61</f>
        <v>150</v>
      </c>
      <c r="I38" s="81">
        <f>'2021 Assumptions'!$K$61</f>
        <v>150</v>
      </c>
      <c r="J38" s="81">
        <f>'2021 Assumptions'!$K$61</f>
        <v>150</v>
      </c>
      <c r="K38" s="81">
        <f>'2021 Assumptions'!$K$61</f>
        <v>150</v>
      </c>
      <c r="L38" s="81">
        <f>'2021 Assumptions'!$K$61</f>
        <v>150</v>
      </c>
      <c r="M38" s="81">
        <f>'2021 Assumptions'!$K$61</f>
        <v>150</v>
      </c>
      <c r="N38" s="81">
        <f t="shared" si="8"/>
        <v>1800</v>
      </c>
      <c r="P38" s="145"/>
    </row>
    <row r="39" spans="1:16" ht="17" customHeight="1">
      <c r="A39" s="98" t="s">
        <v>126</v>
      </c>
      <c r="B39" s="81">
        <f>'2021 Assumptions'!$K$62</f>
        <v>1500</v>
      </c>
      <c r="C39" s="81">
        <f>'2021 Assumptions'!$K$62</f>
        <v>1500</v>
      </c>
      <c r="D39" s="81">
        <f>'2021 Assumptions'!$K$62</f>
        <v>1500</v>
      </c>
      <c r="E39" s="81">
        <f>'2021 Assumptions'!$K$62</f>
        <v>1500</v>
      </c>
      <c r="F39" s="81">
        <f>'2021 Assumptions'!$K$62</f>
        <v>1500</v>
      </c>
      <c r="G39" s="81">
        <f>'2021 Assumptions'!$K$62</f>
        <v>1500</v>
      </c>
      <c r="H39" s="81">
        <f>'2021 Assumptions'!$K$62</f>
        <v>1500</v>
      </c>
      <c r="I39" s="81">
        <f>'2021 Assumptions'!$K$62</f>
        <v>1500</v>
      </c>
      <c r="J39" s="81">
        <f>'2021 Assumptions'!$K$62</f>
        <v>1500</v>
      </c>
      <c r="K39" s="81">
        <f>'2021 Assumptions'!$K$62</f>
        <v>1500</v>
      </c>
      <c r="L39" s="81">
        <f>'2021 Assumptions'!$K$62</f>
        <v>1500</v>
      </c>
      <c r="M39" s="81">
        <f>'2021 Assumptions'!$K$62</f>
        <v>1500</v>
      </c>
      <c r="N39" s="81">
        <f t="shared" si="8"/>
        <v>18000</v>
      </c>
    </row>
    <row r="40" spans="1:16" ht="17" customHeight="1">
      <c r="A40" s="110" t="s">
        <v>133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>
        <f t="shared" si="8"/>
        <v>0</v>
      </c>
    </row>
    <row r="41" spans="1:16" ht="17" customHeight="1">
      <c r="A41" s="98" t="s">
        <v>135</v>
      </c>
      <c r="B41" s="81">
        <f>('2021 Assumptions'!$K$64/12)+'2021 Assumptions'!K67</f>
        <v>400</v>
      </c>
      <c r="C41" s="81">
        <f>('2021 Assumptions'!$K$64/12)</f>
        <v>100</v>
      </c>
      <c r="D41" s="81">
        <f>('2021 Assumptions'!$K$64/12)</f>
        <v>100</v>
      </c>
      <c r="E41" s="81">
        <f>('2021 Assumptions'!$K$64/12)+'2021 Assumptions'!K65</f>
        <v>3100</v>
      </c>
      <c r="F41" s="81">
        <f>('2021 Assumptions'!$K$64/12)</f>
        <v>100</v>
      </c>
      <c r="G41" s="81">
        <f>('2021 Assumptions'!$K$64/12)+'2021 Assumptions'!K66</f>
        <v>1800</v>
      </c>
      <c r="H41" s="81">
        <f>('2021 Assumptions'!$K$64/12)</f>
        <v>100</v>
      </c>
      <c r="I41" s="81">
        <f>('2021 Assumptions'!$K$64/12)</f>
        <v>100</v>
      </c>
      <c r="J41" s="81">
        <f>('2021 Assumptions'!$K$64/12)</f>
        <v>100</v>
      </c>
      <c r="K41" s="81">
        <f>('2021 Assumptions'!$K$64/12)</f>
        <v>100</v>
      </c>
      <c r="L41" s="81">
        <f>('2021 Assumptions'!$K$64/12)</f>
        <v>100</v>
      </c>
      <c r="M41" s="81">
        <f>('2021 Assumptions'!$K$64/12)</f>
        <v>100</v>
      </c>
      <c r="N41" s="81">
        <f t="shared" si="8"/>
        <v>6200</v>
      </c>
    </row>
    <row r="42" spans="1:16" ht="17" customHeight="1">
      <c r="A42" s="98" t="s">
        <v>116</v>
      </c>
      <c r="B42" s="81">
        <f>'2021 Assumptions'!Q39</f>
        <v>1000</v>
      </c>
      <c r="C42" s="81"/>
      <c r="D42" s="81"/>
      <c r="E42" s="81"/>
      <c r="F42" s="81"/>
      <c r="G42" s="81"/>
      <c r="H42" s="81">
        <f>'2021 Assumptions'!$Q$40</f>
        <v>500</v>
      </c>
      <c r="I42" s="81">
        <f>'2021 Assumptions'!$Q$40</f>
        <v>500</v>
      </c>
      <c r="J42" s="81">
        <f>'2021 Assumptions'!$Q$40</f>
        <v>500</v>
      </c>
      <c r="K42" s="81">
        <f>'2021 Assumptions'!$Q$40</f>
        <v>500</v>
      </c>
      <c r="L42" s="81">
        <f>'2021 Assumptions'!$Q$40</f>
        <v>500</v>
      </c>
      <c r="M42" s="81">
        <f>'2021 Assumptions'!$Q$40</f>
        <v>500</v>
      </c>
      <c r="N42" s="81">
        <f t="shared" si="8"/>
        <v>4000</v>
      </c>
      <c r="P42" s="146"/>
    </row>
    <row r="43" spans="1:16" ht="17" customHeight="1">
      <c r="A43" s="98" t="s">
        <v>73</v>
      </c>
      <c r="B43" s="81">
        <f>'2021 Assumptions'!$K$72</f>
        <v>100</v>
      </c>
      <c r="C43" s="81">
        <f>'2021 Assumptions'!$K$72</f>
        <v>100</v>
      </c>
      <c r="D43" s="81">
        <f>'2021 Assumptions'!$K$72</f>
        <v>100</v>
      </c>
      <c r="E43" s="81">
        <f>'2021 Assumptions'!$K$72</f>
        <v>100</v>
      </c>
      <c r="F43" s="81">
        <f>'2021 Assumptions'!$K$72</f>
        <v>100</v>
      </c>
      <c r="G43" s="81">
        <f>'2021 Assumptions'!$K$72</f>
        <v>100</v>
      </c>
      <c r="H43" s="81">
        <f>'2021 Assumptions'!$K$72</f>
        <v>100</v>
      </c>
      <c r="I43" s="81">
        <f>'2021 Assumptions'!$K$72</f>
        <v>100</v>
      </c>
      <c r="J43" s="81">
        <f>'2021 Assumptions'!$K$72</f>
        <v>100</v>
      </c>
      <c r="K43" s="81">
        <f>'2021 Assumptions'!$K$72</f>
        <v>100</v>
      </c>
      <c r="L43" s="81">
        <f>'2021 Assumptions'!$K$72</f>
        <v>100</v>
      </c>
      <c r="M43" s="81">
        <f>'2021 Assumptions'!$K$72</f>
        <v>100</v>
      </c>
      <c r="N43" s="81">
        <f t="shared" si="8"/>
        <v>1200</v>
      </c>
    </row>
    <row r="44" spans="1:16" ht="17" customHeight="1">
      <c r="A44" s="16" t="s">
        <v>34</v>
      </c>
      <c r="B44" s="112">
        <f t="shared" ref="B44:N44" si="9">SUM(B15:B43)</f>
        <v>26106.736666666664</v>
      </c>
      <c r="C44" s="112">
        <f t="shared" si="9"/>
        <v>20292.003333333334</v>
      </c>
      <c r="D44" s="112">
        <f t="shared" si="9"/>
        <v>25292.00333333333</v>
      </c>
      <c r="E44" s="112">
        <f t="shared" si="9"/>
        <v>28817.00333333333</v>
      </c>
      <c r="F44" s="112">
        <f t="shared" si="9"/>
        <v>20357.803333333333</v>
      </c>
      <c r="G44" s="112">
        <f t="shared" si="9"/>
        <v>29185.00333333333</v>
      </c>
      <c r="H44" s="112">
        <f t="shared" si="9"/>
        <v>30792.00333333333</v>
      </c>
      <c r="I44" s="112">
        <f t="shared" si="9"/>
        <v>20792.003333333334</v>
      </c>
      <c r="J44" s="112">
        <f t="shared" si="9"/>
        <v>20792.003333333334</v>
      </c>
      <c r="K44" s="112">
        <f t="shared" si="9"/>
        <v>35370.403333333328</v>
      </c>
      <c r="L44" s="112">
        <f t="shared" si="9"/>
        <v>20830.403333333332</v>
      </c>
      <c r="M44" s="112">
        <f t="shared" si="9"/>
        <v>25812.403333333332</v>
      </c>
      <c r="N44" s="112">
        <f t="shared" si="9"/>
        <v>304439.77333333332</v>
      </c>
    </row>
    <row r="45" spans="1:16" ht="17" customHeight="1" thickBot="1">
      <c r="A45" s="16" t="s">
        <v>35</v>
      </c>
      <c r="B45" s="113">
        <f t="shared" ref="B45:N45" si="10">B13-B44</f>
        <v>22137.846666666672</v>
      </c>
      <c r="C45" s="113">
        <f t="shared" si="10"/>
        <v>-1947.4200000000019</v>
      </c>
      <c r="D45" s="113">
        <f t="shared" si="10"/>
        <v>-7252.4199999999983</v>
      </c>
      <c r="E45" s="113">
        <f t="shared" si="10"/>
        <v>-20607.419999999998</v>
      </c>
      <c r="F45" s="113">
        <f t="shared" si="10"/>
        <v>851.77999999999884</v>
      </c>
      <c r="G45" s="113">
        <f t="shared" si="10"/>
        <v>15424.580000000005</v>
      </c>
      <c r="H45" s="113">
        <f t="shared" si="10"/>
        <v>-6082.4199999999983</v>
      </c>
      <c r="I45" s="113">
        <f t="shared" si="10"/>
        <v>-8082.42</v>
      </c>
      <c r="J45" s="113">
        <f t="shared" si="10"/>
        <v>4417.5799999999981</v>
      </c>
      <c r="K45" s="113">
        <f t="shared" si="10"/>
        <v>12239.180000000008</v>
      </c>
      <c r="L45" s="113">
        <f t="shared" si="10"/>
        <v>-7120.8199999999979</v>
      </c>
      <c r="M45" s="113">
        <f t="shared" si="10"/>
        <v>-3602.8199999999997</v>
      </c>
      <c r="N45" s="113">
        <f t="shared" si="10"/>
        <v>375.22666666668374</v>
      </c>
    </row>
    <row r="46" spans="1:16" ht="17" customHeight="1" thickTop="1">
      <c r="A46" s="16" t="s">
        <v>36</v>
      </c>
      <c r="B46" s="114">
        <f>B45</f>
        <v>22137.846666666672</v>
      </c>
      <c r="C46" s="114">
        <f t="shared" ref="C46:N46" si="11">C45</f>
        <v>-1947.4200000000019</v>
      </c>
      <c r="D46" s="114">
        <f t="shared" si="11"/>
        <v>-7252.4199999999983</v>
      </c>
      <c r="E46" s="114">
        <f t="shared" si="11"/>
        <v>-20607.419999999998</v>
      </c>
      <c r="F46" s="114">
        <f t="shared" si="11"/>
        <v>851.77999999999884</v>
      </c>
      <c r="G46" s="114">
        <f t="shared" si="11"/>
        <v>15424.580000000005</v>
      </c>
      <c r="H46" s="114">
        <f t="shared" si="11"/>
        <v>-6082.4199999999983</v>
      </c>
      <c r="I46" s="114">
        <f t="shared" si="11"/>
        <v>-8082.42</v>
      </c>
      <c r="J46" s="114">
        <f t="shared" si="11"/>
        <v>4417.5799999999981</v>
      </c>
      <c r="K46" s="114">
        <f t="shared" si="11"/>
        <v>12239.180000000008</v>
      </c>
      <c r="L46" s="114">
        <f t="shared" si="11"/>
        <v>-7120.8199999999979</v>
      </c>
      <c r="M46" s="114">
        <f t="shared" si="11"/>
        <v>-3602.8199999999997</v>
      </c>
      <c r="N46" s="114">
        <f t="shared" si="11"/>
        <v>375.22666666668374</v>
      </c>
    </row>
    <row r="47" spans="1:16" ht="17" customHeight="1">
      <c r="B47" s="49"/>
    </row>
    <row r="48" spans="1:16" ht="17" customHeight="1"/>
    <row r="49" ht="17" customHeight="1"/>
    <row r="50" ht="17" customHeight="1"/>
    <row r="51" ht="17" customHeight="1"/>
    <row r="52" ht="17" customHeight="1"/>
    <row r="53" ht="17" customHeight="1"/>
    <row r="54" ht="17" customHeight="1"/>
    <row r="55" ht="17" customHeight="1"/>
    <row r="56" ht="17" customHeight="1"/>
    <row r="57" ht="17" customHeight="1"/>
    <row r="58" ht="17" customHeight="1"/>
    <row r="59" ht="17" customHeight="1"/>
    <row r="60" ht="17" customHeight="1"/>
    <row r="61" ht="17" customHeight="1"/>
    <row r="62" ht="17" customHeight="1"/>
    <row r="63" ht="17" customHeight="1"/>
    <row r="64" ht="17" customHeight="1"/>
    <row r="65" ht="17" customHeight="1"/>
    <row r="66" ht="17" customHeight="1"/>
    <row r="67" ht="17" customHeight="1"/>
    <row r="68" ht="17" customHeight="1"/>
    <row r="69" ht="17" customHeight="1"/>
    <row r="70" ht="17" customHeight="1"/>
    <row r="71" ht="17" customHeight="1"/>
    <row r="72" ht="17" customHeight="1"/>
    <row r="73" ht="17" customHeight="1"/>
    <row r="74" ht="17" customHeight="1"/>
    <row r="75" ht="17" customHeight="1"/>
    <row r="76" ht="17" customHeight="1"/>
    <row r="77" ht="17" customHeight="1"/>
    <row r="78" ht="17" customHeight="1"/>
    <row r="79" ht="17" customHeight="1"/>
    <row r="80" ht="17" customHeight="1"/>
    <row r="81" ht="17" customHeight="1"/>
    <row r="82" ht="17" customHeight="1"/>
    <row r="83" ht="17" customHeight="1"/>
    <row r="84" ht="17" customHeight="1"/>
    <row r="85" ht="17" customHeight="1"/>
    <row r="86" ht="17" customHeight="1"/>
    <row r="87" ht="17" customHeight="1"/>
    <row r="88" ht="17" customHeight="1"/>
    <row r="89" ht="17" customHeight="1"/>
    <row r="90" ht="17" customHeight="1"/>
    <row r="91" ht="17" customHeight="1"/>
    <row r="92" ht="17" customHeight="1"/>
    <row r="93" ht="17" customHeight="1"/>
    <row r="94" ht="17" customHeight="1"/>
    <row r="95" ht="17" customHeight="1"/>
    <row r="96" ht="17" customHeight="1"/>
    <row r="97" ht="17" customHeight="1"/>
    <row r="98" ht="17" customHeight="1"/>
    <row r="99" ht="17" customHeight="1"/>
    <row r="100" ht="17" customHeight="1"/>
    <row r="101" ht="17" customHeight="1"/>
    <row r="102" ht="17" customHeight="1"/>
    <row r="103" ht="17" customHeight="1"/>
    <row r="104" ht="17" customHeight="1"/>
    <row r="105" ht="17" customHeight="1"/>
    <row r="106" ht="17" customHeight="1"/>
    <row r="107" ht="17" customHeight="1"/>
    <row r="108" ht="17" customHeight="1"/>
    <row r="109" ht="17" customHeight="1"/>
    <row r="110" ht="17" customHeight="1"/>
    <row r="111" ht="17" customHeight="1"/>
    <row r="112" ht="17" customHeight="1"/>
    <row r="113" ht="17" customHeight="1"/>
    <row r="114" ht="17" customHeight="1"/>
    <row r="115" ht="17" customHeight="1"/>
    <row r="116" ht="17" customHeight="1"/>
    <row r="117" ht="17" customHeight="1"/>
    <row r="118" ht="17" customHeight="1"/>
    <row r="119" ht="17" customHeight="1"/>
    <row r="120" ht="17" customHeight="1"/>
    <row r="121" ht="17" customHeight="1"/>
    <row r="122" ht="17" customHeight="1"/>
    <row r="123" ht="17" customHeight="1"/>
    <row r="124" ht="17" customHeight="1"/>
    <row r="125" ht="17" customHeight="1"/>
    <row r="126" ht="17" customHeight="1"/>
    <row r="127" ht="17" customHeight="1"/>
    <row r="128" ht="17" customHeight="1"/>
    <row r="129" ht="17" customHeight="1"/>
    <row r="130" ht="17" customHeight="1"/>
    <row r="131" ht="17" customHeight="1"/>
    <row r="132" ht="17" customHeight="1"/>
    <row r="133" ht="17" customHeight="1"/>
    <row r="134" ht="17" customHeight="1"/>
    <row r="135" ht="17" customHeight="1"/>
    <row r="136" ht="17" customHeight="1"/>
    <row r="137" ht="17" customHeight="1"/>
    <row r="138" ht="17" customHeight="1"/>
    <row r="139" ht="17" customHeight="1"/>
    <row r="140" ht="17" customHeight="1"/>
    <row r="141" ht="17" customHeight="1"/>
    <row r="142" ht="17" customHeight="1"/>
    <row r="143" ht="17" customHeight="1"/>
    <row r="144" ht="17" customHeight="1"/>
    <row r="145" ht="17" customHeight="1"/>
    <row r="146" ht="17" customHeight="1"/>
    <row r="147" ht="17" customHeight="1"/>
    <row r="148" ht="17" customHeight="1"/>
    <row r="149" ht="17" customHeight="1"/>
    <row r="150" ht="17" customHeight="1"/>
    <row r="151" ht="17" customHeight="1"/>
    <row r="152" ht="17" customHeight="1"/>
    <row r="153" ht="17" customHeight="1"/>
    <row r="154" ht="17" customHeight="1"/>
    <row r="155" ht="17" customHeight="1"/>
    <row r="156" ht="17" customHeight="1"/>
    <row r="157" ht="17" customHeight="1"/>
    <row r="158" ht="17" customHeight="1"/>
    <row r="159" ht="17" customHeight="1"/>
    <row r="160" ht="17" customHeight="1"/>
    <row r="161" ht="17" customHeight="1"/>
    <row r="162" ht="17" customHeight="1"/>
    <row r="163" ht="17" customHeight="1"/>
    <row r="164" ht="17" customHeight="1"/>
    <row r="165" ht="17" customHeight="1"/>
    <row r="166" ht="17" customHeight="1"/>
    <row r="167" ht="17" customHeight="1"/>
    <row r="168" ht="17" customHeight="1"/>
    <row r="169" ht="17" customHeight="1"/>
    <row r="170" ht="17" customHeight="1"/>
    <row r="171" ht="17" customHeight="1"/>
    <row r="172" ht="17" customHeight="1"/>
    <row r="173" ht="17" customHeight="1"/>
    <row r="174" ht="17" customHeight="1"/>
    <row r="175" ht="17" customHeight="1"/>
    <row r="176" ht="17" customHeight="1"/>
    <row r="177" ht="17" customHeight="1"/>
    <row r="178" ht="17" customHeight="1"/>
    <row r="179" ht="17" customHeight="1"/>
    <row r="180" ht="17" customHeight="1"/>
    <row r="181" ht="17" customHeight="1"/>
    <row r="182" ht="17" customHeight="1"/>
    <row r="183" ht="17" customHeight="1"/>
    <row r="184" ht="17" customHeight="1"/>
    <row r="185" ht="17" customHeight="1"/>
    <row r="186" ht="17" customHeight="1"/>
    <row r="187" ht="17" customHeight="1"/>
    <row r="188" ht="17" customHeight="1"/>
    <row r="189" ht="17" customHeight="1"/>
    <row r="190" ht="17" customHeight="1"/>
    <row r="191" ht="17" customHeight="1"/>
    <row r="192" ht="17" customHeight="1"/>
    <row r="193" ht="17" customHeight="1"/>
    <row r="194" ht="17" customHeight="1"/>
    <row r="195" ht="17" customHeight="1"/>
    <row r="196" ht="17" customHeight="1"/>
    <row r="197" ht="17" customHeight="1"/>
    <row r="198" ht="17" customHeight="1"/>
    <row r="199" ht="17" customHeight="1"/>
    <row r="200" ht="17" customHeight="1"/>
    <row r="201" ht="17" customHeight="1"/>
    <row r="202" ht="17" customHeight="1"/>
    <row r="203" ht="17" customHeight="1"/>
    <row r="204" ht="17" customHeight="1"/>
  </sheetData>
  <pageMargins left="0.7" right="0.7" top="0.75" bottom="0.75" header="0.3" footer="0.3"/>
  <ignoredErrors>
    <ignoredError sqref="G8 K8 E41 E35 G41 J9 G11 I11 G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666E2-69B4-D54C-A475-D0C04565AA27}">
  <dimension ref="A1:T73"/>
  <sheetViews>
    <sheetView tabSelected="1" topLeftCell="A5" zoomScale="90" zoomScaleNormal="90" workbookViewId="0">
      <selection activeCell="H35" sqref="H35"/>
    </sheetView>
  </sheetViews>
  <sheetFormatPr baseColWidth="10" defaultColWidth="7.33203125" defaultRowHeight="15"/>
  <cols>
    <col min="1" max="1" width="3.6640625" style="1" customWidth="1"/>
    <col min="2" max="2" width="22.6640625" style="1" customWidth="1"/>
    <col min="3" max="4" width="7.33203125" style="1"/>
    <col min="5" max="5" width="8.1640625" style="1" customWidth="1"/>
    <col min="6" max="6" width="9.5" style="1" customWidth="1"/>
    <col min="7" max="7" width="3.5" style="1" customWidth="1"/>
    <col min="8" max="8" width="7.33203125" style="1"/>
    <col min="9" max="9" width="42.83203125" style="1" customWidth="1"/>
    <col min="10" max="10" width="9.5" style="1" bestFit="1" customWidth="1"/>
    <col min="11" max="11" width="11.1640625" style="1" customWidth="1"/>
    <col min="12" max="12" width="8.1640625" style="1" bestFit="1" customWidth="1"/>
    <col min="13" max="13" width="7.6640625" style="1" customWidth="1"/>
    <col min="14" max="14" width="3.6640625" style="1" customWidth="1"/>
    <col min="15" max="15" width="34.83203125" style="1" customWidth="1"/>
    <col min="16" max="16" width="15.1640625" style="97" customWidth="1"/>
    <col min="17" max="18" width="11.6640625" style="1" customWidth="1"/>
    <col min="19" max="19" width="4" style="1" customWidth="1"/>
    <col min="20" max="20" width="9.33203125" style="1" bestFit="1" customWidth="1"/>
    <col min="21" max="21" width="9.83203125" style="1" customWidth="1"/>
    <col min="22" max="22" width="9.33203125" style="1" bestFit="1" customWidth="1"/>
    <col min="23" max="23" width="9.33203125" style="1" customWidth="1"/>
    <col min="24" max="24" width="12.33203125" style="1" customWidth="1"/>
    <col min="25" max="16384" width="7.33203125" style="1"/>
  </cols>
  <sheetData>
    <row r="1" spans="1:19" ht="16" thickBot="1">
      <c r="A1" s="23"/>
      <c r="B1" s="18"/>
      <c r="C1" s="18"/>
      <c r="D1" s="18"/>
      <c r="E1" s="18"/>
      <c r="F1" s="18"/>
      <c r="G1" s="18"/>
      <c r="H1" s="18"/>
      <c r="I1" s="18"/>
      <c r="J1" s="18"/>
      <c r="K1" s="18"/>
      <c r="N1" s="23"/>
      <c r="O1" s="18"/>
      <c r="P1" s="88"/>
      <c r="Q1" s="18"/>
      <c r="R1" s="18"/>
      <c r="S1" s="18"/>
    </row>
    <row r="2" spans="1:19" ht="25" customHeight="1">
      <c r="A2" s="152" t="s">
        <v>56</v>
      </c>
      <c r="B2" s="153"/>
      <c r="C2" s="153"/>
      <c r="D2" s="153"/>
      <c r="E2" s="153"/>
      <c r="F2" s="153"/>
      <c r="G2" s="154"/>
      <c r="I2" s="155" t="s">
        <v>83</v>
      </c>
      <c r="J2" s="156"/>
      <c r="K2" s="156"/>
      <c r="L2" s="157"/>
      <c r="N2" s="118" t="s">
        <v>95</v>
      </c>
      <c r="O2" s="119"/>
      <c r="P2" s="120"/>
      <c r="Q2" s="119"/>
      <c r="R2" s="119"/>
      <c r="S2" s="121"/>
    </row>
    <row r="3" spans="1:19">
      <c r="A3" s="129"/>
      <c r="B3" s="24"/>
      <c r="C3" s="24"/>
      <c r="D3" s="24"/>
      <c r="E3" s="24"/>
      <c r="F3" s="24"/>
      <c r="G3" s="130"/>
      <c r="I3" s="17"/>
      <c r="J3" s="23"/>
      <c r="K3" s="23"/>
      <c r="L3" s="19"/>
      <c r="N3" s="129"/>
      <c r="O3" s="24"/>
      <c r="P3" s="24"/>
      <c r="Q3" s="24"/>
      <c r="R3" s="24"/>
      <c r="S3" s="130"/>
    </row>
    <row r="4" spans="1:19" ht="19" customHeight="1">
      <c r="A4" s="150" t="s">
        <v>44</v>
      </c>
      <c r="B4" s="151"/>
      <c r="C4" s="151"/>
      <c r="D4" s="25"/>
      <c r="E4" s="25"/>
      <c r="F4" s="25"/>
      <c r="G4" s="131"/>
      <c r="I4" s="28" t="s">
        <v>44</v>
      </c>
      <c r="J4" s="29"/>
      <c r="K4" s="26"/>
      <c r="L4" s="21" t="s">
        <v>57</v>
      </c>
      <c r="N4" s="150" t="s">
        <v>44</v>
      </c>
      <c r="O4" s="151"/>
      <c r="P4" s="151"/>
      <c r="Q4" s="25"/>
      <c r="R4" s="25"/>
      <c r="S4" s="131"/>
    </row>
    <row r="5" spans="1:19" ht="10" customHeight="1">
      <c r="A5" s="132"/>
      <c r="B5" s="25"/>
      <c r="C5" s="25"/>
      <c r="D5" s="25"/>
      <c r="E5" s="25"/>
      <c r="F5" s="25"/>
      <c r="G5" s="131"/>
      <c r="I5" s="28"/>
      <c r="J5" s="29"/>
      <c r="K5" s="26"/>
      <c r="L5" s="19"/>
      <c r="N5" s="132"/>
      <c r="O5" s="25"/>
      <c r="P5" s="25"/>
      <c r="Q5" s="25"/>
      <c r="R5" s="25"/>
      <c r="S5" s="131"/>
    </row>
    <row r="6" spans="1:19" ht="15" customHeight="1">
      <c r="A6" s="132"/>
      <c r="B6" s="161" t="s">
        <v>58</v>
      </c>
      <c r="C6" s="162"/>
      <c r="D6" s="162"/>
      <c r="E6" s="162"/>
      <c r="F6" s="163"/>
      <c r="G6" s="131"/>
      <c r="I6" s="30" t="s">
        <v>59</v>
      </c>
      <c r="J6" s="31"/>
      <c r="K6" s="26"/>
      <c r="L6" s="32">
        <f>SUM(K7:K16)</f>
        <v>58000</v>
      </c>
      <c r="N6" s="132"/>
      <c r="O6" s="122" t="s">
        <v>96</v>
      </c>
      <c r="P6" s="24"/>
      <c r="Q6" s="123"/>
      <c r="R6" s="124"/>
      <c r="S6" s="131"/>
    </row>
    <row r="7" spans="1:19">
      <c r="A7" s="132"/>
      <c r="B7" s="27"/>
      <c r="C7" s="25"/>
      <c r="D7" s="25"/>
      <c r="E7" s="25"/>
      <c r="F7" s="33"/>
      <c r="G7" s="131"/>
      <c r="I7" s="34" t="s">
        <v>139</v>
      </c>
      <c r="J7" s="35"/>
      <c r="K7" s="26">
        <v>1000</v>
      </c>
      <c r="L7" s="36"/>
      <c r="N7" s="132"/>
      <c r="O7" s="27"/>
      <c r="P7" s="25"/>
      <c r="Q7" s="25"/>
      <c r="R7" s="33"/>
      <c r="S7" s="131"/>
    </row>
    <row r="8" spans="1:19">
      <c r="A8" s="132"/>
      <c r="B8" s="37"/>
      <c r="C8" s="23"/>
      <c r="D8" s="103" t="s">
        <v>60</v>
      </c>
      <c r="E8" s="25"/>
      <c r="F8" s="33"/>
      <c r="G8" s="19"/>
      <c r="I8" s="34" t="s">
        <v>140</v>
      </c>
      <c r="J8" s="35"/>
      <c r="K8" s="26">
        <v>4000</v>
      </c>
      <c r="L8" s="36"/>
      <c r="N8" s="132"/>
      <c r="O8" s="37" t="s">
        <v>99</v>
      </c>
      <c r="P8" s="25"/>
      <c r="Q8" s="25"/>
      <c r="R8" s="89">
        <v>25000</v>
      </c>
      <c r="S8" s="19"/>
    </row>
    <row r="9" spans="1:19">
      <c r="A9" s="132"/>
      <c r="B9" s="39" t="s">
        <v>63</v>
      </c>
      <c r="C9" s="25"/>
      <c r="D9" s="23"/>
      <c r="E9" s="25"/>
      <c r="F9" s="40"/>
      <c r="G9" s="19"/>
      <c r="I9" s="34" t="s">
        <v>141</v>
      </c>
      <c r="J9" s="35"/>
      <c r="K9" s="26">
        <v>1000</v>
      </c>
      <c r="L9" s="36"/>
      <c r="N9" s="132"/>
      <c r="O9" s="85" t="s">
        <v>97</v>
      </c>
      <c r="P9" s="25"/>
      <c r="Q9" s="44">
        <v>8335</v>
      </c>
      <c r="R9" s="89"/>
      <c r="S9" s="19"/>
    </row>
    <row r="10" spans="1:19">
      <c r="A10" s="17"/>
      <c r="B10" s="41" t="s">
        <v>138</v>
      </c>
      <c r="C10" s="25"/>
      <c r="D10" s="44">
        <v>6000</v>
      </c>
      <c r="E10" s="23"/>
      <c r="F10" s="38"/>
      <c r="G10" s="19"/>
      <c r="I10" s="34" t="s">
        <v>142</v>
      </c>
      <c r="J10" s="35"/>
      <c r="K10" s="26">
        <v>2500</v>
      </c>
      <c r="L10" s="36"/>
      <c r="N10" s="132"/>
      <c r="O10" s="85" t="s">
        <v>98</v>
      </c>
      <c r="P10" s="25"/>
      <c r="Q10" s="44">
        <v>8335</v>
      </c>
      <c r="R10" s="89"/>
      <c r="S10" s="19"/>
    </row>
    <row r="11" spans="1:19">
      <c r="A11" s="17"/>
      <c r="B11" s="41" t="s">
        <v>180</v>
      </c>
      <c r="C11" s="23"/>
      <c r="D11" s="44">
        <v>4500</v>
      </c>
      <c r="E11" s="23"/>
      <c r="F11" s="38"/>
      <c r="G11" s="19"/>
      <c r="I11" s="34" t="s">
        <v>62</v>
      </c>
      <c r="J11" s="35"/>
      <c r="K11" s="26">
        <v>2000</v>
      </c>
      <c r="L11" s="36"/>
      <c r="N11" s="132"/>
      <c r="O11" s="85" t="s">
        <v>100</v>
      </c>
      <c r="P11" s="25"/>
      <c r="Q11" s="44">
        <f>R8-(Q9+Q10)</f>
        <v>8330</v>
      </c>
      <c r="R11" s="89"/>
      <c r="S11" s="19"/>
    </row>
    <row r="12" spans="1:19">
      <c r="A12" s="17"/>
      <c r="B12" s="43" t="s">
        <v>179</v>
      </c>
      <c r="C12" s="23"/>
      <c r="D12" s="44">
        <v>6000</v>
      </c>
      <c r="E12" s="23"/>
      <c r="F12" s="38"/>
      <c r="G12" s="19"/>
      <c r="I12" s="105" t="s">
        <v>143</v>
      </c>
      <c r="J12" s="35"/>
      <c r="K12" s="26"/>
      <c r="L12" s="36"/>
      <c r="N12" s="132"/>
      <c r="O12" s="37" t="s">
        <v>152</v>
      </c>
      <c r="P12" s="25"/>
      <c r="Q12" s="23"/>
      <c r="R12" s="89">
        <v>25000</v>
      </c>
      <c r="S12" s="19"/>
    </row>
    <row r="13" spans="1:19">
      <c r="A13" s="17"/>
      <c r="B13" s="43" t="s">
        <v>62</v>
      </c>
      <c r="C13" s="23"/>
      <c r="D13" s="44">
        <v>5000</v>
      </c>
      <c r="E13" s="23"/>
      <c r="F13" s="38"/>
      <c r="G13" s="19"/>
      <c r="I13" s="34" t="s">
        <v>144</v>
      </c>
      <c r="J13" s="35"/>
      <c r="K13" s="26">
        <v>30000</v>
      </c>
      <c r="L13" s="36"/>
      <c r="N13" s="132"/>
      <c r="O13" s="85" t="s">
        <v>101</v>
      </c>
      <c r="P13" s="25"/>
      <c r="Q13" s="44">
        <f>R12/2</f>
        <v>12500</v>
      </c>
      <c r="R13" s="89"/>
      <c r="S13" s="19"/>
    </row>
    <row r="14" spans="1:19">
      <c r="A14" s="17"/>
      <c r="B14" s="37"/>
      <c r="C14" s="23"/>
      <c r="D14" s="23"/>
      <c r="E14" s="23"/>
      <c r="F14" s="38"/>
      <c r="G14" s="19"/>
      <c r="I14" s="34" t="s">
        <v>145</v>
      </c>
      <c r="J14" s="35"/>
      <c r="K14" s="26">
        <v>2500</v>
      </c>
      <c r="L14" s="36"/>
      <c r="N14" s="132"/>
      <c r="O14" s="85" t="s">
        <v>107</v>
      </c>
      <c r="P14" s="25"/>
      <c r="Q14" s="44">
        <f>R12/2</f>
        <v>12500</v>
      </c>
      <c r="R14" s="89"/>
      <c r="S14" s="19"/>
    </row>
    <row r="15" spans="1:19">
      <c r="A15" s="17"/>
      <c r="B15" s="45"/>
      <c r="C15" s="46"/>
      <c r="D15" s="46"/>
      <c r="E15" s="46"/>
      <c r="F15" s="47"/>
      <c r="G15" s="19"/>
      <c r="I15" s="34" t="s">
        <v>146</v>
      </c>
      <c r="J15" s="35"/>
      <c r="K15" s="26">
        <v>5000</v>
      </c>
      <c r="L15" s="36"/>
      <c r="N15" s="17"/>
      <c r="O15" s="37" t="s">
        <v>103</v>
      </c>
      <c r="P15" s="42"/>
      <c r="Q15" s="23"/>
      <c r="R15" s="89">
        <v>15000</v>
      </c>
      <c r="S15" s="19"/>
    </row>
    <row r="16" spans="1:19">
      <c r="A16" s="17"/>
      <c r="B16" s="23"/>
      <c r="C16" s="23"/>
      <c r="D16" s="23"/>
      <c r="E16" s="23"/>
      <c r="F16" s="23"/>
      <c r="G16" s="19"/>
      <c r="I16" s="34" t="s">
        <v>147</v>
      </c>
      <c r="J16" s="31"/>
      <c r="K16" s="26">
        <v>10000</v>
      </c>
      <c r="L16" s="32"/>
      <c r="N16" s="17"/>
      <c r="O16" s="85" t="s">
        <v>153</v>
      </c>
      <c r="P16" s="42"/>
      <c r="Q16" s="44">
        <f>R15/2</f>
        <v>7500</v>
      </c>
      <c r="R16" s="89"/>
      <c r="S16" s="19"/>
    </row>
    <row r="17" spans="1:19">
      <c r="A17" s="17"/>
      <c r="B17" s="67"/>
      <c r="C17" s="67"/>
      <c r="D17" s="67"/>
      <c r="E17" s="67"/>
      <c r="F17" s="48"/>
      <c r="G17" s="19"/>
      <c r="I17" s="105"/>
      <c r="J17" s="31"/>
      <c r="K17" s="23"/>
      <c r="L17" s="32"/>
      <c r="N17" s="17"/>
      <c r="O17" s="85" t="s">
        <v>101</v>
      </c>
      <c r="P17" s="42"/>
      <c r="Q17" s="44">
        <f>R15/2</f>
        <v>7500</v>
      </c>
      <c r="R17" s="89"/>
      <c r="S17" s="19"/>
    </row>
    <row r="18" spans="1:19" ht="17" customHeight="1">
      <c r="A18" s="150" t="s">
        <v>14</v>
      </c>
      <c r="B18" s="151"/>
      <c r="C18" s="151"/>
      <c r="D18" s="67">
        <f>(52*30*15)/12</f>
        <v>1950</v>
      </c>
      <c r="E18" s="67"/>
      <c r="F18" s="48"/>
      <c r="G18" s="19"/>
      <c r="I18" s="30" t="s">
        <v>64</v>
      </c>
      <c r="J18" s="31"/>
      <c r="K18" s="26">
        <v>2500</v>
      </c>
      <c r="L18" s="32">
        <f>K18*12</f>
        <v>30000</v>
      </c>
      <c r="N18" s="17"/>
      <c r="O18" s="115" t="s">
        <v>172</v>
      </c>
      <c r="P18" s="42"/>
      <c r="Q18" s="44"/>
      <c r="R18" s="89">
        <f>Q19+Q20</f>
        <v>25000</v>
      </c>
      <c r="S18" s="19"/>
    </row>
    <row r="19" spans="1:19">
      <c r="A19" s="17"/>
      <c r="B19" s="23"/>
      <c r="C19" s="23"/>
      <c r="D19" s="23"/>
      <c r="E19" s="23"/>
      <c r="F19" s="23"/>
      <c r="G19" s="19"/>
      <c r="I19" s="30" t="s">
        <v>65</v>
      </c>
      <c r="J19" s="31"/>
      <c r="K19" s="26"/>
      <c r="L19" s="19"/>
      <c r="N19" s="17"/>
      <c r="O19" s="85" t="s">
        <v>104</v>
      </c>
      <c r="P19" s="42"/>
      <c r="Q19" s="44">
        <v>12500</v>
      </c>
      <c r="R19" s="89"/>
      <c r="S19" s="19"/>
    </row>
    <row r="20" spans="1:19">
      <c r="A20" s="17"/>
      <c r="B20" s="158" t="s">
        <v>79</v>
      </c>
      <c r="C20" s="159"/>
      <c r="D20" s="159"/>
      <c r="E20" s="159"/>
      <c r="F20" s="160"/>
      <c r="G20" s="19"/>
      <c r="I20" s="30" t="s">
        <v>75</v>
      </c>
      <c r="J20" s="31"/>
      <c r="K20" s="26"/>
      <c r="L20" s="19"/>
      <c r="N20" s="17"/>
      <c r="O20" s="85" t="s">
        <v>105</v>
      </c>
      <c r="P20" s="42"/>
      <c r="Q20" s="44">
        <v>12500</v>
      </c>
      <c r="R20" s="89"/>
      <c r="S20" s="19"/>
    </row>
    <row r="21" spans="1:19">
      <c r="A21" s="17"/>
      <c r="B21" s="37"/>
      <c r="C21" s="23"/>
      <c r="D21" s="23"/>
      <c r="E21" s="23"/>
      <c r="F21" s="38" t="s">
        <v>159</v>
      </c>
      <c r="G21" s="19"/>
      <c r="I21" s="34" t="s">
        <v>148</v>
      </c>
      <c r="J21" s="35"/>
      <c r="K21" s="48">
        <v>10000</v>
      </c>
      <c r="L21" s="19"/>
      <c r="N21" s="17"/>
      <c r="O21" s="37" t="s">
        <v>106</v>
      </c>
      <c r="P21" s="42"/>
      <c r="Q21" s="23"/>
      <c r="R21" s="89">
        <v>15000</v>
      </c>
      <c r="S21" s="19"/>
    </row>
    <row r="22" spans="1:19">
      <c r="A22" s="17"/>
      <c r="B22" s="39" t="s">
        <v>80</v>
      </c>
      <c r="C22" s="23"/>
      <c r="D22" s="23"/>
      <c r="E22" s="23"/>
      <c r="F22" s="72">
        <v>2400</v>
      </c>
      <c r="G22" s="19"/>
      <c r="I22" s="34" t="s">
        <v>149</v>
      </c>
      <c r="J22" s="35"/>
      <c r="K22" s="48">
        <v>20000</v>
      </c>
      <c r="L22" s="19"/>
      <c r="N22" s="17"/>
      <c r="O22" s="85" t="s">
        <v>154</v>
      </c>
      <c r="P22" s="42"/>
      <c r="Q22" s="44">
        <f>R21/6</f>
        <v>2500</v>
      </c>
      <c r="R22" s="38"/>
      <c r="S22" s="19"/>
    </row>
    <row r="23" spans="1:19">
      <c r="A23" s="17"/>
      <c r="B23" s="37"/>
      <c r="C23" s="23"/>
      <c r="D23" s="23"/>
      <c r="E23" s="23"/>
      <c r="F23" s="38"/>
      <c r="G23" s="19"/>
      <c r="I23" s="82" t="s">
        <v>76</v>
      </c>
      <c r="J23" s="35"/>
      <c r="K23" s="83">
        <v>1.25</v>
      </c>
      <c r="L23" s="19"/>
      <c r="N23" s="17"/>
      <c r="O23" s="45"/>
      <c r="P23" s="78"/>
      <c r="Q23" s="46"/>
      <c r="R23" s="47"/>
      <c r="S23" s="19"/>
    </row>
    <row r="24" spans="1:19" ht="19" customHeight="1">
      <c r="A24" s="17"/>
      <c r="B24" s="39" t="s">
        <v>68</v>
      </c>
      <c r="C24" s="23"/>
      <c r="D24" s="23"/>
      <c r="E24" s="23"/>
      <c r="F24" s="72">
        <f>1389.9*2</f>
        <v>2779.8</v>
      </c>
      <c r="G24" s="19"/>
      <c r="I24" s="30" t="s">
        <v>151</v>
      </c>
      <c r="J24" s="31"/>
      <c r="K24" s="26">
        <v>100</v>
      </c>
      <c r="L24" s="19"/>
      <c r="N24" s="17"/>
      <c r="O24" s="23"/>
      <c r="P24" s="42"/>
      <c r="Q24" s="23"/>
      <c r="R24" s="23"/>
      <c r="S24" s="19"/>
    </row>
    <row r="25" spans="1:19" ht="17" customHeight="1">
      <c r="A25" s="17"/>
      <c r="B25" s="85" t="s">
        <v>156</v>
      </c>
      <c r="C25" s="23"/>
      <c r="D25" s="23"/>
      <c r="E25" s="26">
        <f>F24/2</f>
        <v>1389.9</v>
      </c>
      <c r="F25" s="38"/>
      <c r="G25" s="19"/>
      <c r="I25" s="105" t="s">
        <v>150</v>
      </c>
      <c r="J25" s="31"/>
      <c r="K25" s="26">
        <v>1000</v>
      </c>
      <c r="L25" s="19"/>
      <c r="N25" s="17"/>
      <c r="O25" s="23"/>
      <c r="P25" s="42"/>
      <c r="Q25" s="23"/>
      <c r="R25" s="23"/>
      <c r="S25" s="19"/>
    </row>
    <row r="26" spans="1:19">
      <c r="A26" s="17"/>
      <c r="B26" s="37"/>
      <c r="C26" s="23"/>
      <c r="D26" s="23"/>
      <c r="E26" s="42"/>
      <c r="F26" s="38"/>
      <c r="G26" s="19"/>
      <c r="I26" s="20" t="s">
        <v>77</v>
      </c>
      <c r="J26" s="50"/>
      <c r="K26" s="26">
        <v>25</v>
      </c>
      <c r="L26" s="19"/>
      <c r="N26" s="17"/>
      <c r="O26" s="125" t="s">
        <v>108</v>
      </c>
      <c r="P26" s="126"/>
      <c r="Q26" s="127"/>
      <c r="R26" s="128"/>
      <c r="S26" s="19"/>
    </row>
    <row r="27" spans="1:19">
      <c r="A27" s="17"/>
      <c r="B27" s="39" t="s">
        <v>81</v>
      </c>
      <c r="C27" s="23"/>
      <c r="D27" s="23"/>
      <c r="E27" s="42"/>
      <c r="F27" s="72">
        <f>1473*2</f>
        <v>2946</v>
      </c>
      <c r="G27" s="19"/>
      <c r="I27" s="17" t="s">
        <v>155</v>
      </c>
      <c r="J27" s="23"/>
      <c r="K27" s="26">
        <f>250/3</f>
        <v>83.333333333333329</v>
      </c>
      <c r="L27" s="19"/>
      <c r="N27" s="17"/>
      <c r="O27" s="90"/>
      <c r="P27" s="91" t="s">
        <v>109</v>
      </c>
      <c r="Q27" s="91" t="s">
        <v>110</v>
      </c>
      <c r="R27" s="92" t="s">
        <v>111</v>
      </c>
      <c r="S27" s="19"/>
    </row>
    <row r="28" spans="1:19">
      <c r="A28" s="17"/>
      <c r="B28" s="85" t="s">
        <v>156</v>
      </c>
      <c r="C28" s="23"/>
      <c r="D28" s="23"/>
      <c r="E28" s="26">
        <v>1473</v>
      </c>
      <c r="F28" s="72"/>
      <c r="G28" s="69"/>
      <c r="I28" s="117" t="s">
        <v>61</v>
      </c>
      <c r="J28" s="23"/>
      <c r="K28" s="26">
        <v>200</v>
      </c>
      <c r="L28" s="19"/>
      <c r="N28" s="17"/>
      <c r="O28" s="90" t="s">
        <v>112</v>
      </c>
      <c r="P28" s="138" t="s">
        <v>113</v>
      </c>
      <c r="Q28" s="93">
        <f>R28/12</f>
        <v>83.333333333333329</v>
      </c>
      <c r="R28" s="94">
        <v>1000</v>
      </c>
      <c r="S28" s="19"/>
    </row>
    <row r="29" spans="1:19" ht="17" customHeight="1">
      <c r="A29" s="17"/>
      <c r="B29" s="37"/>
      <c r="C29" s="23"/>
      <c r="D29" s="23"/>
      <c r="E29" s="42"/>
      <c r="F29" s="38"/>
      <c r="G29" s="19"/>
      <c r="I29" s="117" t="s">
        <v>181</v>
      </c>
      <c r="J29" s="23"/>
      <c r="K29" s="26">
        <v>300</v>
      </c>
      <c r="L29" s="19"/>
      <c r="N29" s="17"/>
      <c r="O29" s="115" t="s">
        <v>173</v>
      </c>
      <c r="P29" s="42"/>
      <c r="Q29" s="44"/>
      <c r="R29" s="38"/>
      <c r="S29" s="19"/>
    </row>
    <row r="30" spans="1:19">
      <c r="A30" s="17"/>
      <c r="B30" s="39" t="s">
        <v>82</v>
      </c>
      <c r="C30" s="23"/>
      <c r="D30" s="23"/>
      <c r="E30" s="42"/>
      <c r="F30" s="72">
        <f>975*2</f>
        <v>1950</v>
      </c>
      <c r="G30" s="19"/>
      <c r="I30" s="117" t="s">
        <v>182</v>
      </c>
      <c r="J30" s="23"/>
      <c r="K30" s="26">
        <v>500</v>
      </c>
      <c r="L30" s="19"/>
      <c r="N30" s="17"/>
      <c r="O30" s="85" t="s">
        <v>174</v>
      </c>
      <c r="P30" s="42"/>
      <c r="Q30" s="44"/>
      <c r="R30" s="116">
        <v>5000</v>
      </c>
      <c r="S30" s="19"/>
    </row>
    <row r="31" spans="1:19">
      <c r="A31" s="17"/>
      <c r="B31" s="85" t="s">
        <v>156</v>
      </c>
      <c r="C31" s="23"/>
      <c r="D31" s="23"/>
      <c r="E31" s="26">
        <f>F30/2</f>
        <v>975</v>
      </c>
      <c r="F31" s="38"/>
      <c r="G31" s="19"/>
      <c r="I31" s="117" t="s">
        <v>183</v>
      </c>
      <c r="J31" s="23"/>
      <c r="K31" s="26">
        <v>500</v>
      </c>
      <c r="L31" s="19"/>
      <c r="N31" s="139"/>
      <c r="O31" s="85" t="s">
        <v>175</v>
      </c>
      <c r="P31" s="42"/>
      <c r="Q31" s="44"/>
      <c r="R31" s="116">
        <v>5000</v>
      </c>
      <c r="S31" s="19"/>
    </row>
    <row r="32" spans="1:19" ht="16" customHeight="1">
      <c r="A32" s="17"/>
      <c r="B32" s="37"/>
      <c r="C32" s="23"/>
      <c r="D32" s="23"/>
      <c r="E32" s="42"/>
      <c r="F32" s="38"/>
      <c r="G32" s="19"/>
      <c r="I32" s="117" t="s">
        <v>184</v>
      </c>
      <c r="J32" s="23"/>
      <c r="K32" s="26">
        <v>500</v>
      </c>
      <c r="L32" s="19"/>
      <c r="N32" s="17"/>
      <c r="O32" s="85" t="s">
        <v>176</v>
      </c>
      <c r="P32" s="42"/>
      <c r="Q32" s="44"/>
      <c r="R32" s="116">
        <v>5000</v>
      </c>
      <c r="S32" s="19"/>
    </row>
    <row r="33" spans="1:20" ht="18" customHeight="1">
      <c r="A33" s="17"/>
      <c r="B33" s="37"/>
      <c r="C33" s="23"/>
      <c r="D33" s="23"/>
      <c r="E33" s="42"/>
      <c r="F33" s="38"/>
      <c r="G33" s="19"/>
      <c r="I33" s="117" t="s">
        <v>158</v>
      </c>
      <c r="J33" s="23"/>
      <c r="K33" s="26">
        <v>500</v>
      </c>
      <c r="L33" s="19"/>
      <c r="N33" s="17"/>
      <c r="O33" s="85" t="s">
        <v>177</v>
      </c>
      <c r="P33" s="42"/>
      <c r="Q33" s="44"/>
      <c r="R33" s="116">
        <v>5000</v>
      </c>
      <c r="S33" s="19"/>
    </row>
    <row r="34" spans="1:20" ht="14" customHeight="1">
      <c r="A34" s="17"/>
      <c r="B34" s="87" t="s">
        <v>67</v>
      </c>
      <c r="C34" s="23"/>
      <c r="D34" s="23"/>
      <c r="E34" s="42" t="s">
        <v>159</v>
      </c>
      <c r="F34" s="106"/>
      <c r="G34" s="19"/>
      <c r="I34" s="28" t="s">
        <v>14</v>
      </c>
      <c r="J34" s="29"/>
      <c r="K34" s="23"/>
      <c r="L34" s="19"/>
      <c r="N34" s="17"/>
      <c r="O34" s="85" t="s">
        <v>178</v>
      </c>
      <c r="P34" s="42"/>
      <c r="Q34" s="44"/>
      <c r="R34" s="116">
        <v>5000</v>
      </c>
      <c r="S34" s="19"/>
    </row>
    <row r="35" spans="1:20" ht="18" customHeight="1">
      <c r="A35" s="17"/>
      <c r="B35" s="76" t="s">
        <v>61</v>
      </c>
      <c r="C35" s="23"/>
      <c r="D35" s="23"/>
      <c r="E35" s="26">
        <v>4000</v>
      </c>
      <c r="F35" s="38"/>
      <c r="G35" s="19"/>
      <c r="I35" s="52" t="s">
        <v>47</v>
      </c>
      <c r="J35" s="53"/>
      <c r="K35" s="26">
        <v>100</v>
      </c>
      <c r="L35" s="54">
        <f>K35*12</f>
        <v>1200</v>
      </c>
      <c r="N35" s="140"/>
      <c r="O35" s="95" t="s">
        <v>114</v>
      </c>
      <c r="P35" s="138" t="s">
        <v>101</v>
      </c>
      <c r="Q35" s="96"/>
      <c r="R35" s="94">
        <v>600</v>
      </c>
      <c r="S35" s="19"/>
    </row>
    <row r="36" spans="1:20">
      <c r="A36" s="17"/>
      <c r="B36" s="76" t="s">
        <v>157</v>
      </c>
      <c r="C36" s="23"/>
      <c r="D36" s="23"/>
      <c r="E36" s="26">
        <v>5000</v>
      </c>
      <c r="F36" s="38"/>
      <c r="G36" s="19"/>
      <c r="I36" s="52" t="s">
        <v>74</v>
      </c>
      <c r="J36" s="53"/>
      <c r="K36" s="26"/>
      <c r="L36" s="19"/>
      <c r="N36" s="17"/>
      <c r="O36" s="90" t="s">
        <v>87</v>
      </c>
      <c r="P36" s="138" t="s">
        <v>113</v>
      </c>
      <c r="Q36" s="96">
        <v>50</v>
      </c>
      <c r="R36" s="94">
        <f>Q36*12</f>
        <v>600</v>
      </c>
      <c r="S36" s="19"/>
    </row>
    <row r="37" spans="1:20" ht="18" customHeight="1">
      <c r="A37" s="17"/>
      <c r="B37" s="76" t="s">
        <v>102</v>
      </c>
      <c r="C37" s="23"/>
      <c r="D37" s="23"/>
      <c r="E37" s="26">
        <v>5000</v>
      </c>
      <c r="F37" s="38"/>
      <c r="G37" s="19"/>
      <c r="I37" s="34" t="s">
        <v>45</v>
      </c>
      <c r="J37" s="35"/>
      <c r="K37" s="48">
        <v>1000</v>
      </c>
      <c r="L37" s="19"/>
      <c r="N37" s="17"/>
      <c r="O37" s="90" t="s">
        <v>115</v>
      </c>
      <c r="P37" s="138" t="s">
        <v>101</v>
      </c>
      <c r="Q37" s="96"/>
      <c r="R37" s="94">
        <v>1000</v>
      </c>
      <c r="S37" s="141"/>
    </row>
    <row r="38" spans="1:20" ht="15" customHeight="1">
      <c r="A38" s="17"/>
      <c r="B38" s="76" t="s">
        <v>158</v>
      </c>
      <c r="C38" s="23"/>
      <c r="D38" s="23"/>
      <c r="E38" s="26">
        <v>5000</v>
      </c>
      <c r="F38" s="38"/>
      <c r="G38" s="19"/>
      <c r="I38" s="34" t="s">
        <v>46</v>
      </c>
      <c r="J38" s="35"/>
      <c r="K38" s="48">
        <v>1000</v>
      </c>
      <c r="L38" s="19"/>
      <c r="N38" s="140"/>
      <c r="O38" s="90" t="s">
        <v>116</v>
      </c>
      <c r="P38" s="138"/>
      <c r="Q38" s="96"/>
      <c r="R38" s="109">
        <f>Q39+(Q40*6)</f>
        <v>4000</v>
      </c>
      <c r="S38" s="19"/>
    </row>
    <row r="39" spans="1:20" s="51" customFormat="1" ht="16" customHeight="1">
      <c r="A39" s="17"/>
      <c r="B39" s="37"/>
      <c r="C39" s="23"/>
      <c r="D39" s="23"/>
      <c r="E39" s="42"/>
      <c r="F39" s="38"/>
      <c r="G39" s="19"/>
      <c r="I39" s="34" t="s">
        <v>93</v>
      </c>
      <c r="J39" s="35"/>
      <c r="K39" s="48"/>
      <c r="L39" s="19"/>
      <c r="N39" s="140"/>
      <c r="O39" s="108" t="s">
        <v>162</v>
      </c>
      <c r="P39" s="138"/>
      <c r="Q39" s="96">
        <v>1000</v>
      </c>
      <c r="R39" s="94"/>
      <c r="S39" s="19"/>
    </row>
    <row r="40" spans="1:20">
      <c r="A40" s="17"/>
      <c r="B40" s="87" t="s">
        <v>84</v>
      </c>
      <c r="C40" s="23"/>
      <c r="D40" s="23"/>
      <c r="E40" s="42"/>
      <c r="F40" s="72">
        <v>1300</v>
      </c>
      <c r="G40" s="19"/>
      <c r="I40" s="58" t="s">
        <v>66</v>
      </c>
      <c r="J40" s="53"/>
      <c r="K40" s="26"/>
      <c r="L40" s="54"/>
      <c r="N40" s="17"/>
      <c r="O40" s="108" t="s">
        <v>163</v>
      </c>
      <c r="P40" s="138"/>
      <c r="Q40" s="96">
        <f>3000/6</f>
        <v>500</v>
      </c>
      <c r="R40" s="94"/>
      <c r="S40" s="141"/>
    </row>
    <row r="41" spans="1:20">
      <c r="A41" s="17"/>
      <c r="B41" s="37" t="s">
        <v>69</v>
      </c>
      <c r="C41" s="23"/>
      <c r="D41" s="23"/>
      <c r="E41" s="42">
        <v>20</v>
      </c>
      <c r="F41" s="38"/>
      <c r="G41" s="19"/>
      <c r="I41" s="59" t="s">
        <v>160</v>
      </c>
      <c r="J41" s="56"/>
      <c r="K41" s="26"/>
      <c r="L41" s="57"/>
      <c r="N41" s="17"/>
      <c r="O41" s="77"/>
      <c r="P41" s="78"/>
      <c r="Q41" s="78"/>
      <c r="R41" s="79"/>
      <c r="S41" s="141"/>
    </row>
    <row r="42" spans="1:20">
      <c r="A42" s="17"/>
      <c r="B42" s="37" t="s">
        <v>70</v>
      </c>
      <c r="C42" s="23"/>
      <c r="D42" s="23"/>
      <c r="E42" s="26">
        <v>15</v>
      </c>
      <c r="F42" s="38"/>
      <c r="G42" s="19"/>
      <c r="I42" s="58" t="s">
        <v>122</v>
      </c>
      <c r="J42" s="56"/>
      <c r="K42" s="26"/>
      <c r="L42" s="57"/>
      <c r="N42" s="17"/>
      <c r="O42" s="23"/>
      <c r="P42" s="42"/>
      <c r="Q42" s="23"/>
      <c r="R42" s="23"/>
      <c r="S42" s="141"/>
    </row>
    <row r="43" spans="1:20">
      <c r="A43" s="17"/>
      <c r="B43" s="45"/>
      <c r="C43" s="46"/>
      <c r="D43" s="46"/>
      <c r="E43" s="78"/>
      <c r="F43" s="47"/>
      <c r="G43" s="19"/>
      <c r="I43" s="59" t="s">
        <v>161</v>
      </c>
      <c r="J43" s="56"/>
      <c r="K43" s="26">
        <v>5000</v>
      </c>
      <c r="L43" s="57"/>
      <c r="N43" s="17"/>
      <c r="O43" s="23"/>
      <c r="P43" s="42"/>
      <c r="Q43" s="23"/>
      <c r="R43" s="23"/>
      <c r="S43" s="19"/>
    </row>
    <row r="44" spans="1:20" ht="16" thickBot="1">
      <c r="A44" s="133"/>
      <c r="B44" s="134"/>
      <c r="C44" s="135"/>
      <c r="D44" s="135"/>
      <c r="E44" s="136"/>
      <c r="F44" s="137"/>
      <c r="G44" s="22"/>
      <c r="I44" s="59" t="s">
        <v>134</v>
      </c>
      <c r="J44" s="56"/>
      <c r="K44" s="26">
        <v>382.5</v>
      </c>
      <c r="L44" s="57"/>
      <c r="N44" s="133"/>
      <c r="O44" s="135"/>
      <c r="P44" s="136"/>
      <c r="Q44" s="135"/>
      <c r="R44" s="135"/>
      <c r="S44" s="22"/>
    </row>
    <row r="45" spans="1:20" ht="16" customHeight="1">
      <c r="A45" s="37"/>
      <c r="I45" s="58" t="s">
        <v>87</v>
      </c>
      <c r="J45" s="60"/>
      <c r="K45" s="26">
        <v>50</v>
      </c>
      <c r="L45" s="57"/>
      <c r="S45" s="23"/>
      <c r="T45" s="23"/>
    </row>
    <row r="46" spans="1:20">
      <c r="A46" s="23"/>
      <c r="G46" s="23"/>
      <c r="I46" s="58" t="s">
        <v>86</v>
      </c>
      <c r="J46" s="60"/>
      <c r="K46" s="26">
        <v>175</v>
      </c>
      <c r="L46" s="57"/>
      <c r="S46" s="23"/>
    </row>
    <row r="47" spans="1:20">
      <c r="I47" s="58" t="s">
        <v>88</v>
      </c>
      <c r="J47" s="60"/>
      <c r="K47" s="26"/>
      <c r="L47" s="54">
        <f>SUM(K48:K51)</f>
        <v>189.77</v>
      </c>
    </row>
    <row r="48" spans="1:20">
      <c r="I48" s="59" t="s">
        <v>167</v>
      </c>
      <c r="J48" s="60"/>
      <c r="K48" s="26">
        <v>100</v>
      </c>
      <c r="L48" s="54"/>
    </row>
    <row r="49" spans="9:12">
      <c r="I49" s="59" t="s">
        <v>89</v>
      </c>
      <c r="J49" s="60"/>
      <c r="K49" s="26">
        <v>32.78</v>
      </c>
      <c r="L49" s="57"/>
    </row>
    <row r="50" spans="9:12">
      <c r="I50" s="59" t="s">
        <v>90</v>
      </c>
      <c r="J50" s="60"/>
      <c r="K50" s="26">
        <v>45</v>
      </c>
      <c r="L50" s="57"/>
    </row>
    <row r="51" spans="9:12">
      <c r="I51" s="59" t="s">
        <v>54</v>
      </c>
      <c r="J51" s="60"/>
      <c r="K51" s="26">
        <v>11.99</v>
      </c>
      <c r="L51" s="57"/>
    </row>
    <row r="52" spans="9:12">
      <c r="I52" s="59" t="s">
        <v>164</v>
      </c>
      <c r="J52" s="60"/>
      <c r="K52" s="26">
        <v>75</v>
      </c>
      <c r="L52" s="57"/>
    </row>
    <row r="53" spans="9:12">
      <c r="I53" s="59" t="s">
        <v>166</v>
      </c>
      <c r="J53" s="60"/>
      <c r="K53" s="26">
        <v>300</v>
      </c>
      <c r="L53" s="57"/>
    </row>
    <row r="54" spans="9:12">
      <c r="I54" s="59" t="s">
        <v>165</v>
      </c>
      <c r="J54" s="60"/>
      <c r="K54" s="26">
        <v>600</v>
      </c>
      <c r="L54" s="57"/>
    </row>
    <row r="55" spans="9:12">
      <c r="I55" s="58" t="s">
        <v>132</v>
      </c>
      <c r="J55" s="60"/>
      <c r="K55" s="101">
        <v>3.2000000000000001E-2</v>
      </c>
      <c r="L55" s="57"/>
    </row>
    <row r="56" spans="9:12">
      <c r="I56" s="58" t="s">
        <v>91</v>
      </c>
      <c r="J56" s="60"/>
      <c r="K56" s="26">
        <v>100</v>
      </c>
      <c r="L56" s="57"/>
    </row>
    <row r="57" spans="9:12">
      <c r="I57" s="61" t="s">
        <v>48</v>
      </c>
      <c r="J57" s="60"/>
      <c r="K57" s="23"/>
      <c r="L57" s="54"/>
    </row>
    <row r="58" spans="9:12">
      <c r="I58" s="63" t="s">
        <v>85</v>
      </c>
      <c r="J58" s="64"/>
      <c r="K58" s="26">
        <f>F40</f>
        <v>1300</v>
      </c>
      <c r="L58" s="19"/>
    </row>
    <row r="59" spans="9:12">
      <c r="I59" s="65" t="s">
        <v>137</v>
      </c>
      <c r="J59" s="66"/>
      <c r="K59" s="26">
        <v>500</v>
      </c>
      <c r="L59" s="19"/>
    </row>
    <row r="60" spans="9:12">
      <c r="I60" s="65" t="s">
        <v>49</v>
      </c>
      <c r="J60" s="66"/>
      <c r="K60" s="26"/>
      <c r="L60" s="19"/>
    </row>
    <row r="61" spans="9:12">
      <c r="I61" s="20" t="s">
        <v>168</v>
      </c>
      <c r="J61" s="66"/>
      <c r="K61" s="26">
        <v>150</v>
      </c>
      <c r="L61" s="19"/>
    </row>
    <row r="62" spans="9:12">
      <c r="I62" s="20" t="s">
        <v>72</v>
      </c>
      <c r="J62" s="66"/>
      <c r="K62" s="26">
        <v>1500</v>
      </c>
      <c r="L62" s="19"/>
    </row>
    <row r="63" spans="9:12">
      <c r="I63" s="20" t="s">
        <v>71</v>
      </c>
      <c r="J63" s="66"/>
      <c r="K63" s="26">
        <v>100</v>
      </c>
      <c r="L63" s="19"/>
    </row>
    <row r="64" spans="9:12">
      <c r="I64" s="52" t="s">
        <v>92</v>
      </c>
      <c r="J64" s="53"/>
      <c r="K64" s="26">
        <v>1200</v>
      </c>
      <c r="L64" s="107">
        <f>K64+K65</f>
        <v>4200</v>
      </c>
    </row>
    <row r="65" spans="9:12">
      <c r="I65" s="55" t="s">
        <v>136</v>
      </c>
      <c r="J65" s="56"/>
      <c r="K65" s="26">
        <v>3000</v>
      </c>
      <c r="L65" s="19"/>
    </row>
    <row r="66" spans="9:12" ht="30">
      <c r="I66" s="111" t="s">
        <v>170</v>
      </c>
      <c r="J66" s="56"/>
      <c r="K66" s="26">
        <v>1700</v>
      </c>
      <c r="L66" s="19"/>
    </row>
    <row r="67" spans="9:12">
      <c r="I67" s="111" t="s">
        <v>169</v>
      </c>
      <c r="J67" s="56"/>
      <c r="K67" s="26">
        <v>300</v>
      </c>
      <c r="L67" s="19"/>
    </row>
    <row r="68" spans="9:12">
      <c r="I68" s="61" t="s">
        <v>50</v>
      </c>
      <c r="J68" s="68"/>
      <c r="K68" s="23"/>
      <c r="L68" s="69"/>
    </row>
    <row r="69" spans="9:12">
      <c r="I69" s="65" t="s">
        <v>51</v>
      </c>
      <c r="J69" s="66"/>
      <c r="K69" s="26">
        <v>2000</v>
      </c>
      <c r="L69" s="19"/>
    </row>
    <row r="70" spans="9:12">
      <c r="I70" s="70" t="s">
        <v>52</v>
      </c>
      <c r="J70" s="71"/>
      <c r="K70" s="26">
        <v>1200</v>
      </c>
      <c r="L70" s="19"/>
    </row>
    <row r="71" spans="9:12">
      <c r="I71" s="70" t="s">
        <v>53</v>
      </c>
      <c r="J71" s="71"/>
      <c r="K71" s="26">
        <v>3600</v>
      </c>
      <c r="L71" s="19"/>
    </row>
    <row r="72" spans="9:12">
      <c r="I72" s="86" t="s">
        <v>73</v>
      </c>
      <c r="J72" s="71"/>
      <c r="K72" s="26">
        <v>100</v>
      </c>
      <c r="L72" s="19"/>
    </row>
    <row r="73" spans="9:12" ht="16" thickBot="1">
      <c r="I73" s="73"/>
      <c r="J73" s="74"/>
      <c r="K73" s="75"/>
      <c r="L73" s="22"/>
    </row>
  </sheetData>
  <mergeCells count="7">
    <mergeCell ref="N4:P4"/>
    <mergeCell ref="A2:G2"/>
    <mergeCell ref="I2:L2"/>
    <mergeCell ref="B20:F20"/>
    <mergeCell ref="A18:C18"/>
    <mergeCell ref="A4:C4"/>
    <mergeCell ref="B6:F6"/>
  </mergeCells>
  <pageMargins left="0.7" right="0.7" top="0.75" bottom="0.75" header="0.3" footer="0.3"/>
  <pageSetup orientation="portrait" horizontalDpi="0" verticalDpi="0"/>
  <ignoredErrors>
    <ignoredError sqref="L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2019 Profit and Loss</vt:lpstr>
      <vt:lpstr>2021 Budget</vt:lpstr>
      <vt:lpstr>2021 Assumptions</vt:lpstr>
      <vt:lpstr>'2019 Profit and Loss'!Print_Area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cp:lastPrinted>2019-11-11T02:04:49Z</cp:lastPrinted>
  <dcterms:created xsi:type="dcterms:W3CDTF">2019-11-11T01:10:40Z</dcterms:created>
  <dcterms:modified xsi:type="dcterms:W3CDTF">2021-01-11T23:25:36Z</dcterms:modified>
</cp:coreProperties>
</file>