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Museum" sheetId="14" r:id="rId1"/>
    <sheet name="Homestead" sheetId="1" r:id="rId2"/>
    <sheet name="Sutton Store" sheetId="10" r:id="rId3"/>
    <sheet name="Old Time Music Hour" sheetId="9" r:id="rId4"/>
    <sheet name="Friends of Museum" sheetId="5" r:id="rId5"/>
    <sheet name="Preservation" sheetId="13" r:id="rId6"/>
    <sheet name="Friends of Granville " sheetId="12" r:id="rId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4" l="1"/>
  <c r="F22" i="1" l="1"/>
  <c r="E17" i="10" l="1"/>
  <c r="D56" i="14" l="1"/>
  <c r="D8" i="14" l="1"/>
  <c r="D28" i="14" l="1"/>
  <c r="D15" i="14" l="1"/>
  <c r="F24" i="10" l="1"/>
  <c r="F23" i="10"/>
  <c r="F26" i="10" l="1"/>
  <c r="D15" i="9" l="1"/>
  <c r="F19" i="10" l="1"/>
  <c r="D20" i="9" l="1"/>
  <c r="D62" i="14" l="1"/>
  <c r="D57" i="14" l="1"/>
  <c r="D61" i="14" l="1"/>
  <c r="D63" i="14" s="1"/>
  <c r="D27" i="14"/>
  <c r="D30" i="14"/>
  <c r="D40" i="14"/>
  <c r="D22" i="14"/>
  <c r="D33" i="14" l="1"/>
  <c r="D51" i="14"/>
  <c r="D24" i="14"/>
  <c r="C23" i="13"/>
  <c r="C10" i="13"/>
  <c r="C26" i="13" s="1"/>
  <c r="E65" i="14" l="1"/>
  <c r="F35" i="1"/>
  <c r="F28" i="1"/>
  <c r="H37" i="1" l="1"/>
  <c r="F12" i="10" l="1"/>
  <c r="F39" i="10" l="1"/>
  <c r="F41" i="10" s="1"/>
  <c r="H14" i="1" l="1"/>
  <c r="D22" i="9" l="1"/>
  <c r="E18" i="14" l="1"/>
  <c r="E67" i="14" s="1"/>
  <c r="G35" i="1" l="1"/>
  <c r="E35" i="1"/>
  <c r="E28" i="1"/>
  <c r="G23" i="1"/>
  <c r="G20" i="1"/>
  <c r="G19" i="1"/>
  <c r="G14" i="1"/>
  <c r="E14" i="1"/>
  <c r="G10" i="1"/>
  <c r="G8" i="1"/>
  <c r="G7" i="1"/>
  <c r="G4" i="1"/>
  <c r="E37" i="1" l="1"/>
  <c r="E40" i="1" s="1"/>
  <c r="G28" i="1"/>
  <c r="H40" i="1" l="1"/>
  <c r="G37" i="1"/>
  <c r="G40" i="1" s="1"/>
  <c r="H20" i="5" l="1"/>
  <c r="F10" i="5"/>
  <c r="H15" i="5" s="1"/>
  <c r="G32" i="5" l="1"/>
  <c r="D12" i="9" l="1"/>
  <c r="D24" i="9" l="1"/>
  <c r="C13" i="12"/>
  <c r="C8" i="12"/>
  <c r="C15" i="12" l="1"/>
</calcChain>
</file>

<file path=xl/sharedStrings.xml><?xml version="1.0" encoding="utf-8"?>
<sst xmlns="http://schemas.openxmlformats.org/spreadsheetml/2006/main" count="203" uniqueCount="153">
  <si>
    <t>Donations</t>
  </si>
  <si>
    <t>Expense of Operation</t>
  </si>
  <si>
    <t>Water</t>
  </si>
  <si>
    <t>Electricity</t>
  </si>
  <si>
    <t>Pest Control</t>
  </si>
  <si>
    <t>Sponsors</t>
  </si>
  <si>
    <t>Total Income</t>
  </si>
  <si>
    <t>Improvements</t>
  </si>
  <si>
    <t>Supplies</t>
  </si>
  <si>
    <t>1st Quarter Donations</t>
  </si>
  <si>
    <t>2nd Quarter Donations</t>
  </si>
  <si>
    <t>3rd Quarter Donations</t>
  </si>
  <si>
    <t>4th Quarter Donations</t>
  </si>
  <si>
    <t>TOTAL</t>
  </si>
  <si>
    <t>BALANCE 12/31/14</t>
  </si>
  <si>
    <t>SUTTON OLD TIME MUSIC HOUR</t>
  </si>
  <si>
    <t>INCOME</t>
  </si>
  <si>
    <t>Musicians</t>
  </si>
  <si>
    <t>Advertising</t>
  </si>
  <si>
    <t>Total Expenses</t>
  </si>
  <si>
    <t>Business Sponsors</t>
  </si>
  <si>
    <t>Memorial Donations</t>
  </si>
  <si>
    <t>Interest Income</t>
  </si>
  <si>
    <t>Total Operating Expenses</t>
  </si>
  <si>
    <t>Chambers</t>
  </si>
  <si>
    <t>Charitable Licence</t>
  </si>
  <si>
    <t>TN Assoc. Of Museums</t>
  </si>
  <si>
    <t>Other Expenses</t>
  </si>
  <si>
    <t>Grist Meal Sales</t>
  </si>
  <si>
    <t>Manager</t>
  </si>
  <si>
    <t>Building &amp; Utilities</t>
  </si>
  <si>
    <t>Ending Balance</t>
  </si>
  <si>
    <t>EXPENSES</t>
  </si>
  <si>
    <t>Interest Income Total:</t>
  </si>
  <si>
    <t>Beginning Balance</t>
  </si>
  <si>
    <t>Bass Tournament Winner Pay-outs</t>
  </si>
  <si>
    <t>Safe Deposit Rent</t>
  </si>
  <si>
    <t>Property Insurance</t>
  </si>
  <si>
    <t>Propane Gas</t>
  </si>
  <si>
    <t>Maintenance/Repairs/Labor</t>
  </si>
  <si>
    <t>Total Computer, Web Site,  Office, &amp; Exhibits</t>
  </si>
  <si>
    <t>Park Rental Fee</t>
  </si>
  <si>
    <t>Check Reorder</t>
  </si>
  <si>
    <t>Banners</t>
  </si>
  <si>
    <t>Interest</t>
  </si>
  <si>
    <t>Civil War Trails</t>
  </si>
  <si>
    <t>AASLH Dues</t>
  </si>
  <si>
    <t>SUTTON HOMESTEAD</t>
  </si>
  <si>
    <t>Total Advertising Dues, Memberships, &amp; Licences</t>
  </si>
  <si>
    <t xml:space="preserve">Jimmy C. Gotcher After School Music Program </t>
  </si>
  <si>
    <t>GRANVILLE MUSEUM  (Operating Account)</t>
  </si>
  <si>
    <t>General Donations</t>
  </si>
  <si>
    <t xml:space="preserve">Advertising Donations </t>
  </si>
  <si>
    <t>Amazon Smile Donations</t>
  </si>
  <si>
    <t>SUTTON GENERAL STORE</t>
  </si>
  <si>
    <t>TOTAL INCOME</t>
  </si>
  <si>
    <t>Cost of Goods Sold</t>
  </si>
  <si>
    <t>Insurance</t>
  </si>
  <si>
    <t>License &amp; Permits</t>
  </si>
  <si>
    <t>Postage</t>
  </si>
  <si>
    <t>Repairs</t>
  </si>
  <si>
    <t>Telephone</t>
  </si>
  <si>
    <t>TOTAL EXPENSES</t>
  </si>
  <si>
    <t>Announcer</t>
  </si>
  <si>
    <t>Property Taxes</t>
  </si>
  <si>
    <t>Licensing</t>
  </si>
  <si>
    <t>Federal Payroll Taxes</t>
  </si>
  <si>
    <t>Payroll</t>
  </si>
  <si>
    <t>Credit Card Fees</t>
  </si>
  <si>
    <t xml:space="preserve">Electricity </t>
  </si>
  <si>
    <t>State Sales Tax</t>
  </si>
  <si>
    <t xml:space="preserve">                                         </t>
  </si>
  <si>
    <t>Beginning Inventory</t>
  </si>
  <si>
    <t>Inventory Purchases</t>
  </si>
  <si>
    <t>Total Cost of Goods Sold</t>
  </si>
  <si>
    <t>Certificate of Deposit (1 year term at .30%)</t>
  </si>
  <si>
    <t>Trophies</t>
  </si>
  <si>
    <t xml:space="preserve">FRIENDS OF MUSEUM </t>
  </si>
  <si>
    <t>FRIENDS OF GRANVILLE  - CHARITY ACCOUNT</t>
  </si>
  <si>
    <t>State of TN Bluegrass Grants</t>
  </si>
  <si>
    <t>Service Charges</t>
  </si>
  <si>
    <t>Give-A-Way Supplies</t>
  </si>
  <si>
    <t>Propane</t>
  </si>
  <si>
    <t>Business Supplies</t>
  </si>
  <si>
    <t>Food Supplies</t>
  </si>
  <si>
    <t>Kroger Community Fund</t>
  </si>
  <si>
    <t>Total Net Improvements at Museum</t>
  </si>
  <si>
    <t>Dues, Memberships, Licences, &amp; Other Expenses</t>
  </si>
  <si>
    <t>Total Advertising Expenses</t>
  </si>
  <si>
    <t>Postage, Office Supplies, Signs, &amp; Exhibits</t>
  </si>
  <si>
    <t>Advertising Donations</t>
  </si>
  <si>
    <t>HISTORIC PRESERVATION</t>
  </si>
  <si>
    <t>Endowment Withdrawal from CD</t>
  </si>
  <si>
    <t>After School Lessons Given</t>
  </si>
  <si>
    <t xml:space="preserve">Admission </t>
  </si>
  <si>
    <t>Operating Expenses:</t>
  </si>
  <si>
    <t>Improvements Costs:</t>
  </si>
  <si>
    <t>County Taxes</t>
  </si>
  <si>
    <t>Sales</t>
  </si>
  <si>
    <t>TN for the Arts</t>
  </si>
  <si>
    <t xml:space="preserve">Grants - TN Dept of Tourism </t>
  </si>
  <si>
    <t>Operating Supplies</t>
  </si>
  <si>
    <t>Exhibits</t>
  </si>
  <si>
    <t>Homestead Tours pd at Store</t>
  </si>
  <si>
    <t>Facilities Rent - Bluegrass</t>
  </si>
  <si>
    <t>Special Events</t>
  </si>
  <si>
    <t>Endowment Withdrawal to Museum</t>
  </si>
  <si>
    <t>Walk-in Guests</t>
  </si>
  <si>
    <t xml:space="preserve">Wine Festival </t>
  </si>
  <si>
    <t>Grants - UCDD (Scarecrow Festival)</t>
  </si>
  <si>
    <t>Advertising - Museum's Share</t>
  </si>
  <si>
    <t>Tennesseans For The Arts</t>
  </si>
  <si>
    <t>Dishwasher Rent</t>
  </si>
  <si>
    <t>Business Tax</t>
  </si>
  <si>
    <t>Contract Labor</t>
  </si>
  <si>
    <t>Year End Bonuses</t>
  </si>
  <si>
    <t>Bluegrass Dinner Catering</t>
  </si>
  <si>
    <t>Ending Inventory</t>
  </si>
  <si>
    <t>Beginning Balance 1/1/19:</t>
  </si>
  <si>
    <t>2019 FINANCIAL REPORT</t>
  </si>
  <si>
    <t>2019 Interest</t>
  </si>
  <si>
    <t>Beginning Balance 1/1/19</t>
  </si>
  <si>
    <t>Starting Balance: 1-1-19</t>
  </si>
  <si>
    <t>Ending Balance: 12/31/19</t>
  </si>
  <si>
    <t>Beginning Balance:  1/1/19</t>
  </si>
  <si>
    <t>New Upstair Windows for Sutton Store</t>
  </si>
  <si>
    <t>Creative Place Marketing Grant - State of TN</t>
  </si>
  <si>
    <t>Fashion Show - Homestead's Share</t>
  </si>
  <si>
    <t>Special Event Craftsmen</t>
  </si>
  <si>
    <t xml:space="preserve">Advertising </t>
  </si>
  <si>
    <t>New Water Line and Plumbing  - House</t>
  </si>
  <si>
    <t>Chimmey Removal - House</t>
  </si>
  <si>
    <t>Museum Storage Building Costs</t>
  </si>
  <si>
    <t>Sutton Store Kitchen Addition Building Costs</t>
  </si>
  <si>
    <t>Donations - Storage Building (Museum)</t>
  </si>
  <si>
    <t>Donations - Kitchen Addition (Sutton Store)</t>
  </si>
  <si>
    <t>Ladies Luncheon</t>
  </si>
  <si>
    <t>Concrete Porch  - Car Museum</t>
  </si>
  <si>
    <t>Grants - Community Foundation Discretionary - 1960s</t>
  </si>
  <si>
    <t xml:space="preserve">Grants - UCEMC Cares </t>
  </si>
  <si>
    <t xml:space="preserve">Chartitable Solicitation Permit </t>
  </si>
  <si>
    <t>Granville Fire Department</t>
  </si>
  <si>
    <t>Historical Marker for Sutton Store</t>
  </si>
  <si>
    <t>Website</t>
  </si>
  <si>
    <t xml:space="preserve">Walkie Talkie Connumications </t>
  </si>
  <si>
    <t>Museum Remodel Project</t>
  </si>
  <si>
    <t>History Book Reprints</t>
  </si>
  <si>
    <t>Advertising Costs</t>
  </si>
  <si>
    <t>Merchandise Sold</t>
  </si>
  <si>
    <t>Ending Balance 12/31/19:</t>
  </si>
  <si>
    <t>Ending Balance:  12/31/19</t>
  </si>
  <si>
    <t>Ending Balance 12/31/19</t>
  </si>
  <si>
    <t>Grants - ABC Scarecrow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</si>
</sst>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44" fontId="1" fillId="0" borderId="3" xfId="0" applyNumberFormat="1" applyFont="1" applyBorder="1"/>
    <xf numFmtId="0" fontId="1" fillId="0" borderId="0" xfId="0" applyFont="1" applyFill="1"/>
    <xf numFmtId="44" fontId="1" fillId="0" borderId="0" xfId="0" applyNumberFormat="1" applyFont="1" applyBorder="1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43" fontId="1" fillId="0" borderId="0" xfId="0" applyNumberFormat="1" applyFont="1"/>
    <xf numFmtId="164" fontId="1" fillId="0" borderId="0" xfId="0" applyNumberFormat="1" applyFont="1"/>
    <xf numFmtId="164" fontId="1" fillId="0" borderId="1" xfId="0" applyNumberFormat="1" applyFont="1" applyBorder="1"/>
    <xf numFmtId="44" fontId="1" fillId="0" borderId="0" xfId="0" applyNumberFormat="1" applyFont="1"/>
    <xf numFmtId="43" fontId="1" fillId="0" borderId="0" xfId="0" applyNumberFormat="1" applyFont="1" applyFill="1" applyBorder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7" fontId="1" fillId="0" borderId="0" xfId="0" applyNumberFormat="1" applyFont="1"/>
    <xf numFmtId="7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/>
    <xf numFmtId="44" fontId="4" fillId="0" borderId="0" xfId="0" applyNumberFormat="1" applyFont="1"/>
    <xf numFmtId="44" fontId="1" fillId="0" borderId="0" xfId="0" applyNumberFormat="1" applyFont="1" applyFill="1"/>
    <xf numFmtId="4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44" fontId="1" fillId="0" borderId="4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Border="1"/>
    <xf numFmtId="44" fontId="1" fillId="0" borderId="0" xfId="0" applyNumberFormat="1" applyFont="1" applyFill="1" applyBorder="1"/>
    <xf numFmtId="43" fontId="1" fillId="0" borderId="1" xfId="0" applyNumberFormat="1" applyFont="1" applyBorder="1"/>
    <xf numFmtId="44" fontId="1" fillId="0" borderId="2" xfId="0" applyNumberFormat="1" applyFont="1" applyBorder="1"/>
    <xf numFmtId="44" fontId="1" fillId="0" borderId="4" xfId="0" applyNumberFormat="1" applyFont="1" applyFill="1" applyBorder="1"/>
    <xf numFmtId="44" fontId="1" fillId="0" borderId="6" xfId="0" applyNumberFormat="1" applyFont="1" applyFill="1" applyBorder="1" applyAlignment="1">
      <alignment horizontal="center"/>
    </xf>
    <xf numFmtId="44" fontId="4" fillId="0" borderId="6" xfId="0" applyNumberFormat="1" applyFont="1" applyBorder="1"/>
    <xf numFmtId="44" fontId="1" fillId="0" borderId="0" xfId="0" applyNumberFormat="1" applyFont="1" applyFill="1" applyAlignment="1">
      <alignment horizontal="center"/>
    </xf>
    <xf numFmtId="44" fontId="1" fillId="0" borderId="5" xfId="0" applyNumberFormat="1" applyFont="1" applyFill="1" applyBorder="1"/>
    <xf numFmtId="43" fontId="1" fillId="0" borderId="0" xfId="0" applyNumberFormat="1" applyFont="1" applyFill="1"/>
    <xf numFmtId="44" fontId="1" fillId="0" borderId="2" xfId="0" applyNumberFormat="1" applyFont="1" applyFill="1" applyBorder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4" fontId="4" fillId="0" borderId="2" xfId="0" applyNumberFormat="1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/>
    <xf numFmtId="0" fontId="0" fillId="0" borderId="0" xfId="0" applyAlignment="1"/>
    <xf numFmtId="164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6" xfId="0" applyNumberFormat="1" applyFont="1" applyFill="1" applyBorder="1"/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4" fontId="4" fillId="0" borderId="5" xfId="0" applyNumberFormat="1" applyFont="1" applyFill="1" applyBorder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7" fontId="1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2" xfId="0" applyFont="1" applyBorder="1"/>
    <xf numFmtId="8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34" workbookViewId="0">
      <selection activeCell="C67" sqref="C67"/>
    </sheetView>
  </sheetViews>
  <sheetFormatPr defaultRowHeight="15" x14ac:dyDescent="0.25"/>
  <cols>
    <col min="1" max="1" width="12.5703125" style="1" customWidth="1"/>
    <col min="2" max="2" width="38" style="1" customWidth="1"/>
    <col min="3" max="3" width="17.85546875" style="1" customWidth="1"/>
    <col min="4" max="4" width="21" style="3" customWidth="1"/>
    <col min="5" max="5" width="12.5703125" style="29" bestFit="1" customWidth="1"/>
    <col min="6" max="6" width="11.28515625" style="1" bestFit="1" customWidth="1"/>
    <col min="7" max="7" width="12.28515625" style="1" bestFit="1" customWidth="1"/>
    <col min="8" max="16384" width="9.140625" style="1"/>
  </cols>
  <sheetData>
    <row r="1" spans="1:7" ht="21" x14ac:dyDescent="0.25">
      <c r="A1" s="71" t="s">
        <v>50</v>
      </c>
      <c r="B1" s="72"/>
      <c r="C1" s="72"/>
      <c r="D1" s="72"/>
      <c r="E1" s="72"/>
      <c r="F1" s="72"/>
    </row>
    <row r="2" spans="1:7" ht="21" x14ac:dyDescent="0.35">
      <c r="A2" s="73" t="s">
        <v>119</v>
      </c>
      <c r="B2" s="74"/>
      <c r="C2" s="74"/>
      <c r="D2" s="74"/>
      <c r="E2" s="74"/>
      <c r="F2" s="74"/>
    </row>
    <row r="3" spans="1:7" x14ac:dyDescent="0.25">
      <c r="D3" s="67"/>
      <c r="E3" s="17"/>
      <c r="F3" s="7"/>
    </row>
    <row r="4" spans="1:7" x14ac:dyDescent="0.25">
      <c r="C4" s="1" t="s">
        <v>118</v>
      </c>
      <c r="E4" s="22">
        <v>14326.68</v>
      </c>
    </row>
    <row r="5" spans="1:7" x14ac:dyDescent="0.25">
      <c r="A5" s="15" t="s">
        <v>16</v>
      </c>
      <c r="E5" s="30"/>
      <c r="F5" s="57"/>
    </row>
    <row r="6" spans="1:7" x14ac:dyDescent="0.25">
      <c r="B6" s="1" t="s">
        <v>53</v>
      </c>
      <c r="D6" s="22">
        <v>132.31</v>
      </c>
      <c r="E6" s="23"/>
      <c r="F6" s="6"/>
    </row>
    <row r="7" spans="1:7" x14ac:dyDescent="0.25">
      <c r="B7" s="1" t="s">
        <v>20</v>
      </c>
      <c r="D7" s="22">
        <v>15700</v>
      </c>
      <c r="E7" s="23"/>
      <c r="F7" s="6"/>
    </row>
    <row r="8" spans="1:7" x14ac:dyDescent="0.25">
      <c r="B8" s="3" t="s">
        <v>51</v>
      </c>
      <c r="C8" s="3"/>
      <c r="D8" s="30">
        <f>2450+14299.52+1131+875+85+47+100-2250</f>
        <v>16737.52</v>
      </c>
      <c r="E8" s="23"/>
      <c r="F8" s="6"/>
    </row>
    <row r="9" spans="1:7" x14ac:dyDescent="0.25">
      <c r="B9" s="1" t="s">
        <v>139</v>
      </c>
      <c r="D9" s="22">
        <v>3764.81</v>
      </c>
      <c r="E9" s="23"/>
      <c r="F9" s="6"/>
    </row>
    <row r="10" spans="1:7" x14ac:dyDescent="0.25">
      <c r="B10" s="1" t="s">
        <v>152</v>
      </c>
      <c r="D10" s="22">
        <v>1495</v>
      </c>
      <c r="E10" s="23"/>
      <c r="F10" s="6"/>
    </row>
    <row r="11" spans="1:7" x14ac:dyDescent="0.25">
      <c r="B11" s="1" t="s">
        <v>109</v>
      </c>
      <c r="D11" s="30">
        <v>1196</v>
      </c>
      <c r="E11" s="3"/>
      <c r="F11" s="6"/>
    </row>
    <row r="12" spans="1:7" x14ac:dyDescent="0.25">
      <c r="B12" s="3" t="s">
        <v>138</v>
      </c>
      <c r="C12" s="3"/>
      <c r="D12" s="30">
        <v>5000</v>
      </c>
      <c r="E12" s="3"/>
      <c r="F12" s="6"/>
    </row>
    <row r="13" spans="1:7" x14ac:dyDescent="0.25">
      <c r="B13" s="1" t="s">
        <v>22</v>
      </c>
      <c r="D13" s="22">
        <v>58.2</v>
      </c>
      <c r="E13" s="3"/>
      <c r="F13" s="6"/>
    </row>
    <row r="14" spans="1:7" x14ac:dyDescent="0.25">
      <c r="B14" s="1" t="s">
        <v>105</v>
      </c>
      <c r="D14" s="22">
        <f>2855.05+-430+-425+-120+-96+-80+-665.73+2030+50+-75</f>
        <v>3043.32</v>
      </c>
      <c r="E14" s="3"/>
      <c r="F14" s="6"/>
    </row>
    <row r="15" spans="1:7" x14ac:dyDescent="0.25">
      <c r="B15" s="1" t="s">
        <v>85</v>
      </c>
      <c r="D15" s="22">
        <f>129.76+50.49</f>
        <v>180.25</v>
      </c>
      <c r="E15" s="3"/>
      <c r="F15" s="40"/>
      <c r="G15"/>
    </row>
    <row r="16" spans="1:7" x14ac:dyDescent="0.25">
      <c r="B16" s="1" t="s">
        <v>148</v>
      </c>
      <c r="D16" s="22">
        <v>1935</v>
      </c>
      <c r="E16" s="3"/>
      <c r="F16" s="40"/>
      <c r="G16"/>
    </row>
    <row r="17" spans="1:7" ht="15.75" thickBot="1" x14ac:dyDescent="0.3">
      <c r="B17" s="1" t="s">
        <v>21</v>
      </c>
      <c r="D17" s="30">
        <v>2430</v>
      </c>
      <c r="E17" s="23"/>
      <c r="F17" s="40"/>
      <c r="G17"/>
    </row>
    <row r="18" spans="1:7" ht="15.75" thickTop="1" x14ac:dyDescent="0.25">
      <c r="C18" s="55" t="s">
        <v>55</v>
      </c>
      <c r="D18" s="39"/>
      <c r="E18" s="39">
        <f>SUM(D6:D17)</f>
        <v>51672.409999999996</v>
      </c>
      <c r="F18" s="40"/>
      <c r="G18"/>
    </row>
    <row r="19" spans="1:7" x14ac:dyDescent="0.25">
      <c r="D19" s="22"/>
      <c r="E19" s="30"/>
      <c r="F19" s="40"/>
      <c r="G19" s="40"/>
    </row>
    <row r="20" spans="1:7" x14ac:dyDescent="0.25">
      <c r="A20" s="15" t="s">
        <v>32</v>
      </c>
      <c r="D20" s="22"/>
      <c r="E20" s="30"/>
      <c r="F20" s="40"/>
      <c r="G20" s="40"/>
    </row>
    <row r="21" spans="1:7" x14ac:dyDescent="0.25">
      <c r="A21" s="14" t="s">
        <v>1</v>
      </c>
      <c r="D21" s="22"/>
      <c r="E21" s="23"/>
      <c r="F21" s="40"/>
      <c r="G21" s="40"/>
    </row>
    <row r="22" spans="1:7" x14ac:dyDescent="0.25">
      <c r="B22" s="1" t="s">
        <v>38</v>
      </c>
      <c r="D22" s="22">
        <f>-1329.27+-107.13</f>
        <v>-1436.4</v>
      </c>
      <c r="E22" s="30"/>
      <c r="F22" s="40"/>
      <c r="G22" s="40"/>
    </row>
    <row r="23" spans="1:7" x14ac:dyDescent="0.25">
      <c r="B23" s="1" t="s">
        <v>3</v>
      </c>
      <c r="D23" s="33">
        <v>-2016</v>
      </c>
      <c r="E23" s="30"/>
      <c r="F23" s="7"/>
    </row>
    <row r="24" spans="1:7" x14ac:dyDescent="0.25">
      <c r="B24" s="13" t="s">
        <v>23</v>
      </c>
      <c r="D24" s="22">
        <f>SUM(D22:D23)</f>
        <v>-3452.4</v>
      </c>
      <c r="E24" s="30"/>
      <c r="F24" s="7"/>
    </row>
    <row r="25" spans="1:7" x14ac:dyDescent="0.25">
      <c r="D25" s="22"/>
      <c r="E25" s="30"/>
      <c r="F25" s="29"/>
    </row>
    <row r="26" spans="1:7" x14ac:dyDescent="0.25">
      <c r="A26" s="14" t="s">
        <v>89</v>
      </c>
      <c r="D26" s="22"/>
      <c r="E26" s="30"/>
      <c r="F26" s="7"/>
    </row>
    <row r="27" spans="1:7" x14ac:dyDescent="0.25">
      <c r="B27" s="1" t="s">
        <v>102</v>
      </c>
      <c r="D27" s="22">
        <f>-277.92+-201+-92.27+-115.54+-38</f>
        <v>-724.73</v>
      </c>
      <c r="E27" s="30"/>
      <c r="F27" s="7"/>
    </row>
    <row r="28" spans="1:7" x14ac:dyDescent="0.25">
      <c r="B28" s="1" t="s">
        <v>101</v>
      </c>
      <c r="D28" s="22">
        <f>-250+-60+-304.3+-225+-180.4+-64.91+-1165+-190.28</f>
        <v>-2439.89</v>
      </c>
      <c r="E28" s="30"/>
      <c r="F28" s="7"/>
    </row>
    <row r="29" spans="1:7" x14ac:dyDescent="0.25">
      <c r="B29" s="1" t="s">
        <v>146</v>
      </c>
      <c r="D29" s="22">
        <v>-1184.5</v>
      </c>
      <c r="E29" s="30"/>
    </row>
    <row r="30" spans="1:7" x14ac:dyDescent="0.25">
      <c r="B30" s="1" t="s">
        <v>59</v>
      </c>
      <c r="D30" s="22">
        <f>-1432.33+-180.26</f>
        <v>-1612.59</v>
      </c>
      <c r="E30" s="30"/>
      <c r="F30" s="7"/>
    </row>
    <row r="31" spans="1:7" x14ac:dyDescent="0.25">
      <c r="B31" s="1" t="s">
        <v>143</v>
      </c>
      <c r="D31" s="22">
        <v>-1500</v>
      </c>
      <c r="E31" s="30"/>
      <c r="F31" s="7"/>
    </row>
    <row r="32" spans="1:7" x14ac:dyDescent="0.25">
      <c r="B32" s="1" t="s">
        <v>36</v>
      </c>
      <c r="D32" s="33">
        <v>-30</v>
      </c>
      <c r="E32" s="30"/>
      <c r="F32" s="7"/>
    </row>
    <row r="33" spans="1:6" x14ac:dyDescent="0.25">
      <c r="B33" s="68" t="s">
        <v>40</v>
      </c>
      <c r="D33" s="22">
        <f>SUM(D27:D32)</f>
        <v>-7491.71</v>
      </c>
      <c r="E33" s="30"/>
      <c r="F33" s="7"/>
    </row>
    <row r="34" spans="1:6" x14ac:dyDescent="0.25">
      <c r="D34" s="22"/>
      <c r="E34" s="30"/>
      <c r="F34" s="7"/>
    </row>
    <row r="35" spans="1:6" x14ac:dyDescent="0.25">
      <c r="A35" s="15" t="s">
        <v>87</v>
      </c>
      <c r="D35" s="22"/>
      <c r="E35" s="30"/>
      <c r="F35" s="4"/>
    </row>
    <row r="36" spans="1:6" x14ac:dyDescent="0.25">
      <c r="A36" s="15"/>
      <c r="B36" s="1" t="s">
        <v>24</v>
      </c>
      <c r="D36" s="22">
        <v>-400</v>
      </c>
      <c r="E36" s="30"/>
      <c r="F36" s="4"/>
    </row>
    <row r="37" spans="1:6" hidden="1" x14ac:dyDescent="0.25">
      <c r="A37" s="15"/>
      <c r="B37" s="1" t="s">
        <v>25</v>
      </c>
      <c r="D37" s="22"/>
      <c r="E37" s="30"/>
      <c r="F37" s="4"/>
    </row>
    <row r="38" spans="1:6" x14ac:dyDescent="0.25">
      <c r="A38" s="15"/>
      <c r="B38" s="1" t="s">
        <v>46</v>
      </c>
      <c r="D38" s="22">
        <v>-98</v>
      </c>
      <c r="E38" s="30"/>
    </row>
    <row r="39" spans="1:6" x14ac:dyDescent="0.25">
      <c r="A39" s="15"/>
      <c r="B39" s="1" t="s">
        <v>141</v>
      </c>
      <c r="D39" s="22">
        <v>-300</v>
      </c>
      <c r="E39" s="30"/>
    </row>
    <row r="40" spans="1:6" x14ac:dyDescent="0.25">
      <c r="B40" s="1" t="s">
        <v>26</v>
      </c>
      <c r="D40" s="22">
        <f>-195</f>
        <v>-195</v>
      </c>
      <c r="E40" s="30"/>
      <c r="F40" s="4"/>
    </row>
    <row r="41" spans="1:6" x14ac:dyDescent="0.25">
      <c r="B41" s="1" t="s">
        <v>111</v>
      </c>
      <c r="D41" s="22">
        <v>-50</v>
      </c>
      <c r="E41" s="30"/>
      <c r="F41" s="4"/>
    </row>
    <row r="42" spans="1:6" hidden="1" x14ac:dyDescent="0.25">
      <c r="B42" s="1" t="s">
        <v>99</v>
      </c>
      <c r="D42" s="22"/>
      <c r="E42" s="30"/>
      <c r="F42" s="4"/>
    </row>
    <row r="43" spans="1:6" x14ac:dyDescent="0.25">
      <c r="B43" s="1" t="s">
        <v>45</v>
      </c>
      <c r="D43" s="22">
        <v>-200</v>
      </c>
      <c r="E43" s="30"/>
      <c r="F43" s="4"/>
    </row>
    <row r="44" spans="1:6" x14ac:dyDescent="0.25">
      <c r="B44" s="1" t="s">
        <v>142</v>
      </c>
      <c r="D44" s="22">
        <v>-500</v>
      </c>
      <c r="E44" s="30"/>
      <c r="F44" s="4"/>
    </row>
    <row r="45" spans="1:6" x14ac:dyDescent="0.25">
      <c r="B45" s="1" t="s">
        <v>37</v>
      </c>
      <c r="D45" s="30">
        <v>-1290</v>
      </c>
      <c r="E45" s="30"/>
      <c r="F45" s="7"/>
    </row>
    <row r="46" spans="1:6" hidden="1" x14ac:dyDescent="0.25">
      <c r="B46" s="1" t="s">
        <v>64</v>
      </c>
      <c r="D46" s="30"/>
      <c r="E46" s="30"/>
      <c r="F46" s="7"/>
    </row>
    <row r="47" spans="1:6" x14ac:dyDescent="0.25">
      <c r="B47" s="1" t="s">
        <v>140</v>
      </c>
      <c r="D47" s="30">
        <v>-200</v>
      </c>
      <c r="E47" s="30"/>
      <c r="F47" s="7"/>
    </row>
    <row r="48" spans="1:6" x14ac:dyDescent="0.25">
      <c r="B48" s="1" t="s">
        <v>113</v>
      </c>
      <c r="D48" s="30">
        <v>-223.18</v>
      </c>
      <c r="E48" s="30"/>
      <c r="F48" s="7"/>
    </row>
    <row r="49" spans="1:7" x14ac:dyDescent="0.25">
      <c r="B49" s="1" t="s">
        <v>115</v>
      </c>
      <c r="D49" s="30">
        <v>-1000</v>
      </c>
      <c r="E49" s="30"/>
      <c r="F49" s="7"/>
    </row>
    <row r="50" spans="1:7" hidden="1" x14ac:dyDescent="0.25">
      <c r="B50" s="1" t="s">
        <v>27</v>
      </c>
      <c r="D50" s="30"/>
      <c r="E50" s="30"/>
      <c r="F50" s="7"/>
    </row>
    <row r="51" spans="1:7" x14ac:dyDescent="0.25">
      <c r="B51" s="68" t="s">
        <v>48</v>
      </c>
      <c r="D51" s="37">
        <f>SUM(D36:D49)</f>
        <v>-4456.18</v>
      </c>
      <c r="E51" s="30"/>
      <c r="F51" s="4"/>
    </row>
    <row r="52" spans="1:7" x14ac:dyDescent="0.25">
      <c r="D52" s="22"/>
      <c r="E52" s="30"/>
      <c r="F52" s="4"/>
    </row>
    <row r="53" spans="1:7" x14ac:dyDescent="0.25">
      <c r="A53" s="15" t="s">
        <v>110</v>
      </c>
      <c r="D53" s="22"/>
      <c r="E53" s="30"/>
    </row>
    <row r="54" spans="1:7" x14ac:dyDescent="0.25">
      <c r="A54" s="15"/>
      <c r="B54" s="3" t="s">
        <v>52</v>
      </c>
      <c r="C54" s="3"/>
      <c r="D54" s="30">
        <v>9477.4699999999993</v>
      </c>
      <c r="E54" s="30"/>
      <c r="G54" s="30"/>
    </row>
    <row r="55" spans="1:7" x14ac:dyDescent="0.25">
      <c r="B55" s="1" t="s">
        <v>100</v>
      </c>
      <c r="D55" s="30">
        <v>12000</v>
      </c>
      <c r="E55" s="3"/>
      <c r="F55" s="40"/>
      <c r="G55" s="30"/>
    </row>
    <row r="56" spans="1:7" x14ac:dyDescent="0.25">
      <c r="B56" s="1" t="s">
        <v>147</v>
      </c>
      <c r="D56" s="33">
        <f>-50791.32+-119.85+-180+-859+-1057.2+125-360+-1540</f>
        <v>-54782.369999999995</v>
      </c>
      <c r="E56" s="3"/>
      <c r="F56" s="40"/>
      <c r="G56" s="30"/>
    </row>
    <row r="57" spans="1:7" x14ac:dyDescent="0.25">
      <c r="B57" s="13" t="s">
        <v>88</v>
      </c>
      <c r="C57" s="56"/>
      <c r="D57" s="22">
        <f>SUM(D54:D56)</f>
        <v>-33304.899999999994</v>
      </c>
      <c r="E57" s="22"/>
      <c r="G57" s="22"/>
    </row>
    <row r="58" spans="1:7" x14ac:dyDescent="0.25">
      <c r="A58" s="15"/>
      <c r="D58" s="22"/>
      <c r="E58" s="30"/>
      <c r="G58" s="22"/>
    </row>
    <row r="59" spans="1:7" x14ac:dyDescent="0.25">
      <c r="A59" s="75" t="s">
        <v>7</v>
      </c>
      <c r="B59" s="76"/>
      <c r="D59" s="22"/>
      <c r="E59" s="30"/>
      <c r="G59" s="22"/>
    </row>
    <row r="60" spans="1:7" x14ac:dyDescent="0.25">
      <c r="B60" s="1" t="s">
        <v>144</v>
      </c>
      <c r="D60" s="22">
        <v>-914.86</v>
      </c>
      <c r="E60" s="30"/>
    </row>
    <row r="61" spans="1:7" x14ac:dyDescent="0.25">
      <c r="B61" s="1" t="s">
        <v>145</v>
      </c>
      <c r="D61" s="22">
        <f>-2844.81+-260+-65</f>
        <v>-3169.81</v>
      </c>
      <c r="E61" s="30"/>
    </row>
    <row r="62" spans="1:7" x14ac:dyDescent="0.25">
      <c r="B62" s="1" t="s">
        <v>39</v>
      </c>
      <c r="D62" s="33">
        <f>-1650+-193.17+-408.94+-83.86+-148.55+-38.69+-100+-150+-72+-60</f>
        <v>-2905.2100000000005</v>
      </c>
      <c r="E62" s="30"/>
    </row>
    <row r="63" spans="1:7" x14ac:dyDescent="0.25">
      <c r="B63" s="68" t="s">
        <v>86</v>
      </c>
      <c r="D63" s="22">
        <f>SUM(D60:D62)</f>
        <v>-6989.880000000001</v>
      </c>
      <c r="E63" s="30"/>
    </row>
    <row r="64" spans="1:7" ht="15.75" thickBot="1" x14ac:dyDescent="0.3">
      <c r="B64" s="68"/>
      <c r="D64" s="22"/>
      <c r="E64" s="30"/>
    </row>
    <row r="65" spans="3:5" ht="15.75" thickTop="1" x14ac:dyDescent="0.25">
      <c r="C65" s="69" t="s">
        <v>62</v>
      </c>
      <c r="D65" s="39"/>
      <c r="E65" s="32">
        <f>D63+D57+D51+D33+D24</f>
        <v>-55695.07</v>
      </c>
    </row>
    <row r="66" spans="3:5" x14ac:dyDescent="0.25">
      <c r="D66" s="22"/>
      <c r="E66" s="4"/>
    </row>
    <row r="67" spans="3:5" ht="15.75" thickBot="1" x14ac:dyDescent="0.3">
      <c r="C67" s="1" t="s">
        <v>149</v>
      </c>
      <c r="D67" s="22"/>
      <c r="E67" s="34">
        <f>SUM(E4:E65)</f>
        <v>10304.019999999997</v>
      </c>
    </row>
    <row r="68" spans="3:5" ht="15.75" thickTop="1" x14ac:dyDescent="0.25"/>
    <row r="71" spans="3:5" x14ac:dyDescent="0.25">
      <c r="E71" s="4"/>
    </row>
    <row r="72" spans="3:5" x14ac:dyDescent="0.25">
      <c r="E72" s="4"/>
    </row>
  </sheetData>
  <sortState ref="B6:D16">
    <sortCondition ref="B6:B16"/>
  </sortState>
  <mergeCells count="3">
    <mergeCell ref="A1:F1"/>
    <mergeCell ref="A2:F2"/>
    <mergeCell ref="A59:B59"/>
  </mergeCells>
  <printOptions horizontalCentered="1"/>
  <pageMargins left="0.7" right="0.7" top="0.75" bottom="0.75" header="0.3" footer="0.3"/>
  <pageSetup scale="7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topLeftCell="A13" workbookViewId="0">
      <selection activeCell="D20" sqref="D20"/>
    </sheetView>
  </sheetViews>
  <sheetFormatPr defaultRowHeight="15" x14ac:dyDescent="0.25"/>
  <cols>
    <col min="1" max="1" width="9.140625" style="1"/>
    <col min="2" max="2" width="26.140625" style="1" bestFit="1" customWidth="1"/>
    <col min="3" max="3" width="14.85546875" style="1" bestFit="1" customWidth="1"/>
    <col min="4" max="4" width="14.85546875" style="1" customWidth="1"/>
    <col min="5" max="5" width="19.85546875" style="1" hidden="1" customWidth="1"/>
    <col min="6" max="6" width="14.42578125" style="10" customWidth="1"/>
    <col min="7" max="7" width="15" style="1" hidden="1" customWidth="1"/>
    <col min="8" max="8" width="13.42578125" style="1" customWidth="1"/>
    <col min="9" max="9" width="9.140625" style="1"/>
    <col min="10" max="10" width="18" style="1" customWidth="1"/>
    <col min="11" max="11" width="17.42578125" style="1" customWidth="1"/>
    <col min="12" max="12" width="17" style="1" customWidth="1"/>
    <col min="13" max="13" width="19.85546875" style="1" bestFit="1" customWidth="1"/>
    <col min="14" max="16384" width="9.140625" style="1"/>
  </cols>
  <sheetData>
    <row r="1" spans="1:11" ht="21" x14ac:dyDescent="0.25">
      <c r="A1" s="71" t="s">
        <v>47</v>
      </c>
      <c r="B1" s="71"/>
      <c r="C1" s="71"/>
      <c r="D1" s="71"/>
      <c r="E1" s="71"/>
      <c r="F1" s="71"/>
      <c r="G1" s="71"/>
      <c r="H1" s="71"/>
      <c r="K1" s="53"/>
    </row>
    <row r="2" spans="1:11" ht="21" x14ac:dyDescent="0.35">
      <c r="A2" s="73" t="s">
        <v>119</v>
      </c>
      <c r="B2" s="73"/>
      <c r="C2" s="73"/>
      <c r="D2" s="73"/>
      <c r="E2" s="73"/>
      <c r="F2" s="73"/>
      <c r="G2" s="73"/>
      <c r="H2" s="73"/>
    </row>
    <row r="4" spans="1:11" x14ac:dyDescent="0.25">
      <c r="C4" s="1" t="s">
        <v>124</v>
      </c>
      <c r="E4" s="6">
        <v>9215.07</v>
      </c>
      <c r="G4" s="36">
        <f>E4-H4</f>
        <v>373.38999999999942</v>
      </c>
      <c r="H4" s="36">
        <v>8841.68</v>
      </c>
    </row>
    <row r="5" spans="1:11" x14ac:dyDescent="0.25">
      <c r="F5" s="22"/>
      <c r="G5" s="38"/>
      <c r="H5" s="3"/>
    </row>
    <row r="6" spans="1:11" x14ac:dyDescent="0.25">
      <c r="A6" s="15" t="s">
        <v>16</v>
      </c>
      <c r="E6" s="4"/>
      <c r="F6" s="30"/>
      <c r="G6" s="4"/>
    </row>
    <row r="7" spans="1:11" x14ac:dyDescent="0.25">
      <c r="B7" s="1" t="s">
        <v>94</v>
      </c>
      <c r="E7" s="7">
        <v>4868.18</v>
      </c>
      <c r="F7" s="22">
        <v>8607</v>
      </c>
      <c r="G7" s="7" t="e">
        <f>E6-#REF!</f>
        <v>#REF!</v>
      </c>
    </row>
    <row r="8" spans="1:11" x14ac:dyDescent="0.25">
      <c r="B8" s="1" t="s">
        <v>0</v>
      </c>
      <c r="E8" s="7">
        <v>496.67</v>
      </c>
      <c r="F8" s="22">
        <v>3319</v>
      </c>
      <c r="G8" s="7" t="e">
        <f>E7-#REF!</f>
        <v>#REF!</v>
      </c>
    </row>
    <row r="9" spans="1:11" x14ac:dyDescent="0.25">
      <c r="B9" s="1" t="s">
        <v>126</v>
      </c>
      <c r="E9" s="7"/>
      <c r="F9" s="22">
        <v>4500</v>
      </c>
      <c r="G9" s="7"/>
    </row>
    <row r="10" spans="1:11" x14ac:dyDescent="0.25">
      <c r="B10" s="1" t="s">
        <v>28</v>
      </c>
      <c r="E10" s="7">
        <v>656.24</v>
      </c>
      <c r="F10" s="22">
        <v>756</v>
      </c>
      <c r="G10" s="7" t="e">
        <f>#REF!-#REF!</f>
        <v>#REF!</v>
      </c>
    </row>
    <row r="11" spans="1:11" x14ac:dyDescent="0.25">
      <c r="B11" s="1" t="s">
        <v>108</v>
      </c>
      <c r="E11" s="7"/>
      <c r="F11" s="22">
        <v>1868</v>
      </c>
      <c r="G11" s="7"/>
    </row>
    <row r="12" spans="1:11" x14ac:dyDescent="0.25">
      <c r="B12" s="1" t="s">
        <v>127</v>
      </c>
      <c r="E12" s="7"/>
      <c r="F12" s="22">
        <v>1060</v>
      </c>
      <c r="G12" s="7"/>
    </row>
    <row r="13" spans="1:11" ht="15.75" thickBot="1" x14ac:dyDescent="0.3">
      <c r="B13" s="1" t="s">
        <v>136</v>
      </c>
      <c r="E13" s="7"/>
      <c r="F13" s="22"/>
      <c r="G13" s="7"/>
    </row>
    <row r="14" spans="1:11" ht="16.5" thickTop="1" thickBot="1" x14ac:dyDescent="0.3">
      <c r="D14" s="55" t="s">
        <v>55</v>
      </c>
      <c r="E14" s="2">
        <f>SUM(E38:E38)</f>
        <v>0</v>
      </c>
      <c r="F14" s="39"/>
      <c r="G14" s="2">
        <f>SUM(G38:G38)</f>
        <v>0</v>
      </c>
      <c r="H14" s="39">
        <f>SUM(F7:F13)</f>
        <v>20110</v>
      </c>
    </row>
    <row r="15" spans="1:11" x14ac:dyDescent="0.25">
      <c r="A15" s="53"/>
      <c r="D15" s="43"/>
      <c r="E15" s="4"/>
      <c r="F15" s="30"/>
      <c r="G15" s="4"/>
    </row>
    <row r="16" spans="1:11" x14ac:dyDescent="0.25">
      <c r="A16" s="15" t="s">
        <v>32</v>
      </c>
      <c r="D16" s="43"/>
      <c r="E16" s="4"/>
      <c r="F16" s="30"/>
      <c r="G16" s="4"/>
    </row>
    <row r="17" spans="1:10" x14ac:dyDescent="0.25">
      <c r="A17" s="15"/>
      <c r="D17" s="43"/>
      <c r="E17" s="4"/>
      <c r="F17" s="30"/>
      <c r="G17" s="4"/>
    </row>
    <row r="18" spans="1:10" x14ac:dyDescent="0.25">
      <c r="A18" s="15" t="s">
        <v>1</v>
      </c>
      <c r="F18" s="22"/>
      <c r="G18" s="38"/>
      <c r="H18" s="3"/>
    </row>
    <row r="19" spans="1:10" x14ac:dyDescent="0.25">
      <c r="B19" s="1" t="s">
        <v>2</v>
      </c>
      <c r="E19" s="7">
        <v>-274.91000000000003</v>
      </c>
      <c r="F19" s="10">
        <v>-569.15</v>
      </c>
      <c r="G19" s="38">
        <f>E19-J19</f>
        <v>-274.91000000000003</v>
      </c>
      <c r="H19" s="3"/>
      <c r="J19" s="22"/>
    </row>
    <row r="20" spans="1:10" x14ac:dyDescent="0.25">
      <c r="B20" s="1" t="s">
        <v>3</v>
      </c>
      <c r="E20" s="7">
        <v>-1003.76</v>
      </c>
      <c r="F20" s="10">
        <v>-1923</v>
      </c>
      <c r="G20" s="38">
        <f>E20-J20</f>
        <v>-1003.76</v>
      </c>
      <c r="H20" s="3"/>
      <c r="J20" s="22"/>
    </row>
    <row r="21" spans="1:10" x14ac:dyDescent="0.25">
      <c r="B21" s="1" t="s">
        <v>82</v>
      </c>
      <c r="E21" s="7"/>
      <c r="F21" s="10">
        <v>-214.39</v>
      </c>
      <c r="G21" s="38"/>
      <c r="H21" s="3"/>
      <c r="J21" s="22"/>
    </row>
    <row r="22" spans="1:10" x14ac:dyDescent="0.25">
      <c r="B22" s="1" t="s">
        <v>129</v>
      </c>
      <c r="E22" s="7"/>
      <c r="F22" s="10">
        <f>-1056.76</f>
        <v>-1056.76</v>
      </c>
      <c r="G22" s="38"/>
      <c r="H22" s="3"/>
      <c r="J22" s="22"/>
    </row>
    <row r="23" spans="1:10" ht="15.75" thickBot="1" x14ac:dyDescent="0.3">
      <c r="B23" s="1" t="s">
        <v>83</v>
      </c>
      <c r="E23" s="31">
        <v>0</v>
      </c>
      <c r="F23" s="10">
        <v>-149.80000000000001</v>
      </c>
      <c r="G23" s="38">
        <f>E23-J23</f>
        <v>0</v>
      </c>
      <c r="H23" s="3"/>
      <c r="J23" s="30"/>
    </row>
    <row r="24" spans="1:10" ht="15.75" thickTop="1" x14ac:dyDescent="0.25">
      <c r="B24" s="3" t="s">
        <v>37</v>
      </c>
      <c r="C24" s="3"/>
      <c r="D24" s="3"/>
      <c r="E24" s="38"/>
      <c r="F24" s="10">
        <v>-2543</v>
      </c>
      <c r="G24" s="38"/>
      <c r="H24" s="3"/>
      <c r="J24" s="30"/>
    </row>
    <row r="25" spans="1:10" x14ac:dyDescent="0.25">
      <c r="B25" s="3" t="s">
        <v>128</v>
      </c>
      <c r="C25" s="3"/>
      <c r="D25" s="3"/>
      <c r="E25" s="38"/>
      <c r="F25" s="10">
        <v>-4790</v>
      </c>
      <c r="G25" s="38"/>
      <c r="H25" s="3"/>
      <c r="J25" s="30"/>
    </row>
    <row r="26" spans="1:10" x14ac:dyDescent="0.25">
      <c r="B26" s="3" t="s">
        <v>4</v>
      </c>
      <c r="C26" s="3"/>
      <c r="D26" s="3"/>
      <c r="E26" s="38"/>
      <c r="F26" s="10">
        <v>-240</v>
      </c>
      <c r="G26" s="38"/>
      <c r="H26" s="3"/>
      <c r="J26" s="30"/>
    </row>
    <row r="27" spans="1:10" ht="15.75" thickBot="1" x14ac:dyDescent="0.3">
      <c r="B27" s="3" t="s">
        <v>60</v>
      </c>
      <c r="C27" s="3"/>
      <c r="D27" s="3"/>
      <c r="E27" s="38"/>
      <c r="F27" s="10">
        <v>-184.2</v>
      </c>
      <c r="G27" s="38"/>
      <c r="H27" s="3"/>
      <c r="J27" s="30"/>
    </row>
    <row r="28" spans="1:10" ht="15.75" thickTop="1" x14ac:dyDescent="0.25">
      <c r="B28" s="13" t="s">
        <v>95</v>
      </c>
      <c r="E28" s="10">
        <f>SUM(E19:E23)</f>
        <v>-1278.67</v>
      </c>
      <c r="F28" s="39">
        <f>SUM(F19:F27)</f>
        <v>-11670.300000000001</v>
      </c>
      <c r="G28" s="39">
        <f>SUM(G19:G23)</f>
        <v>-1278.67</v>
      </c>
      <c r="H28" s="3"/>
    </row>
    <row r="29" spans="1:10" x14ac:dyDescent="0.25">
      <c r="F29" s="22"/>
      <c r="G29" s="3"/>
      <c r="H29" s="3"/>
    </row>
    <row r="30" spans="1:10" x14ac:dyDescent="0.25">
      <c r="E30" s="4"/>
      <c r="F30" s="30"/>
      <c r="G30" s="4"/>
    </row>
    <row r="31" spans="1:10" x14ac:dyDescent="0.25">
      <c r="A31" s="15" t="s">
        <v>7</v>
      </c>
      <c r="E31" s="4"/>
      <c r="F31" s="30"/>
      <c r="G31" s="4"/>
    </row>
    <row r="32" spans="1:10" x14ac:dyDescent="0.25">
      <c r="B32" s="1" t="s">
        <v>137</v>
      </c>
      <c r="E32" s="4"/>
      <c r="F32" s="10">
        <v>-2250</v>
      </c>
      <c r="G32" s="4"/>
      <c r="J32" s="30"/>
    </row>
    <row r="33" spans="2:10" x14ac:dyDescent="0.25">
      <c r="B33" s="1" t="s">
        <v>130</v>
      </c>
      <c r="E33" s="4"/>
      <c r="F33" s="10">
        <v>-2087</v>
      </c>
      <c r="G33" s="4"/>
      <c r="J33" s="30"/>
    </row>
    <row r="34" spans="2:10" ht="15.75" thickBot="1" x14ac:dyDescent="0.3">
      <c r="B34" s="1" t="s">
        <v>131</v>
      </c>
      <c r="E34" s="4"/>
      <c r="F34" s="10">
        <v>-600</v>
      </c>
      <c r="G34" s="4"/>
      <c r="J34" s="30"/>
    </row>
    <row r="35" spans="2:10" ht="16.5" thickTop="1" thickBot="1" x14ac:dyDescent="0.3">
      <c r="B35" s="13" t="s">
        <v>96</v>
      </c>
      <c r="D35" s="3"/>
      <c r="E35" s="2" t="e">
        <f>SUM(#REF!)</f>
        <v>#REF!</v>
      </c>
      <c r="F35" s="39">
        <f>SUM(F32:F34)</f>
        <v>-4937</v>
      </c>
      <c r="G35" s="2" t="e">
        <f>SUM(#REF!)</f>
        <v>#REF!</v>
      </c>
    </row>
    <row r="36" spans="2:10" ht="15.75" thickBot="1" x14ac:dyDescent="0.3">
      <c r="E36" s="4"/>
      <c r="F36" s="30"/>
      <c r="G36" s="4"/>
    </row>
    <row r="37" spans="2:10" ht="16.5" thickTop="1" thickBot="1" x14ac:dyDescent="0.3">
      <c r="D37" s="55" t="s">
        <v>62</v>
      </c>
      <c r="E37" s="2" t="e">
        <f>E28+#REF!</f>
        <v>#REF!</v>
      </c>
      <c r="F37" s="39"/>
      <c r="G37" s="32" t="e">
        <f>G28+#REF!</f>
        <v>#REF!</v>
      </c>
      <c r="H37" s="39">
        <f>F35+F28</f>
        <v>-16607.300000000003</v>
      </c>
    </row>
    <row r="38" spans="2:10" x14ac:dyDescent="0.25">
      <c r="E38" s="4"/>
      <c r="F38" s="30"/>
      <c r="G38" s="4"/>
    </row>
    <row r="39" spans="2:10" x14ac:dyDescent="0.25">
      <c r="E39" s="4"/>
      <c r="F39" s="30"/>
      <c r="G39" s="4"/>
    </row>
    <row r="40" spans="2:10" ht="15.75" thickBot="1" x14ac:dyDescent="0.3">
      <c r="C40" s="1" t="s">
        <v>150</v>
      </c>
      <c r="E40" s="4" t="e">
        <f>E14+E37</f>
        <v>#REF!</v>
      </c>
      <c r="G40" s="4" t="e">
        <f>G14+G37</f>
        <v>#REF!</v>
      </c>
      <c r="H40" s="54">
        <f>H14+H37+H4</f>
        <v>12344.379999999997</v>
      </c>
    </row>
    <row r="41" spans="2:10" ht="15.75" thickTop="1" x14ac:dyDescent="0.25">
      <c r="E41" s="4"/>
      <c r="F41" s="30"/>
      <c r="G41" s="4"/>
    </row>
    <row r="42" spans="2:10" x14ac:dyDescent="0.25">
      <c r="F42" s="22"/>
    </row>
    <row r="53" spans="5:5" x14ac:dyDescent="0.25">
      <c r="E53" s="12"/>
    </row>
    <row r="68" spans="5:7" x14ac:dyDescent="0.25">
      <c r="E68" s="12"/>
    </row>
    <row r="70" spans="5:7" x14ac:dyDescent="0.25">
      <c r="E70" s="12"/>
    </row>
    <row r="73" spans="5:7" x14ac:dyDescent="0.25">
      <c r="G73" s="12"/>
    </row>
    <row r="85" spans="5:7" x14ac:dyDescent="0.25">
      <c r="E85" s="12"/>
      <c r="G85" s="12"/>
    </row>
    <row r="108" spans="5:7" x14ac:dyDescent="0.25">
      <c r="E108" s="12"/>
      <c r="G108" s="12"/>
    </row>
    <row r="119" spans="7:7" x14ac:dyDescent="0.25">
      <c r="G119" s="12"/>
    </row>
    <row r="125" spans="7:7" x14ac:dyDescent="0.25">
      <c r="G125" s="12"/>
    </row>
    <row r="135" spans="5:7" x14ac:dyDescent="0.25">
      <c r="E135" s="12"/>
    </row>
    <row r="136" spans="5:7" x14ac:dyDescent="0.25">
      <c r="E136" s="12"/>
    </row>
    <row r="140" spans="5:7" x14ac:dyDescent="0.25">
      <c r="E140" s="12"/>
      <c r="G140" s="12"/>
    </row>
    <row r="143" spans="5:7" x14ac:dyDescent="0.25">
      <c r="E143" s="12"/>
      <c r="G143" s="12"/>
    </row>
    <row r="145" spans="3:13" x14ac:dyDescent="0.25">
      <c r="E145" s="12"/>
      <c r="G145" s="12"/>
    </row>
    <row r="146" spans="3:13" x14ac:dyDescent="0.25">
      <c r="C146" s="12"/>
      <c r="E146" s="12"/>
      <c r="K146" s="12"/>
      <c r="M146" s="12"/>
    </row>
  </sheetData>
  <mergeCells count="2">
    <mergeCell ref="A1:H1"/>
    <mergeCell ref="A2:H2"/>
  </mergeCells>
  <printOptions horizontalCentered="1"/>
  <pageMargins left="0.7" right="0.7" top="0.75" bottom="0.75" header="0.3" footer="0.3"/>
  <pageSetup scale="97" orientation="portrait" r:id="rId1"/>
  <ignoredErrors>
    <ignoredError sqref="F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6"/>
  <sheetViews>
    <sheetView workbookViewId="0">
      <selection activeCell="I23" sqref="I23"/>
    </sheetView>
  </sheetViews>
  <sheetFormatPr defaultRowHeight="15" x14ac:dyDescent="0.25"/>
  <cols>
    <col min="1" max="1" width="9.140625" style="1"/>
    <col min="2" max="2" width="20.85546875" style="1" customWidth="1"/>
    <col min="3" max="3" width="16.140625" style="1" customWidth="1"/>
    <col min="4" max="4" width="22.7109375" style="1" customWidth="1"/>
    <col min="5" max="5" width="17.28515625" style="1" customWidth="1"/>
    <col min="6" max="6" width="14.42578125" style="1" customWidth="1"/>
    <col min="7" max="7" width="15" style="1" bestFit="1" customWidth="1"/>
    <col min="8" max="8" width="10.28515625" style="1" customWidth="1"/>
    <col min="9" max="16384" width="9.140625" style="1"/>
  </cols>
  <sheetData>
    <row r="1" spans="2:7" ht="21" x14ac:dyDescent="0.25">
      <c r="B1" s="71" t="s">
        <v>54</v>
      </c>
      <c r="C1" s="72"/>
      <c r="D1" s="72"/>
      <c r="E1" s="72"/>
      <c r="F1" s="72"/>
      <c r="G1" s="72"/>
    </row>
    <row r="2" spans="2:7" ht="21" x14ac:dyDescent="0.25">
      <c r="B2" s="71" t="s">
        <v>119</v>
      </c>
      <c r="C2" s="72"/>
      <c r="D2" s="72"/>
      <c r="E2" s="72"/>
      <c r="F2" s="72"/>
      <c r="G2" s="72"/>
    </row>
    <row r="3" spans="2:7" ht="21" x14ac:dyDescent="0.25">
      <c r="B3" s="47"/>
      <c r="C3" s="48"/>
      <c r="D3" s="48"/>
      <c r="E3" s="48"/>
      <c r="F3" s="48"/>
      <c r="G3" s="48"/>
    </row>
    <row r="4" spans="2:7" x14ac:dyDescent="0.25">
      <c r="C4" s="1" t="s">
        <v>122</v>
      </c>
      <c r="E4" s="4"/>
      <c r="F4" s="27">
        <v>8941.41</v>
      </c>
    </row>
    <row r="5" spans="2:7" x14ac:dyDescent="0.25">
      <c r="E5" s="29"/>
    </row>
    <row r="6" spans="2:7" x14ac:dyDescent="0.25">
      <c r="B6" s="15" t="s">
        <v>16</v>
      </c>
      <c r="E6" s="29"/>
    </row>
    <row r="7" spans="2:7" x14ac:dyDescent="0.25">
      <c r="B7" s="1" t="s">
        <v>98</v>
      </c>
      <c r="F7" s="22">
        <v>199274.07</v>
      </c>
      <c r="G7" s="3"/>
    </row>
    <row r="8" spans="2:7" x14ac:dyDescent="0.25">
      <c r="B8" s="1" t="s">
        <v>44</v>
      </c>
      <c r="F8" s="22">
        <v>27.29</v>
      </c>
      <c r="G8" s="3"/>
    </row>
    <row r="9" spans="2:7" x14ac:dyDescent="0.25">
      <c r="B9" s="1" t="s">
        <v>0</v>
      </c>
      <c r="F9" s="22">
        <v>6568.85</v>
      </c>
      <c r="G9" s="3"/>
    </row>
    <row r="10" spans="2:7" x14ac:dyDescent="0.25">
      <c r="B10" s="1" t="s">
        <v>105</v>
      </c>
      <c r="F10" s="22">
        <v>15803.91</v>
      </c>
      <c r="G10" s="3"/>
    </row>
    <row r="11" spans="2:7" x14ac:dyDescent="0.25">
      <c r="B11" s="1" t="s">
        <v>104</v>
      </c>
      <c r="F11" s="22">
        <v>5000</v>
      </c>
      <c r="G11" s="3"/>
    </row>
    <row r="12" spans="2:7" ht="15.75" customHeight="1" x14ac:dyDescent="0.25">
      <c r="D12" s="1" t="s">
        <v>55</v>
      </c>
      <c r="E12" s="4"/>
      <c r="F12" s="37">
        <f>SUM(F7:F11)</f>
        <v>226674.12000000002</v>
      </c>
      <c r="G12" s="3"/>
    </row>
    <row r="13" spans="2:7" x14ac:dyDescent="0.25">
      <c r="E13" s="29"/>
      <c r="F13" s="3"/>
      <c r="G13" s="3"/>
    </row>
    <row r="14" spans="2:7" x14ac:dyDescent="0.25">
      <c r="B14" s="15" t="s">
        <v>32</v>
      </c>
      <c r="E14" s="29"/>
      <c r="F14" s="3"/>
      <c r="G14" s="3"/>
    </row>
    <row r="15" spans="2:7" x14ac:dyDescent="0.25">
      <c r="B15" s="1" t="s">
        <v>56</v>
      </c>
      <c r="E15" s="4"/>
      <c r="F15" s="22"/>
      <c r="G15" s="3"/>
    </row>
    <row r="16" spans="2:7" x14ac:dyDescent="0.25">
      <c r="C16" s="19" t="s">
        <v>72</v>
      </c>
      <c r="D16" s="19"/>
      <c r="E16" s="22">
        <v>18945.599999999999</v>
      </c>
      <c r="F16" s="22"/>
      <c r="G16" s="3"/>
    </row>
    <row r="17" spans="2:7" x14ac:dyDescent="0.25">
      <c r="C17" s="19" t="s">
        <v>73</v>
      </c>
      <c r="D17" s="19"/>
      <c r="E17" s="22">
        <f>2481.42+11496.8+18711.17+245-1613.6+8941.41+611.48</f>
        <v>40873.68</v>
      </c>
      <c r="F17" s="22"/>
      <c r="G17" s="3"/>
    </row>
    <row r="18" spans="2:7" x14ac:dyDescent="0.25">
      <c r="C18" s="19" t="s">
        <v>117</v>
      </c>
      <c r="D18" s="49"/>
      <c r="E18" s="33">
        <v>19164.39</v>
      </c>
      <c r="F18" s="33"/>
      <c r="G18" s="3"/>
    </row>
    <row r="19" spans="2:7" x14ac:dyDescent="0.25">
      <c r="C19" s="19"/>
      <c r="D19" s="1" t="s">
        <v>74</v>
      </c>
      <c r="E19" s="3"/>
      <c r="F19" s="22">
        <f>E16+E17-E18</f>
        <v>40654.89</v>
      </c>
      <c r="G19" s="3"/>
    </row>
    <row r="20" spans="2:7" x14ac:dyDescent="0.25">
      <c r="B20" s="1" t="s">
        <v>116</v>
      </c>
      <c r="E20" s="3"/>
      <c r="F20" s="30">
        <v>44476</v>
      </c>
      <c r="G20" s="3"/>
    </row>
    <row r="21" spans="2:7" x14ac:dyDescent="0.25">
      <c r="B21" s="1" t="s">
        <v>68</v>
      </c>
      <c r="F21" s="30">
        <v>3866.13</v>
      </c>
      <c r="G21" s="3"/>
    </row>
    <row r="22" spans="2:7" x14ac:dyDescent="0.25">
      <c r="B22" s="1" t="s">
        <v>18</v>
      </c>
      <c r="F22" s="30">
        <v>3489.26</v>
      </c>
      <c r="G22" s="3"/>
    </row>
    <row r="23" spans="2:7" x14ac:dyDescent="0.25">
      <c r="B23" s="1" t="s">
        <v>83</v>
      </c>
      <c r="F23" s="30">
        <f>1706.32+7039.35+50+268.35</f>
        <v>9064.02</v>
      </c>
      <c r="G23" s="3"/>
    </row>
    <row r="24" spans="2:7" x14ac:dyDescent="0.25">
      <c r="B24" s="1" t="s">
        <v>84</v>
      </c>
      <c r="F24" s="30">
        <f>33705.05+5241.86+280.15</f>
        <v>39227.060000000005</v>
      </c>
      <c r="G24" s="3"/>
    </row>
    <row r="25" spans="2:7" x14ac:dyDescent="0.25">
      <c r="B25" s="1" t="s">
        <v>67</v>
      </c>
      <c r="F25" s="30">
        <v>35565.4</v>
      </c>
      <c r="G25" s="3"/>
    </row>
    <row r="26" spans="2:7" x14ac:dyDescent="0.25">
      <c r="B26" s="1" t="s">
        <v>114</v>
      </c>
      <c r="F26" s="30">
        <f>9254+665+185+80</f>
        <v>10184</v>
      </c>
      <c r="G26" s="3"/>
    </row>
    <row r="27" spans="2:7" x14ac:dyDescent="0.25">
      <c r="B27" s="1" t="s">
        <v>66</v>
      </c>
      <c r="F27" s="30">
        <v>9462.5</v>
      </c>
      <c r="G27" s="3"/>
    </row>
    <row r="28" spans="2:7" x14ac:dyDescent="0.25">
      <c r="B28" s="1" t="s">
        <v>57</v>
      </c>
      <c r="F28" s="30">
        <v>1460</v>
      </c>
      <c r="G28" s="3"/>
    </row>
    <row r="29" spans="2:7" x14ac:dyDescent="0.25">
      <c r="B29" s="1" t="s">
        <v>58</v>
      </c>
      <c r="F29" s="30">
        <v>222</v>
      </c>
      <c r="G29" s="3"/>
    </row>
    <row r="30" spans="2:7" x14ac:dyDescent="0.25">
      <c r="B30" s="1" t="s">
        <v>60</v>
      </c>
      <c r="F30" s="30">
        <v>354.22</v>
      </c>
      <c r="G30" s="3"/>
    </row>
    <row r="31" spans="2:7" x14ac:dyDescent="0.25">
      <c r="B31" s="1" t="s">
        <v>70</v>
      </c>
      <c r="F31" s="30">
        <v>17737</v>
      </c>
      <c r="G31" s="3"/>
    </row>
    <row r="32" spans="2:7" hidden="1" x14ac:dyDescent="0.25">
      <c r="B32" s="1" t="s">
        <v>97</v>
      </c>
      <c r="F32" s="30"/>
      <c r="G32" s="3"/>
    </row>
    <row r="33" spans="2:11" x14ac:dyDescent="0.25">
      <c r="B33" s="1" t="s">
        <v>112</v>
      </c>
      <c r="F33" s="30">
        <v>959.4</v>
      </c>
      <c r="G33" s="3"/>
    </row>
    <row r="34" spans="2:11" x14ac:dyDescent="0.25">
      <c r="B34" s="1" t="s">
        <v>69</v>
      </c>
      <c r="F34" s="30">
        <v>6742</v>
      </c>
      <c r="G34" s="3"/>
    </row>
    <row r="35" spans="2:11" x14ac:dyDescent="0.25">
      <c r="B35" s="1" t="s">
        <v>38</v>
      </c>
      <c r="F35" s="30">
        <v>1402.29</v>
      </c>
      <c r="G35" s="3"/>
    </row>
    <row r="36" spans="2:11" x14ac:dyDescent="0.25">
      <c r="B36" s="1" t="s">
        <v>61</v>
      </c>
      <c r="F36" s="30">
        <v>1862.63</v>
      </c>
      <c r="G36" s="3"/>
    </row>
    <row r="37" spans="2:11" x14ac:dyDescent="0.25">
      <c r="B37" s="1" t="s">
        <v>2</v>
      </c>
      <c r="F37" s="30">
        <v>858.36</v>
      </c>
      <c r="G37" s="3"/>
    </row>
    <row r="38" spans="2:11" x14ac:dyDescent="0.25">
      <c r="B38" s="1" t="s">
        <v>103</v>
      </c>
      <c r="F38" s="30">
        <v>3306</v>
      </c>
      <c r="G38" s="3"/>
    </row>
    <row r="39" spans="2:11" x14ac:dyDescent="0.25">
      <c r="D39" s="1" t="s">
        <v>62</v>
      </c>
      <c r="E39" s="4"/>
      <c r="F39" s="37">
        <f>SUM(F19:F38)</f>
        <v>230893.16</v>
      </c>
      <c r="G39" s="3"/>
    </row>
    <row r="40" spans="2:11" x14ac:dyDescent="0.25">
      <c r="E40" s="29"/>
    </row>
    <row r="41" spans="2:11" x14ac:dyDescent="0.25">
      <c r="D41" s="3" t="s">
        <v>123</v>
      </c>
      <c r="E41" s="4"/>
      <c r="F41" s="27">
        <f>F12-F39+F4</f>
        <v>4722.3700000000208</v>
      </c>
      <c r="H41" s="70"/>
    </row>
    <row r="42" spans="2:11" x14ac:dyDescent="0.25">
      <c r="E42" s="29"/>
    </row>
    <row r="43" spans="2:11" x14ac:dyDescent="0.25">
      <c r="E43" s="29"/>
      <c r="F43" s="3"/>
      <c r="G43" s="3"/>
      <c r="K43" s="10"/>
    </row>
    <row r="44" spans="2:11" x14ac:dyDescent="0.25">
      <c r="E44" s="29"/>
      <c r="G44" s="10"/>
    </row>
    <row r="45" spans="2:11" x14ac:dyDescent="0.25">
      <c r="E45" s="29"/>
    </row>
    <row r="46" spans="2:11" x14ac:dyDescent="0.25">
      <c r="E46" s="29"/>
    </row>
    <row r="47" spans="2:11" x14ac:dyDescent="0.25">
      <c r="F47" s="29"/>
    </row>
    <row r="51" spans="5:7" x14ac:dyDescent="0.25">
      <c r="E51" s="29"/>
    </row>
    <row r="52" spans="5:7" x14ac:dyDescent="0.25">
      <c r="G52" s="1" t="s">
        <v>71</v>
      </c>
    </row>
    <row r="53" spans="5:7" x14ac:dyDescent="0.25">
      <c r="E53" s="12"/>
      <c r="F53" s="12"/>
      <c r="G53" s="12"/>
    </row>
    <row r="68" spans="5:7" x14ac:dyDescent="0.25">
      <c r="E68" s="12"/>
      <c r="F68" s="12"/>
    </row>
    <row r="70" spans="5:7" x14ac:dyDescent="0.25">
      <c r="E70" s="12"/>
      <c r="F70" s="12"/>
    </row>
    <row r="73" spans="5:7" x14ac:dyDescent="0.25">
      <c r="F73" s="12"/>
      <c r="G73" s="12"/>
    </row>
    <row r="85" spans="5:7" x14ac:dyDescent="0.25">
      <c r="E85" s="12"/>
      <c r="G85" s="12"/>
    </row>
    <row r="108" spans="5:7" x14ac:dyDescent="0.25">
      <c r="E108" s="12"/>
      <c r="F108" s="12"/>
      <c r="G108" s="12"/>
    </row>
    <row r="119" spans="6:7" x14ac:dyDescent="0.25">
      <c r="F119" s="12"/>
      <c r="G119" s="12"/>
    </row>
    <row r="125" spans="6:7" x14ac:dyDescent="0.25">
      <c r="F125" s="12"/>
      <c r="G125" s="12"/>
    </row>
    <row r="135" spans="5:7" x14ac:dyDescent="0.25">
      <c r="E135" s="12"/>
      <c r="F135" s="12"/>
    </row>
    <row r="136" spans="5:7" x14ac:dyDescent="0.25">
      <c r="E136" s="12"/>
      <c r="F136" s="12"/>
    </row>
    <row r="140" spans="5:7" x14ac:dyDescent="0.25">
      <c r="E140" s="12"/>
      <c r="G140" s="12"/>
    </row>
    <row r="143" spans="5:7" x14ac:dyDescent="0.25">
      <c r="E143" s="12"/>
      <c r="G143" s="12"/>
    </row>
    <row r="145" spans="5:7" x14ac:dyDescent="0.25">
      <c r="E145" s="12"/>
      <c r="F145" s="12"/>
      <c r="G145" s="12"/>
    </row>
    <row r="146" spans="5:7" x14ac:dyDescent="0.25">
      <c r="E146" s="12"/>
    </row>
  </sheetData>
  <mergeCells count="2">
    <mergeCell ref="B1:G1"/>
    <mergeCell ref="B2:G2"/>
  </mergeCells>
  <printOptions horizontalCentered="1"/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F24" sqref="F24"/>
    </sheetView>
  </sheetViews>
  <sheetFormatPr defaultRowHeight="15" x14ac:dyDescent="0.25"/>
  <cols>
    <col min="1" max="1" width="8.7109375" style="1" customWidth="1"/>
    <col min="2" max="2" width="18.42578125" style="1" customWidth="1"/>
    <col min="3" max="3" width="29.42578125" style="1" customWidth="1"/>
    <col min="4" max="4" width="14" style="1" customWidth="1"/>
    <col min="5" max="6" width="11.5703125" style="1" bestFit="1" customWidth="1"/>
    <col min="7" max="7" width="11.42578125" style="1" customWidth="1"/>
    <col min="8" max="8" width="10.5703125" style="1" bestFit="1" customWidth="1"/>
    <col min="9" max="9" width="19.85546875" style="1" bestFit="1" customWidth="1"/>
    <col min="10" max="16384" width="9.140625" style="1"/>
  </cols>
  <sheetData>
    <row r="1" spans="1:8" ht="21" customHeight="1" x14ac:dyDescent="0.25">
      <c r="A1" s="77" t="s">
        <v>15</v>
      </c>
      <c r="B1" s="78"/>
      <c r="C1" s="78"/>
      <c r="D1" s="78"/>
      <c r="E1" s="78"/>
      <c r="F1" s="41"/>
    </row>
    <row r="2" spans="1:8" ht="21" customHeight="1" x14ac:dyDescent="0.35">
      <c r="A2" s="79" t="s">
        <v>119</v>
      </c>
      <c r="B2" s="80"/>
      <c r="C2" s="80"/>
      <c r="D2" s="80"/>
      <c r="E2" s="80"/>
      <c r="F2" s="43"/>
    </row>
    <row r="4" spans="1:8" x14ac:dyDescent="0.25">
      <c r="B4" s="20" t="s">
        <v>34</v>
      </c>
      <c r="C4" s="24">
        <v>43466</v>
      </c>
      <c r="D4" s="8">
        <v>2148.16</v>
      </c>
      <c r="F4" s="7"/>
    </row>
    <row r="5" spans="1:8" x14ac:dyDescent="0.25">
      <c r="B5" s="20"/>
      <c r="C5" s="25"/>
      <c r="D5" s="8"/>
      <c r="E5" s="7"/>
      <c r="F5" s="7"/>
    </row>
    <row r="6" spans="1:8" x14ac:dyDescent="0.25">
      <c r="B6" s="20" t="s">
        <v>16</v>
      </c>
      <c r="C6" s="25"/>
      <c r="D6" s="8"/>
      <c r="E6" s="7"/>
      <c r="F6" s="7"/>
    </row>
    <row r="7" spans="1:8" x14ac:dyDescent="0.25">
      <c r="C7" s="1" t="s">
        <v>5</v>
      </c>
      <c r="D7" s="22">
        <v>39000</v>
      </c>
      <c r="E7" s="7"/>
      <c r="F7" s="7"/>
    </row>
    <row r="8" spans="1:8" x14ac:dyDescent="0.25">
      <c r="C8" s="1" t="s">
        <v>107</v>
      </c>
      <c r="D8" s="22">
        <v>1452</v>
      </c>
      <c r="E8" s="7"/>
      <c r="F8" s="7"/>
    </row>
    <row r="9" spans="1:8" x14ac:dyDescent="0.25">
      <c r="B9" s="26"/>
      <c r="C9" s="1" t="s">
        <v>79</v>
      </c>
      <c r="D9" s="22">
        <v>4158</v>
      </c>
      <c r="E9" s="7"/>
      <c r="G9" s="7"/>
    </row>
    <row r="10" spans="1:8" x14ac:dyDescent="0.25">
      <c r="B10" s="26"/>
      <c r="C10" s="1" t="s">
        <v>44</v>
      </c>
      <c r="D10" s="22">
        <v>13.71</v>
      </c>
      <c r="E10" s="7"/>
      <c r="F10" s="7"/>
    </row>
    <row r="11" spans="1:8" ht="15.75" thickBot="1" x14ac:dyDescent="0.3">
      <c r="B11" s="26"/>
      <c r="C11" s="1" t="s">
        <v>90</v>
      </c>
      <c r="D11" s="22">
        <v>1704.05</v>
      </c>
      <c r="F11" s="7"/>
    </row>
    <row r="12" spans="1:8" ht="15.75" thickTop="1" x14ac:dyDescent="0.25">
      <c r="B12" s="20" t="s">
        <v>6</v>
      </c>
      <c r="D12" s="46">
        <f>SUM(D7:D11)</f>
        <v>46327.76</v>
      </c>
      <c r="E12" s="7"/>
      <c r="F12" s="7"/>
    </row>
    <row r="13" spans="1:8" x14ac:dyDescent="0.25">
      <c r="B13" s="26"/>
      <c r="D13" s="8"/>
      <c r="E13" s="7"/>
      <c r="F13" s="7"/>
    </row>
    <row r="14" spans="1:8" x14ac:dyDescent="0.25">
      <c r="B14" s="20" t="s">
        <v>32</v>
      </c>
      <c r="D14" s="8"/>
      <c r="E14" s="7"/>
      <c r="F14" s="7"/>
    </row>
    <row r="15" spans="1:8" x14ac:dyDescent="0.25">
      <c r="B15" s="20"/>
      <c r="C15" s="1" t="s">
        <v>18</v>
      </c>
      <c r="D15" s="22">
        <f>8409.53+500+250</f>
        <v>9159.5300000000007</v>
      </c>
      <c r="F15" s="7"/>
      <c r="H15" s="10"/>
    </row>
    <row r="16" spans="1:8" x14ac:dyDescent="0.25">
      <c r="B16" s="20"/>
      <c r="C16" s="1" t="s">
        <v>63</v>
      </c>
      <c r="D16" s="22">
        <v>5000</v>
      </c>
      <c r="E16" s="7"/>
      <c r="F16" s="7"/>
    </row>
    <row r="17" spans="2:11" x14ac:dyDescent="0.25">
      <c r="B17" s="26"/>
      <c r="C17" s="1" t="s">
        <v>29</v>
      </c>
      <c r="D17" s="22">
        <v>2600</v>
      </c>
      <c r="E17" s="7"/>
      <c r="F17" s="7"/>
    </row>
    <row r="18" spans="2:11" x14ac:dyDescent="0.25">
      <c r="B18" s="26"/>
      <c r="C18" s="1" t="s">
        <v>17</v>
      </c>
      <c r="D18" s="22">
        <v>23200</v>
      </c>
      <c r="E18" s="7"/>
      <c r="F18" s="7"/>
    </row>
    <row r="19" spans="2:11" x14ac:dyDescent="0.25">
      <c r="B19" s="26"/>
      <c r="C19" s="1" t="s">
        <v>65</v>
      </c>
      <c r="D19" s="22">
        <v>786.8</v>
      </c>
      <c r="E19" s="7"/>
      <c r="F19" s="7"/>
    </row>
    <row r="20" spans="2:11" x14ac:dyDescent="0.25">
      <c r="B20" s="26"/>
      <c r="C20" s="1" t="s">
        <v>8</v>
      </c>
      <c r="D20" s="22">
        <f>1080.12+429.6</f>
        <v>1509.7199999999998</v>
      </c>
      <c r="E20" s="7"/>
      <c r="F20" s="7"/>
    </row>
    <row r="21" spans="2:11" ht="15.75" thickBot="1" x14ac:dyDescent="0.3">
      <c r="B21" s="26"/>
      <c r="C21" s="1" t="s">
        <v>30</v>
      </c>
      <c r="D21" s="10">
        <v>5000</v>
      </c>
      <c r="E21" s="7"/>
      <c r="F21" s="7"/>
    </row>
    <row r="22" spans="2:11" ht="15.75" thickTop="1" x14ac:dyDescent="0.25">
      <c r="B22" s="20" t="s">
        <v>19</v>
      </c>
      <c r="D22" s="46">
        <f>SUM(D15:D21)</f>
        <v>47256.05</v>
      </c>
      <c r="E22" s="7"/>
      <c r="F22" s="7"/>
    </row>
    <row r="23" spans="2:11" x14ac:dyDescent="0.25">
      <c r="B23" s="20"/>
      <c r="D23" s="8"/>
      <c r="E23" s="7"/>
      <c r="F23" s="7"/>
    </row>
    <row r="24" spans="2:11" ht="15.75" thickBot="1" x14ac:dyDescent="0.3">
      <c r="B24" s="20" t="s">
        <v>31</v>
      </c>
      <c r="C24" s="24">
        <v>43830</v>
      </c>
      <c r="D24" s="35">
        <f>SUM(D4+D12-D22)</f>
        <v>1219.8699999999953</v>
      </c>
      <c r="E24" s="7"/>
      <c r="F24" s="7"/>
      <c r="G24" s="3"/>
      <c r="I24" s="10"/>
      <c r="K24" s="7"/>
    </row>
    <row r="25" spans="2:11" ht="15.75" thickTop="1" x14ac:dyDescent="0.25">
      <c r="D25" s="8"/>
      <c r="E25" s="7"/>
      <c r="F25" s="7"/>
    </row>
    <row r="26" spans="2:11" x14ac:dyDescent="0.25">
      <c r="D26" s="8"/>
      <c r="E26" s="7"/>
      <c r="F26" s="7"/>
    </row>
    <row r="27" spans="2:11" x14ac:dyDescent="0.25">
      <c r="D27" s="8"/>
      <c r="E27" s="7"/>
      <c r="F27" s="7"/>
    </row>
    <row r="28" spans="2:11" x14ac:dyDescent="0.25">
      <c r="D28" s="8"/>
      <c r="E28" s="7"/>
      <c r="F28" s="7"/>
    </row>
    <row r="29" spans="2:11" x14ac:dyDescent="0.25">
      <c r="D29" s="8"/>
      <c r="E29" s="7"/>
      <c r="F29" s="7"/>
    </row>
    <row r="30" spans="2:11" x14ac:dyDescent="0.25">
      <c r="D30" s="8"/>
      <c r="E30" s="7"/>
      <c r="F30" s="7"/>
    </row>
    <row r="31" spans="2:11" x14ac:dyDescent="0.25">
      <c r="D31" s="8"/>
      <c r="E31" s="7"/>
      <c r="F31" s="7"/>
    </row>
    <row r="32" spans="2:11" x14ac:dyDescent="0.25">
      <c r="D32" s="8"/>
      <c r="E32" s="7"/>
      <c r="F32" s="7"/>
    </row>
    <row r="33" spans="4:6" x14ac:dyDescent="0.25">
      <c r="D33" s="8"/>
      <c r="E33" s="7"/>
      <c r="F33" s="7"/>
    </row>
    <row r="34" spans="4:6" x14ac:dyDescent="0.25">
      <c r="D34" s="8"/>
      <c r="E34" s="7"/>
      <c r="F34" s="7"/>
    </row>
    <row r="35" spans="4:6" x14ac:dyDescent="0.25">
      <c r="D35" s="8"/>
      <c r="E35" s="7"/>
      <c r="F35" s="7"/>
    </row>
    <row r="36" spans="4:6" x14ac:dyDescent="0.25">
      <c r="D36" s="8"/>
      <c r="E36" s="7"/>
      <c r="F36" s="7"/>
    </row>
    <row r="37" spans="4:6" x14ac:dyDescent="0.25">
      <c r="D37" s="8"/>
      <c r="E37" s="7"/>
      <c r="F37" s="7"/>
    </row>
    <row r="38" spans="4:6" x14ac:dyDescent="0.25">
      <c r="D38" s="8"/>
      <c r="E38" s="7"/>
      <c r="F38" s="7"/>
    </row>
    <row r="39" spans="4:6" x14ac:dyDescent="0.25">
      <c r="D39" s="8"/>
      <c r="E39" s="7"/>
      <c r="F39" s="7"/>
    </row>
    <row r="40" spans="4:6" x14ac:dyDescent="0.25">
      <c r="D40" s="8"/>
      <c r="E40" s="7"/>
      <c r="F40" s="7"/>
    </row>
    <row r="41" spans="4:6" x14ac:dyDescent="0.25">
      <c r="D41" s="8"/>
      <c r="E41" s="7"/>
      <c r="F41" s="7"/>
    </row>
    <row r="42" spans="4:6" x14ac:dyDescent="0.25">
      <c r="D42" s="8"/>
      <c r="E42" s="7"/>
      <c r="F42" s="7"/>
    </row>
    <row r="43" spans="4:6" x14ac:dyDescent="0.25">
      <c r="D43" s="8"/>
      <c r="E43" s="7"/>
      <c r="F43" s="7"/>
    </row>
    <row r="44" spans="4:6" x14ac:dyDescent="0.25">
      <c r="D44" s="8"/>
      <c r="E44" s="7"/>
      <c r="F44" s="7"/>
    </row>
    <row r="45" spans="4:6" x14ac:dyDescent="0.25">
      <c r="D45" s="8"/>
      <c r="E45" s="7"/>
      <c r="F45" s="7"/>
    </row>
    <row r="46" spans="4:6" x14ac:dyDescent="0.25">
      <c r="D46" s="8"/>
      <c r="E46" s="7"/>
      <c r="F46" s="7"/>
    </row>
    <row r="47" spans="4:6" x14ac:dyDescent="0.25">
      <c r="D47" s="8"/>
      <c r="E47" s="7"/>
      <c r="F47" s="7"/>
    </row>
    <row r="48" spans="4:6" x14ac:dyDescent="0.25">
      <c r="D48" s="8"/>
      <c r="E48" s="7"/>
      <c r="F48" s="7"/>
    </row>
    <row r="49" spans="2:6" x14ac:dyDescent="0.25">
      <c r="D49" s="8"/>
      <c r="E49" s="7"/>
      <c r="F49" s="7"/>
    </row>
    <row r="50" spans="2:6" x14ac:dyDescent="0.25">
      <c r="D50" s="7"/>
      <c r="E50" s="7"/>
      <c r="F50" s="7"/>
    </row>
    <row r="51" spans="2:6" x14ac:dyDescent="0.25">
      <c r="D51" s="7"/>
      <c r="E51" s="7"/>
      <c r="F51" s="7"/>
    </row>
    <row r="52" spans="2:6" x14ac:dyDescent="0.25">
      <c r="D52" s="7"/>
      <c r="E52" s="7"/>
      <c r="F52" s="7"/>
    </row>
    <row r="53" spans="2:6" x14ac:dyDescent="0.25">
      <c r="D53" s="7"/>
      <c r="E53" s="7"/>
      <c r="F53" s="7"/>
    </row>
    <row r="54" spans="2:6" x14ac:dyDescent="0.25">
      <c r="D54" s="7"/>
      <c r="E54" s="7"/>
      <c r="F54" s="7"/>
    </row>
    <row r="55" spans="2:6" x14ac:dyDescent="0.25">
      <c r="D55" s="7"/>
      <c r="E55" s="7"/>
      <c r="F55" s="7"/>
    </row>
    <row r="56" spans="2:6" ht="21" x14ac:dyDescent="0.25">
      <c r="B56" s="45"/>
      <c r="C56" s="45"/>
      <c r="D56" s="7"/>
      <c r="E56" s="7"/>
      <c r="F56" s="7"/>
    </row>
  </sheetData>
  <mergeCells count="2">
    <mergeCell ref="A1:E1"/>
    <mergeCell ref="A2:E2"/>
  </mergeCells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5"/>
  <sheetViews>
    <sheetView workbookViewId="0">
      <selection activeCell="J32" sqref="J32"/>
    </sheetView>
  </sheetViews>
  <sheetFormatPr defaultRowHeight="15" x14ac:dyDescent="0.25"/>
  <cols>
    <col min="1" max="1" width="5.140625" style="1" customWidth="1"/>
    <col min="2" max="2" width="9.140625" style="1"/>
    <col min="3" max="3" width="18.42578125" style="1" customWidth="1"/>
    <col min="4" max="4" width="8.5703125" style="1" hidden="1" customWidth="1"/>
    <col min="5" max="5" width="15" style="1" customWidth="1"/>
    <col min="6" max="6" width="17.5703125" style="1" customWidth="1"/>
    <col min="7" max="8" width="11.5703125" style="1" bestFit="1" customWidth="1"/>
    <col min="9" max="10" width="9.140625" style="1"/>
    <col min="11" max="11" width="18" style="1" customWidth="1"/>
    <col min="12" max="12" width="17.42578125" style="1" customWidth="1"/>
    <col min="13" max="13" width="17" style="1" customWidth="1"/>
    <col min="14" max="14" width="19.85546875" style="1" bestFit="1" customWidth="1"/>
    <col min="15" max="16384" width="9.140625" style="1"/>
  </cols>
  <sheetData>
    <row r="1" spans="2:12" ht="21" x14ac:dyDescent="0.25">
      <c r="B1" s="71" t="s">
        <v>77</v>
      </c>
      <c r="C1" s="72"/>
      <c r="D1" s="72"/>
      <c r="E1" s="72"/>
      <c r="F1" s="72"/>
      <c r="G1" s="72"/>
      <c r="H1" s="72"/>
      <c r="L1" s="5"/>
    </row>
    <row r="2" spans="2:12" ht="16.5" x14ac:dyDescent="0.35">
      <c r="B2" s="79" t="s">
        <v>119</v>
      </c>
      <c r="C2" s="81"/>
      <c r="D2" s="81"/>
      <c r="E2" s="81"/>
      <c r="F2" s="81"/>
      <c r="G2" s="80"/>
      <c r="H2" s="80"/>
      <c r="L2" s="42"/>
    </row>
    <row r="4" spans="2:12" x14ac:dyDescent="0.25">
      <c r="C4" s="20" t="s">
        <v>118</v>
      </c>
      <c r="F4" s="5"/>
      <c r="G4" s="5"/>
      <c r="H4" s="10">
        <v>4960.96</v>
      </c>
    </row>
    <row r="5" spans="2:12" x14ac:dyDescent="0.25">
      <c r="C5" s="19"/>
      <c r="F5" s="18"/>
      <c r="G5" s="18"/>
      <c r="H5" s="18"/>
    </row>
    <row r="6" spans="2:12" x14ac:dyDescent="0.25">
      <c r="B6" s="1" t="s">
        <v>9</v>
      </c>
      <c r="F6" s="8">
        <v>525</v>
      </c>
      <c r="H6" s="7"/>
    </row>
    <row r="7" spans="2:12" x14ac:dyDescent="0.25">
      <c r="B7" s="1" t="s">
        <v>10</v>
      </c>
      <c r="F7" s="8">
        <v>575</v>
      </c>
      <c r="G7" s="7"/>
      <c r="H7" s="7"/>
    </row>
    <row r="8" spans="2:12" x14ac:dyDescent="0.25">
      <c r="B8" s="1" t="s">
        <v>11</v>
      </c>
      <c r="F8" s="8">
        <v>125</v>
      </c>
      <c r="G8" s="7"/>
      <c r="H8" s="7"/>
    </row>
    <row r="9" spans="2:12" ht="15.75" thickBot="1" x14ac:dyDescent="0.3">
      <c r="B9" s="1" t="s">
        <v>12</v>
      </c>
      <c r="F9" s="9">
        <v>100</v>
      </c>
      <c r="G9" s="7"/>
    </row>
    <row r="10" spans="2:12" ht="15.75" thickTop="1" x14ac:dyDescent="0.25">
      <c r="C10" s="5" t="s">
        <v>13</v>
      </c>
      <c r="F10" s="8">
        <f>SUM(F6:F9)</f>
        <v>1325</v>
      </c>
    </row>
    <row r="12" spans="2:12" x14ac:dyDescent="0.25">
      <c r="C12" s="1" t="s">
        <v>33</v>
      </c>
      <c r="F12" s="8">
        <v>26.45</v>
      </c>
    </row>
    <row r="13" spans="2:12" x14ac:dyDescent="0.25">
      <c r="C13" s="1" t="s">
        <v>106</v>
      </c>
      <c r="F13" s="16">
        <v>-2155.08</v>
      </c>
    </row>
    <row r="14" spans="2:12" x14ac:dyDescent="0.25">
      <c r="F14" s="8"/>
    </row>
    <row r="15" spans="2:12" ht="15.75" thickBot="1" x14ac:dyDescent="0.3">
      <c r="C15" s="1" t="s">
        <v>149</v>
      </c>
      <c r="H15" s="52">
        <f>SUM(F10:F12)+H4+F13</f>
        <v>4157.33</v>
      </c>
    </row>
    <row r="16" spans="2:12" ht="15.75" thickTop="1" x14ac:dyDescent="0.25">
      <c r="H16" s="10"/>
    </row>
    <row r="17" spans="2:12" x14ac:dyDescent="0.25">
      <c r="B17" s="1" t="s">
        <v>75</v>
      </c>
      <c r="F17" s="8">
        <v>30000</v>
      </c>
      <c r="G17" s="11"/>
      <c r="H17" s="10"/>
      <c r="K17" s="10"/>
    </row>
    <row r="18" spans="2:12" x14ac:dyDescent="0.25">
      <c r="B18" s="1" t="s">
        <v>92</v>
      </c>
      <c r="F18" s="8">
        <v>2155.08</v>
      </c>
      <c r="G18" s="11"/>
      <c r="H18" s="10"/>
      <c r="K18" s="10"/>
    </row>
    <row r="19" spans="2:12" x14ac:dyDescent="0.25">
      <c r="B19" s="1" t="s">
        <v>120</v>
      </c>
      <c r="F19" s="8">
        <v>344.92</v>
      </c>
      <c r="G19" s="11"/>
      <c r="H19" s="10"/>
    </row>
    <row r="20" spans="2:12" ht="15.75" thickBot="1" x14ac:dyDescent="0.3">
      <c r="C20" s="5" t="s">
        <v>13</v>
      </c>
      <c r="F20" s="8"/>
      <c r="G20" s="7"/>
      <c r="H20" s="52">
        <f>SUM(F17:F19)</f>
        <v>32500</v>
      </c>
    </row>
    <row r="21" spans="2:12" ht="15.75" thickTop="1" x14ac:dyDescent="0.25">
      <c r="F21" s="7"/>
      <c r="G21" s="7"/>
      <c r="H21" s="10"/>
    </row>
    <row r="22" spans="2:12" x14ac:dyDescent="0.25">
      <c r="F22" s="7"/>
      <c r="G22" s="7"/>
      <c r="H22" s="10"/>
    </row>
    <row r="23" spans="2:12" x14ac:dyDescent="0.25">
      <c r="F23" s="7"/>
      <c r="G23" s="7"/>
      <c r="H23" s="10"/>
    </row>
    <row r="24" spans="2:12" ht="21" x14ac:dyDescent="0.25">
      <c r="B24" s="71" t="s">
        <v>49</v>
      </c>
      <c r="C24" s="72"/>
      <c r="D24" s="72"/>
      <c r="E24" s="72"/>
      <c r="F24" s="72"/>
      <c r="G24" s="72"/>
      <c r="H24" s="72"/>
      <c r="L24" s="44"/>
    </row>
    <row r="25" spans="2:12" ht="16.5" x14ac:dyDescent="0.35">
      <c r="B25" s="79" t="s">
        <v>119</v>
      </c>
      <c r="C25" s="81"/>
      <c r="D25" s="81"/>
      <c r="E25" s="81"/>
      <c r="F25" s="81"/>
      <c r="G25" s="80"/>
      <c r="H25" s="80"/>
      <c r="L25" s="44"/>
    </row>
    <row r="26" spans="2:12" x14ac:dyDescent="0.25">
      <c r="F26" s="7"/>
      <c r="G26" s="7"/>
      <c r="H26" s="10"/>
    </row>
    <row r="27" spans="2:12" x14ac:dyDescent="0.25">
      <c r="C27" s="19" t="s">
        <v>121</v>
      </c>
      <c r="F27" s="7"/>
      <c r="G27" s="10">
        <v>960.57</v>
      </c>
    </row>
    <row r="28" spans="2:12" x14ac:dyDescent="0.25">
      <c r="C28" s="19"/>
      <c r="F28" s="7"/>
      <c r="G28" s="10"/>
    </row>
    <row r="29" spans="2:12" x14ac:dyDescent="0.25">
      <c r="C29" s="1" t="s">
        <v>0</v>
      </c>
      <c r="F29" s="7"/>
      <c r="G29" s="4">
        <v>350</v>
      </c>
    </row>
    <row r="30" spans="2:12" x14ac:dyDescent="0.25">
      <c r="C30" s="1" t="s">
        <v>44</v>
      </c>
      <c r="F30" s="7"/>
      <c r="G30" s="4">
        <v>0.92</v>
      </c>
    </row>
    <row r="31" spans="2:12" x14ac:dyDescent="0.25">
      <c r="C31" s="1" t="s">
        <v>93</v>
      </c>
      <c r="F31" s="7"/>
      <c r="G31" s="10">
        <v>-1200</v>
      </c>
    </row>
    <row r="32" spans="2:12" ht="15.75" thickBot="1" x14ac:dyDescent="0.3">
      <c r="C32" s="1" t="s">
        <v>151</v>
      </c>
      <c r="D32" s="1" t="s">
        <v>14</v>
      </c>
      <c r="F32" s="7"/>
      <c r="G32" s="34">
        <f>SUM(G27:G31)</f>
        <v>111.49000000000024</v>
      </c>
    </row>
    <row r="33" spans="6:8" ht="15.75" thickTop="1" x14ac:dyDescent="0.25">
      <c r="F33" s="7"/>
      <c r="G33" s="7"/>
      <c r="H33" s="7"/>
    </row>
    <row r="34" spans="6:8" x14ac:dyDescent="0.25">
      <c r="F34" s="7"/>
      <c r="G34" s="7"/>
      <c r="H34" s="7"/>
    </row>
    <row r="35" spans="6:8" ht="21" customHeight="1" x14ac:dyDescent="0.25">
      <c r="F35" s="7"/>
      <c r="G35" s="7"/>
      <c r="H35" s="7"/>
    </row>
    <row r="36" spans="6:8" ht="21" customHeight="1" x14ac:dyDescent="0.25">
      <c r="F36" s="7"/>
      <c r="G36" s="7"/>
      <c r="H36" s="7"/>
    </row>
    <row r="37" spans="6:8" x14ac:dyDescent="0.25">
      <c r="F37" s="7"/>
      <c r="G37" s="7"/>
      <c r="H37" s="7"/>
    </row>
    <row r="38" spans="6:8" x14ac:dyDescent="0.25">
      <c r="F38" s="7"/>
      <c r="G38" s="7"/>
      <c r="H38" s="7"/>
    </row>
    <row r="39" spans="6:8" x14ac:dyDescent="0.25">
      <c r="F39" s="7"/>
      <c r="G39" s="7"/>
      <c r="H39" s="7"/>
    </row>
    <row r="40" spans="6:8" x14ac:dyDescent="0.25">
      <c r="F40" s="7"/>
      <c r="G40" s="7"/>
      <c r="H40" s="7"/>
    </row>
    <row r="41" spans="6:8" x14ac:dyDescent="0.25">
      <c r="F41" s="7"/>
      <c r="G41" s="7"/>
      <c r="H41" s="7"/>
    </row>
    <row r="42" spans="6:8" x14ac:dyDescent="0.25">
      <c r="F42" s="7"/>
      <c r="G42" s="7"/>
      <c r="H42" s="7"/>
    </row>
    <row r="43" spans="6:8" x14ac:dyDescent="0.25">
      <c r="F43" s="7"/>
      <c r="G43" s="7"/>
      <c r="H43" s="7"/>
    </row>
    <row r="44" spans="6:8" x14ac:dyDescent="0.25">
      <c r="F44" s="7"/>
      <c r="G44" s="7"/>
      <c r="H44" s="7"/>
    </row>
    <row r="45" spans="6:8" x14ac:dyDescent="0.25">
      <c r="F45" s="7"/>
      <c r="G45" s="7"/>
      <c r="H45" s="7"/>
    </row>
    <row r="46" spans="6:8" x14ac:dyDescent="0.25">
      <c r="F46" s="7"/>
      <c r="G46" s="7"/>
      <c r="H46" s="7"/>
    </row>
    <row r="47" spans="6:8" x14ac:dyDescent="0.25">
      <c r="F47" s="7"/>
      <c r="G47" s="7"/>
      <c r="H47" s="7"/>
    </row>
    <row r="48" spans="6:8" x14ac:dyDescent="0.25">
      <c r="F48" s="7"/>
      <c r="G48" s="7"/>
      <c r="H48" s="7"/>
    </row>
    <row r="49" spans="6:8" x14ac:dyDescent="0.25">
      <c r="F49" s="7"/>
      <c r="G49" s="7"/>
      <c r="H49" s="7"/>
    </row>
    <row r="50" spans="6:8" x14ac:dyDescent="0.25">
      <c r="F50" s="7"/>
      <c r="G50" s="7"/>
      <c r="H50" s="7"/>
    </row>
    <row r="51" spans="6:8" x14ac:dyDescent="0.25">
      <c r="F51" s="7"/>
      <c r="G51" s="7"/>
      <c r="H51" s="7"/>
    </row>
    <row r="52" spans="6:8" x14ac:dyDescent="0.25">
      <c r="F52" s="7"/>
      <c r="G52" s="7"/>
      <c r="H52" s="7"/>
    </row>
    <row r="53" spans="6:8" x14ac:dyDescent="0.25">
      <c r="F53" s="7"/>
      <c r="G53" s="7"/>
      <c r="H53" s="7"/>
    </row>
    <row r="54" spans="6:8" x14ac:dyDescent="0.25">
      <c r="F54" s="7"/>
      <c r="G54" s="7"/>
      <c r="H54" s="7"/>
    </row>
    <row r="55" spans="6:8" x14ac:dyDescent="0.25">
      <c r="F55" s="7"/>
      <c r="G55" s="7"/>
      <c r="H55" s="7"/>
    </row>
    <row r="56" spans="6:8" x14ac:dyDescent="0.25">
      <c r="F56" s="7"/>
      <c r="G56" s="7"/>
      <c r="H56" s="7"/>
    </row>
    <row r="57" spans="6:8" x14ac:dyDescent="0.25">
      <c r="F57" s="7"/>
      <c r="G57" s="7"/>
      <c r="H57" s="7"/>
    </row>
    <row r="58" spans="6:8" x14ac:dyDescent="0.25">
      <c r="F58" s="7"/>
      <c r="G58" s="7"/>
      <c r="H58" s="7"/>
    </row>
    <row r="59" spans="6:8" x14ac:dyDescent="0.25">
      <c r="F59" s="7"/>
      <c r="G59" s="7"/>
      <c r="H59" s="7"/>
    </row>
    <row r="62" spans="6:8" x14ac:dyDescent="0.25">
      <c r="F62" s="12"/>
      <c r="H62" s="12"/>
    </row>
    <row r="64" spans="6:8" x14ac:dyDescent="0.25">
      <c r="F64" s="12"/>
      <c r="G64" s="12"/>
      <c r="H64" s="12"/>
    </row>
    <row r="65" spans="4:14" x14ac:dyDescent="0.25">
      <c r="D65" s="12"/>
      <c r="F65" s="12"/>
      <c r="L65" s="12"/>
      <c r="N65" s="12"/>
    </row>
  </sheetData>
  <mergeCells count="4">
    <mergeCell ref="B1:H1"/>
    <mergeCell ref="B2:H2"/>
    <mergeCell ref="B24:H24"/>
    <mergeCell ref="B25:H25"/>
  </mergeCells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6" sqref="B6"/>
    </sheetView>
  </sheetViews>
  <sheetFormatPr defaultRowHeight="15" x14ac:dyDescent="0.25"/>
  <cols>
    <col min="1" max="1" width="10.7109375" style="1" customWidth="1"/>
    <col min="2" max="2" width="46.85546875" style="1" customWidth="1"/>
    <col min="3" max="3" width="15" style="1" customWidth="1"/>
    <col min="4" max="4" width="18.7109375" style="1" customWidth="1"/>
    <col min="5" max="6" width="11.5703125" style="1" bestFit="1" customWidth="1"/>
    <col min="7" max="8" width="9.140625" style="1"/>
    <col min="9" max="9" width="18" style="1" customWidth="1"/>
    <col min="10" max="10" width="17.42578125" style="1" customWidth="1"/>
    <col min="11" max="11" width="17" style="1" customWidth="1"/>
    <col min="12" max="12" width="19.85546875" style="1" bestFit="1" customWidth="1"/>
    <col min="13" max="16384" width="9.140625" style="1"/>
  </cols>
  <sheetData>
    <row r="1" spans="1:7" ht="21" customHeight="1" x14ac:dyDescent="0.35">
      <c r="A1" s="77" t="s">
        <v>91</v>
      </c>
      <c r="B1" s="82"/>
      <c r="C1" s="60"/>
      <c r="D1" s="65"/>
      <c r="G1" s="66"/>
    </row>
    <row r="2" spans="1:7" ht="27.75" customHeight="1" x14ac:dyDescent="0.25">
      <c r="A2" s="77" t="s">
        <v>119</v>
      </c>
      <c r="B2" s="83"/>
      <c r="C2" s="64"/>
      <c r="D2" s="64"/>
    </row>
    <row r="3" spans="1:7" ht="15" customHeight="1" x14ac:dyDescent="0.25">
      <c r="A3" s="61"/>
      <c r="B3" s="62"/>
      <c r="C3" s="64"/>
      <c r="D3" s="64"/>
    </row>
    <row r="4" spans="1:7" x14ac:dyDescent="0.25">
      <c r="B4" s="20" t="s">
        <v>118</v>
      </c>
      <c r="C4" s="21">
        <v>22346.51</v>
      </c>
    </row>
    <row r="5" spans="1:7" x14ac:dyDescent="0.25">
      <c r="B5" s="20"/>
    </row>
    <row r="6" spans="1:7" x14ac:dyDescent="0.25">
      <c r="A6" s="20" t="s">
        <v>16</v>
      </c>
      <c r="B6" s="25"/>
    </row>
    <row r="7" spans="1:7" x14ac:dyDescent="0.25">
      <c r="A7" s="20"/>
      <c r="B7" s="25" t="s">
        <v>134</v>
      </c>
      <c r="C7" s="10">
        <v>12500</v>
      </c>
    </row>
    <row r="8" spans="1:7" x14ac:dyDescent="0.25">
      <c r="A8" s="20"/>
      <c r="B8" s="25" t="s">
        <v>135</v>
      </c>
      <c r="C8" s="10">
        <v>4129</v>
      </c>
    </row>
    <row r="9" spans="1:7" x14ac:dyDescent="0.25">
      <c r="A9" s="26"/>
      <c r="B9" s="1" t="s">
        <v>22</v>
      </c>
      <c r="C9" s="10">
        <v>108.23</v>
      </c>
    </row>
    <row r="10" spans="1:7" x14ac:dyDescent="0.25">
      <c r="B10" s="28" t="s">
        <v>6</v>
      </c>
      <c r="C10" s="58">
        <f>SUM(C7:C9)</f>
        <v>16737.23</v>
      </c>
    </row>
    <row r="11" spans="1:7" x14ac:dyDescent="0.25">
      <c r="A11" s="26"/>
    </row>
    <row r="12" spans="1:7" x14ac:dyDescent="0.25">
      <c r="A12" s="20" t="s">
        <v>32</v>
      </c>
    </row>
    <row r="13" spans="1:7" hidden="1" x14ac:dyDescent="0.25">
      <c r="A13" s="20"/>
      <c r="B13" s="1" t="s">
        <v>35</v>
      </c>
    </row>
    <row r="14" spans="1:7" hidden="1" x14ac:dyDescent="0.25">
      <c r="A14" s="20"/>
      <c r="B14" s="1" t="s">
        <v>18</v>
      </c>
    </row>
    <row r="15" spans="1:7" hidden="1" x14ac:dyDescent="0.25">
      <c r="A15" s="20"/>
      <c r="B15" s="1" t="s">
        <v>76</v>
      </c>
    </row>
    <row r="16" spans="1:7" hidden="1" x14ac:dyDescent="0.25">
      <c r="A16" s="20"/>
      <c r="B16" s="1" t="s">
        <v>41</v>
      </c>
    </row>
    <row r="17" spans="1:5" hidden="1" x14ac:dyDescent="0.25">
      <c r="A17" s="26"/>
      <c r="B17" s="1" t="s">
        <v>42</v>
      </c>
    </row>
    <row r="18" spans="1:5" hidden="1" x14ac:dyDescent="0.25">
      <c r="A18" s="26"/>
      <c r="B18" s="1" t="s">
        <v>43</v>
      </c>
    </row>
    <row r="19" spans="1:5" hidden="1" x14ac:dyDescent="0.25">
      <c r="A19" s="26"/>
      <c r="B19" s="1" t="s">
        <v>27</v>
      </c>
    </row>
    <row r="20" spans="1:5" x14ac:dyDescent="0.25">
      <c r="A20" s="26"/>
      <c r="B20" s="1" t="s">
        <v>132</v>
      </c>
      <c r="C20" s="10">
        <v>13734.28</v>
      </c>
    </row>
    <row r="21" spans="1:5" x14ac:dyDescent="0.25">
      <c r="A21" s="26"/>
      <c r="B21" s="1" t="s">
        <v>133</v>
      </c>
      <c r="C21" s="10">
        <v>16956.900000000001</v>
      </c>
    </row>
    <row r="22" spans="1:5" x14ac:dyDescent="0.25">
      <c r="A22" s="26"/>
      <c r="B22" s="1" t="s">
        <v>125</v>
      </c>
      <c r="C22" s="10">
        <v>1198.83</v>
      </c>
    </row>
    <row r="23" spans="1:5" x14ac:dyDescent="0.25">
      <c r="B23" s="28" t="s">
        <v>19</v>
      </c>
      <c r="C23" s="58">
        <f>SUM(C20:C22)</f>
        <v>31890.010000000002</v>
      </c>
    </row>
    <row r="24" spans="1:5" x14ac:dyDescent="0.25">
      <c r="A24" s="20"/>
    </row>
    <row r="25" spans="1:5" x14ac:dyDescent="0.25">
      <c r="A25" s="20"/>
    </row>
    <row r="26" spans="1:5" ht="15.75" thickBot="1" x14ac:dyDescent="0.3">
      <c r="B26" s="1" t="s">
        <v>149</v>
      </c>
      <c r="C26" s="35">
        <f>SUM(C4+C10-C23)</f>
        <v>7193.7299999999959</v>
      </c>
      <c r="D26" s="63"/>
      <c r="E26" s="10"/>
    </row>
    <row r="27" spans="1:5" ht="15.75" thickTop="1" x14ac:dyDescent="0.25"/>
  </sheetData>
  <mergeCells count="2">
    <mergeCell ref="A1:B1"/>
    <mergeCell ref="A2:B2"/>
  </mergeCells>
  <phoneticPr fontId="9" type="noConversion"/>
  <printOptions horizontalCentered="1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B16" sqref="B16"/>
    </sheetView>
  </sheetViews>
  <sheetFormatPr defaultRowHeight="15" x14ac:dyDescent="0.25"/>
  <cols>
    <col min="1" max="1" width="18.42578125" style="1" customWidth="1"/>
    <col min="2" max="2" width="53.28515625" style="1" customWidth="1"/>
    <col min="3" max="3" width="14" style="1" customWidth="1"/>
    <col min="4" max="4" width="11.5703125" style="1" bestFit="1" customWidth="1"/>
    <col min="5" max="6" width="9.140625" style="1"/>
    <col min="7" max="7" width="19.85546875" style="1" bestFit="1" customWidth="1"/>
    <col min="8" max="16384" width="9.140625" style="1"/>
  </cols>
  <sheetData>
    <row r="1" spans="1:5" ht="15.75" customHeight="1" x14ac:dyDescent="0.25">
      <c r="A1" s="77" t="s">
        <v>78</v>
      </c>
      <c r="B1" s="78"/>
      <c r="C1" s="78"/>
      <c r="D1" s="59"/>
      <c r="E1" s="59"/>
    </row>
    <row r="2" spans="1:5" ht="24" customHeight="1" x14ac:dyDescent="0.35">
      <c r="A2" s="79" t="s">
        <v>119</v>
      </c>
      <c r="B2" s="80"/>
      <c r="C2" s="80"/>
      <c r="D2" s="43"/>
    </row>
    <row r="4" spans="1:5" x14ac:dyDescent="0.25">
      <c r="A4" s="20"/>
      <c r="B4" s="20" t="s">
        <v>118</v>
      </c>
      <c r="C4" s="8">
        <v>2545.02</v>
      </c>
      <c r="D4" s="7"/>
    </row>
    <row r="5" spans="1:5" x14ac:dyDescent="0.25">
      <c r="A5" s="20"/>
      <c r="B5" s="25"/>
      <c r="C5" s="8"/>
      <c r="D5" s="7"/>
    </row>
    <row r="6" spans="1:5" x14ac:dyDescent="0.25">
      <c r="A6" s="20" t="s">
        <v>16</v>
      </c>
      <c r="B6" s="25"/>
      <c r="C6" s="8"/>
      <c r="D6" s="7"/>
    </row>
    <row r="7" spans="1:5" ht="15.75" thickBot="1" x14ac:dyDescent="0.3">
      <c r="A7" s="26"/>
      <c r="B7" s="1" t="s">
        <v>0</v>
      </c>
      <c r="C7" s="10">
        <v>2791</v>
      </c>
      <c r="D7" s="7"/>
    </row>
    <row r="8" spans="1:5" ht="15.75" thickTop="1" x14ac:dyDescent="0.25">
      <c r="A8" s="20" t="s">
        <v>6</v>
      </c>
      <c r="C8" s="46">
        <f>SUM(C7:C7)</f>
        <v>2791</v>
      </c>
      <c r="D8" s="7"/>
    </row>
    <row r="9" spans="1:5" x14ac:dyDescent="0.25">
      <c r="A9" s="26"/>
      <c r="C9" s="8"/>
      <c r="D9" s="7"/>
    </row>
    <row r="10" spans="1:5" x14ac:dyDescent="0.25">
      <c r="A10" s="20" t="s">
        <v>32</v>
      </c>
      <c r="C10" s="8"/>
      <c r="D10" s="7"/>
    </row>
    <row r="11" spans="1:5" x14ac:dyDescent="0.25">
      <c r="A11" s="20"/>
      <c r="B11" s="1" t="s">
        <v>81</v>
      </c>
      <c r="C11" s="10">
        <v>2145.4699999999998</v>
      </c>
      <c r="D11" s="7"/>
    </row>
    <row r="12" spans="1:5" ht="15.75" thickBot="1" x14ac:dyDescent="0.3">
      <c r="A12" s="26"/>
      <c r="B12" s="1" t="s">
        <v>80</v>
      </c>
      <c r="C12" s="10">
        <v>48</v>
      </c>
      <c r="D12" s="7"/>
    </row>
    <row r="13" spans="1:5" ht="15.75" thickTop="1" x14ac:dyDescent="0.25">
      <c r="A13" s="20" t="s">
        <v>19</v>
      </c>
      <c r="C13" s="46">
        <f>SUM(C11:C12)</f>
        <v>2193.4699999999998</v>
      </c>
      <c r="D13" s="7"/>
    </row>
    <row r="14" spans="1:5" x14ac:dyDescent="0.25">
      <c r="A14" s="20"/>
      <c r="C14" s="8"/>
      <c r="D14" s="7"/>
    </row>
    <row r="15" spans="1:5" ht="15.75" thickBot="1" x14ac:dyDescent="0.3">
      <c r="A15" s="20"/>
      <c r="B15" s="1" t="s">
        <v>149</v>
      </c>
      <c r="C15" s="35">
        <f>SUM(C4+C8-C13)</f>
        <v>3142.5500000000006</v>
      </c>
      <c r="D15" s="7"/>
    </row>
    <row r="16" spans="1:5" ht="15.75" thickTop="1" x14ac:dyDescent="0.25">
      <c r="C16" s="8"/>
      <c r="D16" s="7"/>
    </row>
    <row r="17" spans="1:4" x14ac:dyDescent="0.25">
      <c r="C17" s="8"/>
      <c r="D17" s="7"/>
    </row>
    <row r="18" spans="1:4" x14ac:dyDescent="0.25">
      <c r="C18" s="8"/>
      <c r="D18" s="7"/>
    </row>
    <row r="19" spans="1:4" x14ac:dyDescent="0.25">
      <c r="A19" s="50"/>
      <c r="B19" s="51"/>
      <c r="C19" s="51"/>
      <c r="D19" s="7"/>
    </row>
    <row r="20" spans="1:4" x14ac:dyDescent="0.25">
      <c r="A20" s="51"/>
      <c r="B20" s="51"/>
      <c r="C20" s="51"/>
    </row>
  </sheetData>
  <mergeCells count="2">
    <mergeCell ref="A1:C1"/>
    <mergeCell ref="A2:C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Museum</vt:lpstr>
      <vt:lpstr>Homestead</vt:lpstr>
      <vt:lpstr>Sutton Store</vt:lpstr>
      <vt:lpstr>Old Time Music Hour</vt:lpstr>
      <vt:lpstr>Friends of Museum</vt:lpstr>
      <vt:lpstr>Preservation</vt:lpstr>
      <vt:lpstr>Friends of Granville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2020-04-03T18:25:51Z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{D8D64C94-8ABF-4D75-AA98-EFF889429E70}</vt:lpwstr>
  </property>
</Properties>
</file>