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dySmith\Documents\Rest Stop Ministries\budget\2021 Budget working documents\"/>
    </mc:Choice>
  </mc:AlternateContent>
  <bookViews>
    <workbookView xWindow="0" yWindow="0" windowWidth="20490" windowHeight="8940" firstSheet="3" activeTab="3"/>
  </bookViews>
  <sheets>
    <sheet name="QuickBooks Export Tips" sheetId="2" state="hidden" r:id="rId1"/>
    <sheet name="Actual" sheetId="1" state="hidden" r:id="rId2"/>
    <sheet name="Proposed" sheetId="4" state="hidden" r:id="rId3"/>
    <sheet name="12 Mth Budget Spread" sheetId="5" r:id="rId4"/>
    <sheet name="OVC Grant Monthly Det" sheetId="7" state="hidden" r:id="rId5"/>
    <sheet name="Sheet3" sheetId="3" state="hidden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'12 Mth Budget Spread'!$A$1:$W$195</definedName>
    <definedName name="_xlnm.Print_Titles" localSheetId="3">'12 Mth Budget Spread'!$A:$H,'12 Mth Budget Spread'!$1:$1</definedName>
    <definedName name="_xlnm.Print_Titles" localSheetId="1">Actual!$A:$H,Actual!$1:$1</definedName>
    <definedName name="_xlnm.Print_Titles" localSheetId="2">Proposed!$A:$H,Proposed!$1:$1</definedName>
    <definedName name="QB_COLUMN_2921" localSheetId="3" hidden="1">'12 Mth Budget Spread'!$I$1</definedName>
    <definedName name="QB_COLUMN_2921" localSheetId="1" hidden="1">Actual!$I$1</definedName>
    <definedName name="QB_COLUMN_2921" localSheetId="2" hidden="1">Proposed!$I$1</definedName>
    <definedName name="QB_COLUMN_29210" localSheetId="3" hidden="1">'12 Mth Budget Spread'!$R$1</definedName>
    <definedName name="QB_COLUMN_29210" localSheetId="1" hidden="1">Actual!$AA$1</definedName>
    <definedName name="QB_COLUMN_29210" localSheetId="2" hidden="1">Proposed!$R$1</definedName>
    <definedName name="QB_COLUMN_2922" localSheetId="3" hidden="1">'12 Mth Budget Spread'!$J$1</definedName>
    <definedName name="QB_COLUMN_2922" localSheetId="1" hidden="1">Actual!$K$1</definedName>
    <definedName name="QB_COLUMN_2922" localSheetId="2" hidden="1">Proposed!$J$1</definedName>
    <definedName name="QB_COLUMN_2923" localSheetId="3" hidden="1">'12 Mth Budget Spread'!$K$1</definedName>
    <definedName name="QB_COLUMN_2923" localSheetId="1" hidden="1">Actual!$M$1</definedName>
    <definedName name="QB_COLUMN_2923" localSheetId="2" hidden="1">Proposed!$K$1</definedName>
    <definedName name="QB_COLUMN_2924" localSheetId="3" hidden="1">'12 Mth Budget Spread'!$L$1</definedName>
    <definedName name="QB_COLUMN_2924" localSheetId="1" hidden="1">Actual!$O$1</definedName>
    <definedName name="QB_COLUMN_2924" localSheetId="2" hidden="1">Proposed!$L$1</definedName>
    <definedName name="QB_COLUMN_2925" localSheetId="3" hidden="1">'12 Mth Budget Spread'!$M$1</definedName>
    <definedName name="QB_COLUMN_2925" localSheetId="1" hidden="1">Actual!$Q$1</definedName>
    <definedName name="QB_COLUMN_2925" localSheetId="2" hidden="1">Proposed!$M$1</definedName>
    <definedName name="QB_COLUMN_2926" localSheetId="3" hidden="1">'12 Mth Budget Spread'!$N$1</definedName>
    <definedName name="QB_COLUMN_2926" localSheetId="1" hidden="1">Actual!$S$1</definedName>
    <definedName name="QB_COLUMN_2926" localSheetId="2" hidden="1">Proposed!$N$1</definedName>
    <definedName name="QB_COLUMN_2927" localSheetId="3" hidden="1">'12 Mth Budget Spread'!$O$1</definedName>
    <definedName name="QB_COLUMN_2927" localSheetId="1" hidden="1">Actual!$U$1</definedName>
    <definedName name="QB_COLUMN_2927" localSheetId="2" hidden="1">Proposed!$O$1</definedName>
    <definedName name="QB_COLUMN_2928" localSheetId="3" hidden="1">'12 Mth Budget Spread'!$P$1</definedName>
    <definedName name="QB_COLUMN_2928" localSheetId="1" hidden="1">Actual!$W$1</definedName>
    <definedName name="QB_COLUMN_2928" localSheetId="2" hidden="1">Proposed!$P$1</definedName>
    <definedName name="QB_COLUMN_2929" localSheetId="3" hidden="1">'12 Mth Budget Spread'!$Q$1</definedName>
    <definedName name="QB_COLUMN_2929" localSheetId="1" hidden="1">Actual!$Y$1</definedName>
    <definedName name="QB_COLUMN_2929" localSheetId="2" hidden="1">Proposed!$Q$1</definedName>
    <definedName name="QB_COLUMN_2930" localSheetId="3" hidden="1">'12 Mth Budget Spread'!$U$1</definedName>
    <definedName name="QB_COLUMN_2930" localSheetId="1" hidden="1">Actual!$AG$1</definedName>
    <definedName name="QB_COLUMN_2930" localSheetId="2" hidden="1">Proposed!$U$1</definedName>
    <definedName name="QB_DATA_0" localSheetId="3" hidden="1">'12 Mth Budget Spread'!$5:$5,'12 Mth Budget Spread'!$6:$6,'12 Mth Budget Spread'!$8:$8,'12 Mth Budget Spread'!$9:$9,'12 Mth Budget Spread'!$18:$18,'12 Mth Budget Spread'!#REF!,'12 Mth Budget Spread'!$21:$21,'12 Mth Budget Spread'!$25:$25,'12 Mth Budget Spread'!$27:$27,'12 Mth Budget Spread'!$31:$31,'12 Mth Budget Spread'!$33:$33,'12 Mth Budget Spread'!$34:$34,'12 Mth Budget Spread'!$35:$35,'12 Mth Budget Spread'!$36:$36,'12 Mth Budget Spread'!$41:$41,'12 Mth Budget Spread'!$42:$42</definedName>
    <definedName name="QB_DATA_0" localSheetId="1" hidden="1">Actual!$5:$5,Actual!$6:$6,Actual!$7:$7,Actual!$8:$8,Actual!$11:$11,Actual!$12:$12,Actual!$13:$13,Actual!$16:$16,Actual!$17:$17,Actual!$20:$20,Actual!$22:$22,Actual!$23:$23,Actual!$24:$24,Actual!$25:$25,Actual!$29:$29,Actual!$30:$30</definedName>
    <definedName name="QB_DATA_0" localSheetId="2" hidden="1">Proposed!$5:$5,Proposed!$6:$6,Proposed!$7:$7,Proposed!$8:$8,Proposed!$11:$11,Proposed!$12:$12,Proposed!$13:$13,Proposed!$16:$16,Proposed!$17:$17,Proposed!$20:$20,Proposed!$22:$22,Proposed!$23:$23,Proposed!$24:$24,Proposed!$25:$25,Proposed!$29:$29,Proposed!$30:$30</definedName>
    <definedName name="QB_DATA_1" localSheetId="3" hidden="1">'12 Mth Budget Spread'!$43:$43,'12 Mth Budget Spread'!$48:$48,'12 Mth Budget Spread'!$54:$54,'12 Mth Budget Spread'!$58:$58,'12 Mth Budget Spread'!$61:$61,'12 Mth Budget Spread'!$62:$62,'12 Mth Budget Spread'!$63:$63,'12 Mth Budget Spread'!$64:$64,'12 Mth Budget Spread'!$66:$66,'12 Mth Budget Spread'!$68:$68,'12 Mth Budget Spread'!$70:$70,'12 Mth Budget Spread'!$71:$71,'12 Mth Budget Spread'!$72:$72,'12 Mth Budget Spread'!$75:$75,'12 Mth Budget Spread'!$76:$76,'12 Mth Budget Spread'!$77:$77</definedName>
    <definedName name="QB_DATA_1" localSheetId="1" hidden="1">Actual!$31:$31,Actual!$36:$36,Actual!$42:$42,Actual!$45:$45,Actual!$47:$47,Actual!$48:$48,Actual!$49:$49,Actual!$50:$50,Actual!$52:$52,Actual!$54:$54,Actual!$55:$55,Actual!$56:$56,Actual!$57:$57,Actual!$59:$59,Actual!$60:$60,Actual!$61:$61</definedName>
    <definedName name="QB_DATA_1" localSheetId="2" hidden="1">Proposed!$31:$31,Proposed!$36:$36,Proposed!$42:$42,Proposed!$45:$45,Proposed!$47:$47,Proposed!$48:$48,Proposed!$49:$49,Proposed!$50:$50,Proposed!$52:$52,Proposed!$54:$54,Proposed!$55:$55,Proposed!$56:$56,Proposed!$57:$57,Proposed!$59:$59,Proposed!$60:$60,Proposed!$61:$61</definedName>
    <definedName name="QB_DATA_2" localSheetId="3" hidden="1">'12 Mth Budget Spread'!$78:$78,'12 Mth Budget Spread'!$80:$80,'12 Mth Budget Spread'!$81:$81,'12 Mth Budget Spread'!$83:$83,'12 Mth Budget Spread'!$84:$84,'12 Mth Budget Spread'!$86:$86,'12 Mth Budget Spread'!$87:$87,'12 Mth Budget Spread'!$88:$88,'12 Mth Budget Spread'!$90:$90,'12 Mth Budget Spread'!$91:$91,'12 Mth Budget Spread'!$92:$92,'12 Mth Budget Spread'!$93:$93,'12 Mth Budget Spread'!$94:$94,'12 Mth Budget Spread'!$95:$95,'12 Mth Budget Spread'!$98:$98,'12 Mth Budget Spread'!$99:$99</definedName>
    <definedName name="QB_DATA_2" localSheetId="1" hidden="1">Actual!$62:$62,Actual!$64:$64,Actual!$65:$65,Actual!$67:$67,Actual!$68:$68,Actual!$69:$69,Actual!$70:$70,Actual!$71:$71,Actual!$73:$73,Actual!$74:$74,Actual!$75:$75,Actual!$76:$76,Actual!$77:$77,Actual!$78:$78,Actual!$81:$81,Actual!$82:$82</definedName>
    <definedName name="QB_DATA_2" localSheetId="2" hidden="1">Proposed!$62:$62,Proposed!$64:$64,Proposed!$65:$65,Proposed!$67:$67,Proposed!$68:$68,Proposed!$69:$69,Proposed!$70:$70,Proposed!$71:$71,Proposed!$73:$73,Proposed!$74:$74,Proposed!$75:$75,Proposed!$76:$76,Proposed!$77:$77,Proposed!$78:$78,Proposed!$81:$81,Proposed!$82:$82</definedName>
    <definedName name="QB_DATA_3" localSheetId="3" hidden="1">'12 Mth Budget Spread'!$103:$103,'12 Mth Budget Spread'!$104:$104,'12 Mth Budget Spread'!$105:$105,'12 Mth Budget Spread'!$106:$106,'12 Mth Budget Spread'!$107:$107,'12 Mth Budget Spread'!$108:$108,'12 Mth Budget Spread'!$112:$112,'12 Mth Budget Spread'!$113:$113,'12 Mth Budget Spread'!$114:$114,'12 Mth Budget Spread'!$115:$115,'12 Mth Budget Spread'!$116:$116,'12 Mth Budget Spread'!$117:$117,'12 Mth Budget Spread'!$121:$121,'12 Mth Budget Spread'!$122:$122,'12 Mth Budget Spread'!$123:$123,'12 Mth Budget Spread'!$125:$125</definedName>
    <definedName name="QB_DATA_3" localSheetId="1" hidden="1">Actual!$85:$85,Actual!$86:$86,Actual!$87:$87,Actual!$88:$88,Actual!$89:$89,Actual!$90:$90,Actual!$94:$94,Actual!$95:$95,Actual!$96:$96,Actual!$97:$97,Actual!$98:$98,Actual!$99:$99,Actual!$102:$102,Actual!$103:$103,Actual!$104:$104,Actual!$106:$106</definedName>
    <definedName name="QB_DATA_3" localSheetId="2" hidden="1">Proposed!$85:$85,Proposed!$86:$86,Proposed!$87:$87,Proposed!$88:$88,Proposed!$89:$89,Proposed!$90:$90,Proposed!$94:$94,Proposed!$95:$95,Proposed!$96:$96,Proposed!$97:$97,Proposed!$98:$98,Proposed!$99:$99,Proposed!$102:$102,Proposed!$103:$103,Proposed!$104:$104,Proposed!$106:$106</definedName>
    <definedName name="QB_DATA_4" localSheetId="3" hidden="1">'12 Mth Budget Spread'!#REF!,'12 Mth Budget Spread'!$127:$127,'12 Mth Budget Spread'!$128:$128,'12 Mth Budget Spread'!$129:$129,'12 Mth Budget Spread'!$132:$132,'12 Mth Budget Spread'!$134:$134,'12 Mth Budget Spread'!$136:$136,'12 Mth Budget Spread'!$137:$137,'12 Mth Budget Spread'!$142:$142,'12 Mth Budget Spread'!$145:$145,'12 Mth Budget Spread'!$147:$147,'12 Mth Budget Spread'!$148:$148,'12 Mth Budget Spread'!$150:$150,'12 Mth Budget Spread'!$155:$155,'12 Mth Budget Spread'!$164:$164,'12 Mth Budget Spread'!$168:$168</definedName>
    <definedName name="QB_DATA_4" localSheetId="1" hidden="1">Actual!$107:$107,Actual!$109:$109,Actual!$110:$110,Actual!$111:$111,Actual!$112:$112,Actual!$114:$114,Actual!$115:$115,Actual!$116:$116,Actual!$117:$117,Actual!$118:$118,Actual!$120:$120,Actual!$121:$121,Actual!$123:$123,Actual!$127:$127,Actual!$129:$129,Actual!$131:$131</definedName>
    <definedName name="QB_DATA_4" localSheetId="2" hidden="1">Proposed!$107:$107,Proposed!$109:$109,Proposed!$110:$110,Proposed!$111:$111,Proposed!$112:$112,Proposed!$114:$114,Proposed!$115:$115,Proposed!$116:$116,Proposed!$117:$117,Proposed!$118:$118,Proposed!$120:$120,Proposed!$121:$121,Proposed!$123:$123,Proposed!$127:$127,Proposed!$129:$129,Proposed!$131:$131</definedName>
    <definedName name="QB_DATA_5" localSheetId="3" hidden="1">'12 Mth Budget Spread'!$172:$172,'12 Mth Budget Spread'!$173:$173,'12 Mth Budget Spread'!$175:$175,'12 Mth Budget Spread'!$176:$176,'12 Mth Budget Spread'!$177:$177,'12 Mth Budget Spread'!$178:$178,'12 Mth Budget Spread'!$180:$180,'12 Mth Budget Spread'!$184:$184,'12 Mth Budget Spread'!$185:$185,'12 Mth Budget Spread'!$186:$186,'12 Mth Budget Spread'!$187:$187,'12 Mth Budget Spread'!$188:$188,'12 Mth Budget Spread'!$190:$190</definedName>
    <definedName name="QB_DATA_5" localSheetId="1" hidden="1">Actual!$133:$133,Actual!$134:$134,Actual!$136:$136,Actual!$137:$137,Actual!$138:$138,Actual!$139:$139,Actual!$141:$141,Actual!$143:$143,Actual!$144:$144,Actual!$145:$145,Actual!$146:$146,Actual!$147:$147,Actual!$149:$149</definedName>
    <definedName name="QB_DATA_5" localSheetId="2" hidden="1">Proposed!$133:$133,Proposed!$134:$134,Proposed!$136:$136,Proposed!$137:$137,Proposed!$138:$138,Proposed!$139:$139,Proposed!$141:$141,Proposed!$143:$143,Proposed!$144:$144,Proposed!$145:$145,Proposed!$146:$146,Proposed!$147:$147,Proposed!$149:$149</definedName>
    <definedName name="QB_FORMULA_0" localSheetId="3" hidden="1">'12 Mth Budget Spread'!$U$5,'12 Mth Budget Spread'!$U$6,'12 Mth Budget Spread'!$U$8,'12 Mth Budget Spread'!$U$9,'12 Mth Budget Spread'!$I$11,'12 Mth Budget Spread'!$J$11,'12 Mth Budget Spread'!$K$11,'12 Mth Budget Spread'!$L$11,'12 Mth Budget Spread'!$M$11,'12 Mth Budget Spread'!$N$11,'12 Mth Budget Spread'!$O$11,'12 Mth Budget Spread'!$P$11,'12 Mth Budget Spread'!$Q$11,'12 Mth Budget Spread'!$R$11,'12 Mth Budget Spread'!$U$11,'12 Mth Budget Spread'!$U$18</definedName>
    <definedName name="QB_FORMULA_0" localSheetId="1" hidden="1">Actual!$AG$5,Actual!$AG$6,Actual!$AG$7,Actual!$AG$8,Actual!$I$9,Actual!$K$9,Actual!$M$9,Actual!$O$9,Actual!$Q$9,Actual!$S$9,Actual!$U$9,Actual!$W$9,Actual!$Y$9,Actual!$AA$9,Actual!$AG$9,Actual!$AG$11</definedName>
    <definedName name="QB_FORMULA_0" localSheetId="2" hidden="1">Proposed!$U$5,Proposed!$U$6,Proposed!$U$7,Proposed!$U$8,Proposed!$I$9,Proposed!$J$9,Proposed!$K$9,Proposed!$L$9,Proposed!$M$9,Proposed!$N$9,Proposed!$O$9,Proposed!$P$9,Proposed!$Q$9,Proposed!$R$9,Proposed!$U$9,Proposed!$U$11</definedName>
    <definedName name="QB_FORMULA_1" localSheetId="3" hidden="1">'12 Mth Budget Spread'!#REF!,'12 Mth Budget Spread'!$U$21,'12 Mth Budget Spread'!$I$22,'12 Mth Budget Spread'!$J$22,'12 Mth Budget Spread'!$K$22,'12 Mth Budget Spread'!$L$22,'12 Mth Budget Spread'!$M$22,'12 Mth Budget Spread'!$N$22,'12 Mth Budget Spread'!$O$22,'12 Mth Budget Spread'!$P$22,'12 Mth Budget Spread'!$Q$22,'12 Mth Budget Spread'!$R$22,'12 Mth Budget Spread'!$U$22,'12 Mth Budget Spread'!$U$25,'12 Mth Budget Spread'!$U$27,'12 Mth Budget Spread'!$I$28</definedName>
    <definedName name="QB_FORMULA_1" localSheetId="1" hidden="1">Actual!$AG$12,Actual!$AG$13,Actual!$I$14,Actual!$K$14,Actual!$M$14,Actual!$O$14,Actual!$Q$14,Actual!$S$14,Actual!$U$14,Actual!$W$14,Actual!$Y$14,Actual!$AA$14,Actual!$AG$14,Actual!$AG$16,Actual!$AG$17,Actual!$I$18</definedName>
    <definedName name="QB_FORMULA_1" localSheetId="2" hidden="1">Proposed!$U$12,Proposed!$U$13,Proposed!$I$14,Proposed!$J$14,Proposed!$K$14,Proposed!$L$14,Proposed!$M$14,Proposed!$N$14,Proposed!$O$14,Proposed!$P$14,Proposed!$Q$14,Proposed!$R$14,Proposed!$U$14,Proposed!$U$16,Proposed!$U$17,Proposed!$I$18</definedName>
    <definedName name="QB_FORMULA_10" localSheetId="3" hidden="1">'12 Mth Budget Spread'!$U$72,'12 Mth Budget Spread'!$I$73,'12 Mth Budget Spread'!$J$73,'12 Mth Budget Spread'!$K$73,'12 Mth Budget Spread'!$L$73,'12 Mth Budget Spread'!$M$73,'12 Mth Budget Spread'!$N$73,'12 Mth Budget Spread'!$O$73,'12 Mth Budget Spread'!$P$73,'12 Mth Budget Spread'!$Q$73,'12 Mth Budget Spread'!$R$73,'12 Mth Budget Spread'!$U$73,'12 Mth Budget Spread'!$U$75,'12 Mth Budget Spread'!$U$76,'12 Mth Budget Spread'!$U$77,'12 Mth Budget Spread'!$U$78</definedName>
    <definedName name="QB_FORMULA_10" localSheetId="1" hidden="1">Actual!$AG$57,Actual!$I$58,Actual!$K$58,Actual!$M$58,Actual!$O$58,Actual!$Q$58,Actual!$S$58,Actual!$U$58,Actual!$W$58,Actual!$Y$58,Actual!$AA$58,Actual!$AG$58,Actual!$AG$59,Actual!$AG$60,Actual!$AG$61,Actual!$AG$62</definedName>
    <definedName name="QB_FORMULA_10" localSheetId="2" hidden="1">Proposed!$U$57,Proposed!$I$58,Proposed!$J$58,Proposed!$K$58,Proposed!$L$58,Proposed!$M$58,Proposed!$N$58,Proposed!$O$58,Proposed!$P$58,Proposed!$Q$58,Proposed!$R$58,Proposed!$U$58,Proposed!$U$59,Proposed!$U$60,Proposed!$U$61,Proposed!$U$62</definedName>
    <definedName name="QB_FORMULA_11" localSheetId="3" hidden="1">'12 Mth Budget Spread'!$U$80,'12 Mth Budget Spread'!$U$81,'12 Mth Budget Spread'!$I$82,'12 Mth Budget Spread'!$J$82,'12 Mth Budget Spread'!$K$82,'12 Mth Budget Spread'!$L$82,'12 Mth Budget Spread'!$M$82,'12 Mth Budget Spread'!$N$82,'12 Mth Budget Spread'!$O$82,'12 Mth Budget Spread'!$P$82,'12 Mth Budget Spread'!$Q$82,'12 Mth Budget Spread'!$R$82,'12 Mth Budget Spread'!$U$82,'12 Mth Budget Spread'!$U$83,'12 Mth Budget Spread'!$U$84,'12 Mth Budget Spread'!$U$86</definedName>
    <definedName name="QB_FORMULA_11" localSheetId="1" hidden="1">Actual!$AG$64,Actual!$AG$65,Actual!$I$66,Actual!$K$66,Actual!$M$66,Actual!$O$66,Actual!$Q$66,Actual!$S$66,Actual!$U$66,Actual!$W$66,Actual!$Y$66,Actual!$AA$66,Actual!$AG$66,Actual!$AG$67,Actual!$AG$68,Actual!$AG$69</definedName>
    <definedName name="QB_FORMULA_11" localSheetId="2" hidden="1">Proposed!$U$64,Proposed!$U$65,Proposed!$I$66,Proposed!$J$66,Proposed!$K$66,Proposed!$L$66,Proposed!$M$66,Proposed!$N$66,Proposed!$O$66,Proposed!$P$66,Proposed!$Q$66,Proposed!$R$66,Proposed!$U$66,Proposed!$U$67,Proposed!$U$68,Proposed!$U$69</definedName>
    <definedName name="QB_FORMULA_12" localSheetId="3" hidden="1">'12 Mth Budget Spread'!$U$87,'12 Mth Budget Spread'!$U$88,'12 Mth Budget Spread'!$U$90,'12 Mth Budget Spread'!$U$91,'12 Mth Budget Spread'!$U$92,'12 Mth Budget Spread'!$U$93,'12 Mth Budget Spread'!$U$94,'12 Mth Budget Spread'!$U$95,'12 Mth Budget Spread'!$I$96,'12 Mth Budget Spread'!$J$96,'12 Mth Budget Spread'!$K$96,'12 Mth Budget Spread'!$L$96,'12 Mth Budget Spread'!$M$96,'12 Mth Budget Spread'!$N$96,'12 Mth Budget Spread'!$O$96,'12 Mth Budget Spread'!$P$96</definedName>
    <definedName name="QB_FORMULA_12" localSheetId="1" hidden="1">Actual!$AG$70,Actual!$AG$71,Actual!$AG$73,Actual!$AG$74,Actual!$AG$75,Actual!$AG$76,Actual!$AG$77,Actual!$AG$78,Actual!$I$79,Actual!$K$79,Actual!$M$79,Actual!$O$79,Actual!$Q$79,Actual!$S$79,Actual!$U$79,Actual!$W$79</definedName>
    <definedName name="QB_FORMULA_12" localSheetId="2" hidden="1">Proposed!$U$70,Proposed!$U$71,Proposed!$U$73,Proposed!$U$74,Proposed!$U$75,Proposed!$U$76,Proposed!$U$77,Proposed!$U$78,Proposed!$I$79,Proposed!$J$79,Proposed!$K$79,Proposed!$L$79,Proposed!$M$79,Proposed!$N$79,Proposed!$O$79,Proposed!$P$79</definedName>
    <definedName name="QB_FORMULA_13" localSheetId="3" hidden="1">'12 Mth Budget Spread'!$Q$96,'12 Mth Budget Spread'!$R$96,'12 Mth Budget Spread'!$U$96,'12 Mth Budget Spread'!$U$98,'12 Mth Budget Spread'!$U$99,'12 Mth Budget Spread'!$I$101,'12 Mth Budget Spread'!$J$101,'12 Mth Budget Spread'!$K$101,'12 Mth Budget Spread'!$L$101,'12 Mth Budget Spread'!$M$101,'12 Mth Budget Spread'!$N$101,'12 Mth Budget Spread'!$O$101,'12 Mth Budget Spread'!$P$101,'12 Mth Budget Spread'!$Q$101,'12 Mth Budget Spread'!$R$101,'12 Mth Budget Spread'!$U$101</definedName>
    <definedName name="QB_FORMULA_13" localSheetId="1" hidden="1">Actual!$Y$79,Actual!$AA$79,Actual!$AG$79,Actual!$AG$81,Actual!$AG$82,Actual!$I$83,Actual!$K$83,Actual!$M$83,Actual!$O$83,Actual!$Q$83,Actual!$S$83,Actual!$U$83,Actual!$W$83,Actual!$Y$83,Actual!$AA$83,Actual!$AG$83</definedName>
    <definedName name="QB_FORMULA_13" localSheetId="2" hidden="1">Proposed!$Q$79,Proposed!$R$79,Proposed!$U$79,Proposed!$U$81,Proposed!$U$82,Proposed!$I$83,Proposed!$J$83,Proposed!$K$83,Proposed!$L$83,Proposed!$M$83,Proposed!$N$83,Proposed!$O$83,Proposed!$P$83,Proposed!$Q$83,Proposed!$R$83,Proposed!$U$83</definedName>
    <definedName name="QB_FORMULA_14" localSheetId="3" hidden="1">'12 Mth Budget Spread'!$U$103,'12 Mth Budget Spread'!$U$104,'12 Mth Budget Spread'!$U$105,'12 Mth Budget Spread'!$U$106,'12 Mth Budget Spread'!$U$107,'12 Mth Budget Spread'!$U$108,'12 Mth Budget Spread'!$I$109,'12 Mth Budget Spread'!$J$109,'12 Mth Budget Spread'!$K$109,'12 Mth Budget Spread'!$L$109,'12 Mth Budget Spread'!$M$109,'12 Mth Budget Spread'!$N$109,'12 Mth Budget Spread'!$O$109,'12 Mth Budget Spread'!$P$109,'12 Mth Budget Spread'!$Q$109,'12 Mth Budget Spread'!$R$109</definedName>
    <definedName name="QB_FORMULA_14" localSheetId="1" hidden="1">Actual!$AG$85,Actual!$AG$86,Actual!$AG$87,Actual!$AG$88,Actual!$AG$89,Actual!$AG$90,Actual!$I$91,Actual!$K$91,Actual!$M$91,Actual!$O$91,Actual!$Q$91,Actual!$S$91,Actual!$U$91,Actual!$W$91,Actual!$Y$91,Actual!$AA$91</definedName>
    <definedName name="QB_FORMULA_14" localSheetId="2" hidden="1">Proposed!$U$85,Proposed!$U$86,Proposed!$U$87,Proposed!$U$88,Proposed!$U$89,Proposed!$U$90,Proposed!$I$91,Proposed!$J$91,Proposed!$K$91,Proposed!$L$91,Proposed!$M$91,Proposed!$N$91,Proposed!$O$91,Proposed!$P$91,Proposed!$Q$91,Proposed!$R$91</definedName>
    <definedName name="QB_FORMULA_15" localSheetId="3" hidden="1">'12 Mth Budget Spread'!$U$109,'12 Mth Budget Spread'!$I$110,'12 Mth Budget Spread'!$J$110,'12 Mth Budget Spread'!$K$110,'12 Mth Budget Spread'!$L$110,'12 Mth Budget Spread'!$M$110,'12 Mth Budget Spread'!$N$110,'12 Mth Budget Spread'!$O$110,'12 Mth Budget Spread'!$P$110,'12 Mth Budget Spread'!$Q$110,'12 Mth Budget Spread'!$R$110,'12 Mth Budget Spread'!$U$110,'12 Mth Budget Spread'!$U$112,'12 Mth Budget Spread'!$U$113,'12 Mth Budget Spread'!$U$114,'12 Mth Budget Spread'!$U$115</definedName>
    <definedName name="QB_FORMULA_15" localSheetId="1" hidden="1">Actual!$AG$91,Actual!$I$92,Actual!$K$92,Actual!$M$92,Actual!$O$92,Actual!$Q$92,Actual!$S$92,Actual!$U$92,Actual!$W$92,Actual!$Y$92,Actual!$AA$92,Actual!$AG$92,Actual!$AG$94,Actual!$AG$95,Actual!$AG$96,Actual!$AG$97</definedName>
    <definedName name="QB_FORMULA_15" localSheetId="2" hidden="1">Proposed!$U$91,Proposed!$I$92,Proposed!$J$92,Proposed!$K$92,Proposed!$L$92,Proposed!$M$92,Proposed!$N$92,Proposed!$O$92,Proposed!$P$92,Proposed!$Q$92,Proposed!$R$92,Proposed!$U$92,Proposed!$U$94,Proposed!$U$95,Proposed!$U$96,Proposed!$U$97</definedName>
    <definedName name="QB_FORMULA_16" localSheetId="3" hidden="1">'12 Mth Budget Spread'!$U$116,'12 Mth Budget Spread'!$U$117,'12 Mth Budget Spread'!$I$119,'12 Mth Budget Spread'!$J$119,'12 Mth Budget Spread'!$K$119,'12 Mth Budget Spread'!$L$119,'12 Mth Budget Spread'!$M$119,'12 Mth Budget Spread'!$N$119,'12 Mth Budget Spread'!$O$119,'12 Mth Budget Spread'!$P$119,'12 Mth Budget Spread'!$Q$119,'12 Mth Budget Spread'!$R$119,'12 Mth Budget Spread'!$U$119,'12 Mth Budget Spread'!$U$121,'12 Mth Budget Spread'!$U$122,'12 Mth Budget Spread'!$U$123</definedName>
    <definedName name="QB_FORMULA_16" localSheetId="1" hidden="1">Actual!$AG$98,Actual!$AG$99,Actual!$I$100,Actual!$K$100,Actual!$M$100,Actual!$O$100,Actual!$Q$100,Actual!$S$100,Actual!$U$100,Actual!$W$100,Actual!$Y$100,Actual!$AA$100,Actual!$AG$100,Actual!$AG$102,Actual!$AG$103,Actual!$AG$104</definedName>
    <definedName name="QB_FORMULA_16" localSheetId="2" hidden="1">Proposed!$U$98,Proposed!$U$99,Proposed!$I$100,Proposed!$J$100,Proposed!$K$100,Proposed!$L$100,Proposed!$M$100,Proposed!$N$100,Proposed!$O$100,Proposed!$P$100,Proposed!$Q$100,Proposed!$R$100,Proposed!$U$100,Proposed!$U$102,Proposed!$U$103,Proposed!$U$104</definedName>
    <definedName name="QB_FORMULA_17" localSheetId="3" hidden="1">'12 Mth Budget Spread'!$U$125,'12 Mth Budget Spread'!#REF!,'12 Mth Budget Spread'!$I$126,'12 Mth Budget Spread'!$J$126,'12 Mth Budget Spread'!$K$126,'12 Mth Budget Spread'!$L$126,'12 Mth Budget Spread'!$M$126,'12 Mth Budget Spread'!$N$126,'12 Mth Budget Spread'!$O$126,'12 Mth Budget Spread'!$P$126,'12 Mth Budget Spread'!$Q$126,'12 Mth Budget Spread'!$R$126,'12 Mth Budget Spread'!$U$126,'12 Mth Budget Spread'!$U$127,'12 Mth Budget Spread'!$U$128,'12 Mth Budget Spread'!$U$129</definedName>
    <definedName name="QB_FORMULA_17" localSheetId="1" hidden="1">Actual!$AG$106,Actual!$AG$107,Actual!$I$108,Actual!$K$108,Actual!$M$108,Actual!$O$108,Actual!$Q$108,Actual!$S$108,Actual!$U$108,Actual!$W$108,Actual!$Y$108,Actual!$AA$108,Actual!$AG$108,Actual!$AG$109,Actual!$AG$110,Actual!$AG$111</definedName>
    <definedName name="QB_FORMULA_17" localSheetId="2" hidden="1">Proposed!$U$106,Proposed!$U$107,Proposed!$I$108,Proposed!$J$108,Proposed!$K$108,Proposed!$L$108,Proposed!$M$108,Proposed!$N$108,Proposed!$O$108,Proposed!$P$108,Proposed!$Q$108,Proposed!$R$108,Proposed!$U$108,Proposed!$U$109,Proposed!$U$110,Proposed!$U$111</definedName>
    <definedName name="QB_FORMULA_18" localSheetId="3" hidden="1">'12 Mth Budget Spread'!$U$132,'12 Mth Budget Spread'!$U$134,'12 Mth Budget Spread'!$U$136,'12 Mth Budget Spread'!$U$137,'12 Mth Budget Spread'!$U$142,'12 Mth Budget Spread'!$U$145,'12 Mth Budget Spread'!$U$147,'12 Mth Budget Spread'!$U$148,'12 Mth Budget Spread'!$I$149,'12 Mth Budget Spread'!$J$149,'12 Mth Budget Spread'!$K$149,'12 Mth Budget Spread'!$L$149,'12 Mth Budget Spread'!$M$149,'12 Mth Budget Spread'!$N$149,'12 Mth Budget Spread'!$O$149,'12 Mth Budget Spread'!$P$149</definedName>
    <definedName name="QB_FORMULA_18" localSheetId="1" hidden="1">Actual!$AG$112,Actual!$AG$114,Actual!$AG$115,Actual!$AG$116,Actual!$AG$117,Actual!$AG$118,Actual!$AG$120,Actual!$AG$121,Actual!$I$122,Actual!$K$122,Actual!$M$122,Actual!$O$122,Actual!$Q$122,Actual!$S$122,Actual!$U$122,Actual!$W$122</definedName>
    <definedName name="QB_FORMULA_18" localSheetId="2" hidden="1">Proposed!$U$112,Proposed!$U$114,Proposed!$U$115,Proposed!$U$116,Proposed!$U$117,Proposed!$U$118,Proposed!$U$120,Proposed!$U$121,Proposed!$I$122,Proposed!$J$122,Proposed!$K$122,Proposed!$L$122,Proposed!$M$122,Proposed!$N$122,Proposed!$O$122,Proposed!$P$122</definedName>
    <definedName name="QB_FORMULA_19" localSheetId="3" hidden="1">'12 Mth Budget Spread'!$Q$149,'12 Mth Budget Spread'!$R$149,'12 Mth Budget Spread'!$U$149,'12 Mth Budget Spread'!$U$150,'12 Mth Budget Spread'!$I$151,'12 Mth Budget Spread'!$J$151,'12 Mth Budget Spread'!$K$151,'12 Mth Budget Spread'!$L$151,'12 Mth Budget Spread'!$M$151,'12 Mth Budget Spread'!$N$151,'12 Mth Budget Spread'!$O$151,'12 Mth Budget Spread'!$P$151,'12 Mth Budget Spread'!$Q$151,'12 Mth Budget Spread'!$R$151,'12 Mth Budget Spread'!$U$151,'12 Mth Budget Spread'!$I$152</definedName>
    <definedName name="QB_FORMULA_19" localSheetId="1" hidden="1">Actual!$Y$122,Actual!$AA$122,Actual!$AG$122,Actual!$AG$123,Actual!$I$124,Actual!$K$124,Actual!$M$124,Actual!$O$124,Actual!$Q$124,Actual!$S$124,Actual!$U$124,Actual!$W$124,Actual!$Y$124,Actual!$AA$124,Actual!$AG$124,Actual!$I$125</definedName>
    <definedName name="QB_FORMULA_19" localSheetId="2" hidden="1">Proposed!$Q$122,Proposed!$R$122,Proposed!$U$122,Proposed!$U$123,Proposed!$I$124,Proposed!$J$124,Proposed!$K$124,Proposed!$L$124,Proposed!$M$124,Proposed!$N$124,Proposed!$O$124,Proposed!$P$124,Proposed!$Q$124,Proposed!$R$124,Proposed!$U$124,Proposed!$I$125</definedName>
    <definedName name="QB_FORMULA_2" localSheetId="3" hidden="1">'12 Mth Budget Spread'!$J$28,'12 Mth Budget Spread'!$K$28,'12 Mth Budget Spread'!$L$28,'12 Mth Budget Spread'!$M$28,'12 Mth Budget Spread'!$N$28,'12 Mth Budget Spread'!$O$28,'12 Mth Budget Spread'!$P$28,'12 Mth Budget Spread'!$Q$28,'12 Mth Budget Spread'!$R$28,'12 Mth Budget Spread'!$U$28,'12 Mth Budget Spread'!$U$31,'12 Mth Budget Spread'!$U$33,'12 Mth Budget Spread'!$U$34,'12 Mth Budget Spread'!$U$35,'12 Mth Budget Spread'!$U$36,'12 Mth Budget Spread'!$I$38</definedName>
    <definedName name="QB_FORMULA_2" localSheetId="1" hidden="1">Actual!$K$18,Actual!$M$18,Actual!$O$18,Actual!$Q$18,Actual!$S$18,Actual!$U$18,Actual!$W$18,Actual!$Y$18,Actual!$AA$18,Actual!$AG$18,Actual!$AG$20,Actual!$AG$22,Actual!$AG$23,Actual!$AG$24,Actual!$AG$25,Actual!$I$26</definedName>
    <definedName name="QB_FORMULA_2" localSheetId="2" hidden="1">Proposed!$J$18,Proposed!$K$18,Proposed!$L$18,Proposed!$M$18,Proposed!$N$18,Proposed!$O$18,Proposed!$P$18,Proposed!$Q$18,Proposed!$R$18,Proposed!$U$18,Proposed!$U$20,Proposed!$U$22,Proposed!$U$23,Proposed!$U$24,Proposed!$U$25,Proposed!$I$26</definedName>
    <definedName name="QB_FORMULA_20" localSheetId="3" hidden="1">'12 Mth Budget Spread'!$J$152,'12 Mth Budget Spread'!$K$152,'12 Mth Budget Spread'!$L$152,'12 Mth Budget Spread'!$M$152,'12 Mth Budget Spread'!$N$152,'12 Mth Budget Spread'!$O$152,'12 Mth Budget Spread'!$P$152,'12 Mth Budget Spread'!$Q$152,'12 Mth Budget Spread'!$R$152,'12 Mth Budget Spread'!$U$152,'12 Mth Budget Spread'!$U$155,'12 Mth Budget Spread'!$I$158,'12 Mth Budget Spread'!$J$158,'12 Mth Budget Spread'!$K$158,'12 Mth Budget Spread'!$L$158,'12 Mth Budget Spread'!$M$158</definedName>
    <definedName name="QB_FORMULA_20" localSheetId="1" hidden="1">Actual!$K$125,Actual!$M$125,Actual!$O$125,Actual!$Q$125,Actual!$S$125,Actual!$U$125,Actual!$W$125,Actual!$Y$125,Actual!$AA$125,Actual!$AG$125,Actual!$AG$127,Actual!$I$128,Actual!$K$128,Actual!$M$128,Actual!$O$128,Actual!$Q$128</definedName>
    <definedName name="QB_FORMULA_20" localSheetId="2" hidden="1">Proposed!$J$125,Proposed!$K$125,Proposed!$L$125,Proposed!$M$125,Proposed!$N$125,Proposed!$O$125,Proposed!$P$125,Proposed!$Q$125,Proposed!$R$125,Proposed!$U$125,Proposed!$U$127,Proposed!$I$128,Proposed!$J$128,Proposed!$K$128,Proposed!$L$128,Proposed!$M$128</definedName>
    <definedName name="QB_FORMULA_21" localSheetId="3" hidden="1">'12 Mth Budget Spread'!$N$158,'12 Mth Budget Spread'!$O$158,'12 Mth Budget Spread'!$P$158,'12 Mth Budget Spread'!$Q$158,'12 Mth Budget Spread'!$R$158,'12 Mth Budget Spread'!$U$158,'12 Mth Budget Spread'!$U$164,'12 Mth Budget Spread'!$U$168,'12 Mth Budget Spread'!$U$172,'12 Mth Budget Spread'!$U$173,'12 Mth Budget Spread'!$I$174,'12 Mth Budget Spread'!$J$174,'12 Mth Budget Spread'!$K$174,'12 Mth Budget Spread'!$L$174,'12 Mth Budget Spread'!$M$174,'12 Mth Budget Spread'!$N$174</definedName>
    <definedName name="QB_FORMULA_21" localSheetId="1" hidden="1">Actual!$S$128,Actual!$U$128,Actual!$W$128,Actual!$Y$128,Actual!$AA$128,Actual!$AG$128,Actual!$AG$129,Actual!$AG$131,Actual!$AG$133,Actual!$AG$134,Actual!$I$135,Actual!$K$135,Actual!$M$135,Actual!$O$135,Actual!$Q$135,Actual!$S$135</definedName>
    <definedName name="QB_FORMULA_21" localSheetId="2" hidden="1">Proposed!$N$128,Proposed!$O$128,Proposed!$P$128,Proposed!$Q$128,Proposed!$R$128,Proposed!$U$128,Proposed!$U$129,Proposed!$U$131,Proposed!$U$133,Proposed!$U$134,Proposed!$I$135,Proposed!$J$135,Proposed!$K$135,Proposed!$L$135,Proposed!$M$135,Proposed!$N$135</definedName>
    <definedName name="QB_FORMULA_22" localSheetId="3" hidden="1">'12 Mth Budget Spread'!$O$174,'12 Mth Budget Spread'!$P$174,'12 Mth Budget Spread'!$Q$174,'12 Mth Budget Spread'!$R$174,'12 Mth Budget Spread'!$U$174,'12 Mth Budget Spread'!$U$175,'12 Mth Budget Spread'!$U$176,'12 Mth Budget Spread'!$U$177,'12 Mth Budget Spread'!$U$178,'12 Mth Budget Spread'!$U$180,'12 Mth Budget Spread'!$I$182,'12 Mth Budget Spread'!$J$182,'12 Mth Budget Spread'!$K$182,'12 Mth Budget Spread'!$L$182,'12 Mth Budget Spread'!$M$182,'12 Mth Budget Spread'!$N$182</definedName>
    <definedName name="QB_FORMULA_22" localSheetId="1" hidden="1">Actual!$U$135,Actual!$W$135,Actual!$Y$135,Actual!$AA$135,Actual!$AG$135,Actual!$AG$136,Actual!$AG$137,Actual!$AG$138,Actual!$AG$139,Actual!$AG$141,Actual!$I$142,Actual!$K$142,Actual!$M$142,Actual!$O$142,Actual!$Q$142,Actual!$S$142</definedName>
    <definedName name="QB_FORMULA_22" localSheetId="2" hidden="1">Proposed!$O$135,Proposed!$P$135,Proposed!$Q$135,Proposed!$R$135,Proposed!$U$135,Proposed!$U$136,Proposed!$U$137,Proposed!$U$138,Proposed!$U$139,Proposed!$U$141,Proposed!$I$142,Proposed!$J$142,Proposed!$K$142,Proposed!$L$142,Proposed!$M$142,Proposed!$N$142</definedName>
    <definedName name="QB_FORMULA_23" localSheetId="3" hidden="1">'12 Mth Budget Spread'!$O$182,'12 Mth Budget Spread'!$P$182,'12 Mth Budget Spread'!$Q$182,'12 Mth Budget Spread'!$R$182,'12 Mth Budget Spread'!$U$182,'12 Mth Budget Spread'!$U$184,'12 Mth Budget Spread'!$U$185,'12 Mth Budget Spread'!$U$186,'12 Mth Budget Spread'!$U$187,'12 Mth Budget Spread'!$U$188,'12 Mth Budget Spread'!$I$189,'12 Mth Budget Spread'!$J$189,'12 Mth Budget Spread'!$K$189,'12 Mth Budget Spread'!$L$189,'12 Mth Budget Spread'!$M$189,'12 Mth Budget Spread'!$N$189</definedName>
    <definedName name="QB_FORMULA_23" localSheetId="1" hidden="1">Actual!$U$142,Actual!$W$142,Actual!$Y$142,Actual!$AA$142,Actual!$AG$142,Actual!$AG$143,Actual!$AG$144,Actual!$AG$145,Actual!$AG$146,Actual!$AG$147,Actual!$I$148,Actual!$K$148,Actual!$M$148,Actual!$O$148,Actual!$Q$148,Actual!$S$148</definedName>
    <definedName name="QB_FORMULA_23" localSheetId="2" hidden="1">Proposed!$O$142,Proposed!$P$142,Proposed!$Q$142,Proposed!$R$142,Proposed!$U$142,Proposed!$U$143,Proposed!$U$144,Proposed!$U$145,Proposed!$U$146,Proposed!$U$147,Proposed!$I$148,Proposed!$J$148,Proposed!$K$148,Proposed!$L$148,Proposed!$M$148,Proposed!$N$148</definedName>
    <definedName name="QB_FORMULA_24" localSheetId="3" hidden="1">'12 Mth Budget Spread'!$O$189,'12 Mth Budget Spread'!$P$189,'12 Mth Budget Spread'!$Q$189,'12 Mth Budget Spread'!$R$189,'12 Mth Budget Spread'!$U$189,'12 Mth Budget Spread'!$U$190,'12 Mth Budget Spread'!$I$193,'12 Mth Budget Spread'!$J$193,'12 Mth Budget Spread'!$K$193,'12 Mth Budget Spread'!$L$193,'12 Mth Budget Spread'!$M$193,'12 Mth Budget Spread'!$N$193,'12 Mth Budget Spread'!$O$193,'12 Mth Budget Spread'!$P$193,'12 Mth Budget Spread'!$Q$193,'12 Mth Budget Spread'!$R$193</definedName>
    <definedName name="QB_FORMULA_24" localSheetId="1" hidden="1">Actual!$U$148,Actual!$W$148,Actual!$Y$148,Actual!$AA$148,Actual!$AG$148,Actual!$AG$149,Actual!$I$150,Actual!$K$150,Actual!$M$150,Actual!$O$150,Actual!$Q$150,Actual!$S$150,Actual!$U$150,Actual!$W$150,Actual!$Y$150,Actual!$AA$150</definedName>
    <definedName name="QB_FORMULA_24" localSheetId="2" hidden="1">Proposed!$O$148,Proposed!$P$148,Proposed!$Q$148,Proposed!$R$148,Proposed!$U$148,Proposed!$U$149,Proposed!$I$150,Proposed!$J$150,Proposed!$K$150,Proposed!$L$150,Proposed!$M$150,Proposed!$N$150,Proposed!$O$150,Proposed!$P$150,Proposed!$Q$150,Proposed!$R$150</definedName>
    <definedName name="QB_FORMULA_25" localSheetId="3" hidden="1">'12 Mth Budget Spread'!$U$193,'12 Mth Budget Spread'!$I$194,'12 Mth Budget Spread'!$J$194,'12 Mth Budget Spread'!$K$194,'12 Mth Budget Spread'!$L$194,'12 Mth Budget Spread'!$M$194,'12 Mth Budget Spread'!$N$194,'12 Mth Budget Spread'!$O$194,'12 Mth Budget Spread'!$P$194,'12 Mth Budget Spread'!$Q$194,'12 Mth Budget Spread'!$R$194,'12 Mth Budget Spread'!$U$194,'12 Mth Budget Spread'!$I$195,'12 Mth Budget Spread'!$J$195,'12 Mth Budget Spread'!$K$195,'12 Mth Budget Spread'!$L$195</definedName>
    <definedName name="QB_FORMULA_25" localSheetId="1" hidden="1">Actual!$AG$150,Actual!$I$151,Actual!$K$151,Actual!$M$151,Actual!$O$151,Actual!$Q$151,Actual!$S$151,Actual!$U$151,Actual!$W$151,Actual!$Y$151,Actual!$AA$151,Actual!$AG$151,Actual!$I$152,Actual!$K$152,Actual!$M$152,Actual!$O$152</definedName>
    <definedName name="QB_FORMULA_25" localSheetId="2" hidden="1">Proposed!$U$150,Proposed!$I$151,Proposed!$J$151,Proposed!$K$151,Proposed!$L$151,Proposed!$M$151,Proposed!$N$151,Proposed!$O$151,Proposed!$P$151,Proposed!$Q$151,Proposed!$R$151,Proposed!$U$151,Proposed!$I$152,Proposed!$J$152,Proposed!$K$152,Proposed!$L$152</definedName>
    <definedName name="QB_FORMULA_26" localSheetId="3" hidden="1">'12 Mth Budget Spread'!$M$195,'12 Mth Budget Spread'!$N$195,'12 Mth Budget Spread'!$O$195,'12 Mth Budget Spread'!$P$195,'12 Mth Budget Spread'!$Q$195,'12 Mth Budget Spread'!$R$195,'12 Mth Budget Spread'!$U$195</definedName>
    <definedName name="QB_FORMULA_26" localSheetId="1" hidden="1">Actual!$Q$152,Actual!$S$152,Actual!$U$152,Actual!$W$152,Actual!$Y$152,Actual!$AA$152,Actual!$AG$152</definedName>
    <definedName name="QB_FORMULA_26" localSheetId="2" hidden="1">Proposed!$M$152,Proposed!$N$152,Proposed!$O$152,Proposed!$P$152,Proposed!$Q$152,Proposed!$R$152,Proposed!$U$152</definedName>
    <definedName name="QB_FORMULA_3" localSheetId="3" hidden="1">'12 Mth Budget Spread'!$J$38,'12 Mth Budget Spread'!$K$38,'12 Mth Budget Spread'!$L$38,'12 Mth Budget Spread'!$M$38,'12 Mth Budget Spread'!$N$38,'12 Mth Budget Spread'!$O$38,'12 Mth Budget Spread'!$P$38,'12 Mth Budget Spread'!$Q$38,'12 Mth Budget Spread'!$R$38,'12 Mth Budget Spread'!$U$38,'12 Mth Budget Spread'!$I$39,'12 Mth Budget Spread'!$J$39,'12 Mth Budget Spread'!$K$39,'12 Mth Budget Spread'!$L$39,'12 Mth Budget Spread'!$M$39,'12 Mth Budget Spread'!$N$39</definedName>
    <definedName name="QB_FORMULA_3" localSheetId="1" hidden="1">Actual!$K$26,Actual!$M$26,Actual!$O$26,Actual!$Q$26,Actual!$S$26,Actual!$U$26,Actual!$W$26,Actual!$Y$26,Actual!$AA$26,Actual!$AG$26,Actual!$I$27,Actual!$K$27,Actual!$M$27,Actual!$O$27,Actual!$Q$27,Actual!$S$27</definedName>
    <definedName name="QB_FORMULA_3" localSheetId="2" hidden="1">Proposed!$J$26,Proposed!$K$26,Proposed!$L$26,Proposed!$M$26,Proposed!$N$26,Proposed!$O$26,Proposed!$P$26,Proposed!$Q$26,Proposed!$R$26,Proposed!$U$26,Proposed!$I$27,Proposed!$J$27,Proposed!$K$27,Proposed!$L$27,Proposed!$M$27,Proposed!$N$27</definedName>
    <definedName name="QB_FORMULA_4" localSheetId="3" hidden="1">'12 Mth Budget Spread'!$O$39,'12 Mth Budget Spread'!$P$39,'12 Mth Budget Spread'!$Q$39,'12 Mth Budget Spread'!$R$39,'12 Mth Budget Spread'!$U$39,'12 Mth Budget Spread'!$U$41,'12 Mth Budget Spread'!$U$42,'12 Mth Budget Spread'!$U$43,'12 Mth Budget Spread'!$I$44,'12 Mth Budget Spread'!$J$44,'12 Mth Budget Spread'!$K$44,'12 Mth Budget Spread'!$L$44,'12 Mth Budget Spread'!$M$44,'12 Mth Budget Spread'!$N$44,'12 Mth Budget Spread'!$O$44,'12 Mth Budget Spread'!$P$44</definedName>
    <definedName name="QB_FORMULA_4" localSheetId="1" hidden="1">Actual!$U$27,Actual!$W$27,Actual!$Y$27,Actual!$AA$27,Actual!$AG$27,Actual!$AG$29,Actual!$AG$30,Actual!$AG$31,Actual!$I$32,Actual!$K$32,Actual!$M$32,Actual!$O$32,Actual!$Q$32,Actual!$S$32,Actual!$U$32,Actual!$W$32</definedName>
    <definedName name="QB_FORMULA_4" localSheetId="2" hidden="1">Proposed!$O$27,Proposed!$P$27,Proposed!$Q$27,Proposed!$R$27,Proposed!$U$27,Proposed!$U$29,Proposed!$U$30,Proposed!$U$31,Proposed!$I$32,Proposed!$J$32,Proposed!$K$32,Proposed!$L$32,Proposed!$M$32,Proposed!$N$32,Proposed!$O$32,Proposed!$P$32</definedName>
    <definedName name="QB_FORMULA_5" localSheetId="3" hidden="1">'12 Mth Budget Spread'!$Q$44,'12 Mth Budget Spread'!$R$44,'12 Mth Budget Spread'!$U$44,'12 Mth Budget Spread'!$I$45,'12 Mth Budget Spread'!$J$45,'12 Mth Budget Spread'!$K$45,'12 Mth Budget Spread'!$L$45,'12 Mth Budget Spread'!$M$45,'12 Mth Budget Spread'!$N$45,'12 Mth Budget Spread'!$O$45,'12 Mth Budget Spread'!$P$45,'12 Mth Budget Spread'!$Q$45,'12 Mth Budget Spread'!$R$45,'12 Mth Budget Spread'!$U$45,'12 Mth Budget Spread'!$U$48,'12 Mth Budget Spread'!$I$49</definedName>
    <definedName name="QB_FORMULA_5" localSheetId="1" hidden="1">Actual!$Y$32,Actual!$AA$32,Actual!$AG$32,Actual!$I$33,Actual!$K$33,Actual!$M$33,Actual!$O$33,Actual!$Q$33,Actual!$S$33,Actual!$U$33,Actual!$W$33,Actual!$Y$33,Actual!$AA$33,Actual!$AG$33,Actual!$AG$36,Actual!$I$37</definedName>
    <definedName name="QB_FORMULA_5" localSheetId="2" hidden="1">Proposed!$Q$32,Proposed!$R$32,Proposed!$U$32,Proposed!$I$33,Proposed!$J$33,Proposed!$K$33,Proposed!$L$33,Proposed!$M$33,Proposed!$N$33,Proposed!$O$33,Proposed!$P$33,Proposed!$Q$33,Proposed!$R$33,Proposed!$U$33,Proposed!$U$36,Proposed!$I$37</definedName>
    <definedName name="QB_FORMULA_6" localSheetId="3" hidden="1">'12 Mth Budget Spread'!$J$49,'12 Mth Budget Spread'!$K$49,'12 Mth Budget Spread'!$L$49,'12 Mth Budget Spread'!$M$49,'12 Mth Budget Spread'!$N$49,'12 Mth Budget Spread'!$O$49,'12 Mth Budget Spread'!$P$49,'12 Mth Budget Spread'!$Q$49,'12 Mth Budget Spread'!$R$49,'12 Mth Budget Spread'!$U$49,'12 Mth Budget Spread'!$I$50,'12 Mth Budget Spread'!$J$50,'12 Mth Budget Spread'!$K$50,'12 Mth Budget Spread'!$L$50,'12 Mth Budget Spread'!$M$50,'12 Mth Budget Spread'!$N$50</definedName>
    <definedName name="QB_FORMULA_6" localSheetId="1" hidden="1">Actual!$K$37,Actual!$M$37,Actual!$O$37,Actual!$Q$37,Actual!$S$37,Actual!$U$37,Actual!$W$37,Actual!$Y$37,Actual!$AA$37,Actual!$AG$37,Actual!$I$38,Actual!$K$38,Actual!$M$38,Actual!$O$38,Actual!$Q$38,Actual!$S$38</definedName>
    <definedName name="QB_FORMULA_6" localSheetId="2" hidden="1">Proposed!$J$37,Proposed!$K$37,Proposed!$L$37,Proposed!$M$37,Proposed!$N$37,Proposed!$O$37,Proposed!$P$37,Proposed!$Q$37,Proposed!$R$37,Proposed!$U$37,Proposed!$I$38,Proposed!$J$38,Proposed!$K$38,Proposed!$L$38,Proposed!$M$38,Proposed!$N$38</definedName>
    <definedName name="QB_FORMULA_7" localSheetId="3" hidden="1">'12 Mth Budget Spread'!$O$50,'12 Mth Budget Spread'!$P$50,'12 Mth Budget Spread'!$Q$50,'12 Mth Budget Spread'!$R$50,'12 Mth Budget Spread'!$U$50,'12 Mth Budget Spread'!$I$51,'12 Mth Budget Spread'!$J$51,'12 Mth Budget Spread'!$K$51,'12 Mth Budget Spread'!$L$51,'12 Mth Budget Spread'!$M$51,'12 Mth Budget Spread'!$N$51,'12 Mth Budget Spread'!$O$51,'12 Mth Budget Spread'!$P$51,'12 Mth Budget Spread'!$Q$51,'12 Mth Budget Spread'!$R$51,'12 Mth Budget Spread'!$U$51</definedName>
    <definedName name="QB_FORMULA_7" localSheetId="1" hidden="1">Actual!$U$38,Actual!$W$38,Actual!$Y$38,Actual!$AA$38,Actual!$AG$38,Actual!$I$39,Actual!$K$39,Actual!$M$39,Actual!$O$39,Actual!$Q$39,Actual!$S$39,Actual!$U$39,Actual!$W$39,Actual!$Y$39,Actual!$AA$39,Actual!$AG$39</definedName>
    <definedName name="QB_FORMULA_7" localSheetId="2" hidden="1">Proposed!$O$38,Proposed!$P$38,Proposed!$Q$38,Proposed!$R$38,Proposed!$U$38,Proposed!$I$39,Proposed!$J$39,Proposed!$K$39,Proposed!$L$39,Proposed!$M$39,Proposed!$N$39,Proposed!$O$39,Proposed!$P$39,Proposed!$Q$39,Proposed!$R$39,Proposed!$U$39</definedName>
    <definedName name="QB_FORMULA_8" localSheetId="3" hidden="1">'12 Mth Budget Spread'!$U$54,'12 Mth Budget Spread'!$I$56,'12 Mth Budget Spread'!$J$56,'12 Mth Budget Spread'!$K$56,'12 Mth Budget Spread'!$L$56,'12 Mth Budget Spread'!$M$56,'12 Mth Budget Spread'!$N$56,'12 Mth Budget Spread'!$O$56,'12 Mth Budget Spread'!$P$56,'12 Mth Budget Spread'!$Q$56,'12 Mth Budget Spread'!$R$56,'12 Mth Budget Spread'!$U$56,'12 Mth Budget Spread'!$U$58,'12 Mth Budget Spread'!$U$61,'12 Mth Budget Spread'!$U$62,'12 Mth Budget Spread'!$U$63</definedName>
    <definedName name="QB_FORMULA_8" localSheetId="1" hidden="1">Actual!$AG$42,Actual!$I$43,Actual!$K$43,Actual!$M$43,Actual!$O$43,Actual!$Q$43,Actual!$S$43,Actual!$U$43,Actual!$W$43,Actual!$Y$43,Actual!$AA$43,Actual!$AG$43,Actual!$AG$45,Actual!$AG$47,Actual!$AG$48,Actual!$AG$49</definedName>
    <definedName name="QB_FORMULA_8" localSheetId="2" hidden="1">Proposed!$U$42,Proposed!$I$43,Proposed!$J$43,Proposed!$K$43,Proposed!$L$43,Proposed!$M$43,Proposed!$N$43,Proposed!$O$43,Proposed!$P$43,Proposed!$Q$43,Proposed!$R$43,Proposed!$U$43,Proposed!$U$45,Proposed!$U$47,Proposed!$U$48,Proposed!$U$49</definedName>
    <definedName name="QB_FORMULA_9" localSheetId="3" hidden="1">'12 Mth Budget Spread'!$U$64,'12 Mth Budget Spread'!$I$65,'12 Mth Budget Spread'!$J$65,'12 Mth Budget Spread'!$K$65,'12 Mth Budget Spread'!$L$65,'12 Mth Budget Spread'!$M$65,'12 Mth Budget Spread'!$N$65,'12 Mth Budget Spread'!$O$65,'12 Mth Budget Spread'!$P$65,'12 Mth Budget Spread'!$Q$65,'12 Mth Budget Spread'!$R$65,'12 Mth Budget Spread'!$U$65,'12 Mth Budget Spread'!$U$66,'12 Mth Budget Spread'!$U$68,'12 Mth Budget Spread'!$U$70,'12 Mth Budget Spread'!$U$71</definedName>
    <definedName name="QB_FORMULA_9" localSheetId="1" hidden="1">Actual!$AG$50,Actual!$I$51,Actual!$K$51,Actual!$M$51,Actual!$O$51,Actual!$Q$51,Actual!$S$51,Actual!$U$51,Actual!$W$51,Actual!$Y$51,Actual!$AA$51,Actual!$AG$51,Actual!$AG$52,Actual!$AG$54,Actual!$AG$55,Actual!$AG$56</definedName>
    <definedName name="QB_FORMULA_9" localSheetId="2" hidden="1">Proposed!$U$50,Proposed!$I$51,Proposed!$J$51,Proposed!$K$51,Proposed!$L$51,Proposed!$M$51,Proposed!$N$51,Proposed!$O$51,Proposed!$P$51,Proposed!$Q$51,Proposed!$R$51,Proposed!$U$51,Proposed!$U$52,Proposed!$U$54,Proposed!$U$55,Proposed!$U$56</definedName>
    <definedName name="QB_ROW_109040" localSheetId="3" hidden="1">'12 Mth Budget Spread'!$E$57</definedName>
    <definedName name="QB_ROW_109040" localSheetId="1" hidden="1">Actual!$E$44</definedName>
    <definedName name="QB_ROW_109040" localSheetId="2" hidden="1">Proposed!$E$44</definedName>
    <definedName name="QB_ROW_109340" localSheetId="3" hidden="1">'12 Mth Budget Spread'!$E$110</definedName>
    <definedName name="QB_ROW_109340" localSheetId="1" hidden="1">Actual!$E$92</definedName>
    <definedName name="QB_ROW_109340" localSheetId="2" hidden="1">Proposed!$E$92</definedName>
    <definedName name="QB_ROW_110250" localSheetId="3" hidden="1">'12 Mth Budget Spread'!$F$58</definedName>
    <definedName name="QB_ROW_110250" localSheetId="1" hidden="1">Actual!$F$45</definedName>
    <definedName name="QB_ROW_110250" localSheetId="2" hidden="1">Proposed!$F$45</definedName>
    <definedName name="QB_ROW_111260" localSheetId="3" hidden="1">'12 Mth Budget Spread'!$G$61</definedName>
    <definedName name="QB_ROW_111260" localSheetId="1" hidden="1">Actual!$G$47</definedName>
    <definedName name="QB_ROW_111260" localSheetId="2" hidden="1">Proposed!$G$47</definedName>
    <definedName name="QB_ROW_112260" localSheetId="3" hidden="1">'12 Mth Budget Spread'!$G$62</definedName>
    <definedName name="QB_ROW_112260" localSheetId="1" hidden="1">Actual!$G$48</definedName>
    <definedName name="QB_ROW_112260" localSheetId="2" hidden="1">Proposed!$G$48</definedName>
    <definedName name="QB_ROW_114260" localSheetId="3" hidden="1">'12 Mth Budget Spread'!$G$63</definedName>
    <definedName name="QB_ROW_114260" localSheetId="1" hidden="1">Actual!$G$49</definedName>
    <definedName name="QB_ROW_114260" localSheetId="2" hidden="1">Proposed!$G$49</definedName>
    <definedName name="QB_ROW_117250" localSheetId="3" hidden="1">'12 Mth Budget Spread'!$F$185</definedName>
    <definedName name="QB_ROW_117250" localSheetId="1" hidden="1">Actual!$F$144</definedName>
    <definedName name="QB_ROW_117250" localSheetId="2" hidden="1">Proposed!$F$144</definedName>
    <definedName name="QB_ROW_118040" localSheetId="3" hidden="1">'12 Mth Budget Spread'!$E$120</definedName>
    <definedName name="QB_ROW_118040" localSheetId="1" hidden="1">Actual!$E$101</definedName>
    <definedName name="QB_ROW_118040" localSheetId="2" hidden="1">Proposed!$E$101</definedName>
    <definedName name="QB_ROW_118340" localSheetId="3" hidden="1">'12 Mth Budget Spread'!$E$152</definedName>
    <definedName name="QB_ROW_118340" localSheetId="1" hidden="1">Actual!$E$125</definedName>
    <definedName name="QB_ROW_118340" localSheetId="2" hidden="1">Proposed!$E$125</definedName>
    <definedName name="QB_ROW_125250" localSheetId="3" hidden="1">'12 Mth Budget Spread'!$F$77</definedName>
    <definedName name="QB_ROW_125250" localSheetId="1" hidden="1">Actual!$F$61</definedName>
    <definedName name="QB_ROW_125250" localSheetId="2" hidden="1">Proposed!$F$61</definedName>
    <definedName name="QB_ROW_126250" localSheetId="3" hidden="1">'12 Mth Budget Spread'!$F$78</definedName>
    <definedName name="QB_ROW_126250" localSheetId="1" hidden="1">Actual!$F$62</definedName>
    <definedName name="QB_ROW_126250" localSheetId="2" hidden="1">Proposed!$F$62</definedName>
    <definedName name="QB_ROW_127250" localSheetId="3" hidden="1">'12 Mth Budget Spread'!$F$87</definedName>
    <definedName name="QB_ROW_127250" localSheetId="1" hidden="1">Actual!$F$70</definedName>
    <definedName name="QB_ROW_127250" localSheetId="2" hidden="1">Proposed!$F$70</definedName>
    <definedName name="QB_ROW_128050" localSheetId="3" hidden="1">'12 Mth Budget Spread'!$F$102</definedName>
    <definedName name="QB_ROW_128050" localSheetId="1" hidden="1">Actual!$F$84</definedName>
    <definedName name="QB_ROW_128050" localSheetId="2" hidden="1">Proposed!$F$84</definedName>
    <definedName name="QB_ROW_128350" localSheetId="3" hidden="1">'12 Mth Budget Spread'!$F$109</definedName>
    <definedName name="QB_ROW_128350" localSheetId="1" hidden="1">Actual!$F$91</definedName>
    <definedName name="QB_ROW_128350" localSheetId="2" hidden="1">Proposed!$F$91</definedName>
    <definedName name="QB_ROW_132250" localSheetId="3" hidden="1">'12 Mth Budget Spread'!$F$155</definedName>
    <definedName name="QB_ROW_132250" localSheetId="1" hidden="1">Actual!$F$127</definedName>
    <definedName name="QB_ROW_132250" localSheetId="2" hidden="1">Proposed!$F$127</definedName>
    <definedName name="QB_ROW_137040" localSheetId="3" hidden="1">'12 Mth Budget Spread'!$E$166</definedName>
    <definedName name="QB_ROW_137040" localSheetId="1" hidden="1">Actual!$E$130</definedName>
    <definedName name="QB_ROW_137040" localSheetId="2" hidden="1">Proposed!$E$130</definedName>
    <definedName name="QB_ROW_137340" localSheetId="3" hidden="1">'12 Mth Budget Spread'!$E$189</definedName>
    <definedName name="QB_ROW_137340" localSheetId="1" hidden="1">Actual!$E$148</definedName>
    <definedName name="QB_ROW_137340" localSheetId="2" hidden="1">Proposed!$E$148</definedName>
    <definedName name="QB_ROW_139250" localSheetId="3" hidden="1">'12 Mth Budget Spread'!$F$168</definedName>
    <definedName name="QB_ROW_139250" localSheetId="1" hidden="1">Actual!$F$131</definedName>
    <definedName name="QB_ROW_139250" localSheetId="2" hidden="1">Proposed!$F$131</definedName>
    <definedName name="QB_ROW_141050" localSheetId="3" hidden="1">'12 Mth Budget Spread'!$F$171</definedName>
    <definedName name="QB_ROW_141050" localSheetId="1" hidden="1">Actual!$F$132</definedName>
    <definedName name="QB_ROW_141050" localSheetId="2" hidden="1">Proposed!$F$132</definedName>
    <definedName name="QB_ROW_141260" localSheetId="3" hidden="1">'12 Mth Budget Spread'!$G$173</definedName>
    <definedName name="QB_ROW_141260" localSheetId="1" hidden="1">Actual!$G$134</definedName>
    <definedName name="QB_ROW_141260" localSheetId="2" hidden="1">Proposed!$G$134</definedName>
    <definedName name="QB_ROW_141350" localSheetId="3" hidden="1">'12 Mth Budget Spread'!$F$174</definedName>
    <definedName name="QB_ROW_141350" localSheetId="1" hidden="1">Actual!$F$135</definedName>
    <definedName name="QB_ROW_141350" localSheetId="2" hidden="1">Proposed!$F$135</definedName>
    <definedName name="QB_ROW_142250" localSheetId="3" hidden="1">'12 Mth Budget Spread'!$F$176</definedName>
    <definedName name="QB_ROW_142250" localSheetId="1" hidden="1">Actual!$F$137</definedName>
    <definedName name="QB_ROW_142250" localSheetId="2" hidden="1">Proposed!$F$137</definedName>
    <definedName name="QB_ROW_143250" localSheetId="3" hidden="1">'12 Mth Budget Spread'!$F$177</definedName>
    <definedName name="QB_ROW_143250" localSheetId="1" hidden="1">Actual!$F$138</definedName>
    <definedName name="QB_ROW_143250" localSheetId="2" hidden="1">Proposed!$F$138</definedName>
    <definedName name="QB_ROW_144250" localSheetId="3" hidden="1">'12 Mth Budget Spread'!$F$178</definedName>
    <definedName name="QB_ROW_144250" localSheetId="1" hidden="1">Actual!$F$139</definedName>
    <definedName name="QB_ROW_144250" localSheetId="2" hidden="1">Proposed!$F$139</definedName>
    <definedName name="QB_ROW_145260" localSheetId="3" hidden="1">'12 Mth Budget Spread'!$G$180</definedName>
    <definedName name="QB_ROW_145260" localSheetId="1" hidden="1">Actual!$G$141</definedName>
    <definedName name="QB_ROW_145260" localSheetId="2" hidden="1">Proposed!$G$141</definedName>
    <definedName name="QB_ROW_147250" localSheetId="3" hidden="1">'12 Mth Budget Spread'!$F$187</definedName>
    <definedName name="QB_ROW_147250" localSheetId="1" hidden="1">Actual!$F$146</definedName>
    <definedName name="QB_ROW_147250" localSheetId="2" hidden="1">Proposed!$F$146</definedName>
    <definedName name="QB_ROW_148250" localSheetId="3" hidden="1">'12 Mth Budget Spread'!$F$188</definedName>
    <definedName name="QB_ROW_148250" localSheetId="1" hidden="1">Actual!$F$147</definedName>
    <definedName name="QB_ROW_148250" localSheetId="2" hidden="1">Proposed!$F$147</definedName>
    <definedName name="QB_ROW_149250" localSheetId="3" hidden="1">'12 Mth Budget Spread'!$F$123</definedName>
    <definedName name="QB_ROW_149250" localSheetId="1" hidden="1">Actual!$F$104</definedName>
    <definedName name="QB_ROW_149250" localSheetId="2" hidden="1">Proposed!$F$104</definedName>
    <definedName name="QB_ROW_150250" localSheetId="3" hidden="1">'12 Mth Budget Spread'!$F$175</definedName>
    <definedName name="QB_ROW_150250" localSheetId="1" hidden="1">Actual!$F$136</definedName>
    <definedName name="QB_ROW_150250" localSheetId="2" hidden="1">Proposed!$F$136</definedName>
    <definedName name="QB_ROW_156250" localSheetId="3" hidden="1">'12 Mth Budget Spread'!$F$43</definedName>
    <definedName name="QB_ROW_156250" localSheetId="1" hidden="1">Actual!$F$31</definedName>
    <definedName name="QB_ROW_156250" localSheetId="2" hidden="1">Proposed!$F$31</definedName>
    <definedName name="QB_ROW_157250" localSheetId="3" hidden="1">'12 Mth Budget Spread'!#REF!</definedName>
    <definedName name="QB_ROW_157250" localSheetId="1" hidden="1">Actual!$F$12</definedName>
    <definedName name="QB_ROW_157250" localSheetId="2" hidden="1">Proposed!$F$12</definedName>
    <definedName name="QB_ROW_158040" localSheetId="3" hidden="1">'12 Mth Budget Spread'!$E$40</definedName>
    <definedName name="QB_ROW_158040" localSheetId="1" hidden="1">Actual!$E$28</definedName>
    <definedName name="QB_ROW_158040" localSheetId="2" hidden="1">Proposed!$E$28</definedName>
    <definedName name="QB_ROW_158340" localSheetId="3" hidden="1">'12 Mth Budget Spread'!$E$44</definedName>
    <definedName name="QB_ROW_158340" localSheetId="1" hidden="1">Actual!$E$32</definedName>
    <definedName name="QB_ROW_158340" localSheetId="2" hidden="1">Proposed!$E$32</definedName>
    <definedName name="QB_ROW_160250" localSheetId="3" hidden="1">'12 Mth Budget Spread'!$F$117</definedName>
    <definedName name="QB_ROW_160250" localSheetId="1" hidden="1">Actual!$F$99</definedName>
    <definedName name="QB_ROW_160250" localSheetId="2" hidden="1">Proposed!$F$99</definedName>
    <definedName name="QB_ROW_164260" localSheetId="3" hidden="1">'12 Mth Budget Spread'!$G$103</definedName>
    <definedName name="QB_ROW_164260" localSheetId="1" hidden="1">Actual!$G$85</definedName>
    <definedName name="QB_ROW_164260" localSheetId="2" hidden="1">Proposed!$G$85</definedName>
    <definedName name="QB_ROW_165260" localSheetId="3" hidden="1">'12 Mth Budget Spread'!$G$104</definedName>
    <definedName name="QB_ROW_165260" localSheetId="1" hidden="1">Actual!$G$86</definedName>
    <definedName name="QB_ROW_165260" localSheetId="2" hidden="1">Proposed!$G$86</definedName>
    <definedName name="QB_ROW_166260" localSheetId="3" hidden="1">'12 Mth Budget Spread'!$G$105</definedName>
    <definedName name="QB_ROW_166260" localSheetId="1" hidden="1">Actual!$G$87</definedName>
    <definedName name="QB_ROW_166260" localSheetId="2" hidden="1">Proposed!$G$87</definedName>
    <definedName name="QB_ROW_170250" localSheetId="3" hidden="1">'12 Mth Budget Spread'!$F$41</definedName>
    <definedName name="QB_ROW_170250" localSheetId="1" hidden="1">Actual!$F$29</definedName>
    <definedName name="QB_ROW_170250" localSheetId="2" hidden="1">Proposed!$F$29</definedName>
    <definedName name="QB_ROW_171260" localSheetId="3" hidden="1">'12 Mth Budget Spread'!$G$106</definedName>
    <definedName name="QB_ROW_171260" localSheetId="1" hidden="1">Actual!$G$88</definedName>
    <definedName name="QB_ROW_171260" localSheetId="2" hidden="1">Proposed!$G$88</definedName>
    <definedName name="QB_ROW_182260" localSheetId="3" hidden="1">'12 Mth Budget Spread'!$G$107</definedName>
    <definedName name="QB_ROW_182260" localSheetId="1" hidden="1">Actual!$G$89</definedName>
    <definedName name="QB_ROW_182260" localSheetId="2" hidden="1">Proposed!$G$89</definedName>
    <definedName name="QB_ROW_18301" localSheetId="3" hidden="1">'12 Mth Budget Spread'!$A$195</definedName>
    <definedName name="QB_ROW_18301" localSheetId="1" hidden="1">Actual!$A$152</definedName>
    <definedName name="QB_ROW_18301" localSheetId="2" hidden="1">Proposed!$A$152</definedName>
    <definedName name="QB_ROW_184260" localSheetId="3" hidden="1">'12 Mth Budget Spread'!$G$137</definedName>
    <definedName name="QB_ROW_184260" localSheetId="1" hidden="1">Actual!$G$116</definedName>
    <definedName name="QB_ROW_184260" localSheetId="2" hidden="1">Proposed!$G$116</definedName>
    <definedName name="QB_ROW_185250" localSheetId="3" hidden="1">'12 Mth Budget Spread'!$F$21</definedName>
    <definedName name="QB_ROW_185250" localSheetId="1" hidden="1">Actual!$F$13</definedName>
    <definedName name="QB_ROW_185250" localSheetId="2" hidden="1">Proposed!$F$13</definedName>
    <definedName name="QB_ROW_186250" localSheetId="3" hidden="1">'12 Mth Budget Spread'!$F$66</definedName>
    <definedName name="QB_ROW_186250" localSheetId="1" hidden="1">Actual!$F$52</definedName>
    <definedName name="QB_ROW_186250" localSheetId="2" hidden="1">Proposed!$F$52</definedName>
    <definedName name="QB_ROW_187050" localSheetId="3" hidden="1">'12 Mth Budget Spread'!$F$79</definedName>
    <definedName name="QB_ROW_187050" localSheetId="1" hidden="1">Actual!$F$63</definedName>
    <definedName name="QB_ROW_187050" localSheetId="2" hidden="1">Proposed!$F$63</definedName>
    <definedName name="QB_ROW_187260" localSheetId="3" hidden="1">'12 Mth Budget Spread'!$G$81</definedName>
    <definedName name="QB_ROW_187260" localSheetId="1" hidden="1">Actual!$G$65</definedName>
    <definedName name="QB_ROW_187260" localSheetId="2" hidden="1">Proposed!$G$65</definedName>
    <definedName name="QB_ROW_187350" localSheetId="3" hidden="1">'12 Mth Budget Spread'!$F$82</definedName>
    <definedName name="QB_ROW_187350" localSheetId="1" hidden="1">Actual!$F$66</definedName>
    <definedName name="QB_ROW_187350" localSheetId="2" hidden="1">Proposed!$F$66</definedName>
    <definedName name="QB_ROW_188250" localSheetId="3" hidden="1">'12 Mth Budget Spread'!$F$84</definedName>
    <definedName name="QB_ROW_188250" localSheetId="1" hidden="1">Actual!$F$68</definedName>
    <definedName name="QB_ROW_188250" localSheetId="2" hidden="1">Proposed!$F$68</definedName>
    <definedName name="QB_ROW_189250" localSheetId="3" hidden="1">'12 Mth Budget Spread'!$F$88</definedName>
    <definedName name="QB_ROW_189250" localSheetId="1" hidden="1">Actual!$F$71</definedName>
    <definedName name="QB_ROW_189250" localSheetId="2" hidden="1">Proposed!$F$71</definedName>
    <definedName name="QB_ROW_190050" localSheetId="3" hidden="1">'12 Mth Budget Spread'!$F$97</definedName>
    <definedName name="QB_ROW_190050" localSheetId="1" hidden="1">Actual!$F$80</definedName>
    <definedName name="QB_ROW_190050" localSheetId="2" hidden="1">Proposed!$F$80</definedName>
    <definedName name="QB_ROW_19011" localSheetId="3" hidden="1">'12 Mth Budget Spread'!$B$2</definedName>
    <definedName name="QB_ROW_19011" localSheetId="1" hidden="1">Actual!$B$2</definedName>
    <definedName name="QB_ROW_19011" localSheetId="2" hidden="1">Proposed!$B$2</definedName>
    <definedName name="QB_ROW_190350" localSheetId="3" hidden="1">'12 Mth Budget Spread'!$F$101</definedName>
    <definedName name="QB_ROW_190350" localSheetId="1" hidden="1">Actual!$F$83</definedName>
    <definedName name="QB_ROW_190350" localSheetId="2" hidden="1">Proposed!$F$83</definedName>
    <definedName name="QB_ROW_191250" localSheetId="3" hidden="1">'12 Mth Budget Spread'!$F$75</definedName>
    <definedName name="QB_ROW_191250" localSheetId="1" hidden="1">Actual!$F$59</definedName>
    <definedName name="QB_ROW_191250" localSheetId="2" hidden="1">Proposed!$F$59</definedName>
    <definedName name="QB_ROW_192250" localSheetId="3" hidden="1">'12 Mth Budget Spread'!$F$127</definedName>
    <definedName name="QB_ROW_192250" localSheetId="1" hidden="1">Actual!$F$109</definedName>
    <definedName name="QB_ROW_192250" localSheetId="2" hidden="1">Proposed!$F$109</definedName>
    <definedName name="QB_ROW_19311" localSheetId="3" hidden="1">'12 Mth Budget Spread'!$B$194</definedName>
    <definedName name="QB_ROW_19311" localSheetId="1" hidden="1">Actual!$B$151</definedName>
    <definedName name="QB_ROW_19311" localSheetId="2" hidden="1">Proposed!$B$151</definedName>
    <definedName name="QB_ROW_193250" localSheetId="3" hidden="1">'12 Mth Budget Spread'!$F$132</definedName>
    <definedName name="QB_ROW_193250" localSheetId="1" hidden="1">Actual!$F$112</definedName>
    <definedName name="QB_ROW_193250" localSheetId="2" hidden="1">Proposed!$F$112</definedName>
    <definedName name="QB_ROW_196250" localSheetId="3" hidden="1">'12 Mth Budget Spread'!$F$184</definedName>
    <definedName name="QB_ROW_196250" localSheetId="1" hidden="1">Actual!$F$143</definedName>
    <definedName name="QB_ROW_196250" localSheetId="2" hidden="1">Proposed!$F$143</definedName>
    <definedName name="QB_ROW_197040" localSheetId="3" hidden="1">'12 Mth Budget Spread'!$E$4</definedName>
    <definedName name="QB_ROW_197040" localSheetId="1" hidden="1">Actual!$E$4</definedName>
    <definedName name="QB_ROW_197040" localSheetId="2" hidden="1">Proposed!$E$4</definedName>
    <definedName name="QB_ROW_197340" localSheetId="3" hidden="1">'12 Mth Budget Spread'!$E$11</definedName>
    <definedName name="QB_ROW_197340" localSheetId="1" hidden="1">Actual!$E$9</definedName>
    <definedName name="QB_ROW_197340" localSheetId="2" hidden="1">Proposed!$E$9</definedName>
    <definedName name="QB_ROW_199040" localSheetId="3" hidden="1">'12 Mth Budget Spread'!$E$17</definedName>
    <definedName name="QB_ROW_199040" localSheetId="1" hidden="1">Actual!$E$10</definedName>
    <definedName name="QB_ROW_199040" localSheetId="2" hidden="1">Proposed!$E$10</definedName>
    <definedName name="QB_ROW_199340" localSheetId="3" hidden="1">'12 Mth Budget Spread'!$E$22</definedName>
    <definedName name="QB_ROW_199340" localSheetId="1" hidden="1">Actual!$E$14</definedName>
    <definedName name="QB_ROW_199340" localSheetId="2" hidden="1">Proposed!$E$14</definedName>
    <definedName name="QB_ROW_200040" localSheetId="3" hidden="1">'12 Mth Budget Spread'!$E$24</definedName>
    <definedName name="QB_ROW_200040" localSheetId="1" hidden="1">Actual!$E$15</definedName>
    <definedName name="QB_ROW_200040" localSheetId="2" hidden="1">Proposed!$E$15</definedName>
    <definedName name="QB_ROW_20031" localSheetId="3" hidden="1">'12 Mth Budget Spread'!$D$3</definedName>
    <definedName name="QB_ROW_20031" localSheetId="1" hidden="1">Actual!$D$3</definedName>
    <definedName name="QB_ROW_20031" localSheetId="2" hidden="1">Proposed!$D$3</definedName>
    <definedName name="QB_ROW_200340" localSheetId="3" hidden="1">'12 Mth Budget Spread'!$E$28</definedName>
    <definedName name="QB_ROW_200340" localSheetId="1" hidden="1">Actual!$E$18</definedName>
    <definedName name="QB_ROW_200340" localSheetId="2" hidden="1">Proposed!$E$18</definedName>
    <definedName name="QB_ROW_201040" localSheetId="3" hidden="1">'12 Mth Budget Spread'!$E$29</definedName>
    <definedName name="QB_ROW_201040" localSheetId="1" hidden="1">Actual!$E$19</definedName>
    <definedName name="QB_ROW_201040" localSheetId="2" hidden="1">Proposed!$E$19</definedName>
    <definedName name="QB_ROW_201340" localSheetId="3" hidden="1">'12 Mth Budget Spread'!$E$39</definedName>
    <definedName name="QB_ROW_201340" localSheetId="1" hidden="1">Actual!$E$27</definedName>
    <definedName name="QB_ROW_201340" localSheetId="2" hidden="1">Proposed!$E$27</definedName>
    <definedName name="QB_ROW_202050" localSheetId="3" hidden="1">'12 Mth Budget Spread'!$F$60</definedName>
    <definedName name="QB_ROW_202050" localSheetId="1" hidden="1">Actual!$F$46</definedName>
    <definedName name="QB_ROW_202050" localSheetId="2" hidden="1">Proposed!$F$46</definedName>
    <definedName name="QB_ROW_202260" localSheetId="3" hidden="1">'12 Mth Budget Spread'!$G$64</definedName>
    <definedName name="QB_ROW_202260" localSheetId="1" hidden="1">Actual!$G$50</definedName>
    <definedName name="QB_ROW_202260" localSheetId="2" hidden="1">Proposed!$G$50</definedName>
    <definedName name="QB_ROW_202350" localSheetId="3" hidden="1">'12 Mth Budget Spread'!$F$65</definedName>
    <definedName name="QB_ROW_202350" localSheetId="1" hidden="1">Actual!$F$51</definedName>
    <definedName name="QB_ROW_202350" localSheetId="2" hidden="1">Proposed!$F$51</definedName>
    <definedName name="QB_ROW_203050" localSheetId="3" hidden="1">'12 Mth Budget Spread'!$F$133</definedName>
    <definedName name="QB_ROW_203050" localSheetId="1" hidden="1">Actual!$F$113</definedName>
    <definedName name="QB_ROW_203050" localSheetId="2" hidden="1">Proposed!$F$113</definedName>
    <definedName name="QB_ROW_203260" localSheetId="3" hidden="1">'12 Mth Budget Spread'!$G$150</definedName>
    <definedName name="QB_ROW_203260" localSheetId="1" hidden="1">Actual!$G$123</definedName>
    <definedName name="QB_ROW_203260" localSheetId="2" hidden="1">Proposed!$G$123</definedName>
    <definedName name="QB_ROW_20331" localSheetId="3" hidden="1">'12 Mth Budget Spread'!$D$45</definedName>
    <definedName name="QB_ROW_20331" localSheetId="1" hidden="1">Actual!$D$33</definedName>
    <definedName name="QB_ROW_20331" localSheetId="2" hidden="1">Proposed!$D$33</definedName>
    <definedName name="QB_ROW_203350" localSheetId="3" hidden="1">'12 Mth Budget Spread'!$F$151</definedName>
    <definedName name="QB_ROW_203350" localSheetId="1" hidden="1">Actual!$F$124</definedName>
    <definedName name="QB_ROW_203350" localSheetId="2" hidden="1">Proposed!$F$124</definedName>
    <definedName name="QB_ROW_205040" localSheetId="3" hidden="1">'12 Mth Budget Spread'!$E$53</definedName>
    <definedName name="QB_ROW_205040" localSheetId="1" hidden="1">Actual!$E$41</definedName>
    <definedName name="QB_ROW_205040" localSheetId="2" hidden="1">Proposed!$E$41</definedName>
    <definedName name="QB_ROW_205340" localSheetId="3" hidden="1">'12 Mth Budget Spread'!$E$56</definedName>
    <definedName name="QB_ROW_205340" localSheetId="1" hidden="1">Actual!$E$43</definedName>
    <definedName name="QB_ROW_205340" localSheetId="2" hidden="1">Proposed!$E$43</definedName>
    <definedName name="QB_ROW_206250" localSheetId="3" hidden="1">'12 Mth Budget Spread'!$F$54</definedName>
    <definedName name="QB_ROW_206250" localSheetId="1" hidden="1">Actual!$F$42</definedName>
    <definedName name="QB_ROW_206250" localSheetId="2" hidden="1">Proposed!$F$42</definedName>
    <definedName name="QB_ROW_208050" localSheetId="3" hidden="1">'12 Mth Budget Spread'!$F$179</definedName>
    <definedName name="QB_ROW_208050" localSheetId="1" hidden="1">Actual!$F$140</definedName>
    <definedName name="QB_ROW_208050" localSheetId="2" hidden="1">Proposed!$F$140</definedName>
    <definedName name="QB_ROW_208350" localSheetId="3" hidden="1">'12 Mth Budget Spread'!$F$182</definedName>
    <definedName name="QB_ROW_208350" localSheetId="1" hidden="1">Actual!$F$142</definedName>
    <definedName name="QB_ROW_208350" localSheetId="2" hidden="1">Proposed!$F$142</definedName>
    <definedName name="QB_ROW_21031" localSheetId="3" hidden="1">'12 Mth Budget Spread'!$D$52</definedName>
    <definedName name="QB_ROW_21031" localSheetId="1" hidden="1">Actual!$D$40</definedName>
    <definedName name="QB_ROW_21031" localSheetId="2" hidden="1">Proposed!$D$40</definedName>
    <definedName name="QB_ROW_21331" localSheetId="3" hidden="1">'12 Mth Budget Spread'!$D$193</definedName>
    <definedName name="QB_ROW_21331" localSheetId="1" hidden="1">Actual!$D$150</definedName>
    <definedName name="QB_ROW_21331" localSheetId="2" hidden="1">Proposed!$D$150</definedName>
    <definedName name="QB_ROW_217250" localSheetId="3" hidden="1">'12 Mth Budget Spread'!$F$186</definedName>
    <definedName name="QB_ROW_217250" localSheetId="1" hidden="1">Actual!$F$145</definedName>
    <definedName name="QB_ROW_217250" localSheetId="2" hidden="1">Proposed!$F$145</definedName>
    <definedName name="QB_ROW_219250" localSheetId="3" hidden="1">'12 Mth Budget Spread'!$F$27</definedName>
    <definedName name="QB_ROW_219250" localSheetId="1" hidden="1">Actual!$F$17</definedName>
    <definedName name="QB_ROW_219250" localSheetId="2" hidden="1">Proposed!$F$17</definedName>
    <definedName name="QB_ROW_223260" localSheetId="3" hidden="1">'12 Mth Budget Spread'!$G$99</definedName>
    <definedName name="QB_ROW_223260" localSheetId="1" hidden="1">Actual!$G$82</definedName>
    <definedName name="QB_ROW_223260" localSheetId="2" hidden="1">Proposed!$G$82</definedName>
    <definedName name="QB_ROW_225260" localSheetId="3" hidden="1">'12 Mth Budget Spread'!$G$172</definedName>
    <definedName name="QB_ROW_225260" localSheetId="1" hidden="1">Actual!$G$133</definedName>
    <definedName name="QB_ROW_225260" localSheetId="2" hidden="1">Proposed!$G$133</definedName>
    <definedName name="QB_ROW_227260" localSheetId="3" hidden="1">'12 Mth Budget Spread'!$G$108</definedName>
    <definedName name="QB_ROW_227260" localSheetId="1" hidden="1">Actual!$G$90</definedName>
    <definedName name="QB_ROW_227260" localSheetId="2" hidden="1">Proposed!$G$90</definedName>
    <definedName name="QB_ROW_229050" localSheetId="3" hidden="1">'12 Mth Budget Spread'!$F$32</definedName>
    <definedName name="QB_ROW_229050" localSheetId="1" hidden="1">Actual!$F$21</definedName>
    <definedName name="QB_ROW_229050" localSheetId="2" hidden="1">Proposed!$F$21</definedName>
    <definedName name="QB_ROW_229350" localSheetId="3" hidden="1">'12 Mth Budget Spread'!$F$38</definedName>
    <definedName name="QB_ROW_229350" localSheetId="1" hidden="1">Actual!$F$26</definedName>
    <definedName name="QB_ROW_229350" localSheetId="2" hidden="1">Proposed!$F$26</definedName>
    <definedName name="QB_ROW_230260" localSheetId="3" hidden="1">'12 Mth Budget Spread'!$G$33</definedName>
    <definedName name="QB_ROW_230260" localSheetId="1" hidden="1">Actual!$G$22</definedName>
    <definedName name="QB_ROW_230260" localSheetId="2" hidden="1">Proposed!$G$22</definedName>
    <definedName name="QB_ROW_231260" localSheetId="3" hidden="1">'12 Mth Budget Spread'!$G$34</definedName>
    <definedName name="QB_ROW_231260" localSheetId="1" hidden="1">Actual!$G$23</definedName>
    <definedName name="QB_ROW_231260" localSheetId="2" hidden="1">Proposed!$G$23</definedName>
    <definedName name="QB_ROW_232260" localSheetId="3" hidden="1">'12 Mth Budget Spread'!$G$35</definedName>
    <definedName name="QB_ROW_232260" localSheetId="1" hidden="1">Actual!$G$24</definedName>
    <definedName name="QB_ROW_232260" localSheetId="2" hidden="1">Proposed!$G$24</definedName>
    <definedName name="QB_ROW_233260" localSheetId="3" hidden="1">'12 Mth Budget Spread'!$G$36</definedName>
    <definedName name="QB_ROW_233260" localSheetId="1" hidden="1">Actual!$G$25</definedName>
    <definedName name="QB_ROW_233260" localSheetId="2" hidden="1">Proposed!$G$25</definedName>
    <definedName name="QB_ROW_234040" localSheetId="3" hidden="1">'12 Mth Budget Spread'!$E$47</definedName>
    <definedName name="QB_ROW_234040" localSheetId="1" hidden="1">Actual!$E$35</definedName>
    <definedName name="QB_ROW_234040" localSheetId="2" hidden="1">Proposed!$E$35</definedName>
    <definedName name="QB_ROW_234340" localSheetId="3" hidden="1">'12 Mth Budget Spread'!$E$49</definedName>
    <definedName name="QB_ROW_234340" localSheetId="1" hidden="1">Actual!$E$37</definedName>
    <definedName name="QB_ROW_234340" localSheetId="2" hidden="1">Proposed!$E$37</definedName>
    <definedName name="QB_ROW_235250" localSheetId="3" hidden="1">'12 Mth Budget Spread'!$F$48</definedName>
    <definedName name="QB_ROW_235250" localSheetId="1" hidden="1">Actual!$F$36</definedName>
    <definedName name="QB_ROW_235250" localSheetId="2" hidden="1">Proposed!$F$36</definedName>
    <definedName name="QB_ROW_236050" localSheetId="3" hidden="1">'12 Mth Budget Spread'!$F$67</definedName>
    <definedName name="QB_ROW_236050" localSheetId="1" hidden="1">Actual!$F$53</definedName>
    <definedName name="QB_ROW_236050" localSheetId="2" hidden="1">Proposed!$F$53</definedName>
    <definedName name="QB_ROW_236260" localSheetId="3" hidden="1">'12 Mth Budget Spread'!$G$72</definedName>
    <definedName name="QB_ROW_236260" localSheetId="1" hidden="1">Actual!$G$57</definedName>
    <definedName name="QB_ROW_236260" localSheetId="2" hidden="1">Proposed!$G$57</definedName>
    <definedName name="QB_ROW_236350" localSheetId="3" hidden="1">'12 Mth Budget Spread'!$F$73</definedName>
    <definedName name="QB_ROW_236350" localSheetId="1" hidden="1">Actual!$F$58</definedName>
    <definedName name="QB_ROW_236350" localSheetId="2" hidden="1">Proposed!$F$58</definedName>
    <definedName name="QB_ROW_237260" localSheetId="3" hidden="1">'12 Mth Budget Spread'!$G$68</definedName>
    <definedName name="QB_ROW_237260" localSheetId="1" hidden="1">Actual!$G$54</definedName>
    <definedName name="QB_ROW_237260" localSheetId="2" hidden="1">Proposed!$G$54</definedName>
    <definedName name="QB_ROW_239260" localSheetId="3" hidden="1">'12 Mth Budget Spread'!$G$70</definedName>
    <definedName name="QB_ROW_239260" localSheetId="1" hidden="1">Actual!$G$55</definedName>
    <definedName name="QB_ROW_239260" localSheetId="2" hidden="1">Proposed!$G$55</definedName>
    <definedName name="QB_ROW_240260" localSheetId="3" hidden="1">'12 Mth Budget Spread'!$G$71</definedName>
    <definedName name="QB_ROW_240260" localSheetId="1" hidden="1">Actual!$G$56</definedName>
    <definedName name="QB_ROW_240260" localSheetId="2" hidden="1">Proposed!$G$56</definedName>
    <definedName name="QB_ROW_242260" localSheetId="3" hidden="1">'12 Mth Budget Spread'!$G$80</definedName>
    <definedName name="QB_ROW_242260" localSheetId="1" hidden="1">Actual!$G$64</definedName>
    <definedName name="QB_ROW_242260" localSheetId="2" hidden="1">Proposed!$G$64</definedName>
    <definedName name="QB_ROW_245260" localSheetId="3" hidden="1">'12 Mth Budget Spread'!$G$90</definedName>
    <definedName name="QB_ROW_245260" localSheetId="1" hidden="1">Actual!$G$73</definedName>
    <definedName name="QB_ROW_245260" localSheetId="2" hidden="1">Proposed!$G$73</definedName>
    <definedName name="QB_ROW_246260" localSheetId="3" hidden="1">'12 Mth Budget Spread'!$G$91</definedName>
    <definedName name="QB_ROW_246260" localSheetId="1" hidden="1">Actual!$G$74</definedName>
    <definedName name="QB_ROW_246260" localSheetId="2" hidden="1">Proposed!$G$74</definedName>
    <definedName name="QB_ROW_247260" localSheetId="3" hidden="1">'12 Mth Budget Spread'!$G$92</definedName>
    <definedName name="QB_ROW_247260" localSheetId="1" hidden="1">Actual!$G$75</definedName>
    <definedName name="QB_ROW_247260" localSheetId="2" hidden="1">Proposed!$G$75</definedName>
    <definedName name="QB_ROW_248260" localSheetId="3" hidden="1">'12 Mth Budget Spread'!$G$93</definedName>
    <definedName name="QB_ROW_248260" localSheetId="1" hidden="1">Actual!$G$76</definedName>
    <definedName name="QB_ROW_248260" localSheetId="2" hidden="1">Proposed!$G$76</definedName>
    <definedName name="QB_ROW_249260" localSheetId="3" hidden="1">'12 Mth Budget Spread'!$G$94</definedName>
    <definedName name="QB_ROW_249260" localSheetId="1" hidden="1">Actual!$G$77</definedName>
    <definedName name="QB_ROW_249260" localSheetId="2" hidden="1">Proposed!$G$77</definedName>
    <definedName name="QB_ROW_250260" localSheetId="3" hidden="1">'12 Mth Budget Spread'!$G$95</definedName>
    <definedName name="QB_ROW_250260" localSheetId="1" hidden="1">Actual!$G$78</definedName>
    <definedName name="QB_ROW_250260" localSheetId="2" hidden="1">Proposed!$G$78</definedName>
    <definedName name="QB_ROW_251260" localSheetId="3" hidden="1">'12 Mth Budget Spread'!$G$98</definedName>
    <definedName name="QB_ROW_251260" localSheetId="1" hidden="1">Actual!$G$81</definedName>
    <definedName name="QB_ROW_251260" localSheetId="2" hidden="1">Proposed!$G$81</definedName>
    <definedName name="QB_ROW_25250" localSheetId="3" hidden="1">'12 Mth Budget Spread'!$F$76</definedName>
    <definedName name="QB_ROW_25250" localSheetId="1" hidden="1">Actual!$F$60</definedName>
    <definedName name="QB_ROW_25250" localSheetId="2" hidden="1">Proposed!$F$60</definedName>
    <definedName name="QB_ROW_255260" localSheetId="3" hidden="1">'12 Mth Budget Spread'!$G$125</definedName>
    <definedName name="QB_ROW_255260" localSheetId="1" hidden="1">Actual!$G$106</definedName>
    <definedName name="QB_ROW_255260" localSheetId="2" hidden="1">Proposed!$G$106</definedName>
    <definedName name="QB_ROW_257060" localSheetId="3" hidden="1">'12 Mth Budget Spread'!$G$146</definedName>
    <definedName name="QB_ROW_257060" localSheetId="1" hidden="1">Actual!$G$119</definedName>
    <definedName name="QB_ROW_257060" localSheetId="2" hidden="1">Proposed!$G$119</definedName>
    <definedName name="QB_ROW_257360" localSheetId="3" hidden="1">'12 Mth Budget Spread'!$G$149</definedName>
    <definedName name="QB_ROW_257360" localSheetId="1" hidden="1">Actual!$G$122</definedName>
    <definedName name="QB_ROW_257360" localSheetId="2" hidden="1">Proposed!$G$122</definedName>
    <definedName name="QB_ROW_258270" localSheetId="3" hidden="1">'12 Mth Budget Spread'!$H$147</definedName>
    <definedName name="QB_ROW_258270" localSheetId="1" hidden="1">Actual!$H$120</definedName>
    <definedName name="QB_ROW_258270" localSheetId="2" hidden="1">Proposed!$H$120</definedName>
    <definedName name="QB_ROW_259270" localSheetId="3" hidden="1">'12 Mth Budget Spread'!$H$148</definedName>
    <definedName name="QB_ROW_259270" localSheetId="1" hidden="1">Actual!$H$121</definedName>
    <definedName name="QB_ROW_259270" localSheetId="2" hidden="1">Proposed!$H$121</definedName>
    <definedName name="QB_ROW_26250" localSheetId="3" hidden="1">'12 Mth Budget Spread'!$F$83</definedName>
    <definedName name="QB_ROW_26250" localSheetId="1" hidden="1">Actual!$F$67</definedName>
    <definedName name="QB_ROW_26250" localSheetId="2" hidden="1">Proposed!$F$67</definedName>
    <definedName name="QB_ROW_27250" localSheetId="3" hidden="1">'12 Mth Budget Spread'!$F$86</definedName>
    <definedName name="QB_ROW_27250" localSheetId="1" hidden="1">Actual!$F$69</definedName>
    <definedName name="QB_ROW_27250" localSheetId="2" hidden="1">Proposed!$F$69</definedName>
    <definedName name="QB_ROW_28050" localSheetId="3" hidden="1">'12 Mth Budget Spread'!$F$89</definedName>
    <definedName name="QB_ROW_28050" localSheetId="1" hidden="1">Actual!$F$72</definedName>
    <definedName name="QB_ROW_28050" localSheetId="2" hidden="1">Proposed!$F$72</definedName>
    <definedName name="QB_ROW_28350" localSheetId="3" hidden="1">'12 Mth Budget Spread'!$F$96</definedName>
    <definedName name="QB_ROW_28350" localSheetId="1" hidden="1">Actual!$F$79</definedName>
    <definedName name="QB_ROW_28350" localSheetId="2" hidden="1">Proposed!$F$79</definedName>
    <definedName name="QB_ROW_34040" localSheetId="3" hidden="1">'12 Mth Budget Spread'!$E$153</definedName>
    <definedName name="QB_ROW_34040" localSheetId="1" hidden="1">Actual!$E$126</definedName>
    <definedName name="QB_ROW_34040" localSheetId="2" hidden="1">Proposed!$E$126</definedName>
    <definedName name="QB_ROW_34340" localSheetId="3" hidden="1">'12 Mth Budget Spread'!$E$158</definedName>
    <definedName name="QB_ROW_34340" localSheetId="1" hidden="1">Actual!$E$128</definedName>
    <definedName name="QB_ROW_34340" localSheetId="2" hidden="1">Proposed!$E$128</definedName>
    <definedName name="QB_ROW_36250" localSheetId="3" hidden="1">'12 Mth Budget Spread'!$F$121</definedName>
    <definedName name="QB_ROW_36250" localSheetId="1" hidden="1">Actual!$F$102</definedName>
    <definedName name="QB_ROW_36250" localSheetId="2" hidden="1">Proposed!$F$102</definedName>
    <definedName name="QB_ROW_58250" localSheetId="3" hidden="1">'12 Mth Budget Spread'!$F$5</definedName>
    <definedName name="QB_ROW_58250" localSheetId="1" hidden="1">Actual!$F$5</definedName>
    <definedName name="QB_ROW_58250" localSheetId="2" hidden="1">Proposed!$F$5</definedName>
    <definedName name="QB_ROW_59250" localSheetId="3" hidden="1">'12 Mth Budget Spread'!$F$6</definedName>
    <definedName name="QB_ROW_59250" localSheetId="1" hidden="1">Actual!$F$6</definedName>
    <definedName name="QB_ROW_59250" localSheetId="2" hidden="1">Proposed!$F$6</definedName>
    <definedName name="QB_ROW_61250" localSheetId="3" hidden="1">'12 Mth Budget Spread'!$F$8</definedName>
    <definedName name="QB_ROW_61250" localSheetId="1" hidden="1">Actual!$F$7</definedName>
    <definedName name="QB_ROW_61250" localSheetId="2" hidden="1">Proposed!$F$7</definedName>
    <definedName name="QB_ROW_62250" localSheetId="3" hidden="1">'12 Mth Budget Spread'!$F$9</definedName>
    <definedName name="QB_ROW_62250" localSheetId="1" hidden="1">Actual!$F$8</definedName>
    <definedName name="QB_ROW_62250" localSheetId="2" hidden="1">Proposed!$F$8</definedName>
    <definedName name="QB_ROW_66250" localSheetId="3" hidden="1">'12 Mth Budget Spread'!$F$18</definedName>
    <definedName name="QB_ROW_66250" localSheetId="1" hidden="1">Actual!$F$11</definedName>
    <definedName name="QB_ROW_66250" localSheetId="2" hidden="1">Proposed!$F$11</definedName>
    <definedName name="QB_ROW_67250" localSheetId="3" hidden="1">'12 Mth Budget Spread'!$F$25</definedName>
    <definedName name="QB_ROW_67250" localSheetId="1" hidden="1">Actual!$F$16</definedName>
    <definedName name="QB_ROW_67250" localSheetId="2" hidden="1">Proposed!$F$16</definedName>
    <definedName name="QB_ROW_69250" localSheetId="3" hidden="1">'12 Mth Budget Spread'!$F$31</definedName>
    <definedName name="QB_ROW_69250" localSheetId="1" hidden="1">Actual!$F$20</definedName>
    <definedName name="QB_ROW_69250" localSheetId="2" hidden="1">Proposed!$F$20</definedName>
    <definedName name="QB_ROW_70040" localSheetId="3" hidden="1">'12 Mth Budget Spread'!$E$111</definedName>
    <definedName name="QB_ROW_70040" localSheetId="1" hidden="1">Actual!$E$93</definedName>
    <definedName name="QB_ROW_70040" localSheetId="2" hidden="1">Proposed!$E$93</definedName>
    <definedName name="QB_ROW_70340" localSheetId="3" hidden="1">'12 Mth Budget Spread'!$E$119</definedName>
    <definedName name="QB_ROW_70340" localSheetId="1" hidden="1">Actual!$E$100</definedName>
    <definedName name="QB_ROW_70340" localSheetId="2" hidden="1">Proposed!$E$100</definedName>
    <definedName name="QB_ROW_71250" localSheetId="3" hidden="1">'12 Mth Budget Spread'!$F$122</definedName>
    <definedName name="QB_ROW_71250" localSheetId="1" hidden="1">Actual!$F$103</definedName>
    <definedName name="QB_ROW_71250" localSheetId="2" hidden="1">Proposed!$F$103</definedName>
    <definedName name="QB_ROW_72250" localSheetId="3" hidden="1">'12 Mth Budget Spread'!$F$129</definedName>
    <definedName name="QB_ROW_72250" localSheetId="1" hidden="1">Actual!$F$111</definedName>
    <definedName name="QB_ROW_72250" localSheetId="2" hidden="1">Proposed!$F$111</definedName>
    <definedName name="QB_ROW_73050" localSheetId="3" hidden="1">'12 Mth Budget Spread'!$F$124</definedName>
    <definedName name="QB_ROW_73050" localSheetId="1" hidden="1">Actual!$F$105</definedName>
    <definedName name="QB_ROW_73050" localSheetId="2" hidden="1">Proposed!$F$105</definedName>
    <definedName name="QB_ROW_73260" localSheetId="3" hidden="1">'12 Mth Budget Spread'!#REF!</definedName>
    <definedName name="QB_ROW_73260" localSheetId="1" hidden="1">Actual!$G$107</definedName>
    <definedName name="QB_ROW_73260" localSheetId="2" hidden="1">Proposed!$G$107</definedName>
    <definedName name="QB_ROW_73350" localSheetId="3" hidden="1">'12 Mth Budget Spread'!$F$126</definedName>
    <definedName name="QB_ROW_73350" localSheetId="1" hidden="1">Actual!$F$108</definedName>
    <definedName name="QB_ROW_73350" localSheetId="2" hidden="1">Proposed!$F$108</definedName>
    <definedName name="QB_ROW_74250" localSheetId="3" hidden="1">'12 Mth Budget Spread'!$F$128</definedName>
    <definedName name="QB_ROW_74250" localSheetId="1" hidden="1">Actual!$F$110</definedName>
    <definedName name="QB_ROW_74250" localSheetId="2" hidden="1">Proposed!$F$110</definedName>
    <definedName name="QB_ROW_75260" localSheetId="3" hidden="1">'12 Mth Budget Spread'!$G$145</definedName>
    <definedName name="QB_ROW_75260" localSheetId="1" hidden="1">Actual!$G$118</definedName>
    <definedName name="QB_ROW_75260" localSheetId="2" hidden="1">Proposed!$G$118</definedName>
    <definedName name="QB_ROW_76260" localSheetId="3" hidden="1">'12 Mth Budget Spread'!$G$136</definedName>
    <definedName name="QB_ROW_76260" localSheetId="1" hidden="1">Actual!$G$115</definedName>
    <definedName name="QB_ROW_76260" localSheetId="2" hidden="1">Proposed!$G$115</definedName>
    <definedName name="QB_ROW_86260" localSheetId="3" hidden="1">'12 Mth Budget Spread'!$G$134</definedName>
    <definedName name="QB_ROW_86260" localSheetId="1" hidden="1">Actual!$G$114</definedName>
    <definedName name="QB_ROW_86260" localSheetId="2" hidden="1">Proposed!$G$114</definedName>
    <definedName name="QB_ROW_86321" localSheetId="3" hidden="1">'12 Mth Budget Spread'!$C$51</definedName>
    <definedName name="QB_ROW_86321" localSheetId="1" hidden="1">Actual!$C$39</definedName>
    <definedName name="QB_ROW_86321" localSheetId="2" hidden="1">Proposed!$C$39</definedName>
    <definedName name="QB_ROW_87031" localSheetId="3" hidden="1">'12 Mth Budget Spread'!$D$46</definedName>
    <definedName name="QB_ROW_87031" localSheetId="1" hidden="1">Actual!$D$34</definedName>
    <definedName name="QB_ROW_87031" localSheetId="2" hidden="1">Proposed!$D$34</definedName>
    <definedName name="QB_ROW_87331" localSheetId="3" hidden="1">'12 Mth Budget Spread'!$D$50</definedName>
    <definedName name="QB_ROW_87331" localSheetId="1" hidden="1">Actual!$D$38</definedName>
    <definedName name="QB_ROW_87331" localSheetId="2" hidden="1">Proposed!$D$38</definedName>
    <definedName name="QB_ROW_88260" localSheetId="3" hidden="1">'12 Mth Budget Spread'!$G$142</definedName>
    <definedName name="QB_ROW_88260" localSheetId="1" hidden="1">Actual!$G$117</definedName>
    <definedName name="QB_ROW_88260" localSheetId="2" hidden="1">Proposed!$G$117</definedName>
    <definedName name="QB_ROW_90250" localSheetId="3" hidden="1">'12 Mth Budget Spread'!$F$113</definedName>
    <definedName name="QB_ROW_90250" localSheetId="1" hidden="1">Actual!$F$95</definedName>
    <definedName name="QB_ROW_90250" localSheetId="2" hidden="1">Proposed!$F$95</definedName>
    <definedName name="QB_ROW_91240" localSheetId="3" hidden="1">'12 Mth Budget Spread'!$E$190</definedName>
    <definedName name="QB_ROW_91240" localSheetId="1" hidden="1">Actual!$E$149</definedName>
    <definedName name="QB_ROW_91240" localSheetId="2" hidden="1">Proposed!$E$149</definedName>
    <definedName name="QB_ROW_93250" localSheetId="3" hidden="1">'12 Mth Budget Spread'!$F$42</definedName>
    <definedName name="QB_ROW_93250" localSheetId="1" hidden="1">Actual!$F$30</definedName>
    <definedName name="QB_ROW_93250" localSheetId="2" hidden="1">Proposed!$F$30</definedName>
    <definedName name="QB_ROW_94250" localSheetId="3" hidden="1">'12 Mth Budget Spread'!$F$115</definedName>
    <definedName name="QB_ROW_94250" localSheetId="1" hidden="1">Actual!$F$97</definedName>
    <definedName name="QB_ROW_94250" localSheetId="2" hidden="1">Proposed!$F$97</definedName>
    <definedName name="QB_ROW_96250" localSheetId="3" hidden="1">'12 Mth Budget Spread'!$F$112</definedName>
    <definedName name="QB_ROW_96250" localSheetId="1" hidden="1">Actual!$F$94</definedName>
    <definedName name="QB_ROW_96250" localSheetId="2" hidden="1">Proposed!$F$94</definedName>
    <definedName name="QB_ROW_97250" localSheetId="3" hidden="1">'12 Mth Budget Spread'!$F$116</definedName>
    <definedName name="QB_ROW_97250" localSheetId="1" hidden="1">Actual!$F$98</definedName>
    <definedName name="QB_ROW_97250" localSheetId="2" hidden="1">Proposed!$F$98</definedName>
    <definedName name="QB_ROW_98240" localSheetId="3" hidden="1">'12 Mth Budget Spread'!$E$164</definedName>
    <definedName name="QB_ROW_98240" localSheetId="1" hidden="1">Actual!$E$129</definedName>
    <definedName name="QB_ROW_98240" localSheetId="2" hidden="1">Proposed!$E$129</definedName>
    <definedName name="QB_ROW_99250" localSheetId="3" hidden="1">'12 Mth Budget Spread'!$F$114</definedName>
    <definedName name="QB_ROW_99250" localSheetId="1" hidden="1">Actual!$F$96</definedName>
    <definedName name="QB_ROW_99250" localSheetId="2" hidden="1">Proposed!$F$96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3">"C:\GS Backup\Users\McNeese\Documents\Quickbooks Files\QuickBooksAutoDataRecovery\Rest Stop Ministries.qbw"</definedName>
    <definedName name="QBCOMPANYFILENAME" localSheetId="1">"C:\GS Backup\Users\McNeese\Documents\Quickbooks Files\QuickBooksAutoDataRecovery\Rest Stop Ministries.qbw"</definedName>
    <definedName name="QBCOMPANYFILENAME" localSheetId="2">"C:\GS Backup\Users\McNeese\Documents\Quickbooks Files\QuickBooksAutoDataRecovery\Rest Stop Ministries.qbw"</definedName>
    <definedName name="QBENDDATE" localSheetId="3">20171031</definedName>
    <definedName name="QBENDDATE" localSheetId="1">20171031</definedName>
    <definedName name="QBENDDATE" localSheetId="2">20171031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3">5892</definedName>
    <definedName name="QBMETADATASIZE" localSheetId="1">5892</definedName>
    <definedName name="QBMETADATASIZE" localSheetId="2">5892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3">6</definedName>
    <definedName name="QBREPORTCOLAXIS" localSheetId="1">6</definedName>
    <definedName name="QBREPORTCOLAXIS" localSheetId="2">6</definedName>
    <definedName name="QBREPORTCOMPANYID" localSheetId="3">"f9d06b2627f1459eabbc98f4295daa59"</definedName>
    <definedName name="QBREPORTCOMPANYID" localSheetId="1">"f9d06b2627f1459eabbc98f4295daa59"</definedName>
    <definedName name="QBREPORTCOMPANYID" localSheetId="2">"f9d06b2627f1459eabbc98f4295daa59"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2">FALSE</definedName>
    <definedName name="QBREPORTCOMPARECOL_BUDGET" localSheetId="3">FALSE</definedName>
    <definedName name="QBREPORTCOMPARECOL_BUDGET" localSheetId="1">FALSE</definedName>
    <definedName name="QBREPORTCOMPARECOL_BUDGET" localSheetId="2">FALSE</definedName>
    <definedName name="QBREPORTCOMPARECOL_BUDPCT" localSheetId="3">FALSE</definedName>
    <definedName name="QBREPORTCOMPARECOL_BUDPCT" localSheetId="1">FALSE</definedName>
    <definedName name="QBREPORTCOMPARECOL_BUDPCT" localSheetId="2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3">11</definedName>
    <definedName name="QBREPORTROWAXIS" localSheetId="1">11</definedName>
    <definedName name="QBREPORTROWAXIS" localSheetId="2">11</definedName>
    <definedName name="QBREPORTSUBCOLAXIS" localSheetId="3">0</definedName>
    <definedName name="QBREPORTSUBCOLAXIS" localSheetId="1">0</definedName>
    <definedName name="QBREPORTSUBCOLAXIS" localSheetId="2">0</definedName>
    <definedName name="QBREPORTTYPE" localSheetId="3">0</definedName>
    <definedName name="QBREPORTTYPE" localSheetId="1">0</definedName>
    <definedName name="QBREPORTTYPE" localSheetId="2">0</definedName>
    <definedName name="QBROWHEADERS" localSheetId="3">8</definedName>
    <definedName name="QBROWHEADERS" localSheetId="1">8</definedName>
    <definedName name="QBROWHEADERS" localSheetId="2">8</definedName>
    <definedName name="QBSTARTDATE" localSheetId="3">20170101</definedName>
    <definedName name="QBSTARTDATE" localSheetId="1">20170101</definedName>
    <definedName name="QBSTARTDATE" localSheetId="2">20170101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1" i="5" l="1"/>
  <c r="V145" i="5"/>
  <c r="T5" i="5"/>
  <c r="W37" i="5"/>
  <c r="Q5" i="5"/>
  <c r="K5" i="5"/>
  <c r="L5" i="5"/>
  <c r="M5" i="5"/>
  <c r="N5" i="5"/>
  <c r="O5" i="5"/>
  <c r="P5" i="5"/>
  <c r="R5" i="5"/>
  <c r="S5" i="5"/>
  <c r="S6" i="5"/>
  <c r="R6" i="5"/>
  <c r="N6" i="5"/>
  <c r="I5" i="5"/>
  <c r="J5" i="5"/>
  <c r="T15" i="5" l="1"/>
  <c r="S15" i="5"/>
  <c r="R15" i="5"/>
  <c r="Q15" i="5"/>
  <c r="P15" i="5"/>
  <c r="O15" i="5"/>
  <c r="N15" i="5"/>
  <c r="M15" i="5"/>
  <c r="L15" i="5"/>
  <c r="K15" i="5"/>
  <c r="J15" i="5"/>
  <c r="I15" i="5"/>
  <c r="Q58" i="5" l="1"/>
  <c r="T58" i="5"/>
  <c r="S58" i="5"/>
  <c r="R58" i="5"/>
  <c r="P58" i="5"/>
  <c r="O58" i="5"/>
  <c r="N58" i="5"/>
  <c r="M58" i="5"/>
  <c r="L58" i="5"/>
  <c r="K58" i="5"/>
  <c r="J58" i="5"/>
  <c r="I58" i="5"/>
  <c r="J1" i="5" l="1"/>
  <c r="K1" i="5" s="1"/>
  <c r="L1" i="5" s="1"/>
  <c r="M1" i="5" s="1"/>
  <c r="N1" i="5" s="1"/>
  <c r="O1" i="5" s="1"/>
  <c r="P1" i="5" s="1"/>
  <c r="Q1" i="5" s="1"/>
  <c r="R1" i="5" s="1"/>
  <c r="S1" i="5" s="1"/>
  <c r="T1" i="5" s="1"/>
  <c r="R43" i="5"/>
  <c r="Q43" i="5"/>
  <c r="R41" i="5"/>
  <c r="Q41" i="5"/>
  <c r="P41" i="5"/>
  <c r="O41" i="5"/>
  <c r="N41" i="5"/>
  <c r="M41" i="5"/>
  <c r="L41" i="5"/>
  <c r="K41" i="5"/>
  <c r="Q6" i="5"/>
  <c r="P6" i="5"/>
  <c r="O6" i="5"/>
  <c r="M6" i="5"/>
  <c r="L6" i="5"/>
  <c r="S8" i="5"/>
  <c r="R8" i="5"/>
  <c r="Q8" i="5"/>
  <c r="P8" i="5"/>
  <c r="O8" i="5"/>
  <c r="N8" i="5"/>
  <c r="M8" i="5"/>
  <c r="L8" i="5"/>
  <c r="I11" i="5"/>
  <c r="U141" i="5" l="1"/>
  <c r="W141" i="5" s="1"/>
  <c r="V59" i="5"/>
  <c r="U59" i="5"/>
  <c r="W59" i="5" s="1"/>
  <c r="I63" i="5"/>
  <c r="U140" i="5"/>
  <c r="W140" i="5" s="1"/>
  <c r="Q117" i="5" l="1"/>
  <c r="U83" i="5" l="1"/>
  <c r="U6" i="5" l="1"/>
  <c r="W6" i="5" s="1"/>
  <c r="G13" i="7"/>
  <c r="G12" i="7"/>
  <c r="G11" i="7"/>
  <c r="G10" i="7"/>
  <c r="G9" i="7"/>
  <c r="G8" i="7"/>
  <c r="G7" i="7"/>
  <c r="G6" i="7"/>
  <c r="G5" i="7"/>
  <c r="G4" i="7"/>
  <c r="G3" i="7"/>
  <c r="G2" i="7"/>
  <c r="G14" i="7" l="1"/>
  <c r="Q25" i="5"/>
  <c r="U7" i="5"/>
  <c r="W7" i="5" s="1"/>
  <c r="U8" i="5"/>
  <c r="W8" i="5" s="1"/>
  <c r="U9" i="5"/>
  <c r="W9" i="5" s="1"/>
  <c r="U10" i="5"/>
  <c r="W10" i="5" s="1"/>
  <c r="U12" i="5"/>
  <c r="W12" i="5" s="1"/>
  <c r="V62" i="5"/>
  <c r="E2" i="7" l="1"/>
  <c r="E4" i="7"/>
  <c r="E5" i="7"/>
  <c r="E6" i="7"/>
  <c r="E7" i="7"/>
  <c r="E8" i="7"/>
  <c r="E9" i="7"/>
  <c r="E10" i="7"/>
  <c r="E11" i="7"/>
  <c r="E12" i="7"/>
  <c r="E13" i="7"/>
  <c r="E3" i="7"/>
  <c r="D8" i="7"/>
  <c r="D4" i="7"/>
  <c r="C13" i="7"/>
  <c r="D13" i="7" s="1"/>
  <c r="C12" i="7"/>
  <c r="D12" i="7" s="1"/>
  <c r="C11" i="7"/>
  <c r="D11" i="7" s="1"/>
  <c r="C10" i="7"/>
  <c r="D10" i="7" s="1"/>
  <c r="C9" i="7"/>
  <c r="D9" i="7" s="1"/>
  <c r="C8" i="7"/>
  <c r="C7" i="7"/>
  <c r="D7" i="7" s="1"/>
  <c r="C6" i="7"/>
  <c r="D6" i="7" s="1"/>
  <c r="C5" i="7"/>
  <c r="D5" i="7" s="1"/>
  <c r="C4" i="7"/>
  <c r="C3" i="7"/>
  <c r="D3" i="7" s="1"/>
  <c r="B14" i="7"/>
  <c r="T11" i="5"/>
  <c r="Q11" i="5"/>
  <c r="O11" i="5"/>
  <c r="J11" i="5"/>
  <c r="L11" i="5"/>
  <c r="M11" i="5"/>
  <c r="P11" i="5"/>
  <c r="N11" i="5"/>
  <c r="R11" i="5"/>
  <c r="K11" i="5"/>
  <c r="S11" i="5"/>
  <c r="V38" i="5"/>
  <c r="T38" i="5"/>
  <c r="T39" i="5" s="1"/>
  <c r="S38" i="5"/>
  <c r="S39" i="5" s="1"/>
  <c r="R38" i="5"/>
  <c r="R39" i="5" s="1"/>
  <c r="Q38" i="5"/>
  <c r="Q39" i="5" s="1"/>
  <c r="P38" i="5"/>
  <c r="P39" i="5" s="1"/>
  <c r="O38" i="5"/>
  <c r="O39" i="5" s="1"/>
  <c r="N38" i="5"/>
  <c r="N39" i="5" s="1"/>
  <c r="M38" i="5"/>
  <c r="M39" i="5" s="1"/>
  <c r="L38" i="5"/>
  <c r="L39" i="5" s="1"/>
  <c r="K38" i="5"/>
  <c r="K39" i="5" s="1"/>
  <c r="J38" i="5"/>
  <c r="J39" i="5" s="1"/>
  <c r="I38" i="5"/>
  <c r="I39" i="5" s="1"/>
  <c r="D14" i="7" l="1"/>
  <c r="C14" i="7"/>
  <c r="E14" i="7"/>
  <c r="U11" i="5"/>
  <c r="W11" i="5" l="1"/>
  <c r="V109" i="5"/>
  <c r="V61" i="5"/>
  <c r="F12" i="7" l="1"/>
  <c r="F8" i="7"/>
  <c r="F4" i="7"/>
  <c r="F9" i="7"/>
  <c r="F11" i="7"/>
  <c r="F7" i="7"/>
  <c r="F3" i="7"/>
  <c r="F10" i="7"/>
  <c r="F6" i="7"/>
  <c r="F2" i="7"/>
  <c r="F13" i="7"/>
  <c r="F5" i="7"/>
  <c r="U70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U114" i="5"/>
  <c r="Q113" i="5"/>
  <c r="T64" i="5"/>
  <c r="S64" i="5"/>
  <c r="R64" i="5"/>
  <c r="Q64" i="5"/>
  <c r="P64" i="5"/>
  <c r="O64" i="5"/>
  <c r="N64" i="5"/>
  <c r="M64" i="5"/>
  <c r="L64" i="5"/>
  <c r="K64" i="5"/>
  <c r="J64" i="5"/>
  <c r="I64" i="5"/>
  <c r="T63" i="5"/>
  <c r="S63" i="5"/>
  <c r="R63" i="5"/>
  <c r="Q63" i="5"/>
  <c r="P63" i="5"/>
  <c r="O63" i="5"/>
  <c r="N63" i="5"/>
  <c r="M63" i="5"/>
  <c r="L63" i="5"/>
  <c r="K63" i="5"/>
  <c r="J63" i="5"/>
  <c r="H9" i="7" l="1"/>
  <c r="P16" i="5" s="1"/>
  <c r="H13" i="7"/>
  <c r="H4" i="7"/>
  <c r="K16" i="5" s="1"/>
  <c r="F14" i="7"/>
  <c r="H2" i="7"/>
  <c r="H7" i="7"/>
  <c r="N16" i="5" s="1"/>
  <c r="H8" i="7"/>
  <c r="O16" i="5" s="1"/>
  <c r="H5" i="7"/>
  <c r="L16" i="5" s="1"/>
  <c r="H10" i="7"/>
  <c r="Q16" i="5" s="1"/>
  <c r="H3" i="7"/>
  <c r="J16" i="5" s="1"/>
  <c r="H6" i="7"/>
  <c r="M16" i="5" s="1"/>
  <c r="H11" i="7"/>
  <c r="R16" i="5" s="1"/>
  <c r="H12" i="7"/>
  <c r="S16" i="5" s="1"/>
  <c r="T62" i="5"/>
  <c r="S62" i="5"/>
  <c r="R62" i="5"/>
  <c r="Q62" i="5"/>
  <c r="P62" i="5"/>
  <c r="O62" i="5"/>
  <c r="N62" i="5"/>
  <c r="M62" i="5"/>
  <c r="L62" i="5"/>
  <c r="K62" i="5"/>
  <c r="J62" i="5"/>
  <c r="I62" i="5"/>
  <c r="T61" i="5"/>
  <c r="S61" i="5"/>
  <c r="R61" i="5"/>
  <c r="Q61" i="5"/>
  <c r="P61" i="5"/>
  <c r="O61" i="5"/>
  <c r="N61" i="5"/>
  <c r="M61" i="5"/>
  <c r="L61" i="5"/>
  <c r="K61" i="5"/>
  <c r="J61" i="5"/>
  <c r="I61" i="5"/>
  <c r="T16" i="5" l="1"/>
  <c r="H14" i="7"/>
  <c r="I16" i="5"/>
  <c r="U18" i="5"/>
  <c r="W18" i="5" s="1"/>
  <c r="U15" i="5"/>
  <c r="U72" i="5"/>
  <c r="V15" i="5" l="1"/>
  <c r="V16" i="5" s="1"/>
  <c r="W15" i="5"/>
  <c r="U95" i="5"/>
  <c r="V182" i="5" l="1"/>
  <c r="V174" i="5"/>
  <c r="V189" i="5" s="1"/>
  <c r="V163" i="5"/>
  <c r="V158" i="5"/>
  <c r="V149" i="5"/>
  <c r="V151" i="5" s="1"/>
  <c r="V126" i="5"/>
  <c r="V119" i="5"/>
  <c r="V101" i="5"/>
  <c r="V96" i="5"/>
  <c r="V73" i="5"/>
  <c r="V65" i="5"/>
  <c r="V49" i="5"/>
  <c r="V50" i="5" s="1"/>
  <c r="V44" i="5"/>
  <c r="V39" i="5"/>
  <c r="V28" i="5"/>
  <c r="V22" i="5"/>
  <c r="W53" i="5"/>
  <c r="W52" i="5"/>
  <c r="V45" i="5" l="1"/>
  <c r="V51" i="5" s="1"/>
  <c r="V152" i="5"/>
  <c r="V110" i="5"/>
  <c r="V193" i="5" l="1"/>
  <c r="U23" i="5"/>
  <c r="W23" i="5" s="1"/>
  <c r="U192" i="5"/>
  <c r="W192" i="5" s="1"/>
  <c r="U191" i="5"/>
  <c r="W191" i="5" s="1"/>
  <c r="U190" i="5"/>
  <c r="W190" i="5" s="1"/>
  <c r="U188" i="5"/>
  <c r="W188" i="5" s="1"/>
  <c r="W187" i="5"/>
  <c r="U186" i="5"/>
  <c r="W186" i="5" s="1"/>
  <c r="U185" i="5"/>
  <c r="W185" i="5" s="1"/>
  <c r="U184" i="5"/>
  <c r="W184" i="5" s="1"/>
  <c r="U183" i="5"/>
  <c r="W183" i="5" s="1"/>
  <c r="U181" i="5"/>
  <c r="W181" i="5" s="1"/>
  <c r="U180" i="5"/>
  <c r="W180" i="5" s="1"/>
  <c r="U179" i="5"/>
  <c r="W179" i="5" s="1"/>
  <c r="U178" i="5"/>
  <c r="W178" i="5" s="1"/>
  <c r="U177" i="5"/>
  <c r="W177" i="5" s="1"/>
  <c r="U176" i="5"/>
  <c r="W176" i="5" s="1"/>
  <c r="U175" i="5"/>
  <c r="W175" i="5" s="1"/>
  <c r="U173" i="5"/>
  <c r="W173" i="5" s="1"/>
  <c r="U172" i="5"/>
  <c r="W172" i="5" s="1"/>
  <c r="U171" i="5"/>
  <c r="W171" i="5" s="1"/>
  <c r="U170" i="5"/>
  <c r="W170" i="5" s="1"/>
  <c r="U169" i="5"/>
  <c r="W169" i="5" s="1"/>
  <c r="U168" i="5"/>
  <c r="W168" i="5" s="1"/>
  <c r="U167" i="5"/>
  <c r="W167" i="5" s="1"/>
  <c r="U166" i="5"/>
  <c r="W166" i="5" s="1"/>
  <c r="U165" i="5"/>
  <c r="W165" i="5" s="1"/>
  <c r="U164" i="5"/>
  <c r="W164" i="5" s="1"/>
  <c r="U162" i="5"/>
  <c r="W162" i="5" s="1"/>
  <c r="U161" i="5"/>
  <c r="W161" i="5" s="1"/>
  <c r="U160" i="5"/>
  <c r="W160" i="5" s="1"/>
  <c r="U159" i="5"/>
  <c r="W159" i="5" s="1"/>
  <c r="U157" i="5"/>
  <c r="W157" i="5" s="1"/>
  <c r="U156" i="5"/>
  <c r="W156" i="5" s="1"/>
  <c r="U155" i="5"/>
  <c r="W155" i="5" s="1"/>
  <c r="U154" i="5"/>
  <c r="W154" i="5" s="1"/>
  <c r="U153" i="5"/>
  <c r="W153" i="5" s="1"/>
  <c r="U150" i="5"/>
  <c r="W150" i="5" s="1"/>
  <c r="U148" i="5"/>
  <c r="W148" i="5" s="1"/>
  <c r="U147" i="5"/>
  <c r="W147" i="5" s="1"/>
  <c r="U146" i="5"/>
  <c r="W146" i="5" s="1"/>
  <c r="U145" i="5"/>
  <c r="W145" i="5" s="1"/>
  <c r="U144" i="5"/>
  <c r="W144" i="5" s="1"/>
  <c r="U143" i="5"/>
  <c r="W143" i="5" s="1"/>
  <c r="U142" i="5"/>
  <c r="W142" i="5" s="1"/>
  <c r="U139" i="5"/>
  <c r="W139" i="5" s="1"/>
  <c r="U138" i="5"/>
  <c r="W138" i="5" s="1"/>
  <c r="U137" i="5"/>
  <c r="W137" i="5" s="1"/>
  <c r="U136" i="5"/>
  <c r="W136" i="5" s="1"/>
  <c r="U135" i="5"/>
  <c r="W135" i="5" s="1"/>
  <c r="U134" i="5"/>
  <c r="W134" i="5" s="1"/>
  <c r="U133" i="5"/>
  <c r="W133" i="5" s="1"/>
  <c r="U132" i="5"/>
  <c r="W132" i="5" s="1"/>
  <c r="U131" i="5"/>
  <c r="W131" i="5" s="1"/>
  <c r="U130" i="5"/>
  <c r="W130" i="5" s="1"/>
  <c r="U129" i="5"/>
  <c r="W129" i="5" s="1"/>
  <c r="U128" i="5"/>
  <c r="W128" i="5" s="1"/>
  <c r="U127" i="5"/>
  <c r="W127" i="5" s="1"/>
  <c r="U125" i="5"/>
  <c r="W125" i="5" s="1"/>
  <c r="U124" i="5"/>
  <c r="W124" i="5" s="1"/>
  <c r="U123" i="5"/>
  <c r="W123" i="5" s="1"/>
  <c r="U122" i="5"/>
  <c r="W122" i="5" s="1"/>
  <c r="U121" i="5"/>
  <c r="W121" i="5" s="1"/>
  <c r="U120" i="5"/>
  <c r="W120" i="5" s="1"/>
  <c r="U118" i="5"/>
  <c r="W118" i="5" s="1"/>
  <c r="U117" i="5"/>
  <c r="W117" i="5" s="1"/>
  <c r="U116" i="5"/>
  <c r="W116" i="5" s="1"/>
  <c r="U115" i="5"/>
  <c r="W115" i="5" s="1"/>
  <c r="W114" i="5"/>
  <c r="U113" i="5"/>
  <c r="W113" i="5" s="1"/>
  <c r="U112" i="5"/>
  <c r="W112" i="5" s="1"/>
  <c r="U111" i="5"/>
  <c r="W111" i="5" s="1"/>
  <c r="U108" i="5"/>
  <c r="W108" i="5" s="1"/>
  <c r="U107" i="5"/>
  <c r="W107" i="5" s="1"/>
  <c r="U106" i="5"/>
  <c r="W106" i="5" s="1"/>
  <c r="U105" i="5"/>
  <c r="W105" i="5" s="1"/>
  <c r="U104" i="5"/>
  <c r="W104" i="5" s="1"/>
  <c r="U103" i="5"/>
  <c r="W103" i="5" s="1"/>
  <c r="U102" i="5"/>
  <c r="W102" i="5" s="1"/>
  <c r="U100" i="5"/>
  <c r="W100" i="5" s="1"/>
  <c r="U99" i="5"/>
  <c r="W99" i="5" s="1"/>
  <c r="U98" i="5"/>
  <c r="W98" i="5" s="1"/>
  <c r="U97" i="5"/>
  <c r="W97" i="5" s="1"/>
  <c r="W95" i="5"/>
  <c r="U94" i="5"/>
  <c r="W94" i="5" s="1"/>
  <c r="U93" i="5"/>
  <c r="W93" i="5" s="1"/>
  <c r="U92" i="5"/>
  <c r="W92" i="5" s="1"/>
  <c r="U91" i="5"/>
  <c r="W91" i="5" s="1"/>
  <c r="U90" i="5"/>
  <c r="W90" i="5" s="1"/>
  <c r="U89" i="5"/>
  <c r="W89" i="5" s="1"/>
  <c r="U88" i="5"/>
  <c r="W88" i="5" s="1"/>
  <c r="U87" i="5"/>
  <c r="W87" i="5" s="1"/>
  <c r="U86" i="5"/>
  <c r="W86" i="5" s="1"/>
  <c r="U85" i="5"/>
  <c r="W85" i="5" s="1"/>
  <c r="U84" i="5"/>
  <c r="W84" i="5" s="1"/>
  <c r="W83" i="5"/>
  <c r="U82" i="5"/>
  <c r="W82" i="5" s="1"/>
  <c r="W81" i="5"/>
  <c r="U80" i="5"/>
  <c r="W80" i="5" s="1"/>
  <c r="U79" i="5"/>
  <c r="W79" i="5" s="1"/>
  <c r="U78" i="5"/>
  <c r="W78" i="5" s="1"/>
  <c r="U77" i="5"/>
  <c r="W77" i="5" s="1"/>
  <c r="U76" i="5"/>
  <c r="W76" i="5" s="1"/>
  <c r="U75" i="5"/>
  <c r="W75" i="5" s="1"/>
  <c r="U74" i="5"/>
  <c r="W74" i="5" s="1"/>
  <c r="W72" i="5"/>
  <c r="U71" i="5"/>
  <c r="W71" i="5" s="1"/>
  <c r="W70" i="5"/>
  <c r="U69" i="5"/>
  <c r="W69" i="5" s="1"/>
  <c r="U68" i="5"/>
  <c r="W68" i="5" s="1"/>
  <c r="U67" i="5"/>
  <c r="W67" i="5" s="1"/>
  <c r="U66" i="5"/>
  <c r="W66" i="5" s="1"/>
  <c r="U64" i="5"/>
  <c r="W64" i="5" s="1"/>
  <c r="U63" i="5"/>
  <c r="W63" i="5" s="1"/>
  <c r="U62" i="5"/>
  <c r="W62" i="5" s="1"/>
  <c r="U61" i="5"/>
  <c r="W61" i="5" s="1"/>
  <c r="U60" i="5"/>
  <c r="W60" i="5" s="1"/>
  <c r="U58" i="5"/>
  <c r="W58" i="5" s="1"/>
  <c r="U57" i="5"/>
  <c r="W57" i="5" s="1"/>
  <c r="U56" i="5"/>
  <c r="W56" i="5" s="1"/>
  <c r="U55" i="5"/>
  <c r="W55" i="5" s="1"/>
  <c r="U54" i="5"/>
  <c r="W54" i="5" s="1"/>
  <c r="U48" i="5"/>
  <c r="W48" i="5" s="1"/>
  <c r="U47" i="5"/>
  <c r="W47" i="5" s="1"/>
  <c r="U46" i="5"/>
  <c r="W46" i="5" s="1"/>
  <c r="U43" i="5"/>
  <c r="W43" i="5" s="1"/>
  <c r="U42" i="5"/>
  <c r="W42" i="5" s="1"/>
  <c r="U41" i="5"/>
  <c r="W41" i="5" s="1"/>
  <c r="U40" i="5"/>
  <c r="W40" i="5" s="1"/>
  <c r="U36" i="5"/>
  <c r="W36" i="5" s="1"/>
  <c r="U35" i="5"/>
  <c r="W35" i="5" s="1"/>
  <c r="U34" i="5"/>
  <c r="W34" i="5" s="1"/>
  <c r="U33" i="5"/>
  <c r="W33" i="5" s="1"/>
  <c r="U32" i="5"/>
  <c r="W32" i="5" s="1"/>
  <c r="U31" i="5"/>
  <c r="W31" i="5" s="1"/>
  <c r="U30" i="5"/>
  <c r="U29" i="5"/>
  <c r="U27" i="5"/>
  <c r="W27" i="5" s="1"/>
  <c r="U26" i="5"/>
  <c r="W26" i="5" s="1"/>
  <c r="U25" i="5"/>
  <c r="W25" i="5" s="1"/>
  <c r="U24" i="5"/>
  <c r="W24" i="5" s="1"/>
  <c r="U21" i="5"/>
  <c r="W21" i="5" s="1"/>
  <c r="U20" i="5"/>
  <c r="W20" i="5" s="1"/>
  <c r="U19" i="5"/>
  <c r="W19" i="5" s="1"/>
  <c r="U17" i="5"/>
  <c r="W17" i="5" s="1"/>
  <c r="U14" i="5"/>
  <c r="W14" i="5" s="1"/>
  <c r="U13" i="5"/>
  <c r="W13" i="5" s="1"/>
  <c r="U5" i="5"/>
  <c r="U38" i="5" l="1"/>
  <c r="W30" i="5"/>
  <c r="W29" i="5"/>
  <c r="U39" i="5"/>
  <c r="V194" i="5"/>
  <c r="V195" i="5" s="1"/>
  <c r="W5" i="5"/>
  <c r="W49" i="5"/>
  <c r="W119" i="5"/>
  <c r="W182" i="5"/>
  <c r="W174" i="5"/>
  <c r="W149" i="5"/>
  <c r="W126" i="5"/>
  <c r="W73" i="5"/>
  <c r="W109" i="5"/>
  <c r="U16" i="5"/>
  <c r="W16" i="5" s="1"/>
  <c r="W163" i="5"/>
  <c r="W65" i="5"/>
  <c r="W158" i="5"/>
  <c r="W101" i="5"/>
  <c r="W22" i="5"/>
  <c r="W96" i="5"/>
  <c r="W44" i="5"/>
  <c r="J149" i="5"/>
  <c r="J158" i="5"/>
  <c r="J174" i="5"/>
  <c r="J182" i="5"/>
  <c r="K163" i="5"/>
  <c r="K174" i="5"/>
  <c r="K182" i="5"/>
  <c r="L163" i="5"/>
  <c r="L182" i="5"/>
  <c r="M163" i="5"/>
  <c r="M174" i="5"/>
  <c r="M182" i="5"/>
  <c r="N163" i="5"/>
  <c r="N174" i="5"/>
  <c r="N182" i="5"/>
  <c r="O163" i="5"/>
  <c r="O182" i="5"/>
  <c r="P163" i="5"/>
  <c r="P182" i="5"/>
  <c r="Q149" i="5"/>
  <c r="Q163" i="5"/>
  <c r="Q174" i="5"/>
  <c r="Q182" i="5"/>
  <c r="R163" i="5"/>
  <c r="R174" i="5"/>
  <c r="R182" i="5"/>
  <c r="S158" i="5"/>
  <c r="S174" i="5"/>
  <c r="S182" i="5"/>
  <c r="T174" i="5"/>
  <c r="T182" i="5"/>
  <c r="I174" i="5"/>
  <c r="I182" i="5"/>
  <c r="S44" i="5"/>
  <c r="S49" i="5"/>
  <c r="S50" i="5" s="1"/>
  <c r="T22" i="5"/>
  <c r="T49" i="5"/>
  <c r="T50" i="5" s="1"/>
  <c r="K22" i="5"/>
  <c r="O22" i="5"/>
  <c r="P22" i="5"/>
  <c r="R22" i="5"/>
  <c r="J22" i="5"/>
  <c r="M44" i="5"/>
  <c r="N44" i="5"/>
  <c r="L44" i="5"/>
  <c r="O44" i="5"/>
  <c r="K44" i="5"/>
  <c r="P44" i="5"/>
  <c r="J49" i="5"/>
  <c r="J50" i="5" s="1"/>
  <c r="M49" i="5"/>
  <c r="M50" i="5" s="1"/>
  <c r="Q49" i="5"/>
  <c r="Q50" i="5" s="1"/>
  <c r="R49" i="5"/>
  <c r="R50" i="5" s="1"/>
  <c r="K49" i="5"/>
  <c r="K50" i="5" s="1"/>
  <c r="O49" i="5"/>
  <c r="O50" i="5" s="1"/>
  <c r="L49" i="5"/>
  <c r="L50" i="5" s="1"/>
  <c r="I9" i="1"/>
  <c r="I14" i="1"/>
  <c r="I18" i="1"/>
  <c r="I26" i="1"/>
  <c r="I32" i="1"/>
  <c r="I37" i="1"/>
  <c r="I38" i="1" s="1"/>
  <c r="I43" i="1"/>
  <c r="I51" i="1"/>
  <c r="I58" i="1"/>
  <c r="I66" i="1"/>
  <c r="I79" i="1"/>
  <c r="I83" i="1"/>
  <c r="I91" i="1"/>
  <c r="I100" i="1"/>
  <c r="I108" i="1"/>
  <c r="I122" i="1"/>
  <c r="I124" i="1" s="1"/>
  <c r="I128" i="1"/>
  <c r="I135" i="1"/>
  <c r="I142" i="1"/>
  <c r="K9" i="1"/>
  <c r="K14" i="1"/>
  <c r="K18" i="1"/>
  <c r="K26" i="1"/>
  <c r="K27" i="1" s="1"/>
  <c r="K32" i="1"/>
  <c r="K37" i="1"/>
  <c r="K38" i="1" s="1"/>
  <c r="K43" i="1"/>
  <c r="K51" i="1"/>
  <c r="K58" i="1"/>
  <c r="K66" i="1"/>
  <c r="K79" i="1"/>
  <c r="K83" i="1"/>
  <c r="K91" i="1"/>
  <c r="K100" i="1"/>
  <c r="K108" i="1"/>
  <c r="K122" i="1"/>
  <c r="K124" i="1" s="1"/>
  <c r="K128" i="1"/>
  <c r="K135" i="1"/>
  <c r="K142" i="1"/>
  <c r="M9" i="1"/>
  <c r="M14" i="1"/>
  <c r="M18" i="1"/>
  <c r="M26" i="1"/>
  <c r="M27" i="1" s="1"/>
  <c r="M32" i="1"/>
  <c r="M37" i="1"/>
  <c r="M38" i="1" s="1"/>
  <c r="M43" i="1"/>
  <c r="M51" i="1"/>
  <c r="M58" i="1"/>
  <c r="M66" i="1"/>
  <c r="M79" i="1"/>
  <c r="M83" i="1"/>
  <c r="M91" i="1"/>
  <c r="M100" i="1"/>
  <c r="M108" i="1"/>
  <c r="M122" i="1"/>
  <c r="M124" i="1" s="1"/>
  <c r="M128" i="1"/>
  <c r="M135" i="1"/>
  <c r="M142" i="1"/>
  <c r="O9" i="1"/>
  <c r="O14" i="1"/>
  <c r="O18" i="1"/>
  <c r="O26" i="1"/>
  <c r="O27" i="1" s="1"/>
  <c r="O32" i="1"/>
  <c r="O37" i="1"/>
  <c r="O38" i="1" s="1"/>
  <c r="O43" i="1"/>
  <c r="O51" i="1"/>
  <c r="O58" i="1"/>
  <c r="O66" i="1"/>
  <c r="O79" i="1"/>
  <c r="O83" i="1"/>
  <c r="O91" i="1"/>
  <c r="O100" i="1"/>
  <c r="O108" i="1"/>
  <c r="O122" i="1"/>
  <c r="O124" i="1"/>
  <c r="O125" i="1" s="1"/>
  <c r="O128" i="1"/>
  <c r="O135" i="1"/>
  <c r="O142" i="1"/>
  <c r="Q9" i="1"/>
  <c r="Q14" i="1"/>
  <c r="Q18" i="1"/>
  <c r="Q26" i="1"/>
  <c r="Q27" i="1" s="1"/>
  <c r="Q32" i="1"/>
  <c r="Q37" i="1"/>
  <c r="Q38" i="1" s="1"/>
  <c r="Q43" i="1"/>
  <c r="Q51" i="1"/>
  <c r="Q58" i="1"/>
  <c r="Q66" i="1"/>
  <c r="Q79" i="1"/>
  <c r="Q83" i="1"/>
  <c r="Q91" i="1"/>
  <c r="Q100" i="1"/>
  <c r="Q108" i="1"/>
  <c r="Q122" i="1"/>
  <c r="Q124" i="1" s="1"/>
  <c r="Q128" i="1"/>
  <c r="Q135" i="1"/>
  <c r="Q142" i="1"/>
  <c r="S9" i="1"/>
  <c r="S14" i="1"/>
  <c r="S18" i="1"/>
  <c r="S26" i="1"/>
  <c r="S27" i="1" s="1"/>
  <c r="S32" i="1"/>
  <c r="S37" i="1"/>
  <c r="S38" i="1" s="1"/>
  <c r="S43" i="1"/>
  <c r="S51" i="1"/>
  <c r="S58" i="1"/>
  <c r="S66" i="1"/>
  <c r="S79" i="1"/>
  <c r="S83" i="1"/>
  <c r="S91" i="1"/>
  <c r="S100" i="1"/>
  <c r="S108" i="1"/>
  <c r="S122" i="1"/>
  <c r="S124" i="1"/>
  <c r="S128" i="1"/>
  <c r="S135" i="1"/>
  <c r="S142" i="1"/>
  <c r="U9" i="1"/>
  <c r="U14" i="1"/>
  <c r="U18" i="1"/>
  <c r="U26" i="1"/>
  <c r="U27" i="1" s="1"/>
  <c r="U32" i="1"/>
  <c r="U37" i="1"/>
  <c r="U38" i="1" s="1"/>
  <c r="U43" i="1"/>
  <c r="U51" i="1"/>
  <c r="U58" i="1"/>
  <c r="U66" i="1"/>
  <c r="U79" i="1"/>
  <c r="U83" i="1"/>
  <c r="U91" i="1"/>
  <c r="U100" i="1"/>
  <c r="U108" i="1"/>
  <c r="U122" i="1"/>
  <c r="U124" i="1" s="1"/>
  <c r="U128" i="1"/>
  <c r="U135" i="1"/>
  <c r="U148" i="1" s="1"/>
  <c r="U142" i="1"/>
  <c r="W9" i="1"/>
  <c r="W14" i="1"/>
  <c r="W18" i="1"/>
  <c r="W26" i="1"/>
  <c r="W27" i="1" s="1"/>
  <c r="W32" i="1"/>
  <c r="W37" i="1"/>
  <c r="W38" i="1" s="1"/>
  <c r="W43" i="1"/>
  <c r="W51" i="1"/>
  <c r="W58" i="1"/>
  <c r="W66" i="1"/>
  <c r="W79" i="1"/>
  <c r="W83" i="1"/>
  <c r="W91" i="1"/>
  <c r="W100" i="1"/>
  <c r="W108" i="1"/>
  <c r="W122" i="1"/>
  <c r="W124" i="1" s="1"/>
  <c r="W128" i="1"/>
  <c r="W135" i="1"/>
  <c r="W142" i="1"/>
  <c r="Y9" i="1"/>
  <c r="Y14" i="1"/>
  <c r="Y18" i="1"/>
  <c r="Y26" i="1"/>
  <c r="Y27" i="1" s="1"/>
  <c r="Y32" i="1"/>
  <c r="Y37" i="1"/>
  <c r="Y38" i="1" s="1"/>
  <c r="Y43" i="1"/>
  <c r="Y51" i="1"/>
  <c r="Y58" i="1"/>
  <c r="Y66" i="1"/>
  <c r="Y79" i="1"/>
  <c r="Y83" i="1"/>
  <c r="Y91" i="1"/>
  <c r="Y100" i="1"/>
  <c r="Y108" i="1"/>
  <c r="Y122" i="1"/>
  <c r="Y124" i="1" s="1"/>
  <c r="Y128" i="1"/>
  <c r="Y135" i="1"/>
  <c r="Y142" i="1"/>
  <c r="AA9" i="1"/>
  <c r="AA14" i="1"/>
  <c r="AA18" i="1"/>
  <c r="AA26" i="1"/>
  <c r="AA27" i="1" s="1"/>
  <c r="AA32" i="1"/>
  <c r="AA37" i="1"/>
  <c r="AA38" i="1"/>
  <c r="AA43" i="1"/>
  <c r="AA51" i="1"/>
  <c r="AA58" i="1"/>
  <c r="AA66" i="1"/>
  <c r="AA79" i="1"/>
  <c r="AA83" i="1"/>
  <c r="AA91" i="1"/>
  <c r="AA100" i="1"/>
  <c r="AA108" i="1"/>
  <c r="AA122" i="1"/>
  <c r="AA124" i="1" s="1"/>
  <c r="AA125" i="1" s="1"/>
  <c r="AA128" i="1"/>
  <c r="AA135" i="1"/>
  <c r="AA142" i="1"/>
  <c r="AG149" i="1"/>
  <c r="AG147" i="1"/>
  <c r="AG146" i="1"/>
  <c r="AG145" i="1"/>
  <c r="AG144" i="1"/>
  <c r="AG143" i="1"/>
  <c r="AG141" i="1"/>
  <c r="AG139" i="1"/>
  <c r="AG138" i="1"/>
  <c r="AG137" i="1"/>
  <c r="AG136" i="1"/>
  <c r="AG134" i="1"/>
  <c r="AG133" i="1"/>
  <c r="AG131" i="1"/>
  <c r="AG129" i="1"/>
  <c r="AG127" i="1"/>
  <c r="AG123" i="1"/>
  <c r="AG121" i="1"/>
  <c r="AG120" i="1"/>
  <c r="AG118" i="1"/>
  <c r="AG117" i="1"/>
  <c r="AG116" i="1"/>
  <c r="AG115" i="1"/>
  <c r="AG114" i="1"/>
  <c r="AG112" i="1"/>
  <c r="AG111" i="1"/>
  <c r="AG110" i="1"/>
  <c r="AG109" i="1"/>
  <c r="AG107" i="1"/>
  <c r="AG106" i="1"/>
  <c r="AG104" i="1"/>
  <c r="AG103" i="1"/>
  <c r="AG102" i="1"/>
  <c r="AG99" i="1"/>
  <c r="AG98" i="1"/>
  <c r="AG97" i="1"/>
  <c r="AG96" i="1"/>
  <c r="AG95" i="1"/>
  <c r="AG94" i="1"/>
  <c r="AG90" i="1"/>
  <c r="AG89" i="1"/>
  <c r="AG88" i="1"/>
  <c r="AG87" i="1"/>
  <c r="AG86" i="1"/>
  <c r="AG85" i="1"/>
  <c r="AG82" i="1"/>
  <c r="AG81" i="1"/>
  <c r="AG78" i="1"/>
  <c r="AG77" i="1"/>
  <c r="AG76" i="1"/>
  <c r="AG75" i="1"/>
  <c r="AG74" i="1"/>
  <c r="AG73" i="1"/>
  <c r="AG71" i="1"/>
  <c r="AG70" i="1"/>
  <c r="AG69" i="1"/>
  <c r="AG68" i="1"/>
  <c r="AG67" i="1"/>
  <c r="AG65" i="1"/>
  <c r="AG64" i="1"/>
  <c r="AG62" i="1"/>
  <c r="AG61" i="1"/>
  <c r="AG60" i="1"/>
  <c r="AG59" i="1"/>
  <c r="AG57" i="1"/>
  <c r="AG56" i="1"/>
  <c r="AG55" i="1"/>
  <c r="AG54" i="1"/>
  <c r="AG52" i="1"/>
  <c r="AG50" i="1"/>
  <c r="AG49" i="1"/>
  <c r="AG48" i="1"/>
  <c r="AG47" i="1"/>
  <c r="AG45" i="1"/>
  <c r="AG42" i="1"/>
  <c r="AG36" i="1"/>
  <c r="AG31" i="1"/>
  <c r="AG30" i="1"/>
  <c r="AG29" i="1"/>
  <c r="AG25" i="1"/>
  <c r="AG24" i="1"/>
  <c r="AG23" i="1"/>
  <c r="AG22" i="1"/>
  <c r="AG20" i="1"/>
  <c r="AG17" i="1"/>
  <c r="AG16" i="1"/>
  <c r="AG13" i="1"/>
  <c r="AG12" i="1"/>
  <c r="AG11" i="1"/>
  <c r="AG8" i="1"/>
  <c r="AG7" i="1"/>
  <c r="AG6" i="1"/>
  <c r="AG5" i="1"/>
  <c r="U149" i="4"/>
  <c r="I135" i="4"/>
  <c r="I142" i="4"/>
  <c r="J135" i="4"/>
  <c r="J142" i="4"/>
  <c r="K135" i="4"/>
  <c r="K142" i="4"/>
  <c r="L135" i="4"/>
  <c r="L142" i="4"/>
  <c r="M135" i="4"/>
  <c r="M142" i="4"/>
  <c r="N135" i="4"/>
  <c r="N142" i="4"/>
  <c r="O135" i="4"/>
  <c r="O142" i="4"/>
  <c r="P135" i="4"/>
  <c r="P142" i="4"/>
  <c r="Q135" i="4"/>
  <c r="Q142" i="4"/>
  <c r="R135" i="4"/>
  <c r="R142" i="4"/>
  <c r="U147" i="4"/>
  <c r="U146" i="4"/>
  <c r="U145" i="4"/>
  <c r="U144" i="4"/>
  <c r="U143" i="4"/>
  <c r="U141" i="4"/>
  <c r="U139" i="4"/>
  <c r="U138" i="4"/>
  <c r="U137" i="4"/>
  <c r="U136" i="4"/>
  <c r="U134" i="4"/>
  <c r="U133" i="4"/>
  <c r="U131" i="4"/>
  <c r="U129" i="4"/>
  <c r="I128" i="4"/>
  <c r="J128" i="4"/>
  <c r="K128" i="4"/>
  <c r="L128" i="4"/>
  <c r="M128" i="4"/>
  <c r="N128" i="4"/>
  <c r="O128" i="4"/>
  <c r="P128" i="4"/>
  <c r="Q128" i="4"/>
  <c r="R128" i="4"/>
  <c r="U127" i="4"/>
  <c r="I108" i="4"/>
  <c r="I122" i="4"/>
  <c r="I124" i="4" s="1"/>
  <c r="J108" i="4"/>
  <c r="J122" i="4"/>
  <c r="J124" i="4" s="1"/>
  <c r="K108" i="4"/>
  <c r="K122" i="4"/>
  <c r="K124" i="4" s="1"/>
  <c r="L108" i="4"/>
  <c r="L122" i="4"/>
  <c r="L124" i="4" s="1"/>
  <c r="M108" i="4"/>
  <c r="M122" i="4"/>
  <c r="M124" i="4" s="1"/>
  <c r="N108" i="4"/>
  <c r="N122" i="4"/>
  <c r="N124" i="4" s="1"/>
  <c r="O108" i="4"/>
  <c r="O122" i="4"/>
  <c r="O124" i="4" s="1"/>
  <c r="P108" i="4"/>
  <c r="P122" i="4"/>
  <c r="P124" i="4" s="1"/>
  <c r="Q108" i="4"/>
  <c r="Q122" i="4"/>
  <c r="Q124" i="4" s="1"/>
  <c r="R108" i="4"/>
  <c r="R122" i="4"/>
  <c r="R124" i="4" s="1"/>
  <c r="U123" i="4"/>
  <c r="U121" i="4"/>
  <c r="U120" i="4"/>
  <c r="U118" i="4"/>
  <c r="U117" i="4"/>
  <c r="U116" i="4"/>
  <c r="U115" i="4"/>
  <c r="U114" i="4"/>
  <c r="U112" i="4"/>
  <c r="U111" i="4"/>
  <c r="U110" i="4"/>
  <c r="U109" i="4"/>
  <c r="U107" i="4"/>
  <c r="U106" i="4"/>
  <c r="U104" i="4"/>
  <c r="U103" i="4"/>
  <c r="U102" i="4"/>
  <c r="I91" i="4"/>
  <c r="J91" i="4"/>
  <c r="K91" i="4"/>
  <c r="L91" i="4"/>
  <c r="M91" i="4"/>
  <c r="N91" i="4"/>
  <c r="O91" i="4"/>
  <c r="P91" i="4"/>
  <c r="Q91" i="4"/>
  <c r="R91" i="4"/>
  <c r="U90" i="4"/>
  <c r="U89" i="4"/>
  <c r="U88" i="4"/>
  <c r="U87" i="4"/>
  <c r="U86" i="4"/>
  <c r="U85" i="4"/>
  <c r="I83" i="4"/>
  <c r="J83" i="4"/>
  <c r="K83" i="4"/>
  <c r="L83" i="4"/>
  <c r="M83" i="4"/>
  <c r="N83" i="4"/>
  <c r="O83" i="4"/>
  <c r="P83" i="4"/>
  <c r="Q83" i="4"/>
  <c r="R83" i="4"/>
  <c r="U82" i="4"/>
  <c r="U81" i="4"/>
  <c r="U78" i="4"/>
  <c r="U77" i="4"/>
  <c r="U76" i="4"/>
  <c r="U75" i="4"/>
  <c r="U74" i="4"/>
  <c r="U73" i="4"/>
  <c r="U71" i="4"/>
  <c r="U70" i="4"/>
  <c r="U69" i="4"/>
  <c r="U68" i="4"/>
  <c r="U67" i="4"/>
  <c r="I66" i="4"/>
  <c r="J66" i="4"/>
  <c r="K66" i="4"/>
  <c r="L66" i="4"/>
  <c r="M66" i="4"/>
  <c r="N66" i="4"/>
  <c r="O66" i="4"/>
  <c r="P66" i="4"/>
  <c r="Q66" i="4"/>
  <c r="R66" i="4"/>
  <c r="U65" i="4"/>
  <c r="U64" i="4"/>
  <c r="U62" i="4"/>
  <c r="U61" i="4"/>
  <c r="U60" i="4"/>
  <c r="U59" i="4"/>
  <c r="I58" i="4"/>
  <c r="J58" i="4"/>
  <c r="K58" i="4"/>
  <c r="L58" i="4"/>
  <c r="M58" i="4"/>
  <c r="N58" i="4"/>
  <c r="O58" i="4"/>
  <c r="P58" i="4"/>
  <c r="Q58" i="4"/>
  <c r="R58" i="4"/>
  <c r="U57" i="4"/>
  <c r="U56" i="4"/>
  <c r="U55" i="4"/>
  <c r="U54" i="4"/>
  <c r="U52" i="4"/>
  <c r="I51" i="4"/>
  <c r="J51" i="4"/>
  <c r="K51" i="4"/>
  <c r="L51" i="4"/>
  <c r="M51" i="4"/>
  <c r="N51" i="4"/>
  <c r="O51" i="4"/>
  <c r="P51" i="4"/>
  <c r="Q51" i="4"/>
  <c r="R51" i="4"/>
  <c r="U50" i="4"/>
  <c r="U49" i="4"/>
  <c r="U48" i="4"/>
  <c r="U47" i="4"/>
  <c r="U45" i="4"/>
  <c r="I43" i="4"/>
  <c r="J43" i="4"/>
  <c r="K43" i="4"/>
  <c r="L43" i="4"/>
  <c r="M43" i="4"/>
  <c r="N43" i="4"/>
  <c r="O43" i="4"/>
  <c r="P43" i="4"/>
  <c r="Q43" i="4"/>
  <c r="R43" i="4"/>
  <c r="U42" i="4"/>
  <c r="I9" i="4"/>
  <c r="I14" i="4"/>
  <c r="I18" i="4"/>
  <c r="I26" i="4"/>
  <c r="I27" i="4" s="1"/>
  <c r="I32" i="4"/>
  <c r="I37" i="4"/>
  <c r="I38" i="4" s="1"/>
  <c r="J9" i="4"/>
  <c r="J14" i="4"/>
  <c r="J18" i="4"/>
  <c r="J26" i="4"/>
  <c r="J32" i="4"/>
  <c r="J37" i="4"/>
  <c r="K9" i="4"/>
  <c r="K14" i="4"/>
  <c r="K18" i="4"/>
  <c r="K26" i="4"/>
  <c r="K27" i="4" s="1"/>
  <c r="K32" i="4"/>
  <c r="K37" i="4"/>
  <c r="K38" i="4" s="1"/>
  <c r="L9" i="4"/>
  <c r="L14" i="4"/>
  <c r="L18" i="4"/>
  <c r="L26" i="4"/>
  <c r="L27" i="4" s="1"/>
  <c r="L32" i="4"/>
  <c r="L37" i="4"/>
  <c r="L38" i="4" s="1"/>
  <c r="M9" i="4"/>
  <c r="M14" i="4"/>
  <c r="M18" i="4"/>
  <c r="M26" i="4"/>
  <c r="M27" i="4" s="1"/>
  <c r="M32" i="4"/>
  <c r="M37" i="4"/>
  <c r="M38" i="4" s="1"/>
  <c r="N9" i="4"/>
  <c r="N14" i="4"/>
  <c r="N18" i="4"/>
  <c r="N26" i="4"/>
  <c r="N27" i="4" s="1"/>
  <c r="N32" i="4"/>
  <c r="N37" i="4"/>
  <c r="N38" i="4" s="1"/>
  <c r="O9" i="4"/>
  <c r="O14" i="4"/>
  <c r="O18" i="4"/>
  <c r="O26" i="4"/>
  <c r="O27" i="4" s="1"/>
  <c r="O32" i="4"/>
  <c r="O37" i="4"/>
  <c r="O38" i="4" s="1"/>
  <c r="P9" i="4"/>
  <c r="P14" i="4"/>
  <c r="P18" i="4"/>
  <c r="P26" i="4"/>
  <c r="P27" i="4" s="1"/>
  <c r="P32" i="4"/>
  <c r="P37" i="4"/>
  <c r="P38" i="4" s="1"/>
  <c r="Q9" i="4"/>
  <c r="Q14" i="4"/>
  <c r="Q18" i="4"/>
  <c r="Q26" i="4"/>
  <c r="Q27" i="4" s="1"/>
  <c r="Q32" i="4"/>
  <c r="Q37" i="4"/>
  <c r="Q38" i="4" s="1"/>
  <c r="R9" i="4"/>
  <c r="R14" i="4"/>
  <c r="R18" i="4"/>
  <c r="R26" i="4"/>
  <c r="R27" i="4" s="1"/>
  <c r="R32" i="4"/>
  <c r="R37" i="4"/>
  <c r="R38" i="4" s="1"/>
  <c r="U36" i="4"/>
  <c r="U31" i="4"/>
  <c r="U30" i="4"/>
  <c r="U29" i="4"/>
  <c r="U25" i="4"/>
  <c r="U24" i="4"/>
  <c r="U23" i="4"/>
  <c r="U22" i="4"/>
  <c r="U20" i="4"/>
  <c r="U17" i="4"/>
  <c r="U16" i="4"/>
  <c r="U13" i="4"/>
  <c r="U12" i="4"/>
  <c r="U11" i="4"/>
  <c r="U8" i="4"/>
  <c r="U7" i="4"/>
  <c r="U6" i="4"/>
  <c r="U5" i="4"/>
  <c r="I79" i="4"/>
  <c r="I100" i="4"/>
  <c r="J79" i="4"/>
  <c r="J100" i="4"/>
  <c r="K79" i="4"/>
  <c r="K100" i="4"/>
  <c r="L79" i="4"/>
  <c r="L100" i="4"/>
  <c r="M79" i="4"/>
  <c r="M100" i="4"/>
  <c r="N79" i="4"/>
  <c r="O79" i="4"/>
  <c r="P79" i="4"/>
  <c r="Q79" i="4"/>
  <c r="R79" i="4"/>
  <c r="N100" i="4"/>
  <c r="O100" i="4"/>
  <c r="P100" i="4"/>
  <c r="Q100" i="4"/>
  <c r="R100" i="4"/>
  <c r="K148" i="4" l="1"/>
  <c r="P148" i="4"/>
  <c r="Q148" i="1"/>
  <c r="Y148" i="1"/>
  <c r="U122" i="4"/>
  <c r="R92" i="4"/>
  <c r="Q148" i="4"/>
  <c r="M148" i="4"/>
  <c r="I148" i="4"/>
  <c r="W148" i="1"/>
  <c r="AG18" i="1"/>
  <c r="AG51" i="1"/>
  <c r="I148" i="1"/>
  <c r="K92" i="4"/>
  <c r="O92" i="4"/>
  <c r="M148" i="1"/>
  <c r="AG9" i="1"/>
  <c r="AG79" i="1"/>
  <c r="U18" i="4"/>
  <c r="R148" i="4"/>
  <c r="N148" i="4"/>
  <c r="U83" i="4"/>
  <c r="L148" i="4"/>
  <c r="Q92" i="4"/>
  <c r="Q150" i="4" s="1"/>
  <c r="U66" i="4"/>
  <c r="W125" i="1"/>
  <c r="W92" i="1"/>
  <c r="W150" i="1" s="1"/>
  <c r="S148" i="1"/>
  <c r="S92" i="1"/>
  <c r="K125" i="1"/>
  <c r="P92" i="4"/>
  <c r="M92" i="4"/>
  <c r="P33" i="4"/>
  <c r="P39" i="4" s="1"/>
  <c r="R125" i="4"/>
  <c r="N125" i="4"/>
  <c r="J125" i="4"/>
  <c r="M33" i="1"/>
  <c r="M39" i="1" s="1"/>
  <c r="W38" i="5"/>
  <c r="W39" i="5" s="1"/>
  <c r="W45" i="5" s="1"/>
  <c r="W151" i="5"/>
  <c r="W152" i="5" s="1"/>
  <c r="W50" i="5"/>
  <c r="W189" i="5"/>
  <c r="Y92" i="1"/>
  <c r="Y33" i="1"/>
  <c r="Y39" i="1" s="1"/>
  <c r="W33" i="1"/>
  <c r="W39" i="1" s="1"/>
  <c r="S125" i="1"/>
  <c r="R33" i="4"/>
  <c r="R39" i="4" s="1"/>
  <c r="AA148" i="1"/>
  <c r="U33" i="1"/>
  <c r="AG122" i="1"/>
  <c r="L33" i="4"/>
  <c r="U91" i="4"/>
  <c r="AA92" i="1"/>
  <c r="Y125" i="1"/>
  <c r="AG91" i="1"/>
  <c r="O92" i="1"/>
  <c r="M125" i="1"/>
  <c r="K148" i="1"/>
  <c r="U9" i="4"/>
  <c r="U32" i="4"/>
  <c r="U58" i="4"/>
  <c r="AG100" i="1"/>
  <c r="AG83" i="1"/>
  <c r="W110" i="5"/>
  <c r="K33" i="4"/>
  <c r="K39" i="4" s="1"/>
  <c r="U125" i="1"/>
  <c r="AG58" i="1"/>
  <c r="AG43" i="1"/>
  <c r="K33" i="1"/>
  <c r="K39" i="1" s="1"/>
  <c r="U182" i="5"/>
  <c r="N49" i="5"/>
  <c r="N50" i="5" s="1"/>
  <c r="N22" i="5"/>
  <c r="T163" i="5"/>
  <c r="L174" i="5"/>
  <c r="L189" i="5" s="1"/>
  <c r="K101" i="5"/>
  <c r="N158" i="5"/>
  <c r="Q44" i="5"/>
  <c r="T44" i="5"/>
  <c r="S163" i="5"/>
  <c r="P174" i="5"/>
  <c r="P158" i="5"/>
  <c r="M158" i="5"/>
  <c r="L158" i="5"/>
  <c r="J163" i="5"/>
  <c r="M22" i="5"/>
  <c r="K158" i="5"/>
  <c r="L22" i="5"/>
  <c r="Q158" i="5"/>
  <c r="P49" i="5"/>
  <c r="P50" i="5" s="1"/>
  <c r="Q109" i="5"/>
  <c r="O174" i="5"/>
  <c r="O189" i="5" s="1"/>
  <c r="L119" i="5"/>
  <c r="Q22" i="5"/>
  <c r="S22" i="5"/>
  <c r="I49" i="5"/>
  <c r="I22" i="5"/>
  <c r="I163" i="5"/>
  <c r="O149" i="5"/>
  <c r="O151" i="5" s="1"/>
  <c r="S149" i="5"/>
  <c r="S151" i="5" s="1"/>
  <c r="R149" i="5"/>
  <c r="R151" i="5" s="1"/>
  <c r="T149" i="5"/>
  <c r="T151" i="5" s="1"/>
  <c r="M149" i="5"/>
  <c r="M151" i="5" s="1"/>
  <c r="I149" i="5"/>
  <c r="AG128" i="1"/>
  <c r="U14" i="4"/>
  <c r="S33" i="1"/>
  <c r="S39" i="1" s="1"/>
  <c r="O148" i="1"/>
  <c r="AG124" i="1"/>
  <c r="I125" i="1"/>
  <c r="K92" i="1"/>
  <c r="AG66" i="1"/>
  <c r="N33" i="4"/>
  <c r="N39" i="4" s="1"/>
  <c r="J92" i="4"/>
  <c r="Q125" i="4"/>
  <c r="M125" i="4"/>
  <c r="U124" i="4"/>
  <c r="I125" i="4"/>
  <c r="U135" i="4"/>
  <c r="J148" i="4"/>
  <c r="M92" i="1"/>
  <c r="AG108" i="1"/>
  <c r="AG38" i="1"/>
  <c r="L92" i="4"/>
  <c r="U79" i="4"/>
  <c r="M33" i="4"/>
  <c r="M39" i="4" s="1"/>
  <c r="J38" i="4"/>
  <c r="U38" i="4" s="1"/>
  <c r="U37" i="4"/>
  <c r="U51" i="4"/>
  <c r="P125" i="4"/>
  <c r="L125" i="4"/>
  <c r="Q92" i="1"/>
  <c r="Q33" i="1"/>
  <c r="Q39" i="1" s="1"/>
  <c r="J44" i="5"/>
  <c r="O33" i="4"/>
  <c r="O39" i="4" s="1"/>
  <c r="AA33" i="1"/>
  <c r="AA39" i="1" s="1"/>
  <c r="U39" i="1"/>
  <c r="I27" i="1"/>
  <c r="AG27" i="1" s="1"/>
  <c r="AG26" i="1"/>
  <c r="U108" i="4"/>
  <c r="Q33" i="4"/>
  <c r="Q39" i="4" s="1"/>
  <c r="J27" i="4"/>
  <c r="U27" i="4" s="1"/>
  <c r="U26" i="4"/>
  <c r="O125" i="4"/>
  <c r="K125" i="4"/>
  <c r="K150" i="4" s="1"/>
  <c r="K151" i="4" s="1"/>
  <c r="K152" i="4" s="1"/>
  <c r="U128" i="4"/>
  <c r="O148" i="4"/>
  <c r="U92" i="1"/>
  <c r="U150" i="1" s="1"/>
  <c r="AG32" i="1"/>
  <c r="I92" i="1"/>
  <c r="R44" i="5"/>
  <c r="L39" i="4"/>
  <c r="N92" i="4"/>
  <c r="U142" i="4"/>
  <c r="Q125" i="1"/>
  <c r="O33" i="1"/>
  <c r="O39" i="1" s="1"/>
  <c r="AG14" i="1"/>
  <c r="AG142" i="1"/>
  <c r="I92" i="4"/>
  <c r="AG37" i="1"/>
  <c r="R158" i="5"/>
  <c r="I33" i="4"/>
  <c r="U43" i="4"/>
  <c r="AG135" i="1"/>
  <c r="P149" i="5"/>
  <c r="P151" i="5" s="1"/>
  <c r="I44" i="5"/>
  <c r="T158" i="5"/>
  <c r="I158" i="5"/>
  <c r="O158" i="5"/>
  <c r="L101" i="5"/>
  <c r="N149" i="5"/>
  <c r="N151" i="5" s="1"/>
  <c r="I126" i="5"/>
  <c r="M126" i="5"/>
  <c r="T126" i="5"/>
  <c r="N126" i="5"/>
  <c r="J126" i="5"/>
  <c r="K126" i="5"/>
  <c r="R126" i="5"/>
  <c r="S109" i="5"/>
  <c r="R101" i="5"/>
  <c r="T101" i="5"/>
  <c r="Q96" i="5"/>
  <c r="M96" i="5"/>
  <c r="L65" i="5"/>
  <c r="T65" i="5"/>
  <c r="S73" i="5"/>
  <c r="J189" i="5"/>
  <c r="T189" i="5"/>
  <c r="S189" i="5"/>
  <c r="N189" i="5"/>
  <c r="Q189" i="5"/>
  <c r="R189" i="5"/>
  <c r="M189" i="5"/>
  <c r="I189" i="5"/>
  <c r="K189" i="5"/>
  <c r="K149" i="5"/>
  <c r="K151" i="5" s="1"/>
  <c r="L149" i="5"/>
  <c r="L151" i="5" s="1"/>
  <c r="J151" i="5"/>
  <c r="Q151" i="5"/>
  <c r="L126" i="5"/>
  <c r="Q126" i="5"/>
  <c r="P126" i="5"/>
  <c r="O126" i="5"/>
  <c r="S126" i="5"/>
  <c r="T119" i="5"/>
  <c r="P119" i="5"/>
  <c r="J119" i="5"/>
  <c r="I119" i="5"/>
  <c r="O119" i="5"/>
  <c r="N119" i="5"/>
  <c r="R119" i="5"/>
  <c r="Q119" i="5"/>
  <c r="S119" i="5"/>
  <c r="M119" i="5"/>
  <c r="K119" i="5"/>
  <c r="K109" i="5"/>
  <c r="I109" i="5"/>
  <c r="O109" i="5"/>
  <c r="M109" i="5"/>
  <c r="N109" i="5"/>
  <c r="P109" i="5"/>
  <c r="T109" i="5"/>
  <c r="L109" i="5"/>
  <c r="R109" i="5"/>
  <c r="J109" i="5"/>
  <c r="O101" i="5"/>
  <c r="I101" i="5"/>
  <c r="P101" i="5"/>
  <c r="S101" i="5"/>
  <c r="M101" i="5"/>
  <c r="J101" i="5"/>
  <c r="N101" i="5"/>
  <c r="Q101" i="5"/>
  <c r="N96" i="5"/>
  <c r="T96" i="5"/>
  <c r="J96" i="5"/>
  <c r="S96" i="5"/>
  <c r="L96" i="5"/>
  <c r="R96" i="5"/>
  <c r="O96" i="5"/>
  <c r="P96" i="5"/>
  <c r="K96" i="5"/>
  <c r="I96" i="5"/>
  <c r="K73" i="5"/>
  <c r="R73" i="5"/>
  <c r="J73" i="5"/>
  <c r="Q73" i="5"/>
  <c r="N73" i="5"/>
  <c r="P73" i="5"/>
  <c r="O73" i="5"/>
  <c r="I73" i="5"/>
  <c r="T73" i="5"/>
  <c r="L73" i="5"/>
  <c r="M73" i="5"/>
  <c r="J65" i="5"/>
  <c r="R65" i="5"/>
  <c r="O65" i="5"/>
  <c r="K65" i="5"/>
  <c r="AA150" i="1" l="1"/>
  <c r="P150" i="4"/>
  <c r="W151" i="1"/>
  <c r="W152" i="1" s="1"/>
  <c r="W51" i="5"/>
  <c r="R150" i="4"/>
  <c r="K150" i="1"/>
  <c r="K151" i="1" s="1"/>
  <c r="K152" i="1" s="1"/>
  <c r="M150" i="4"/>
  <c r="AG148" i="1"/>
  <c r="M150" i="1"/>
  <c r="U148" i="4"/>
  <c r="O150" i="1"/>
  <c r="M151" i="1"/>
  <c r="M152" i="1" s="1"/>
  <c r="J150" i="4"/>
  <c r="S150" i="1"/>
  <c r="S151" i="1" s="1"/>
  <c r="S152" i="1" s="1"/>
  <c r="N150" i="4"/>
  <c r="R151" i="4"/>
  <c r="R152" i="4" s="1"/>
  <c r="P151" i="4"/>
  <c r="P152" i="4" s="1"/>
  <c r="O150" i="4"/>
  <c r="Q150" i="1"/>
  <c r="Q151" i="1" s="1"/>
  <c r="Q152" i="1" s="1"/>
  <c r="U125" i="4"/>
  <c r="U109" i="5"/>
  <c r="Y150" i="1"/>
  <c r="Y151" i="1" s="1"/>
  <c r="Y152" i="1" s="1"/>
  <c r="U49" i="5"/>
  <c r="U174" i="5"/>
  <c r="P189" i="5"/>
  <c r="U189" i="5" s="1"/>
  <c r="U73" i="5"/>
  <c r="U96" i="5"/>
  <c r="U101" i="5"/>
  <c r="U158" i="5"/>
  <c r="U44" i="5"/>
  <c r="U126" i="5"/>
  <c r="U163" i="5"/>
  <c r="U22" i="5"/>
  <c r="U119" i="5"/>
  <c r="U149" i="5"/>
  <c r="I151" i="5"/>
  <c r="I50" i="5"/>
  <c r="T152" i="5"/>
  <c r="M65" i="5"/>
  <c r="M110" i="5" s="1"/>
  <c r="P65" i="5"/>
  <c r="P110" i="5" s="1"/>
  <c r="N152" i="5"/>
  <c r="J33" i="4"/>
  <c r="J39" i="4" s="1"/>
  <c r="J151" i="4" s="1"/>
  <c r="J152" i="4" s="1"/>
  <c r="Q151" i="4"/>
  <c r="Q152" i="4" s="1"/>
  <c r="O151" i="4"/>
  <c r="O152" i="4" s="1"/>
  <c r="M151" i="4"/>
  <c r="M152" i="4" s="1"/>
  <c r="I33" i="1"/>
  <c r="M152" i="5"/>
  <c r="I39" i="4"/>
  <c r="L150" i="4"/>
  <c r="L151" i="4" s="1"/>
  <c r="L152" i="4" s="1"/>
  <c r="AG125" i="1"/>
  <c r="O151" i="1"/>
  <c r="O152" i="1" s="1"/>
  <c r="U151" i="1"/>
  <c r="U152" i="1" s="1"/>
  <c r="U92" i="4"/>
  <c r="I150" i="1"/>
  <c r="AG92" i="1"/>
  <c r="AA151" i="1"/>
  <c r="AA152" i="1" s="1"/>
  <c r="N151" i="4"/>
  <c r="N152" i="4" s="1"/>
  <c r="Q65" i="5"/>
  <c r="Q110" i="5" s="1"/>
  <c r="Q152" i="5"/>
  <c r="I150" i="4"/>
  <c r="K152" i="5"/>
  <c r="R152" i="5"/>
  <c r="J152" i="5"/>
  <c r="L152" i="5"/>
  <c r="S152" i="5"/>
  <c r="P152" i="5"/>
  <c r="N65" i="5"/>
  <c r="N110" i="5" s="1"/>
  <c r="S65" i="5"/>
  <c r="S110" i="5" s="1"/>
  <c r="L110" i="5"/>
  <c r="O152" i="5"/>
  <c r="R110" i="5"/>
  <c r="J110" i="5"/>
  <c r="T110" i="5"/>
  <c r="K110" i="5"/>
  <c r="O110" i="5"/>
  <c r="I65" i="5"/>
  <c r="U45" i="5" l="1"/>
  <c r="U150" i="4"/>
  <c r="U33" i="4"/>
  <c r="AG150" i="1"/>
  <c r="U65" i="5"/>
  <c r="U50" i="5"/>
  <c r="I152" i="5"/>
  <c r="U151" i="5"/>
  <c r="T193" i="5"/>
  <c r="Q193" i="5"/>
  <c r="N193" i="5"/>
  <c r="I39" i="1"/>
  <c r="AG33" i="1"/>
  <c r="U39" i="4"/>
  <c r="I151" i="4"/>
  <c r="M193" i="5"/>
  <c r="R193" i="5"/>
  <c r="S193" i="5"/>
  <c r="J193" i="5"/>
  <c r="L193" i="5"/>
  <c r="K193" i="5"/>
  <c r="P193" i="5"/>
  <c r="O193" i="5"/>
  <c r="I110" i="5"/>
  <c r="U51" i="5" l="1"/>
  <c r="U110" i="5"/>
  <c r="U152" i="5"/>
  <c r="U151" i="4"/>
  <c r="I152" i="4"/>
  <c r="U152" i="4" s="1"/>
  <c r="I151" i="1"/>
  <c r="AG39" i="1"/>
  <c r="I193" i="5"/>
  <c r="U193" i="5" l="1"/>
  <c r="I152" i="1"/>
  <c r="AG152" i="1" s="1"/>
  <c r="AG151" i="1"/>
  <c r="W193" i="5" l="1"/>
  <c r="U194" i="5"/>
  <c r="U195" i="5" s="1"/>
  <c r="O28" i="5"/>
  <c r="N28" i="5"/>
  <c r="Q28" i="5"/>
  <c r="L28" i="5"/>
  <c r="J28" i="5"/>
  <c r="K28" i="5"/>
  <c r="S28" i="5"/>
  <c r="M28" i="5"/>
  <c r="R28" i="5"/>
  <c r="P28" i="5"/>
  <c r="I28" i="5"/>
  <c r="I45" i="5" s="1"/>
  <c r="I51" i="5" s="1"/>
  <c r="T28" i="5"/>
  <c r="P45" i="5" l="1"/>
  <c r="K45" i="5"/>
  <c r="N45" i="5"/>
  <c r="R45" i="5"/>
  <c r="J45" i="5"/>
  <c r="O45" i="5"/>
  <c r="T45" i="5"/>
  <c r="T51" i="5" s="1"/>
  <c r="T194" i="5" s="1"/>
  <c r="T195" i="5" s="1"/>
  <c r="M45" i="5"/>
  <c r="L45" i="5"/>
  <c r="S45" i="5"/>
  <c r="Q45" i="5"/>
  <c r="U28" i="5"/>
  <c r="W28" i="5" s="1"/>
  <c r="R51" i="5" l="1"/>
  <c r="R194" i="5" s="1"/>
  <c r="R195" i="5" s="1"/>
  <c r="N51" i="5"/>
  <c r="N194" i="5" s="1"/>
  <c r="N195" i="5" s="1"/>
  <c r="O51" i="5"/>
  <c r="O194" i="5" s="1"/>
  <c r="O195" i="5" s="1"/>
  <c r="K51" i="5"/>
  <c r="K194" i="5" s="1"/>
  <c r="K195" i="5" s="1"/>
  <c r="M51" i="5"/>
  <c r="M194" i="5" s="1"/>
  <c r="M195" i="5" s="1"/>
  <c r="Q51" i="5"/>
  <c r="Q194" i="5" s="1"/>
  <c r="Q195" i="5" s="1"/>
  <c r="S51" i="5"/>
  <c r="S194" i="5" s="1"/>
  <c r="S195" i="5" s="1"/>
  <c r="L51" i="5"/>
  <c r="L194" i="5" s="1"/>
  <c r="L195" i="5" s="1"/>
  <c r="J51" i="5"/>
  <c r="J194" i="5" s="1"/>
  <c r="J195" i="5" s="1"/>
  <c r="P51" i="5"/>
  <c r="P194" i="5" s="1"/>
  <c r="P195" i="5" s="1"/>
  <c r="I194" i="5"/>
  <c r="W194" i="5" l="1"/>
  <c r="W195" i="5" s="1"/>
  <c r="I195" i="5"/>
</calcChain>
</file>

<file path=xl/comments1.xml><?xml version="1.0" encoding="utf-8"?>
<comments xmlns="http://schemas.openxmlformats.org/spreadsheetml/2006/main">
  <authors>
    <author>Heather W</author>
  </authors>
  <commentList>
    <comment ref="V1" authorId="0" shapeId="0">
      <text>
        <r>
          <rPr>
            <b/>
            <sz val="9"/>
            <color indexed="81"/>
            <rFont val="Tahoma"/>
            <family val="2"/>
          </rPr>
          <t>Heather W:</t>
        </r>
        <r>
          <rPr>
            <sz val="9"/>
            <color indexed="81"/>
            <rFont val="Tahoma"/>
            <family val="2"/>
          </rPr>
          <t xml:space="preserve">
Portion of budgeted expenses paid for by OVC grant
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Heather W:</t>
        </r>
        <r>
          <rPr>
            <sz val="9"/>
            <color indexed="81"/>
            <rFont val="Tahoma"/>
            <family val="2"/>
          </rPr>
          <t xml:space="preserve">
RSM Total Operating Budget excluding OVC allocated expenses
</t>
        </r>
      </text>
    </comment>
  </commentList>
</comments>
</file>

<file path=xl/sharedStrings.xml><?xml version="1.0" encoding="utf-8"?>
<sst xmlns="http://schemas.openxmlformats.org/spreadsheetml/2006/main" count="547" uniqueCount="236">
  <si>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</si>
  <si>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</si>
  <si>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</si>
  <si>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</si>
  <si>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</si>
  <si>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</si>
  <si>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</si>
  <si>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</si>
  <si>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</si>
  <si>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</si>
  <si>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TOTAL</t>
  </si>
  <si>
    <t>Ordinary Income/Expense</t>
  </si>
  <si>
    <t>Income</t>
  </si>
  <si>
    <t>40000 · Donations - Individuals</t>
  </si>
  <si>
    <t>40100 · Contributions - Individuals Unr</t>
  </si>
  <si>
    <t>40200 · Contributins - Corp &amp; Fond. Unr</t>
  </si>
  <si>
    <t>40500 · Contributions - Individuals-TR</t>
  </si>
  <si>
    <t>40600 · Contributions - Corp-Temp Restr</t>
  </si>
  <si>
    <t>Total 40000 · Donations - Individuals</t>
  </si>
  <si>
    <t>42000 · Annual Dinner Income</t>
  </si>
  <si>
    <t>42100 · Annual Dinner Ticket Sales</t>
  </si>
  <si>
    <t>42500 · Annual Dinner Table Sponsor</t>
  </si>
  <si>
    <t>42510 · Annual Dinner Event Sponsor</t>
  </si>
  <si>
    <t>Total 42000 · Annual Dinner Income</t>
  </si>
  <si>
    <t>45000 · Repurposed Goods Income</t>
  </si>
  <si>
    <t>45100 · ReStore - Repuprosed Goods Inc.</t>
  </si>
  <si>
    <t>45300 · Restore - Candle Sales</t>
  </si>
  <si>
    <t>Total 45000 · Repurposed Goods Income</t>
  </si>
  <si>
    <t>46000 · Product Sales</t>
  </si>
  <si>
    <t>46200 · Farm to Table - Packaged Prod.</t>
  </si>
  <si>
    <t>46300 · Online Sales</t>
  </si>
  <si>
    <t>46301 · Online Sales - Books</t>
  </si>
  <si>
    <t>46302 · Online Sales  - Candles</t>
  </si>
  <si>
    <t>46303 · Online Sales - T-Shirts</t>
  </si>
  <si>
    <t>46304 · Online Sales - Wood Products</t>
  </si>
  <si>
    <t>Total 46300 · Online Sales</t>
  </si>
  <si>
    <t>Total 46000 · Product Sales</t>
  </si>
  <si>
    <t>49000 · Miscellaneous Income</t>
  </si>
  <si>
    <t>49100 · Interest Income</t>
  </si>
  <si>
    <t>49700 · T-Shirts</t>
  </si>
  <si>
    <t>49999 · Uncategorized Income</t>
  </si>
  <si>
    <t>Total 49000 · Miscellaneous Income</t>
  </si>
  <si>
    <t>Total Income</t>
  </si>
  <si>
    <t>Cost of Goods Sold</t>
  </si>
  <si>
    <t>51000 · Cost of Goods</t>
  </si>
  <si>
    <t>510001 · Cost of Goods  - Online Sales</t>
  </si>
  <si>
    <t>Total 51000 · Cost of Goods</t>
  </si>
  <si>
    <t>Total COGS</t>
  </si>
  <si>
    <t>Gross Profit</t>
  </si>
  <si>
    <t>Expense</t>
  </si>
  <si>
    <t>50000 · Social Enterprise Expense</t>
  </si>
  <si>
    <t>50100 · Food</t>
  </si>
  <si>
    <t>Total 50000 · Social Enterprise Expense</t>
  </si>
  <si>
    <t>62000 · Program Expenses</t>
  </si>
  <si>
    <t>62100 · Salary Expense</t>
  </si>
  <si>
    <t>62110 · Payroll Taxes</t>
  </si>
  <si>
    <t>6211001 · Medicare Taxes Expense</t>
  </si>
  <si>
    <t>6211002 · Social Security Tax Expense</t>
  </si>
  <si>
    <t>6211004 · State Unemployment Tax</t>
  </si>
  <si>
    <t>62110 · Payroll Taxes - Other</t>
  </si>
  <si>
    <t>Total 62110 · Payroll Taxes</t>
  </si>
  <si>
    <t>62111 · Payroll Processing</t>
  </si>
  <si>
    <t>62114 · Contract Labor</t>
  </si>
  <si>
    <t>6211401 · PRN</t>
  </si>
  <si>
    <t>6211403 · Yoga</t>
  </si>
  <si>
    <t>6211404 · Other Therapy</t>
  </si>
  <si>
    <t>62114 · Contract Labor - Other</t>
  </si>
  <si>
    <t>Total 62114 · Contract Labor</t>
  </si>
  <si>
    <t>62117 · Staff Training</t>
  </si>
  <si>
    <t>62119 · Individual Education</t>
  </si>
  <si>
    <t>62120 · Medical Expense</t>
  </si>
  <si>
    <t>62130 · Medical - Prescription Drugs</t>
  </si>
  <si>
    <t>62131 · Drug &amp; Alcohol Screens</t>
  </si>
  <si>
    <t>6213101 · Resident Screens</t>
  </si>
  <si>
    <t>62131 · Drug &amp; Alcohol Screens - Other</t>
  </si>
  <si>
    <t>Total 62131 · Drug &amp; Alcohol Screens</t>
  </si>
  <si>
    <t>62132 · Dental Expense</t>
  </si>
  <si>
    <t>62140 · Mental Health &amp; Counseling</t>
  </si>
  <si>
    <t>62150 · Curriculum</t>
  </si>
  <si>
    <t>62160 · Stipends</t>
  </si>
  <si>
    <t>62170 · Social Activities</t>
  </si>
  <si>
    <t>62171 · Participant Needs</t>
  </si>
  <si>
    <t>6217101 · Cell Phones</t>
  </si>
  <si>
    <t>6217102 · Cigaretes/Vapes</t>
  </si>
  <si>
    <t>6217103 · Clothing</t>
  </si>
  <si>
    <t>6217104 · Gifts/Incentives</t>
  </si>
  <si>
    <t>6217105 · Personal Items</t>
  </si>
  <si>
    <t>6217106 · Other</t>
  </si>
  <si>
    <t>Total 62171 · Participant Needs</t>
  </si>
  <si>
    <t>62172 · Legal Fees</t>
  </si>
  <si>
    <t>621721 · Legal Fees-Social Services Fees</t>
  </si>
  <si>
    <t>621722 · Legal Fees-Court Fees</t>
  </si>
  <si>
    <t>Total 62172 · Legal Fees</t>
  </si>
  <si>
    <t>62180 · Transportation Expense</t>
  </si>
  <si>
    <t>621801 · Fuel</t>
  </si>
  <si>
    <t>621802 · Insurance</t>
  </si>
  <si>
    <t>621803 · Maintenance &amp; Repairs</t>
  </si>
  <si>
    <t>621804 · Tags &amp; License Fees</t>
  </si>
  <si>
    <t>621805 · Mileage</t>
  </si>
  <si>
    <t>621806 · Parking</t>
  </si>
  <si>
    <t>Total 62180 · Transportation Expense</t>
  </si>
  <si>
    <t>Total 62000 · Program Expenses</t>
  </si>
  <si>
    <t>63000 · Fundraising Expenses</t>
  </si>
  <si>
    <t>63010 · Annual Gala - Food</t>
  </si>
  <si>
    <t>63020 · Annual Gala - Entertainment</t>
  </si>
  <si>
    <t>63030 · Annual Gala - Decor</t>
  </si>
  <si>
    <t>63040 · Annual Gala - Rentals</t>
  </si>
  <si>
    <t>63050 · Annual Gala - Other Expenses</t>
  </si>
  <si>
    <t>63060 · Annual Gala - Print Materials</t>
  </si>
  <si>
    <t>Total 63000 · Fundraising Expenses</t>
  </si>
  <si>
    <t>64000 · General and Administrative</t>
  </si>
  <si>
    <t>64100 · GA - Office Supplies</t>
  </si>
  <si>
    <t>64200 · GA - Technology Expenses</t>
  </si>
  <si>
    <t>64250 · GA - Staff Luncheons/Incentives</t>
  </si>
  <si>
    <t>64300 · GA - Training &amp; Development</t>
  </si>
  <si>
    <t>643010 · Volunteer Training</t>
  </si>
  <si>
    <t>64300 · GA - Training &amp; Development - Other</t>
  </si>
  <si>
    <t>Total 64300 · GA - Training &amp; Development</t>
  </si>
  <si>
    <t>64306 · GA - Cell Phones</t>
  </si>
  <si>
    <t>64350 · GA - Dues &amp; Memberships</t>
  </si>
  <si>
    <t>64400 · GA - Board Insurance</t>
  </si>
  <si>
    <t>64500 · GA - Audit &amp; Accounting</t>
  </si>
  <si>
    <t>64550 · GA - Administrative Expense</t>
  </si>
  <si>
    <t>645500 · GA - Online Processing Fees</t>
  </si>
  <si>
    <t>645502 · GA - Postage &amp; PO Boxes</t>
  </si>
  <si>
    <t>645503 · GA - Bank Fees</t>
  </si>
  <si>
    <t>645506 · GA - Licensing &amp; Fees</t>
  </si>
  <si>
    <t>645509 · GA - Travel/Conferences &amp; Aware</t>
  </si>
  <si>
    <t>645510 · GA - Bank - Interest</t>
  </si>
  <si>
    <t>6455101 · Loan #600530030</t>
  </si>
  <si>
    <t>6455102 · Loan #600530000</t>
  </si>
  <si>
    <t>Total 645510 · GA - Bank - Interest</t>
  </si>
  <si>
    <t>64550 · GA - Administrative Expense - Other</t>
  </si>
  <si>
    <t>Total 64550 · GA - Administrative Expense</t>
  </si>
  <si>
    <t>Total 64000 · General and Administrative</t>
  </si>
  <si>
    <t>65000 · ReStore</t>
  </si>
  <si>
    <t>65020 · ReStore - Supplies - Repurpose</t>
  </si>
  <si>
    <t>Total 65000 · ReStore</t>
  </si>
  <si>
    <t>67400 · T-shirt Expense</t>
  </si>
  <si>
    <t>68000 · Occupancy Expense</t>
  </si>
  <si>
    <t>68020 · OE - Property Insurance</t>
  </si>
  <si>
    <t>68110 · OE - Maintenance</t>
  </si>
  <si>
    <t>681101 · Insurance Repairs/Reimbursement</t>
  </si>
  <si>
    <t>68110 · OE - Maintenance - Other</t>
  </si>
  <si>
    <t>Total 68110 · OE - Maintenance</t>
  </si>
  <si>
    <t>68120 · OE - Decor &amp; Furniture</t>
  </si>
  <si>
    <t>68130 · OE - Food</t>
  </si>
  <si>
    <t>68140 · OE - Dish TV</t>
  </si>
  <si>
    <t>68150 · OE - ATT Phone/Internet</t>
  </si>
  <si>
    <t>68160 · OE - Electric &amp; Gas</t>
  </si>
  <si>
    <t>681601 · OE - Electric</t>
  </si>
  <si>
    <t>Total 68160 · OE - Electric &amp; Gas</t>
  </si>
  <si>
    <t>68162 · OE - Security Monitoring</t>
  </si>
  <si>
    <t>68170 · OE - Water</t>
  </si>
  <si>
    <t>68180 · OE - Pest Control</t>
  </si>
  <si>
    <t>68190 · OE - Trash Service</t>
  </si>
  <si>
    <t>68200 · OE - House Supplies</t>
  </si>
  <si>
    <t>Total 68000 · Occupancy Expense</t>
  </si>
  <si>
    <t>70000 · Other Account</t>
  </si>
  <si>
    <t>Total Expense</t>
  </si>
  <si>
    <t>Net Ordinary Income</t>
  </si>
  <si>
    <t>Net Income</t>
  </si>
  <si>
    <t>Nov 17</t>
  </si>
  <si>
    <t>Dec 17</t>
  </si>
  <si>
    <t xml:space="preserve"> </t>
  </si>
  <si>
    <t>6217101 · Cell Phones (res)</t>
  </si>
  <si>
    <t>6211402 · Drivers</t>
  </si>
  <si>
    <t>62115 · Resident Transitional Expense</t>
  </si>
  <si>
    <t>6213102 · Staff Screens</t>
  </si>
  <si>
    <t>62145 · Vision Expense</t>
  </si>
  <si>
    <t>621723 · Legal Fees-Attorney Fees</t>
  </si>
  <si>
    <t>63070 · Annual Gala - Music</t>
  </si>
  <si>
    <t>64450 · GA - Professional Fees</t>
  </si>
  <si>
    <t>644501 · GA - Legal Fees</t>
  </si>
  <si>
    <t>645501 · GA - Acquisition Costs</t>
  </si>
  <si>
    <t>645504 · GA - Donations to Hmn Traf Orgs</t>
  </si>
  <si>
    <t>645505 · GA - Due Dilligence on Property</t>
  </si>
  <si>
    <t>645507 · GA - Marketing</t>
  </si>
  <si>
    <t>645508 · GA - Storage</t>
  </si>
  <si>
    <t>65010 · ReStore - Marketing</t>
  </si>
  <si>
    <t>65030 · ReStore - Tithe</t>
  </si>
  <si>
    <t>65040 · ReStore - Shipping</t>
  </si>
  <si>
    <t>67000 · Catering</t>
  </si>
  <si>
    <t>67010 · Catering - Marketing</t>
  </si>
  <si>
    <t>67020 · Catering - Food</t>
  </si>
  <si>
    <t>67030 · Catering Supplies</t>
  </si>
  <si>
    <t>67400 · T-Shirt Expense</t>
  </si>
  <si>
    <t>67800 · Fundraising Expense - MISC.</t>
  </si>
  <si>
    <t>68010 · OE - Lease/Debt Service</t>
  </si>
  <si>
    <t>68021 · OE - Property Tax</t>
  </si>
  <si>
    <t>68030 · OE - Worker's Comp Insurance</t>
  </si>
  <si>
    <t>681602 · OE - Gas</t>
  </si>
  <si>
    <t>68161 · OE - Security Light</t>
  </si>
  <si>
    <t>71000 · Depreciation Expense</t>
  </si>
  <si>
    <t>72000 · Amortization Expense</t>
  </si>
  <si>
    <t>40700 · Contributions - Gifts in Kind R</t>
  </si>
  <si>
    <t>41000 · Grant Income - Private</t>
  </si>
  <si>
    <t>41100 · Grants - Private - Unrestricted</t>
  </si>
  <si>
    <t>41200 · Grants - Private - Temprarily R</t>
  </si>
  <si>
    <t>43000 · Fundraising  Income</t>
  </si>
  <si>
    <t>45200 · ReStore - Repuprosed Art Income</t>
  </si>
  <si>
    <t>46100 · Farm to Table - Catering Income</t>
  </si>
  <si>
    <t>50200 · Equipment &amp; Supplies</t>
  </si>
  <si>
    <t>Total 67000 · Catering</t>
  </si>
  <si>
    <t>.</t>
  </si>
  <si>
    <t>42101 · Annual Dinner Restore Sales</t>
  </si>
  <si>
    <t>42102 · Annual Dinner Silent Auction Revenue</t>
  </si>
  <si>
    <t xml:space="preserve">Total 41000 · Grant Income </t>
  </si>
  <si>
    <t>Total Budget</t>
  </si>
  <si>
    <t>OVC Expenses Split</t>
  </si>
  <si>
    <t>RSM Operating Expenses Excluding OVC</t>
  </si>
  <si>
    <t>41300 - Grants - OVC</t>
  </si>
  <si>
    <t>40200 · Contributions - Corp &amp; Fond. Unr</t>
  </si>
  <si>
    <t>40300 · Contributions - GiftsinKind Unr</t>
  </si>
  <si>
    <t>46305 · Miscellaneous Item</t>
  </si>
  <si>
    <t>49000 · Miscellaneous Income Other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</si>
  <si>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</si>
  <si>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</si>
  <si>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</si>
  <si>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</si>
  <si>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</si>
  <si>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</si>
  <si>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</si>
  <si>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</si>
  <si>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</si>
  <si>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 xml:space="preserve">Oct </t>
  </si>
  <si>
    <t xml:space="preserve">Nov </t>
  </si>
  <si>
    <t>Dec</t>
  </si>
  <si>
    <t>Salary</t>
  </si>
  <si>
    <t>Taxes</t>
  </si>
  <si>
    <t>Total</t>
  </si>
  <si>
    <t>Contract Labor</t>
  </si>
  <si>
    <t xml:space="preserve">Travel </t>
  </si>
  <si>
    <t>PRN Labor</t>
  </si>
  <si>
    <t>68140 · OE - TV Services</t>
  </si>
  <si>
    <t>62101 · Healthcare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</si>
</sst>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.00"/>
    <numFmt numFmtId="166" formatCode="_(&quot;$&quot;* #,##0_);_(&quot;$&quot;* \(#,##0\);_(&quot;$&quot;* &quot;-&quot;??_);_(@_)"/>
    <numFmt numFmtId="167" formatCode="[$-409]mmm\-yy;@"/>
    <numFmt numFmtId="168" formatCode="_(* #,##0_);_(* \(#,##0\);_(* &quot;-&quot;??_);_(@_)"/>
    <numFmt numFmtId="169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49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44" fontId="3" fillId="0" borderId="0" xfId="1" applyFont="1"/>
    <xf numFmtId="44" fontId="3" fillId="0" borderId="2" xfId="1" applyFont="1" applyBorder="1"/>
    <xf numFmtId="44" fontId="3" fillId="0" borderId="0" xfId="1" applyFont="1" applyBorder="1"/>
    <xf numFmtId="49" fontId="2" fillId="2" borderId="0" xfId="0" applyNumberFormat="1" applyFont="1" applyFill="1"/>
    <xf numFmtId="164" fontId="3" fillId="2" borderId="0" xfId="0" applyNumberFormat="1" applyFont="1" applyFill="1"/>
    <xf numFmtId="49" fontId="3" fillId="2" borderId="0" xfId="0" applyNumberFormat="1" applyFont="1" applyFill="1"/>
    <xf numFmtId="0" fontId="0" fillId="2" borderId="0" xfId="0" applyFill="1"/>
    <xf numFmtId="164" fontId="3" fillId="2" borderId="2" xfId="0" applyNumberFormat="1" applyFont="1" applyFill="1" applyBorder="1"/>
    <xf numFmtId="164" fontId="3" fillId="2" borderId="0" xfId="0" applyNumberFormat="1" applyFont="1" applyFill="1" applyBorder="1"/>
    <xf numFmtId="164" fontId="3" fillId="4" borderId="0" xfId="0" applyNumberFormat="1" applyFont="1" applyFill="1"/>
    <xf numFmtId="49" fontId="2" fillId="3" borderId="0" xfId="0" applyNumberFormat="1" applyFont="1" applyFill="1"/>
    <xf numFmtId="164" fontId="3" fillId="3" borderId="0" xfId="0" applyNumberFormat="1" applyFont="1" applyFill="1"/>
    <xf numFmtId="0" fontId="0" fillId="3" borderId="0" xfId="0" applyFill="1"/>
    <xf numFmtId="49" fontId="3" fillId="3" borderId="0" xfId="0" applyNumberFormat="1" applyFont="1" applyFill="1"/>
    <xf numFmtId="49" fontId="2" fillId="5" borderId="0" xfId="0" applyNumberFormat="1" applyFont="1" applyFill="1"/>
    <xf numFmtId="164" fontId="3" fillId="5" borderId="0" xfId="0" applyNumberFormat="1" applyFont="1" applyFill="1"/>
    <xf numFmtId="49" fontId="3" fillId="5" borderId="0" xfId="0" applyNumberFormat="1" applyFont="1" applyFill="1"/>
    <xf numFmtId="0" fontId="0" fillId="5" borderId="0" xfId="0" applyFill="1"/>
    <xf numFmtId="164" fontId="3" fillId="6" borderId="0" xfId="0" applyNumberFormat="1" applyFont="1" applyFill="1"/>
    <xf numFmtId="49" fontId="2" fillId="6" borderId="0" xfId="0" applyNumberFormat="1" applyFont="1" applyFill="1"/>
    <xf numFmtId="49" fontId="3" fillId="6" borderId="0" xfId="0" applyNumberFormat="1" applyFont="1" applyFill="1"/>
    <xf numFmtId="0" fontId="0" fillId="6" borderId="0" xfId="0" applyFill="1"/>
    <xf numFmtId="164" fontId="8" fillId="7" borderId="0" xfId="0" applyNumberFormat="1" applyFont="1" applyFill="1"/>
    <xf numFmtId="164" fontId="3" fillId="6" borderId="2" xfId="0" applyNumberFormat="1" applyFont="1" applyFill="1" applyBorder="1"/>
    <xf numFmtId="164" fontId="3" fillId="6" borderId="0" xfId="0" applyNumberFormat="1" applyFont="1" applyFill="1" applyBorder="1"/>
    <xf numFmtId="165" fontId="9" fillId="8" borderId="0" xfId="0" applyNumberFormat="1" applyFont="1" applyFill="1"/>
    <xf numFmtId="164" fontId="3" fillId="2" borderId="3" xfId="0" applyNumberFormat="1" applyFont="1" applyFill="1" applyBorder="1"/>
    <xf numFmtId="164" fontId="3" fillId="6" borderId="4" xfId="0" applyNumberFormat="1" applyFont="1" applyFill="1" applyBorder="1"/>
    <xf numFmtId="49" fontId="2" fillId="0" borderId="0" xfId="0" applyNumberFormat="1" applyFont="1" applyFill="1"/>
    <xf numFmtId="43" fontId="0" fillId="0" borderId="0" xfId="3" applyFont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6" fontId="3" fillId="0" borderId="0" xfId="1" applyNumberFormat="1" applyFont="1" applyFill="1"/>
    <xf numFmtId="166" fontId="3" fillId="0" borderId="0" xfId="1" applyNumberFormat="1" applyFont="1" applyFill="1" applyBorder="1"/>
    <xf numFmtId="166" fontId="3" fillId="0" borderId="2" xfId="1" applyNumberFormat="1" applyFont="1" applyFill="1" applyBorder="1"/>
    <xf numFmtId="166" fontId="3" fillId="0" borderId="3" xfId="1" applyNumberFormat="1" applyFont="1" applyFill="1" applyBorder="1"/>
    <xf numFmtId="166" fontId="3" fillId="0" borderId="4" xfId="1" applyNumberFormat="1" applyFont="1" applyFill="1" applyBorder="1"/>
    <xf numFmtId="166" fontId="2" fillId="0" borderId="5" xfId="1" applyNumberFormat="1" applyFont="1" applyFill="1" applyBorder="1"/>
    <xf numFmtId="166" fontId="2" fillId="0" borderId="6" xfId="1" applyNumberFormat="1" applyFont="1" applyFill="1" applyBorder="1"/>
    <xf numFmtId="167" fontId="2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166" fontId="12" fillId="0" borderId="0" xfId="1" applyNumberFormat="1" applyFont="1" applyFill="1"/>
    <xf numFmtId="166" fontId="12" fillId="0" borderId="0" xfId="1" applyNumberFormat="1" applyFont="1" applyFill="1" applyBorder="1"/>
    <xf numFmtId="166" fontId="2" fillId="0" borderId="4" xfId="1" applyNumberFormat="1" applyFont="1" applyFill="1" applyBorder="1"/>
    <xf numFmtId="166" fontId="2" fillId="0" borderId="8" xfId="1" applyNumberFormat="1" applyFont="1" applyFill="1" applyBorder="1" applyAlignment="1">
      <alignment horizontal="center" wrapText="1"/>
    </xf>
    <xf numFmtId="166" fontId="3" fillId="0" borderId="9" xfId="1" applyNumberFormat="1" applyFont="1" applyFill="1" applyBorder="1"/>
    <xf numFmtId="166" fontId="3" fillId="0" borderId="10" xfId="1" applyNumberFormat="1" applyFont="1" applyFill="1" applyBorder="1"/>
    <xf numFmtId="166" fontId="3" fillId="0" borderId="7" xfId="1" applyNumberFormat="1" applyFont="1" applyFill="1" applyBorder="1"/>
    <xf numFmtId="166" fontId="3" fillId="0" borderId="11" xfId="1" applyNumberFormat="1" applyFont="1" applyFill="1" applyBorder="1"/>
    <xf numFmtId="166" fontId="2" fillId="0" borderId="11" xfId="1" applyNumberFormat="1" applyFont="1" applyFill="1" applyBorder="1"/>
    <xf numFmtId="166" fontId="2" fillId="0" borderId="7" xfId="1" applyNumberFormat="1" applyFont="1" applyFill="1" applyBorder="1"/>
    <xf numFmtId="166" fontId="12" fillId="0" borderId="0" xfId="0" applyNumberFormat="1" applyFont="1" applyFill="1"/>
    <xf numFmtId="168" fontId="0" fillId="0" borderId="0" xfId="3" applyNumberFormat="1" applyFont="1"/>
    <xf numFmtId="168" fontId="0" fillId="0" borderId="0" xfId="0" applyNumberFormat="1"/>
    <xf numFmtId="0" fontId="13" fillId="0" borderId="0" xfId="0" applyFont="1"/>
    <xf numFmtId="168" fontId="13" fillId="0" borderId="0" xfId="3" applyNumberFormat="1" applyFont="1"/>
    <xf numFmtId="168" fontId="13" fillId="0" borderId="0" xfId="3" applyNumberFormat="1" applyFont="1" applyAlignment="1">
      <alignment horizontal="center"/>
    </xf>
    <xf numFmtId="168" fontId="13" fillId="2" borderId="12" xfId="0" applyNumberFormat="1" applyFont="1" applyFill="1" applyBorder="1"/>
    <xf numFmtId="0" fontId="13" fillId="0" borderId="0" xfId="0" applyFont="1" applyAlignment="1">
      <alignment horizontal="center"/>
    </xf>
    <xf numFmtId="166" fontId="12" fillId="0" borderId="9" xfId="1" applyNumberFormat="1" applyFont="1" applyFill="1" applyBorder="1"/>
    <xf numFmtId="43" fontId="3" fillId="0" borderId="0" xfId="3" applyFont="1" applyFill="1"/>
    <xf numFmtId="0" fontId="2" fillId="0" borderId="0" xfId="0" applyFont="1" applyFill="1"/>
    <xf numFmtId="166" fontId="12" fillId="0" borderId="11" xfId="1" applyNumberFormat="1" applyFont="1" applyFill="1" applyBorder="1"/>
    <xf numFmtId="44" fontId="3" fillId="0" borderId="0" xfId="1" applyFont="1" applyFill="1"/>
    <xf numFmtId="44" fontId="12" fillId="0" borderId="0" xfId="1" applyFont="1" applyFill="1"/>
    <xf numFmtId="169" fontId="3" fillId="0" borderId="0" xfId="4" applyNumberFormat="1" applyFont="1" applyFill="1"/>
    <xf numFmtId="49" fontId="7" fillId="0" borderId="0" xfId="0" applyNumberFormat="1" applyFont="1" applyFill="1"/>
    <xf numFmtId="166" fontId="8" fillId="0" borderId="0" xfId="1" applyNumberFormat="1" applyFont="1" applyFill="1"/>
    <xf numFmtId="166" fontId="8" fillId="0" borderId="9" xfId="1" applyNumberFormat="1" applyFont="1" applyFill="1" applyBorder="1"/>
    <xf numFmtId="0" fontId="12" fillId="0" borderId="0" xfId="0" applyFont="1" applyFill="1" applyAlignment="1">
      <alignment horizontal="center"/>
    </xf>
    <xf numFmtId="0" fontId="8" fillId="0" borderId="0" xfId="0" applyFont="1" applyFill="1"/>
    <xf numFmtId="166" fontId="2" fillId="9" borderId="1" xfId="1" applyNumberFormat="1" applyFont="1" applyFill="1" applyBorder="1" applyAlignment="1">
      <alignment horizontal="center" wrapText="1"/>
    </xf>
    <xf numFmtId="166" fontId="12" fillId="9" borderId="0" xfId="1" applyNumberFormat="1" applyFont="1" applyFill="1"/>
    <xf numFmtId="166" fontId="3" fillId="9" borderId="0" xfId="1" applyNumberFormat="1" applyFont="1" applyFill="1"/>
    <xf numFmtId="166" fontId="3" fillId="9" borderId="0" xfId="1" applyNumberFormat="1" applyFont="1" applyFill="1" applyBorder="1"/>
    <xf numFmtId="166" fontId="3" fillId="9" borderId="2" xfId="1" applyNumberFormat="1" applyFont="1" applyFill="1" applyBorder="1"/>
    <xf numFmtId="166" fontId="3" fillId="9" borderId="3" xfId="1" applyNumberFormat="1" applyFont="1" applyFill="1" applyBorder="1"/>
    <xf numFmtId="166" fontId="3" fillId="9" borderId="4" xfId="1" applyNumberFormat="1" applyFont="1" applyFill="1" applyBorder="1"/>
    <xf numFmtId="166" fontId="8" fillId="9" borderId="0" xfId="1" applyNumberFormat="1" applyFont="1" applyFill="1"/>
    <xf numFmtId="166" fontId="2" fillId="9" borderId="4" xfId="1" applyNumberFormat="1" applyFont="1" applyFill="1" applyBorder="1"/>
    <xf numFmtId="166" fontId="2" fillId="9" borderId="5" xfId="1" applyNumberFormat="1" applyFont="1" applyFill="1" applyBorder="1"/>
    <xf numFmtId="166" fontId="3" fillId="0" borderId="0" xfId="1" applyNumberFormat="1" applyFont="1"/>
    <xf numFmtId="166" fontId="14" fillId="0" borderId="0" xfId="1" applyNumberFormat="1" applyFont="1" applyAlignment="1">
      <alignment horizontal="right" wrapText="1"/>
    </xf>
    <xf numFmtId="166" fontId="3" fillId="0" borderId="0" xfId="1" applyNumberFormat="1" applyFont="1" applyFill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142875</xdr:colOff>
          <xdr:row>0</xdr:row>
          <xdr:rowOff>285750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142875</xdr:colOff>
          <xdr:row>0</xdr:row>
          <xdr:rowOff>285750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53"/>
  <sheetViews>
    <sheetView workbookViewId="0">
      <pane xSplit="8" ySplit="1" topLeftCell="I57" activePane="bottomRight" state="frozenSplit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5" x14ac:dyDescent="0.25"/>
  <cols>
    <col min="1" max="7" width="3" style="14" customWidth="1"/>
    <col min="8" max="8" width="33.7109375" style="14" customWidth="1"/>
    <col min="9" max="9" width="8.42578125" style="15" bestFit="1" customWidth="1"/>
    <col min="10" max="10" width="2.28515625" style="15" customWidth="1"/>
    <col min="11" max="11" width="8.42578125" style="15" bestFit="1" customWidth="1"/>
    <col min="12" max="12" width="2.28515625" style="15" customWidth="1"/>
    <col min="13" max="13" width="7.85546875" style="15" bestFit="1" customWidth="1"/>
    <col min="14" max="14" width="2.28515625" style="15" customWidth="1"/>
    <col min="15" max="15" width="7.85546875" style="15" bestFit="1" customWidth="1"/>
    <col min="16" max="16" width="2.28515625" style="15" customWidth="1"/>
    <col min="17" max="17" width="8.42578125" style="15" bestFit="1" customWidth="1"/>
    <col min="18" max="18" width="2.28515625" style="15" customWidth="1"/>
    <col min="19" max="19" width="7.85546875" style="15" bestFit="1" customWidth="1"/>
    <col min="20" max="20" width="2.28515625" style="15" customWidth="1"/>
    <col min="21" max="21" width="8.42578125" style="15" bestFit="1" customWidth="1"/>
    <col min="22" max="22" width="2.28515625" style="15" customWidth="1"/>
    <col min="23" max="23" width="7.85546875" style="15" bestFit="1" customWidth="1"/>
    <col min="24" max="24" width="2.28515625" style="15" customWidth="1"/>
    <col min="25" max="25" width="7.85546875" style="15" bestFit="1" customWidth="1"/>
    <col min="26" max="26" width="2.28515625" style="15" customWidth="1"/>
    <col min="27" max="27" width="7.85546875" style="15" bestFit="1" customWidth="1"/>
    <col min="28" max="28" width="2.28515625" style="15" customWidth="1"/>
    <col min="29" max="29" width="7.85546875" style="15" customWidth="1"/>
    <col min="30" max="30" width="2.28515625" style="15" customWidth="1"/>
    <col min="31" max="31" width="7.85546875" style="15" customWidth="1"/>
    <col min="32" max="32" width="2.28515625" style="15" customWidth="1"/>
    <col min="33" max="33" width="8.7109375" style="15" bestFit="1" customWidth="1"/>
    <col min="34" max="34" width="11" bestFit="1" customWidth="1"/>
  </cols>
  <sheetData>
    <row r="1" spans="1:33" s="13" customFormat="1" ht="15.75" thickBot="1" x14ac:dyDescent="0.3">
      <c r="A1" s="10"/>
      <c r="B1" s="10"/>
      <c r="C1" s="10"/>
      <c r="D1" s="10"/>
      <c r="E1" s="10"/>
      <c r="F1" s="10"/>
      <c r="G1" s="10"/>
      <c r="H1" s="10"/>
      <c r="I1" s="11" t="s">
        <v>0</v>
      </c>
      <c r="J1" s="12"/>
      <c r="K1" s="11" t="s">
        <v>1</v>
      </c>
      <c r="L1" s="12"/>
      <c r="M1" s="11" t="s">
        <v>2</v>
      </c>
      <c r="N1" s="12"/>
      <c r="O1" s="11" t="s">
        <v>3</v>
      </c>
      <c r="P1" s="12"/>
      <c r="Q1" s="11" t="s">
        <v>4</v>
      </c>
      <c r="R1" s="12"/>
      <c r="S1" s="11" t="s">
        <v>5</v>
      </c>
      <c r="T1" s="12"/>
      <c r="U1" s="11" t="s">
        <v>6</v>
      </c>
      <c r="V1" s="12"/>
      <c r="W1" s="11" t="s">
        <v>7</v>
      </c>
      <c r="X1" s="12"/>
      <c r="Y1" s="11" t="s">
        <v>8</v>
      </c>
      <c r="Z1" s="12"/>
      <c r="AA1" s="11" t="s">
        <v>9</v>
      </c>
      <c r="AB1" s="19"/>
      <c r="AC1" s="19" t="s">
        <v>162</v>
      </c>
      <c r="AD1" s="19"/>
      <c r="AE1" s="19" t="s">
        <v>163</v>
      </c>
      <c r="AF1" s="12"/>
      <c r="AG1" s="11" t="s">
        <v>10</v>
      </c>
    </row>
    <row r="2" spans="1:33" ht="15.75" thickTop="1" x14ac:dyDescent="0.25">
      <c r="A2" s="1"/>
      <c r="B2" s="1" t="s">
        <v>11</v>
      </c>
      <c r="C2" s="1"/>
      <c r="D2" s="1"/>
      <c r="E2" s="1"/>
      <c r="F2" s="1"/>
      <c r="G2" s="1"/>
      <c r="H2" s="1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2"/>
      <c r="AC2" s="2"/>
      <c r="AD2" s="2"/>
      <c r="AE2" s="2"/>
      <c r="AF2" s="3"/>
      <c r="AG2" s="2"/>
    </row>
    <row r="3" spans="1:33" x14ac:dyDescent="0.25">
      <c r="A3" s="1"/>
      <c r="B3" s="1"/>
      <c r="C3" s="1"/>
      <c r="D3" s="1" t="s">
        <v>12</v>
      </c>
      <c r="E3" s="1"/>
      <c r="F3" s="1"/>
      <c r="G3" s="1"/>
      <c r="H3" s="1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2"/>
      <c r="AC3" s="2"/>
      <c r="AD3" s="2"/>
      <c r="AE3" s="2"/>
      <c r="AF3" s="3"/>
      <c r="AG3" s="2"/>
    </row>
    <row r="4" spans="1:33" x14ac:dyDescent="0.25">
      <c r="A4" s="1"/>
      <c r="B4" s="1"/>
      <c r="C4" s="1"/>
      <c r="D4" s="1"/>
      <c r="E4" s="1" t="s">
        <v>13</v>
      </c>
      <c r="F4" s="1"/>
      <c r="G4" s="1"/>
      <c r="H4" s="1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2"/>
      <c r="AC4" s="2"/>
      <c r="AD4" s="2"/>
      <c r="AE4" s="2"/>
      <c r="AF4" s="3"/>
      <c r="AG4" s="2"/>
    </row>
    <row r="5" spans="1:33" x14ac:dyDescent="0.25">
      <c r="A5" s="1"/>
      <c r="B5" s="1"/>
      <c r="C5" s="1"/>
      <c r="D5" s="1"/>
      <c r="E5" s="1"/>
      <c r="F5" s="1" t="s">
        <v>14</v>
      </c>
      <c r="G5" s="1"/>
      <c r="H5" s="1"/>
      <c r="I5" s="2">
        <v>1397.98</v>
      </c>
      <c r="J5" s="3"/>
      <c r="K5" s="2">
        <v>1890.33</v>
      </c>
      <c r="L5" s="3"/>
      <c r="M5" s="2">
        <v>1922.98</v>
      </c>
      <c r="N5" s="3"/>
      <c r="O5" s="2">
        <v>850</v>
      </c>
      <c r="P5" s="3"/>
      <c r="Q5" s="2">
        <v>8035</v>
      </c>
      <c r="R5" s="3"/>
      <c r="S5" s="2">
        <v>1780.1</v>
      </c>
      <c r="T5" s="3"/>
      <c r="U5" s="2">
        <v>2144</v>
      </c>
      <c r="V5" s="3"/>
      <c r="W5" s="2">
        <v>2206</v>
      </c>
      <c r="X5" s="3"/>
      <c r="Y5" s="2">
        <v>30423.78</v>
      </c>
      <c r="Z5" s="3"/>
      <c r="AA5" s="2">
        <v>4989</v>
      </c>
      <c r="AB5" s="2"/>
      <c r="AC5" s="2"/>
      <c r="AD5" s="2"/>
      <c r="AE5" s="2"/>
      <c r="AF5" s="3"/>
      <c r="AG5" s="2">
        <f>ROUND(SUM(I5:AE5),5)</f>
        <v>55639.17</v>
      </c>
    </row>
    <row r="6" spans="1:33" x14ac:dyDescent="0.25">
      <c r="A6" s="1"/>
      <c r="B6" s="1"/>
      <c r="C6" s="1"/>
      <c r="D6" s="1"/>
      <c r="E6" s="1"/>
      <c r="F6" s="1" t="s">
        <v>15</v>
      </c>
      <c r="G6" s="1"/>
      <c r="H6" s="1"/>
      <c r="I6" s="2">
        <v>983.88</v>
      </c>
      <c r="J6" s="3"/>
      <c r="K6" s="2">
        <v>1420.81</v>
      </c>
      <c r="L6" s="3"/>
      <c r="M6" s="2">
        <v>2473.88</v>
      </c>
      <c r="N6" s="3"/>
      <c r="O6" s="2">
        <v>9168.86</v>
      </c>
      <c r="P6" s="3"/>
      <c r="Q6" s="2">
        <v>9638.4599999999991</v>
      </c>
      <c r="R6" s="3"/>
      <c r="S6" s="2">
        <v>29147.56</v>
      </c>
      <c r="T6" s="3"/>
      <c r="U6" s="2">
        <v>8805.1299999999992</v>
      </c>
      <c r="V6" s="3"/>
      <c r="W6" s="2">
        <v>9096.4</v>
      </c>
      <c r="X6" s="3"/>
      <c r="Y6" s="2">
        <v>10683.21</v>
      </c>
      <c r="Z6" s="3"/>
      <c r="AA6" s="2">
        <v>12035.08</v>
      </c>
      <c r="AB6" s="2"/>
      <c r="AC6" s="2"/>
      <c r="AD6" s="2"/>
      <c r="AE6" s="2"/>
      <c r="AF6" s="3"/>
      <c r="AG6" s="2">
        <f>ROUND(SUM(I6:AE6),5)</f>
        <v>93453.27</v>
      </c>
    </row>
    <row r="7" spans="1:33" x14ac:dyDescent="0.25">
      <c r="A7" s="1"/>
      <c r="B7" s="1"/>
      <c r="C7" s="1"/>
      <c r="D7" s="1"/>
      <c r="E7" s="1"/>
      <c r="F7" s="1" t="s">
        <v>16</v>
      </c>
      <c r="G7" s="1"/>
      <c r="H7" s="1"/>
      <c r="I7" s="2">
        <v>430</v>
      </c>
      <c r="J7" s="3"/>
      <c r="K7" s="2">
        <v>630</v>
      </c>
      <c r="L7" s="3"/>
      <c r="M7" s="2">
        <v>3793</v>
      </c>
      <c r="N7" s="3"/>
      <c r="O7" s="2">
        <v>530</v>
      </c>
      <c r="P7" s="3"/>
      <c r="Q7" s="2">
        <v>580</v>
      </c>
      <c r="R7" s="3"/>
      <c r="S7" s="2">
        <v>400</v>
      </c>
      <c r="T7" s="3"/>
      <c r="U7" s="2">
        <v>355</v>
      </c>
      <c r="V7" s="3"/>
      <c r="W7" s="2">
        <v>730</v>
      </c>
      <c r="X7" s="3"/>
      <c r="Y7" s="2">
        <v>550</v>
      </c>
      <c r="Z7" s="3"/>
      <c r="AA7" s="2">
        <v>15830</v>
      </c>
      <c r="AB7" s="2"/>
      <c r="AC7" s="2"/>
      <c r="AD7" s="2"/>
      <c r="AE7" s="2"/>
      <c r="AF7" s="3"/>
      <c r="AG7" s="2">
        <f>ROUND(SUM(I7:AE7),5)</f>
        <v>23828</v>
      </c>
    </row>
    <row r="8" spans="1:33" ht="15.75" thickBot="1" x14ac:dyDescent="0.3">
      <c r="A8" s="1"/>
      <c r="B8" s="1"/>
      <c r="C8" s="1"/>
      <c r="D8" s="1"/>
      <c r="E8" s="1"/>
      <c r="F8" s="1" t="s">
        <v>17</v>
      </c>
      <c r="G8" s="1"/>
      <c r="H8" s="1"/>
      <c r="I8" s="4">
        <v>200</v>
      </c>
      <c r="J8" s="3"/>
      <c r="K8" s="4">
        <v>1850</v>
      </c>
      <c r="L8" s="3"/>
      <c r="M8" s="4">
        <v>0</v>
      </c>
      <c r="N8" s="3"/>
      <c r="O8" s="4">
        <v>0</v>
      </c>
      <c r="P8" s="3"/>
      <c r="Q8" s="4">
        <v>0</v>
      </c>
      <c r="R8" s="3"/>
      <c r="S8" s="4">
        <v>0</v>
      </c>
      <c r="T8" s="3"/>
      <c r="U8" s="4">
        <v>0</v>
      </c>
      <c r="V8" s="3"/>
      <c r="W8" s="4">
        <v>0</v>
      </c>
      <c r="X8" s="3"/>
      <c r="Y8" s="4">
        <v>0</v>
      </c>
      <c r="Z8" s="3"/>
      <c r="AA8" s="4">
        <v>0</v>
      </c>
      <c r="AB8" s="5"/>
      <c r="AC8" s="5"/>
      <c r="AD8" s="5"/>
      <c r="AE8" s="5"/>
      <c r="AF8" s="3"/>
      <c r="AG8" s="4">
        <f>ROUND(SUM(I8:AE8),5)</f>
        <v>2050</v>
      </c>
    </row>
    <row r="9" spans="1:33" x14ac:dyDescent="0.25">
      <c r="A9" s="1"/>
      <c r="B9" s="1"/>
      <c r="C9" s="1"/>
      <c r="D9" s="1"/>
      <c r="E9" s="1" t="s">
        <v>18</v>
      </c>
      <c r="F9" s="1"/>
      <c r="G9" s="1"/>
      <c r="H9" s="1"/>
      <c r="I9" s="2">
        <f>ROUND(SUM(I4:I8),5)</f>
        <v>3011.86</v>
      </c>
      <c r="J9" s="3"/>
      <c r="K9" s="2">
        <f>ROUND(SUM(K4:K8),5)</f>
        <v>5791.14</v>
      </c>
      <c r="L9" s="3"/>
      <c r="M9" s="2">
        <f>ROUND(SUM(M4:M8),5)</f>
        <v>8189.86</v>
      </c>
      <c r="N9" s="3"/>
      <c r="O9" s="2">
        <f>ROUND(SUM(O4:O8),5)</f>
        <v>10548.86</v>
      </c>
      <c r="P9" s="3"/>
      <c r="Q9" s="2">
        <f>ROUND(SUM(Q4:Q8),5)</f>
        <v>18253.46</v>
      </c>
      <c r="R9" s="3"/>
      <c r="S9" s="2">
        <f>ROUND(SUM(S4:S8),5)</f>
        <v>31327.66</v>
      </c>
      <c r="T9" s="3"/>
      <c r="U9" s="2">
        <f>ROUND(SUM(U4:U8),5)</f>
        <v>11304.13</v>
      </c>
      <c r="V9" s="3"/>
      <c r="W9" s="2">
        <f>ROUND(SUM(W4:W8),5)</f>
        <v>12032.4</v>
      </c>
      <c r="X9" s="3"/>
      <c r="Y9" s="2">
        <f>ROUND(SUM(Y4:Y8),5)</f>
        <v>41656.99</v>
      </c>
      <c r="Z9" s="3"/>
      <c r="AA9" s="2">
        <f>ROUND(SUM(AA4:AA8),5)</f>
        <v>32854.080000000002</v>
      </c>
      <c r="AB9" s="2"/>
      <c r="AC9" s="2"/>
      <c r="AD9" s="2"/>
      <c r="AE9" s="2"/>
      <c r="AF9" s="3"/>
      <c r="AG9" s="2">
        <f>ROUND(SUM(I9:AE9),5)</f>
        <v>174970.44</v>
      </c>
    </row>
    <row r="10" spans="1:33" x14ac:dyDescent="0.25">
      <c r="A10" s="1"/>
      <c r="B10" s="1"/>
      <c r="C10" s="1"/>
      <c r="D10" s="1"/>
      <c r="E10" s="1" t="s">
        <v>19</v>
      </c>
      <c r="F10" s="1"/>
      <c r="G10" s="1"/>
      <c r="H10" s="1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2"/>
      <c r="AC10" s="2"/>
      <c r="AD10" s="2"/>
      <c r="AE10" s="2"/>
      <c r="AF10" s="3"/>
      <c r="AG10" s="2"/>
    </row>
    <row r="11" spans="1:33" x14ac:dyDescent="0.25">
      <c r="A11" s="1"/>
      <c r="B11" s="1"/>
      <c r="C11" s="1"/>
      <c r="D11" s="1"/>
      <c r="E11" s="1"/>
      <c r="F11" s="1" t="s">
        <v>20</v>
      </c>
      <c r="G11" s="1"/>
      <c r="H11" s="1"/>
      <c r="I11" s="2">
        <v>0</v>
      </c>
      <c r="J11" s="3"/>
      <c r="K11" s="2">
        <v>0</v>
      </c>
      <c r="L11" s="3"/>
      <c r="M11" s="2">
        <v>0</v>
      </c>
      <c r="N11" s="3"/>
      <c r="O11" s="2">
        <v>0</v>
      </c>
      <c r="P11" s="3"/>
      <c r="Q11" s="2">
        <v>0</v>
      </c>
      <c r="R11" s="3"/>
      <c r="S11" s="2">
        <v>0</v>
      </c>
      <c r="T11" s="3"/>
      <c r="U11" s="2">
        <v>400</v>
      </c>
      <c r="V11" s="3"/>
      <c r="W11" s="2">
        <v>4610</v>
      </c>
      <c r="X11" s="3"/>
      <c r="Y11" s="2">
        <v>4950</v>
      </c>
      <c r="Z11" s="3"/>
      <c r="AA11" s="2">
        <v>0</v>
      </c>
      <c r="AB11" s="2"/>
      <c r="AC11" s="2"/>
      <c r="AD11" s="2"/>
      <c r="AE11" s="2"/>
      <c r="AF11" s="3"/>
      <c r="AG11" s="2">
        <f>ROUND(SUM(I11:AE11),5)</f>
        <v>9960</v>
      </c>
    </row>
    <row r="12" spans="1:33" x14ac:dyDescent="0.25">
      <c r="A12" s="1"/>
      <c r="B12" s="1"/>
      <c r="C12" s="1"/>
      <c r="D12" s="1"/>
      <c r="E12" s="1"/>
      <c r="F12" s="1" t="s">
        <v>21</v>
      </c>
      <c r="G12" s="1"/>
      <c r="H12" s="1"/>
      <c r="I12" s="2">
        <v>0</v>
      </c>
      <c r="J12" s="3"/>
      <c r="K12" s="2">
        <v>0</v>
      </c>
      <c r="L12" s="3"/>
      <c r="M12" s="2">
        <v>0</v>
      </c>
      <c r="N12" s="3"/>
      <c r="O12" s="2">
        <v>0</v>
      </c>
      <c r="P12" s="3"/>
      <c r="Q12" s="2">
        <v>0</v>
      </c>
      <c r="R12" s="3"/>
      <c r="S12" s="2">
        <v>0</v>
      </c>
      <c r="T12" s="3"/>
      <c r="U12" s="2">
        <v>0</v>
      </c>
      <c r="V12" s="3"/>
      <c r="W12" s="2">
        <v>0</v>
      </c>
      <c r="X12" s="3"/>
      <c r="Y12" s="2">
        <v>800</v>
      </c>
      <c r="Z12" s="3"/>
      <c r="AA12" s="2">
        <v>0</v>
      </c>
      <c r="AB12" s="2"/>
      <c r="AC12" s="2"/>
      <c r="AD12" s="2"/>
      <c r="AE12" s="2"/>
      <c r="AF12" s="3"/>
      <c r="AG12" s="2">
        <f>ROUND(SUM(I12:AE12),5)</f>
        <v>800</v>
      </c>
    </row>
    <row r="13" spans="1:33" ht="15.75" thickBot="1" x14ac:dyDescent="0.3">
      <c r="A13" s="1"/>
      <c r="B13" s="1"/>
      <c r="C13" s="1"/>
      <c r="D13" s="1"/>
      <c r="E13" s="1"/>
      <c r="F13" s="1" t="s">
        <v>22</v>
      </c>
      <c r="G13" s="1"/>
      <c r="H13" s="1"/>
      <c r="I13" s="4">
        <v>0</v>
      </c>
      <c r="J13" s="3"/>
      <c r="K13" s="4">
        <v>0</v>
      </c>
      <c r="L13" s="3"/>
      <c r="M13" s="4">
        <v>0</v>
      </c>
      <c r="N13" s="3"/>
      <c r="O13" s="4">
        <v>0</v>
      </c>
      <c r="P13" s="3"/>
      <c r="Q13" s="4">
        <v>0</v>
      </c>
      <c r="R13" s="3"/>
      <c r="S13" s="4">
        <v>0</v>
      </c>
      <c r="T13" s="3"/>
      <c r="U13" s="4">
        <v>0</v>
      </c>
      <c r="V13" s="3"/>
      <c r="W13" s="4">
        <v>3500</v>
      </c>
      <c r="X13" s="3"/>
      <c r="Y13" s="4">
        <v>0</v>
      </c>
      <c r="Z13" s="3"/>
      <c r="AA13" s="4">
        <v>0</v>
      </c>
      <c r="AB13" s="5"/>
      <c r="AC13" s="5"/>
      <c r="AD13" s="5"/>
      <c r="AE13" s="5"/>
      <c r="AF13" s="3"/>
      <c r="AG13" s="4">
        <f>ROUND(SUM(I13:AE13),5)</f>
        <v>3500</v>
      </c>
    </row>
    <row r="14" spans="1:33" x14ac:dyDescent="0.25">
      <c r="A14" s="1"/>
      <c r="B14" s="1"/>
      <c r="C14" s="1"/>
      <c r="D14" s="1"/>
      <c r="E14" s="1" t="s">
        <v>23</v>
      </c>
      <c r="F14" s="1"/>
      <c r="G14" s="1"/>
      <c r="H14" s="1"/>
      <c r="I14" s="2">
        <f>ROUND(SUM(I10:I13),5)</f>
        <v>0</v>
      </c>
      <c r="J14" s="3"/>
      <c r="K14" s="2">
        <f>ROUND(SUM(K10:K13),5)</f>
        <v>0</v>
      </c>
      <c r="L14" s="3"/>
      <c r="M14" s="2">
        <f>ROUND(SUM(M10:M13),5)</f>
        <v>0</v>
      </c>
      <c r="N14" s="3"/>
      <c r="O14" s="2">
        <f>ROUND(SUM(O10:O13),5)</f>
        <v>0</v>
      </c>
      <c r="P14" s="3"/>
      <c r="Q14" s="2">
        <f>ROUND(SUM(Q10:Q13),5)</f>
        <v>0</v>
      </c>
      <c r="R14" s="3"/>
      <c r="S14" s="2">
        <f>ROUND(SUM(S10:S13),5)</f>
        <v>0</v>
      </c>
      <c r="T14" s="3"/>
      <c r="U14" s="2">
        <f>ROUND(SUM(U10:U13),5)</f>
        <v>400</v>
      </c>
      <c r="V14" s="3"/>
      <c r="W14" s="2">
        <f>ROUND(SUM(W10:W13),5)</f>
        <v>8110</v>
      </c>
      <c r="X14" s="3"/>
      <c r="Y14" s="2">
        <f>ROUND(SUM(Y10:Y13),5)</f>
        <v>5750</v>
      </c>
      <c r="Z14" s="3"/>
      <c r="AA14" s="2">
        <f>ROUND(SUM(AA10:AA13),5)</f>
        <v>0</v>
      </c>
      <c r="AB14" s="2"/>
      <c r="AC14" s="2"/>
      <c r="AD14" s="2"/>
      <c r="AE14" s="2"/>
      <c r="AF14" s="3"/>
      <c r="AG14" s="2">
        <f>ROUND(SUM(I14:AE14),5)</f>
        <v>14260</v>
      </c>
    </row>
    <row r="15" spans="1:33" x14ac:dyDescent="0.25">
      <c r="A15" s="1"/>
      <c r="B15" s="1"/>
      <c r="C15" s="1"/>
      <c r="D15" s="1"/>
      <c r="E15" s="1" t="s">
        <v>24</v>
      </c>
      <c r="F15" s="1"/>
      <c r="G15" s="1"/>
      <c r="H15" s="1"/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2"/>
      <c r="AC15" s="2"/>
      <c r="AD15" s="2"/>
      <c r="AE15" s="2"/>
      <c r="AF15" s="3"/>
      <c r="AG15" s="2"/>
    </row>
    <row r="16" spans="1:33" x14ac:dyDescent="0.25">
      <c r="A16" s="1"/>
      <c r="B16" s="1"/>
      <c r="C16" s="1"/>
      <c r="D16" s="1"/>
      <c r="E16" s="1"/>
      <c r="F16" s="1" t="s">
        <v>25</v>
      </c>
      <c r="G16" s="1"/>
      <c r="H16" s="1"/>
      <c r="I16" s="2">
        <v>0</v>
      </c>
      <c r="J16" s="3"/>
      <c r="K16" s="2">
        <v>0</v>
      </c>
      <c r="L16" s="3"/>
      <c r="M16" s="2">
        <v>0</v>
      </c>
      <c r="N16" s="3"/>
      <c r="O16" s="2">
        <v>0</v>
      </c>
      <c r="P16" s="3"/>
      <c r="Q16" s="2">
        <v>0</v>
      </c>
      <c r="R16" s="3"/>
      <c r="S16" s="2">
        <v>0</v>
      </c>
      <c r="T16" s="3"/>
      <c r="U16" s="2">
        <v>0</v>
      </c>
      <c r="V16" s="3"/>
      <c r="W16" s="2">
        <v>25</v>
      </c>
      <c r="X16" s="3"/>
      <c r="Y16" s="2">
        <v>4318</v>
      </c>
      <c r="Z16" s="3"/>
      <c r="AA16" s="2">
        <v>611</v>
      </c>
      <c r="AB16" s="2"/>
      <c r="AC16" s="2"/>
      <c r="AD16" s="2"/>
      <c r="AE16" s="2"/>
      <c r="AF16" s="3"/>
      <c r="AG16" s="2">
        <f>ROUND(SUM(I16:AE16),5)</f>
        <v>4954</v>
      </c>
    </row>
    <row r="17" spans="1:33" ht="15.75" thickBot="1" x14ac:dyDescent="0.3">
      <c r="A17" s="1"/>
      <c r="B17" s="1"/>
      <c r="C17" s="1"/>
      <c r="D17" s="1"/>
      <c r="E17" s="1"/>
      <c r="F17" s="1" t="s">
        <v>26</v>
      </c>
      <c r="G17" s="1"/>
      <c r="H17" s="1"/>
      <c r="I17" s="4">
        <v>0</v>
      </c>
      <c r="J17" s="3"/>
      <c r="K17" s="4">
        <v>0</v>
      </c>
      <c r="L17" s="3"/>
      <c r="M17" s="4">
        <v>0</v>
      </c>
      <c r="N17" s="3"/>
      <c r="O17" s="4">
        <v>0</v>
      </c>
      <c r="P17" s="3"/>
      <c r="Q17" s="4">
        <v>0</v>
      </c>
      <c r="R17" s="3"/>
      <c r="S17" s="4">
        <v>0</v>
      </c>
      <c r="T17" s="3"/>
      <c r="U17" s="4">
        <v>0</v>
      </c>
      <c r="V17" s="3"/>
      <c r="W17" s="4">
        <v>0</v>
      </c>
      <c r="X17" s="3"/>
      <c r="Y17" s="4">
        <v>380</v>
      </c>
      <c r="Z17" s="3"/>
      <c r="AA17" s="4">
        <v>0</v>
      </c>
      <c r="AB17" s="5"/>
      <c r="AC17" s="5"/>
      <c r="AD17" s="5"/>
      <c r="AE17" s="5"/>
      <c r="AF17" s="3"/>
      <c r="AG17" s="4">
        <f>ROUND(SUM(I17:AE17),5)</f>
        <v>380</v>
      </c>
    </row>
    <row r="18" spans="1:33" x14ac:dyDescent="0.25">
      <c r="A18" s="1"/>
      <c r="B18" s="1"/>
      <c r="C18" s="1"/>
      <c r="D18" s="1"/>
      <c r="E18" s="1" t="s">
        <v>27</v>
      </c>
      <c r="F18" s="1"/>
      <c r="G18" s="1"/>
      <c r="H18" s="1"/>
      <c r="I18" s="2">
        <f>ROUND(SUM(I15:I17),5)</f>
        <v>0</v>
      </c>
      <c r="J18" s="3"/>
      <c r="K18" s="2">
        <f>ROUND(SUM(K15:K17),5)</f>
        <v>0</v>
      </c>
      <c r="L18" s="3"/>
      <c r="M18" s="2">
        <f>ROUND(SUM(M15:M17),5)</f>
        <v>0</v>
      </c>
      <c r="N18" s="3"/>
      <c r="O18" s="2">
        <f>ROUND(SUM(O15:O17),5)</f>
        <v>0</v>
      </c>
      <c r="P18" s="3"/>
      <c r="Q18" s="2">
        <f>ROUND(SUM(Q15:Q17),5)</f>
        <v>0</v>
      </c>
      <c r="R18" s="3"/>
      <c r="S18" s="2">
        <f>ROUND(SUM(S15:S17),5)</f>
        <v>0</v>
      </c>
      <c r="T18" s="3"/>
      <c r="U18" s="2">
        <f>ROUND(SUM(U15:U17),5)</f>
        <v>0</v>
      </c>
      <c r="V18" s="3"/>
      <c r="W18" s="2">
        <f>ROUND(SUM(W15:W17),5)</f>
        <v>25</v>
      </c>
      <c r="X18" s="3"/>
      <c r="Y18" s="2">
        <f>ROUND(SUM(Y15:Y17),5)</f>
        <v>4698</v>
      </c>
      <c r="Z18" s="3"/>
      <c r="AA18" s="2">
        <f>ROUND(SUM(AA15:AA17),5)</f>
        <v>611</v>
      </c>
      <c r="AB18" s="2"/>
      <c r="AC18" s="2"/>
      <c r="AD18" s="2"/>
      <c r="AE18" s="2"/>
      <c r="AF18" s="3"/>
      <c r="AG18" s="2">
        <f>ROUND(SUM(I18:AE18),5)</f>
        <v>5334</v>
      </c>
    </row>
    <row r="19" spans="1:33" x14ac:dyDescent="0.25">
      <c r="A19" s="1"/>
      <c r="B19" s="1"/>
      <c r="C19" s="1"/>
      <c r="D19" s="1"/>
      <c r="E19" s="1" t="s">
        <v>28</v>
      </c>
      <c r="F19" s="1"/>
      <c r="G19" s="1"/>
      <c r="H19" s="1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2"/>
      <c r="AC19" s="2"/>
      <c r="AD19" s="2"/>
      <c r="AE19" s="2"/>
      <c r="AF19" s="3"/>
      <c r="AG19" s="2"/>
    </row>
    <row r="20" spans="1:33" x14ac:dyDescent="0.25">
      <c r="A20" s="1"/>
      <c r="B20" s="1"/>
      <c r="C20" s="1"/>
      <c r="D20" s="1"/>
      <c r="E20" s="1"/>
      <c r="F20" s="1" t="s">
        <v>29</v>
      </c>
      <c r="G20" s="1"/>
      <c r="H20" s="1"/>
      <c r="I20" s="2">
        <v>18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420</v>
      </c>
      <c r="Z20" s="3"/>
      <c r="AA20" s="2">
        <v>12</v>
      </c>
      <c r="AB20" s="2"/>
      <c r="AC20" s="2"/>
      <c r="AD20" s="2"/>
      <c r="AE20" s="2"/>
      <c r="AF20" s="3"/>
      <c r="AG20" s="2">
        <f>ROUND(SUM(I20:AE20),5)</f>
        <v>450</v>
      </c>
    </row>
    <row r="21" spans="1:33" x14ac:dyDescent="0.25">
      <c r="A21" s="1"/>
      <c r="B21" s="1"/>
      <c r="C21" s="1"/>
      <c r="D21" s="1"/>
      <c r="E21" s="1"/>
      <c r="F21" s="1" t="s">
        <v>30</v>
      </c>
      <c r="G21" s="1"/>
      <c r="H21" s="1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2"/>
      <c r="AC21" s="2"/>
      <c r="AD21" s="2"/>
      <c r="AE21" s="2"/>
      <c r="AF21" s="3"/>
      <c r="AG21" s="2"/>
    </row>
    <row r="22" spans="1:33" x14ac:dyDescent="0.25">
      <c r="A22" s="1"/>
      <c r="B22" s="1"/>
      <c r="C22" s="1"/>
      <c r="D22" s="1"/>
      <c r="E22" s="1"/>
      <c r="F22" s="1"/>
      <c r="G22" s="1" t="s">
        <v>31</v>
      </c>
      <c r="H22" s="1"/>
      <c r="I22" s="2">
        <v>75</v>
      </c>
      <c r="J22" s="3"/>
      <c r="K22" s="2">
        <v>0</v>
      </c>
      <c r="L22" s="3"/>
      <c r="M22" s="2">
        <v>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0</v>
      </c>
      <c r="V22" s="3"/>
      <c r="W22" s="2">
        <v>0</v>
      </c>
      <c r="X22" s="3"/>
      <c r="Y22" s="2">
        <v>0</v>
      </c>
      <c r="Z22" s="3"/>
      <c r="AA22" s="2">
        <v>0</v>
      </c>
      <c r="AB22" s="2"/>
      <c r="AC22" s="2"/>
      <c r="AD22" s="2"/>
      <c r="AE22" s="2"/>
      <c r="AF22" s="3"/>
      <c r="AG22" s="2">
        <f t="shared" ref="AG22:AG27" si="0">ROUND(SUM(I22:AE22),5)</f>
        <v>75</v>
      </c>
    </row>
    <row r="23" spans="1:33" x14ac:dyDescent="0.25">
      <c r="A23" s="1"/>
      <c r="B23" s="1"/>
      <c r="C23" s="1"/>
      <c r="D23" s="1"/>
      <c r="E23" s="1"/>
      <c r="F23" s="1"/>
      <c r="G23" s="1" t="s">
        <v>32</v>
      </c>
      <c r="H23" s="1"/>
      <c r="I23" s="2">
        <v>60</v>
      </c>
      <c r="J23" s="3"/>
      <c r="K23" s="2">
        <v>0</v>
      </c>
      <c r="L23" s="3"/>
      <c r="M23" s="2">
        <v>60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0</v>
      </c>
      <c r="V23" s="3"/>
      <c r="W23" s="2">
        <v>0</v>
      </c>
      <c r="X23" s="3"/>
      <c r="Y23" s="2">
        <v>160</v>
      </c>
      <c r="Z23" s="3"/>
      <c r="AA23" s="2">
        <v>0</v>
      </c>
      <c r="AB23" s="2"/>
      <c r="AC23" s="2"/>
      <c r="AD23" s="2"/>
      <c r="AE23" s="2"/>
      <c r="AF23" s="3"/>
      <c r="AG23" s="2">
        <f t="shared" si="0"/>
        <v>280</v>
      </c>
    </row>
    <row r="24" spans="1:33" x14ac:dyDescent="0.25">
      <c r="A24" s="1"/>
      <c r="B24" s="1"/>
      <c r="C24" s="1"/>
      <c r="D24" s="1"/>
      <c r="E24" s="1"/>
      <c r="F24" s="1"/>
      <c r="G24" s="1" t="s">
        <v>33</v>
      </c>
      <c r="H24" s="1"/>
      <c r="I24" s="2">
        <v>30</v>
      </c>
      <c r="J24" s="3"/>
      <c r="K24" s="2">
        <v>165</v>
      </c>
      <c r="L24" s="3"/>
      <c r="M24" s="2">
        <v>15</v>
      </c>
      <c r="N24" s="3"/>
      <c r="O24" s="2">
        <v>15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v>0</v>
      </c>
      <c r="X24" s="3"/>
      <c r="Y24" s="2">
        <v>90</v>
      </c>
      <c r="Z24" s="3"/>
      <c r="AA24" s="2">
        <v>0</v>
      </c>
      <c r="AB24" s="2"/>
      <c r="AC24" s="2"/>
      <c r="AD24" s="2"/>
      <c r="AE24" s="2"/>
      <c r="AF24" s="3"/>
      <c r="AG24" s="2">
        <f t="shared" si="0"/>
        <v>315</v>
      </c>
    </row>
    <row r="25" spans="1:33" ht="15.75" thickBot="1" x14ac:dyDescent="0.3">
      <c r="A25" s="1"/>
      <c r="B25" s="1"/>
      <c r="C25" s="1"/>
      <c r="D25" s="1"/>
      <c r="E25" s="1"/>
      <c r="F25" s="1"/>
      <c r="G25" s="1" t="s">
        <v>34</v>
      </c>
      <c r="H25" s="1"/>
      <c r="I25" s="5">
        <v>30</v>
      </c>
      <c r="J25" s="3"/>
      <c r="K25" s="5">
        <v>0</v>
      </c>
      <c r="L25" s="3"/>
      <c r="M25" s="5">
        <v>0</v>
      </c>
      <c r="N25" s="3"/>
      <c r="O25" s="5">
        <v>50</v>
      </c>
      <c r="P25" s="3"/>
      <c r="Q25" s="5">
        <v>0</v>
      </c>
      <c r="R25" s="3"/>
      <c r="S25" s="5">
        <v>0</v>
      </c>
      <c r="T25" s="3"/>
      <c r="U25" s="5">
        <v>0</v>
      </c>
      <c r="V25" s="3"/>
      <c r="W25" s="5">
        <v>0</v>
      </c>
      <c r="X25" s="3"/>
      <c r="Y25" s="5">
        <v>0</v>
      </c>
      <c r="Z25" s="3"/>
      <c r="AA25" s="5">
        <v>0</v>
      </c>
      <c r="AB25" s="5"/>
      <c r="AC25" s="5"/>
      <c r="AD25" s="5"/>
      <c r="AE25" s="5"/>
      <c r="AF25" s="3"/>
      <c r="AG25" s="5">
        <f t="shared" si="0"/>
        <v>80</v>
      </c>
    </row>
    <row r="26" spans="1:33" ht="15.75" thickBot="1" x14ac:dyDescent="0.3">
      <c r="A26" s="1"/>
      <c r="B26" s="1"/>
      <c r="C26" s="1"/>
      <c r="D26" s="1"/>
      <c r="E26" s="1"/>
      <c r="F26" s="1" t="s">
        <v>35</v>
      </c>
      <c r="G26" s="1"/>
      <c r="H26" s="1"/>
      <c r="I26" s="6">
        <f>ROUND(SUM(I21:I25),5)</f>
        <v>195</v>
      </c>
      <c r="J26" s="3"/>
      <c r="K26" s="6">
        <f>ROUND(SUM(K21:K25),5)</f>
        <v>165</v>
      </c>
      <c r="L26" s="3"/>
      <c r="M26" s="6">
        <f>ROUND(SUM(M21:M25),5)</f>
        <v>75</v>
      </c>
      <c r="N26" s="3"/>
      <c r="O26" s="6">
        <f>ROUND(SUM(O21:O25),5)</f>
        <v>65</v>
      </c>
      <c r="P26" s="3"/>
      <c r="Q26" s="6">
        <f>ROUND(SUM(Q21:Q25),5)</f>
        <v>0</v>
      </c>
      <c r="R26" s="3"/>
      <c r="S26" s="6">
        <f>ROUND(SUM(S21:S25),5)</f>
        <v>0</v>
      </c>
      <c r="T26" s="3"/>
      <c r="U26" s="6">
        <f>ROUND(SUM(U21:U25),5)</f>
        <v>0</v>
      </c>
      <c r="V26" s="3"/>
      <c r="W26" s="6">
        <f>ROUND(SUM(W21:W25),5)</f>
        <v>0</v>
      </c>
      <c r="X26" s="3"/>
      <c r="Y26" s="6">
        <f>ROUND(SUM(Y21:Y25),5)</f>
        <v>250</v>
      </c>
      <c r="Z26" s="3"/>
      <c r="AA26" s="6">
        <f>ROUND(SUM(AA21:AA25),5)</f>
        <v>0</v>
      </c>
      <c r="AB26" s="5"/>
      <c r="AC26" s="5"/>
      <c r="AD26" s="5"/>
      <c r="AE26" s="5"/>
      <c r="AF26" s="3"/>
      <c r="AG26" s="6">
        <f t="shared" si="0"/>
        <v>750</v>
      </c>
    </row>
    <row r="27" spans="1:33" x14ac:dyDescent="0.25">
      <c r="A27" s="1"/>
      <c r="B27" s="1"/>
      <c r="C27" s="1"/>
      <c r="D27" s="1"/>
      <c r="E27" s="1" t="s">
        <v>36</v>
      </c>
      <c r="F27" s="1"/>
      <c r="G27" s="1"/>
      <c r="H27" s="1"/>
      <c r="I27" s="2">
        <f>ROUND(SUM(I19:I20)+I26,5)</f>
        <v>213</v>
      </c>
      <c r="J27" s="3"/>
      <c r="K27" s="2">
        <f>ROUND(SUM(K19:K20)+K26,5)</f>
        <v>165</v>
      </c>
      <c r="L27" s="3"/>
      <c r="M27" s="2">
        <f>ROUND(SUM(M19:M20)+M26,5)</f>
        <v>75</v>
      </c>
      <c r="N27" s="3"/>
      <c r="O27" s="2">
        <f>ROUND(SUM(O19:O20)+O26,5)</f>
        <v>65</v>
      </c>
      <c r="P27" s="3"/>
      <c r="Q27" s="2">
        <f>ROUND(SUM(Q19:Q20)+Q26,5)</f>
        <v>0</v>
      </c>
      <c r="R27" s="3"/>
      <c r="S27" s="2">
        <f>ROUND(SUM(S19:S20)+S26,5)</f>
        <v>0</v>
      </c>
      <c r="T27" s="3"/>
      <c r="U27" s="2">
        <f>ROUND(SUM(U19:U20)+U26,5)</f>
        <v>0</v>
      </c>
      <c r="V27" s="3"/>
      <c r="W27" s="2">
        <f>ROUND(SUM(W19:W20)+W26,5)</f>
        <v>0</v>
      </c>
      <c r="X27" s="3"/>
      <c r="Y27" s="2">
        <f>ROUND(SUM(Y19:Y20)+Y26,5)</f>
        <v>670</v>
      </c>
      <c r="Z27" s="3"/>
      <c r="AA27" s="2">
        <f>ROUND(SUM(AA19:AA20)+AA26,5)</f>
        <v>12</v>
      </c>
      <c r="AB27" s="2"/>
      <c r="AC27" s="2"/>
      <c r="AD27" s="2"/>
      <c r="AE27" s="2"/>
      <c r="AF27" s="3"/>
      <c r="AG27" s="2">
        <f t="shared" si="0"/>
        <v>1200</v>
      </c>
    </row>
    <row r="28" spans="1:33" x14ac:dyDescent="0.25">
      <c r="A28" s="1"/>
      <c r="B28" s="1"/>
      <c r="C28" s="1"/>
      <c r="D28" s="1"/>
      <c r="E28" s="1" t="s">
        <v>37</v>
      </c>
      <c r="F28" s="1"/>
      <c r="G28" s="1"/>
      <c r="H28" s="1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  <c r="AB28" s="2"/>
      <c r="AC28" s="2"/>
      <c r="AD28" s="2"/>
      <c r="AE28" s="2"/>
      <c r="AF28" s="3"/>
      <c r="AG28" s="2"/>
    </row>
    <row r="29" spans="1:33" x14ac:dyDescent="0.25">
      <c r="A29" s="1"/>
      <c r="B29" s="1"/>
      <c r="C29" s="1"/>
      <c r="D29" s="1"/>
      <c r="E29" s="1"/>
      <c r="F29" s="1" t="s">
        <v>38</v>
      </c>
      <c r="G29" s="1"/>
      <c r="H29" s="1"/>
      <c r="I29" s="2">
        <v>2.34</v>
      </c>
      <c r="J29" s="3"/>
      <c r="K29" s="2">
        <v>2.13</v>
      </c>
      <c r="L29" s="3"/>
      <c r="M29" s="2">
        <v>1.99</v>
      </c>
      <c r="N29" s="3"/>
      <c r="O29" s="2">
        <v>2.2799999999999998</v>
      </c>
      <c r="P29" s="3"/>
      <c r="Q29" s="2">
        <v>2.27</v>
      </c>
      <c r="R29" s="3"/>
      <c r="S29" s="2">
        <v>2.29</v>
      </c>
      <c r="T29" s="3"/>
      <c r="U29" s="2">
        <v>2.54</v>
      </c>
      <c r="V29" s="3"/>
      <c r="W29" s="2">
        <v>2.69</v>
      </c>
      <c r="X29" s="3"/>
      <c r="Y29" s="2">
        <v>4.26</v>
      </c>
      <c r="Z29" s="3"/>
      <c r="AA29" s="2">
        <v>15.64</v>
      </c>
      <c r="AB29" s="2"/>
      <c r="AC29" s="2"/>
      <c r="AD29" s="2"/>
      <c r="AE29" s="2"/>
      <c r="AF29" s="3"/>
      <c r="AG29" s="2">
        <f>ROUND(SUM(I29:AE29),5)</f>
        <v>38.43</v>
      </c>
    </row>
    <row r="30" spans="1:33" x14ac:dyDescent="0.25">
      <c r="A30" s="1"/>
      <c r="B30" s="1"/>
      <c r="C30" s="1"/>
      <c r="D30" s="1"/>
      <c r="E30" s="1"/>
      <c r="F30" s="1" t="s">
        <v>39</v>
      </c>
      <c r="G30" s="1"/>
      <c r="H30" s="1"/>
      <c r="I30" s="2">
        <v>0</v>
      </c>
      <c r="J30" s="3"/>
      <c r="K30" s="2">
        <v>0</v>
      </c>
      <c r="L30" s="3"/>
      <c r="M30" s="2">
        <v>0</v>
      </c>
      <c r="N30" s="3"/>
      <c r="O30" s="2">
        <v>0</v>
      </c>
      <c r="P30" s="3"/>
      <c r="Q30" s="2">
        <v>0</v>
      </c>
      <c r="R30" s="3"/>
      <c r="S30" s="2">
        <v>0</v>
      </c>
      <c r="T30" s="3"/>
      <c r="U30" s="2">
        <v>0</v>
      </c>
      <c r="V30" s="3"/>
      <c r="W30" s="2">
        <v>0</v>
      </c>
      <c r="X30" s="3"/>
      <c r="Y30" s="2">
        <v>390</v>
      </c>
      <c r="Z30" s="3"/>
      <c r="AA30" s="2">
        <v>0</v>
      </c>
      <c r="AB30" s="2"/>
      <c r="AC30" s="2"/>
      <c r="AD30" s="2"/>
      <c r="AE30" s="2"/>
      <c r="AF30" s="3"/>
      <c r="AG30" s="2">
        <f>ROUND(SUM(I30:AE30),5)</f>
        <v>390</v>
      </c>
    </row>
    <row r="31" spans="1:33" ht="15.75" thickBot="1" x14ac:dyDescent="0.3">
      <c r="A31" s="1"/>
      <c r="B31" s="1"/>
      <c r="C31" s="1"/>
      <c r="D31" s="1"/>
      <c r="E31" s="1"/>
      <c r="F31" s="1" t="s">
        <v>40</v>
      </c>
      <c r="G31" s="1"/>
      <c r="H31" s="1"/>
      <c r="I31" s="5">
        <v>0</v>
      </c>
      <c r="J31" s="3"/>
      <c r="K31" s="5">
        <v>0</v>
      </c>
      <c r="L31" s="3"/>
      <c r="M31" s="5">
        <v>0</v>
      </c>
      <c r="N31" s="3"/>
      <c r="O31" s="5">
        <v>0</v>
      </c>
      <c r="P31" s="3"/>
      <c r="Q31" s="5">
        <v>0</v>
      </c>
      <c r="R31" s="3"/>
      <c r="S31" s="5">
        <v>300</v>
      </c>
      <c r="T31" s="3"/>
      <c r="U31" s="5">
        <v>150</v>
      </c>
      <c r="V31" s="3"/>
      <c r="W31" s="5">
        <v>0</v>
      </c>
      <c r="X31" s="3"/>
      <c r="Y31" s="5">
        <v>0</v>
      </c>
      <c r="Z31" s="3"/>
      <c r="AA31" s="5">
        <v>0</v>
      </c>
      <c r="AB31" s="5"/>
      <c r="AC31" s="5"/>
      <c r="AD31" s="5"/>
      <c r="AE31" s="5"/>
      <c r="AF31" s="3"/>
      <c r="AG31" s="5">
        <f>ROUND(SUM(I31:AE31),5)</f>
        <v>450</v>
      </c>
    </row>
    <row r="32" spans="1:33" ht="15.75" thickBot="1" x14ac:dyDescent="0.3">
      <c r="A32" s="1"/>
      <c r="B32" s="1"/>
      <c r="C32" s="1"/>
      <c r="D32" s="1"/>
      <c r="E32" s="1" t="s">
        <v>41</v>
      </c>
      <c r="F32" s="1"/>
      <c r="G32" s="1"/>
      <c r="H32" s="1"/>
      <c r="I32" s="6">
        <f>ROUND(SUM(I28:I31),5)</f>
        <v>2.34</v>
      </c>
      <c r="J32" s="3"/>
      <c r="K32" s="6">
        <f>ROUND(SUM(K28:K31),5)</f>
        <v>2.13</v>
      </c>
      <c r="L32" s="3"/>
      <c r="M32" s="6">
        <f>ROUND(SUM(M28:M31),5)</f>
        <v>1.99</v>
      </c>
      <c r="N32" s="3"/>
      <c r="O32" s="6">
        <f>ROUND(SUM(O28:O31),5)</f>
        <v>2.2799999999999998</v>
      </c>
      <c r="P32" s="3"/>
      <c r="Q32" s="6">
        <f>ROUND(SUM(Q28:Q31),5)</f>
        <v>2.27</v>
      </c>
      <c r="R32" s="3"/>
      <c r="S32" s="6">
        <f>ROUND(SUM(S28:S31),5)</f>
        <v>302.29000000000002</v>
      </c>
      <c r="T32" s="3"/>
      <c r="U32" s="6">
        <f>ROUND(SUM(U28:U31),5)</f>
        <v>152.54</v>
      </c>
      <c r="V32" s="3"/>
      <c r="W32" s="6">
        <f>ROUND(SUM(W28:W31),5)</f>
        <v>2.69</v>
      </c>
      <c r="X32" s="3"/>
      <c r="Y32" s="6">
        <f>ROUND(SUM(Y28:Y31),5)</f>
        <v>394.26</v>
      </c>
      <c r="Z32" s="3"/>
      <c r="AA32" s="6">
        <f>ROUND(SUM(AA28:AA31),5)</f>
        <v>15.64</v>
      </c>
      <c r="AB32" s="5"/>
      <c r="AC32" s="5"/>
      <c r="AD32" s="5"/>
      <c r="AE32" s="5"/>
      <c r="AF32" s="3"/>
      <c r="AG32" s="6">
        <f>ROUND(SUM(I32:AE32),5)</f>
        <v>878.43</v>
      </c>
    </row>
    <row r="33" spans="1:33" x14ac:dyDescent="0.25">
      <c r="A33" s="1"/>
      <c r="B33" s="1"/>
      <c r="C33" s="1"/>
      <c r="D33" s="1" t="s">
        <v>42</v>
      </c>
      <c r="E33" s="1"/>
      <c r="F33" s="1"/>
      <c r="G33" s="1"/>
      <c r="H33" s="1"/>
      <c r="I33" s="2">
        <f>ROUND(I3+I9+I14+I18+I27+I32,5)</f>
        <v>3227.2</v>
      </c>
      <c r="J33" s="3"/>
      <c r="K33" s="2">
        <f>ROUND(K3+K9+K14+K18+K27+K32,5)</f>
        <v>5958.27</v>
      </c>
      <c r="L33" s="3"/>
      <c r="M33" s="2">
        <f>ROUND(M3+M9+M14+M18+M27+M32,5)</f>
        <v>8266.85</v>
      </c>
      <c r="N33" s="3"/>
      <c r="O33" s="2">
        <f>ROUND(O3+O9+O14+O18+O27+O32,5)</f>
        <v>10616.14</v>
      </c>
      <c r="P33" s="3"/>
      <c r="Q33" s="2">
        <f>ROUND(Q3+Q9+Q14+Q18+Q27+Q32,5)</f>
        <v>18255.73</v>
      </c>
      <c r="R33" s="3"/>
      <c r="S33" s="2">
        <f>ROUND(S3+S9+S14+S18+S27+S32,5)</f>
        <v>31629.95</v>
      </c>
      <c r="T33" s="3"/>
      <c r="U33" s="2">
        <f>ROUND(U3+U9+U14+U18+U27+U32,5)</f>
        <v>11856.67</v>
      </c>
      <c r="V33" s="3"/>
      <c r="W33" s="2">
        <f>ROUND(W3+W9+W14+W18+W27+W32,5)</f>
        <v>20170.09</v>
      </c>
      <c r="X33" s="3"/>
      <c r="Y33" s="2">
        <f>ROUND(Y3+Y9+Y14+Y18+Y27+Y32,5)</f>
        <v>53169.25</v>
      </c>
      <c r="Z33" s="3"/>
      <c r="AA33" s="2">
        <f>ROUND(AA3+AA9+AA14+AA18+AA27+AA32,5)</f>
        <v>33492.720000000001</v>
      </c>
      <c r="AB33" s="2"/>
      <c r="AC33" s="2"/>
      <c r="AD33" s="2"/>
      <c r="AE33" s="2"/>
      <c r="AF33" s="3"/>
      <c r="AG33" s="2">
        <f>ROUND(SUM(I33:AE33),5)</f>
        <v>196642.87</v>
      </c>
    </row>
    <row r="34" spans="1:33" x14ac:dyDescent="0.25">
      <c r="A34" s="1"/>
      <c r="B34" s="1"/>
      <c r="C34" s="1"/>
      <c r="D34" s="1" t="s">
        <v>43</v>
      </c>
      <c r="E34" s="1"/>
      <c r="F34" s="1"/>
      <c r="G34" s="1"/>
      <c r="H34" s="1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3"/>
      <c r="W34" s="2"/>
      <c r="X34" s="3"/>
      <c r="Y34" s="2"/>
      <c r="Z34" s="3"/>
      <c r="AA34" s="2"/>
      <c r="AB34" s="2"/>
      <c r="AC34" s="2"/>
      <c r="AD34" s="2"/>
      <c r="AE34" s="2"/>
      <c r="AF34" s="3"/>
      <c r="AG34" s="2"/>
    </row>
    <row r="35" spans="1:33" x14ac:dyDescent="0.25">
      <c r="A35" s="1"/>
      <c r="B35" s="1"/>
      <c r="C35" s="1"/>
      <c r="D35" s="1"/>
      <c r="E35" s="1" t="s">
        <v>44</v>
      </c>
      <c r="F35" s="1"/>
      <c r="G35" s="1"/>
      <c r="H35" s="1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  <c r="Y35" s="2"/>
      <c r="Z35" s="3"/>
      <c r="AA35" s="2"/>
      <c r="AB35" s="2"/>
      <c r="AC35" s="2"/>
      <c r="AD35" s="2"/>
      <c r="AE35" s="2"/>
      <c r="AF35" s="3"/>
      <c r="AG35" s="2"/>
    </row>
    <row r="36" spans="1:33" ht="15.75" thickBot="1" x14ac:dyDescent="0.3">
      <c r="A36" s="1"/>
      <c r="B36" s="1"/>
      <c r="C36" s="1"/>
      <c r="D36" s="1"/>
      <c r="E36" s="1"/>
      <c r="F36" s="1" t="s">
        <v>45</v>
      </c>
      <c r="G36" s="1"/>
      <c r="H36" s="1"/>
      <c r="I36" s="5">
        <v>100</v>
      </c>
      <c r="J36" s="3"/>
      <c r="K36" s="5">
        <v>0</v>
      </c>
      <c r="L36" s="3"/>
      <c r="M36" s="5">
        <v>0</v>
      </c>
      <c r="N36" s="3"/>
      <c r="O36" s="5">
        <v>0</v>
      </c>
      <c r="P36" s="3"/>
      <c r="Q36" s="5">
        <v>0</v>
      </c>
      <c r="R36" s="3"/>
      <c r="S36" s="5">
        <v>0</v>
      </c>
      <c r="T36" s="3"/>
      <c r="U36" s="5">
        <v>0</v>
      </c>
      <c r="V36" s="3"/>
      <c r="W36" s="5">
        <v>0</v>
      </c>
      <c r="X36" s="3"/>
      <c r="Y36" s="5">
        <v>0</v>
      </c>
      <c r="Z36" s="3"/>
      <c r="AA36" s="5">
        <v>0</v>
      </c>
      <c r="AB36" s="5"/>
      <c r="AC36" s="5"/>
      <c r="AD36" s="5"/>
      <c r="AE36" s="5"/>
      <c r="AF36" s="3"/>
      <c r="AG36" s="5">
        <f>ROUND(SUM(I36:AE36),5)</f>
        <v>100</v>
      </c>
    </row>
    <row r="37" spans="1:33" ht="15.75" thickBot="1" x14ac:dyDescent="0.3">
      <c r="A37" s="1"/>
      <c r="B37" s="1"/>
      <c r="C37" s="1"/>
      <c r="D37" s="1"/>
      <c r="E37" s="1" t="s">
        <v>46</v>
      </c>
      <c r="F37" s="1"/>
      <c r="G37" s="1"/>
      <c r="H37" s="1"/>
      <c r="I37" s="7">
        <f>ROUND(SUM(I35:I36),5)</f>
        <v>100</v>
      </c>
      <c r="J37" s="3"/>
      <c r="K37" s="7">
        <f>ROUND(SUM(K35:K36),5)</f>
        <v>0</v>
      </c>
      <c r="L37" s="3"/>
      <c r="M37" s="7">
        <f>ROUND(SUM(M35:M36),5)</f>
        <v>0</v>
      </c>
      <c r="N37" s="3"/>
      <c r="O37" s="7">
        <f>ROUND(SUM(O35:O36),5)</f>
        <v>0</v>
      </c>
      <c r="P37" s="3"/>
      <c r="Q37" s="7">
        <f>ROUND(SUM(Q35:Q36),5)</f>
        <v>0</v>
      </c>
      <c r="R37" s="3"/>
      <c r="S37" s="7">
        <f>ROUND(SUM(S35:S36),5)</f>
        <v>0</v>
      </c>
      <c r="T37" s="3"/>
      <c r="U37" s="7">
        <f>ROUND(SUM(U35:U36),5)</f>
        <v>0</v>
      </c>
      <c r="V37" s="3"/>
      <c r="W37" s="7">
        <f>ROUND(SUM(W35:W36),5)</f>
        <v>0</v>
      </c>
      <c r="X37" s="3"/>
      <c r="Y37" s="7">
        <f>ROUND(SUM(Y35:Y36),5)</f>
        <v>0</v>
      </c>
      <c r="Z37" s="3"/>
      <c r="AA37" s="7">
        <f>ROUND(SUM(AA35:AA36),5)</f>
        <v>0</v>
      </c>
      <c r="AB37" s="5"/>
      <c r="AC37" s="5"/>
      <c r="AD37" s="5"/>
      <c r="AE37" s="5"/>
      <c r="AF37" s="3"/>
      <c r="AG37" s="7">
        <f>ROUND(SUM(I37:AE37),5)</f>
        <v>100</v>
      </c>
    </row>
    <row r="38" spans="1:33" ht="15.75" thickBot="1" x14ac:dyDescent="0.3">
      <c r="A38" s="1"/>
      <c r="B38" s="1"/>
      <c r="C38" s="1"/>
      <c r="D38" s="1" t="s">
        <v>47</v>
      </c>
      <c r="E38" s="1"/>
      <c r="F38" s="1"/>
      <c r="G38" s="1"/>
      <c r="H38" s="1"/>
      <c r="I38" s="6">
        <f>ROUND(I34+I37,5)</f>
        <v>100</v>
      </c>
      <c r="J38" s="3"/>
      <c r="K38" s="6">
        <f>ROUND(K34+K37,5)</f>
        <v>0</v>
      </c>
      <c r="L38" s="3"/>
      <c r="M38" s="6">
        <f>ROUND(M34+M37,5)</f>
        <v>0</v>
      </c>
      <c r="N38" s="3"/>
      <c r="O38" s="6">
        <f>ROUND(O34+O37,5)</f>
        <v>0</v>
      </c>
      <c r="P38" s="3"/>
      <c r="Q38" s="6">
        <f>ROUND(Q34+Q37,5)</f>
        <v>0</v>
      </c>
      <c r="R38" s="3"/>
      <c r="S38" s="6">
        <f>ROUND(S34+S37,5)</f>
        <v>0</v>
      </c>
      <c r="T38" s="3"/>
      <c r="U38" s="6">
        <f>ROUND(U34+U37,5)</f>
        <v>0</v>
      </c>
      <c r="V38" s="3"/>
      <c r="W38" s="6">
        <f>ROUND(W34+W37,5)</f>
        <v>0</v>
      </c>
      <c r="X38" s="3"/>
      <c r="Y38" s="6">
        <f>ROUND(Y34+Y37,5)</f>
        <v>0</v>
      </c>
      <c r="Z38" s="3"/>
      <c r="AA38" s="6">
        <f>ROUND(AA34+AA37,5)</f>
        <v>0</v>
      </c>
      <c r="AB38" s="5"/>
      <c r="AC38" s="5"/>
      <c r="AD38" s="5"/>
      <c r="AE38" s="5"/>
      <c r="AF38" s="3"/>
      <c r="AG38" s="6">
        <f>ROUND(SUM(I38:AE38),5)</f>
        <v>100</v>
      </c>
    </row>
    <row r="39" spans="1:33" x14ac:dyDescent="0.25">
      <c r="A39" s="1"/>
      <c r="B39" s="1"/>
      <c r="C39" s="1" t="s">
        <v>48</v>
      </c>
      <c r="D39" s="1"/>
      <c r="E39" s="1"/>
      <c r="F39" s="1"/>
      <c r="G39" s="1"/>
      <c r="H39" s="1"/>
      <c r="I39" s="2">
        <f>ROUND(I33-I38,5)</f>
        <v>3127.2</v>
      </c>
      <c r="J39" s="3"/>
      <c r="K39" s="2">
        <f>ROUND(K33-K38,5)</f>
        <v>5958.27</v>
      </c>
      <c r="L39" s="3"/>
      <c r="M39" s="2">
        <f>ROUND(M33-M38,5)</f>
        <v>8266.85</v>
      </c>
      <c r="N39" s="3"/>
      <c r="O39" s="2">
        <f>ROUND(O33-O38,5)</f>
        <v>10616.14</v>
      </c>
      <c r="P39" s="3"/>
      <c r="Q39" s="2">
        <f>ROUND(Q33-Q38,5)</f>
        <v>18255.73</v>
      </c>
      <c r="R39" s="3"/>
      <c r="S39" s="2">
        <f>ROUND(S33-S38,5)</f>
        <v>31629.95</v>
      </c>
      <c r="T39" s="3"/>
      <c r="U39" s="2">
        <f>ROUND(U33-U38,5)</f>
        <v>11856.67</v>
      </c>
      <c r="V39" s="3"/>
      <c r="W39" s="2">
        <f>ROUND(W33-W38,5)</f>
        <v>20170.09</v>
      </c>
      <c r="X39" s="3"/>
      <c r="Y39" s="2">
        <f>ROUND(Y33-Y38,5)</f>
        <v>53169.25</v>
      </c>
      <c r="Z39" s="3"/>
      <c r="AA39" s="2">
        <f>ROUND(AA33-AA38,5)</f>
        <v>33492.720000000001</v>
      </c>
      <c r="AB39" s="2"/>
      <c r="AC39" s="2"/>
      <c r="AD39" s="2"/>
      <c r="AE39" s="2"/>
      <c r="AF39" s="3"/>
      <c r="AG39" s="2">
        <f>ROUND(SUM(I39:AE39),5)</f>
        <v>196542.87</v>
      </c>
    </row>
    <row r="40" spans="1:33" s="40" customFormat="1" x14ac:dyDescent="0.25">
      <c r="A40" s="37"/>
      <c r="B40" s="37"/>
      <c r="C40" s="37"/>
      <c r="D40" s="37" t="s">
        <v>49</v>
      </c>
      <c r="E40" s="37"/>
      <c r="F40" s="37"/>
      <c r="G40" s="37"/>
      <c r="H40" s="37"/>
      <c r="I40" s="38"/>
      <c r="J40" s="39"/>
      <c r="K40" s="38"/>
      <c r="L40" s="39"/>
      <c r="M40" s="38"/>
      <c r="N40" s="39"/>
      <c r="O40" s="38"/>
      <c r="P40" s="39"/>
      <c r="Q40" s="38"/>
      <c r="R40" s="39"/>
      <c r="S40" s="38"/>
      <c r="T40" s="39"/>
      <c r="U40" s="38"/>
      <c r="V40" s="39"/>
      <c r="W40" s="38"/>
      <c r="X40" s="39"/>
      <c r="Y40" s="38"/>
      <c r="Z40" s="39"/>
      <c r="AA40" s="38"/>
      <c r="AB40" s="38"/>
      <c r="AC40" s="38"/>
      <c r="AD40" s="38"/>
      <c r="AE40" s="38"/>
      <c r="AF40" s="39"/>
      <c r="AG40" s="38"/>
    </row>
    <row r="41" spans="1:33" x14ac:dyDescent="0.25">
      <c r="A41" s="1"/>
      <c r="B41" s="1"/>
      <c r="C41" s="1"/>
      <c r="D41" s="1"/>
      <c r="E41" s="1" t="s">
        <v>50</v>
      </c>
      <c r="F41" s="1"/>
      <c r="G41" s="1"/>
      <c r="H41" s="1"/>
      <c r="I41" s="2"/>
      <c r="J41" s="3"/>
      <c r="K41" s="2"/>
      <c r="L41" s="3"/>
      <c r="M41" s="2"/>
      <c r="N41" s="3"/>
      <c r="O41" s="2"/>
      <c r="P41" s="3"/>
      <c r="Q41" s="2"/>
      <c r="R41" s="3"/>
      <c r="S41" s="2"/>
      <c r="T41" s="3"/>
      <c r="U41" s="2"/>
      <c r="V41" s="3"/>
      <c r="W41" s="2"/>
      <c r="X41" s="3"/>
      <c r="Y41" s="2"/>
      <c r="Z41" s="3"/>
      <c r="AA41" s="2"/>
      <c r="AB41" s="2"/>
      <c r="AC41" s="2"/>
      <c r="AD41" s="2"/>
      <c r="AE41" s="2"/>
      <c r="AF41" s="3"/>
      <c r="AG41" s="2"/>
    </row>
    <row r="42" spans="1:33" ht="15.75" thickBot="1" x14ac:dyDescent="0.3">
      <c r="A42" s="1"/>
      <c r="B42" s="1"/>
      <c r="C42" s="1"/>
      <c r="D42" s="1"/>
      <c r="E42" s="1"/>
      <c r="F42" s="1" t="s">
        <v>51</v>
      </c>
      <c r="G42" s="1"/>
      <c r="H42" s="1"/>
      <c r="I42" s="4">
        <v>0</v>
      </c>
      <c r="J42" s="3"/>
      <c r="K42" s="4">
        <v>0</v>
      </c>
      <c r="L42" s="3"/>
      <c r="M42" s="4">
        <v>0</v>
      </c>
      <c r="N42" s="3"/>
      <c r="O42" s="4">
        <v>0</v>
      </c>
      <c r="P42" s="3"/>
      <c r="Q42" s="4">
        <v>0</v>
      </c>
      <c r="R42" s="3"/>
      <c r="S42" s="4">
        <v>0</v>
      </c>
      <c r="T42" s="3"/>
      <c r="U42" s="4">
        <v>0</v>
      </c>
      <c r="V42" s="3"/>
      <c r="W42" s="4">
        <v>9.16</v>
      </c>
      <c r="X42" s="3"/>
      <c r="Y42" s="4">
        <v>0</v>
      </c>
      <c r="Z42" s="3"/>
      <c r="AA42" s="4">
        <v>0</v>
      </c>
      <c r="AB42" s="5"/>
      <c r="AC42" s="5"/>
      <c r="AD42" s="5"/>
      <c r="AE42" s="5"/>
      <c r="AF42" s="3"/>
      <c r="AG42" s="4">
        <f>ROUND(SUM(I42:AE42),5)</f>
        <v>9.16</v>
      </c>
    </row>
    <row r="43" spans="1:33" x14ac:dyDescent="0.25">
      <c r="A43" s="1"/>
      <c r="B43" s="1"/>
      <c r="C43" s="1"/>
      <c r="D43" s="1"/>
      <c r="E43" s="1" t="s">
        <v>52</v>
      </c>
      <c r="F43" s="1"/>
      <c r="G43" s="1"/>
      <c r="H43" s="1"/>
      <c r="I43" s="2">
        <f>ROUND(SUM(I41:I42),5)</f>
        <v>0</v>
      </c>
      <c r="J43" s="3"/>
      <c r="K43" s="2">
        <f>ROUND(SUM(K41:K42),5)</f>
        <v>0</v>
      </c>
      <c r="L43" s="3"/>
      <c r="M43" s="2">
        <f>ROUND(SUM(M41:M42),5)</f>
        <v>0</v>
      </c>
      <c r="N43" s="3"/>
      <c r="O43" s="2">
        <f>ROUND(SUM(O41:O42),5)</f>
        <v>0</v>
      </c>
      <c r="P43" s="3"/>
      <c r="Q43" s="2">
        <f>ROUND(SUM(Q41:Q42),5)</f>
        <v>0</v>
      </c>
      <c r="R43" s="3"/>
      <c r="S43" s="2">
        <f>ROUND(SUM(S41:S42),5)</f>
        <v>0</v>
      </c>
      <c r="T43" s="3"/>
      <c r="U43" s="2">
        <f>ROUND(SUM(U41:U42),5)</f>
        <v>0</v>
      </c>
      <c r="V43" s="3"/>
      <c r="W43" s="2">
        <f>ROUND(SUM(W41:W42),5)</f>
        <v>9.16</v>
      </c>
      <c r="X43" s="3"/>
      <c r="Y43" s="2">
        <f>ROUND(SUM(Y41:Y42),5)</f>
        <v>0</v>
      </c>
      <c r="Z43" s="3"/>
      <c r="AA43" s="2">
        <f>ROUND(SUM(AA41:AA42),5)</f>
        <v>0</v>
      </c>
      <c r="AB43" s="2"/>
      <c r="AC43" s="2"/>
      <c r="AD43" s="2"/>
      <c r="AE43" s="2"/>
      <c r="AF43" s="3"/>
      <c r="AG43" s="2">
        <f>ROUND(SUM(I43:AE43),5)</f>
        <v>9.16</v>
      </c>
    </row>
    <row r="44" spans="1:33" x14ac:dyDescent="0.25">
      <c r="A44" s="1"/>
      <c r="B44" s="1"/>
      <c r="C44" s="1"/>
      <c r="D44" s="1"/>
      <c r="E44" s="1" t="s">
        <v>53</v>
      </c>
      <c r="F44" s="1"/>
      <c r="G44" s="1"/>
      <c r="H44" s="1"/>
      <c r="I44" s="2"/>
      <c r="J44" s="3"/>
      <c r="K44" s="2"/>
      <c r="L44" s="3"/>
      <c r="M44" s="2"/>
      <c r="N44" s="3"/>
      <c r="O44" s="2"/>
      <c r="P44" s="3"/>
      <c r="Q44" s="2"/>
      <c r="R44" s="3"/>
      <c r="S44" s="2"/>
      <c r="T44" s="3"/>
      <c r="U44" s="2"/>
      <c r="V44" s="3"/>
      <c r="W44" s="2"/>
      <c r="X44" s="3"/>
      <c r="Y44" s="2"/>
      <c r="Z44" s="3"/>
      <c r="AA44" s="2"/>
      <c r="AB44" s="2"/>
      <c r="AC44" s="2"/>
      <c r="AD44" s="2"/>
      <c r="AE44" s="2"/>
      <c r="AF44" s="3"/>
      <c r="AG44" s="2"/>
    </row>
    <row r="45" spans="1:33" s="29" customFormat="1" x14ac:dyDescent="0.25">
      <c r="A45" s="26"/>
      <c r="B45" s="26"/>
      <c r="C45" s="26"/>
      <c r="D45" s="26"/>
      <c r="E45" s="26"/>
      <c r="F45" s="26" t="s">
        <v>54</v>
      </c>
      <c r="G45" s="26"/>
      <c r="H45" s="26"/>
      <c r="I45" s="27">
        <v>8419.2199999999993</v>
      </c>
      <c r="J45" s="28"/>
      <c r="K45" s="27">
        <v>8419.2199999999993</v>
      </c>
      <c r="L45" s="28"/>
      <c r="M45" s="27">
        <v>8419.2199999999993</v>
      </c>
      <c r="N45" s="28"/>
      <c r="O45" s="27">
        <v>8419.2199999999993</v>
      </c>
      <c r="P45" s="28"/>
      <c r="Q45" s="27">
        <v>12628.83</v>
      </c>
      <c r="R45" s="28"/>
      <c r="S45" s="27">
        <v>8419.2199999999993</v>
      </c>
      <c r="T45" s="28"/>
      <c r="U45" s="27">
        <v>7957.68</v>
      </c>
      <c r="V45" s="28"/>
      <c r="W45" s="27">
        <v>8111.54</v>
      </c>
      <c r="X45" s="28"/>
      <c r="Y45" s="27">
        <v>8111.54</v>
      </c>
      <c r="Z45" s="28"/>
      <c r="AA45" s="27">
        <v>13496.14</v>
      </c>
      <c r="AB45" s="27"/>
      <c r="AC45" s="27"/>
      <c r="AD45" s="27"/>
      <c r="AE45" s="27"/>
      <c r="AF45" s="28"/>
      <c r="AG45" s="27">
        <f>ROUND(SUM(I45:AE45),5)</f>
        <v>92401.83</v>
      </c>
    </row>
    <row r="46" spans="1:33" s="29" customFormat="1" x14ac:dyDescent="0.25">
      <c r="A46" s="26"/>
      <c r="B46" s="26"/>
      <c r="C46" s="26"/>
      <c r="D46" s="26"/>
      <c r="E46" s="26"/>
      <c r="F46" s="26" t="s">
        <v>55</v>
      </c>
      <c r="G46" s="26"/>
      <c r="H46" s="26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7"/>
      <c r="AC46" s="27"/>
      <c r="AD46" s="27"/>
      <c r="AE46" s="27"/>
      <c r="AF46" s="28"/>
      <c r="AG46" s="27"/>
    </row>
    <row r="47" spans="1:33" s="29" customFormat="1" x14ac:dyDescent="0.25">
      <c r="A47" s="26"/>
      <c r="B47" s="26"/>
      <c r="C47" s="26"/>
      <c r="D47" s="26"/>
      <c r="E47" s="26"/>
      <c r="F47" s="26"/>
      <c r="G47" s="26" t="s">
        <v>56</v>
      </c>
      <c r="H47" s="26"/>
      <c r="I47" s="27">
        <v>122.08</v>
      </c>
      <c r="J47" s="28"/>
      <c r="K47" s="27">
        <v>122.08</v>
      </c>
      <c r="L47" s="28"/>
      <c r="M47" s="27">
        <v>122.07</v>
      </c>
      <c r="N47" s="28"/>
      <c r="O47" s="27">
        <v>122.08</v>
      </c>
      <c r="P47" s="28"/>
      <c r="Q47" s="27">
        <v>183.12</v>
      </c>
      <c r="R47" s="28"/>
      <c r="S47" s="27">
        <v>122.08</v>
      </c>
      <c r="T47" s="28"/>
      <c r="U47" s="27">
        <v>115.39</v>
      </c>
      <c r="V47" s="28"/>
      <c r="W47" s="27">
        <v>117.61</v>
      </c>
      <c r="X47" s="28"/>
      <c r="Y47" s="27">
        <v>117.62</v>
      </c>
      <c r="Z47" s="28"/>
      <c r="AA47" s="27">
        <v>195.69</v>
      </c>
      <c r="AB47" s="27"/>
      <c r="AC47" s="27"/>
      <c r="AD47" s="27"/>
      <c r="AE47" s="27"/>
      <c r="AF47" s="28"/>
      <c r="AG47" s="27">
        <f t="shared" ref="AG47:AG52" si="1">ROUND(SUM(I47:AE47),5)</f>
        <v>1339.82</v>
      </c>
    </row>
    <row r="48" spans="1:33" s="29" customFormat="1" x14ac:dyDescent="0.25">
      <c r="A48" s="26"/>
      <c r="B48" s="26"/>
      <c r="C48" s="26"/>
      <c r="D48" s="26"/>
      <c r="E48" s="26"/>
      <c r="F48" s="26"/>
      <c r="G48" s="26" t="s">
        <v>57</v>
      </c>
      <c r="H48" s="26"/>
      <c r="I48" s="27">
        <v>521.99</v>
      </c>
      <c r="J48" s="28"/>
      <c r="K48" s="27">
        <v>521.99</v>
      </c>
      <c r="L48" s="28"/>
      <c r="M48" s="27">
        <v>521.98</v>
      </c>
      <c r="N48" s="28"/>
      <c r="O48" s="27">
        <v>522.01</v>
      </c>
      <c r="P48" s="28"/>
      <c r="Q48" s="27">
        <v>782.98</v>
      </c>
      <c r="R48" s="28"/>
      <c r="S48" s="27">
        <v>522</v>
      </c>
      <c r="T48" s="28"/>
      <c r="U48" s="27">
        <v>493.38</v>
      </c>
      <c r="V48" s="28"/>
      <c r="W48" s="27">
        <v>502.9</v>
      </c>
      <c r="X48" s="28"/>
      <c r="Y48" s="27">
        <v>502.92</v>
      </c>
      <c r="Z48" s="28"/>
      <c r="AA48" s="27">
        <v>836.76</v>
      </c>
      <c r="AB48" s="27"/>
      <c r="AC48" s="27"/>
      <c r="AD48" s="27"/>
      <c r="AE48" s="27"/>
      <c r="AF48" s="28"/>
      <c r="AG48" s="27">
        <f t="shared" si="1"/>
        <v>5728.91</v>
      </c>
    </row>
    <row r="49" spans="1:33" s="29" customFormat="1" x14ac:dyDescent="0.25">
      <c r="A49" s="26"/>
      <c r="B49" s="26"/>
      <c r="C49" s="26"/>
      <c r="D49" s="26"/>
      <c r="E49" s="26"/>
      <c r="F49" s="26"/>
      <c r="G49" s="26" t="s">
        <v>58</v>
      </c>
      <c r="H49" s="26"/>
      <c r="I49" s="27">
        <v>227.32</v>
      </c>
      <c r="J49" s="28"/>
      <c r="K49" s="27">
        <v>227.33</v>
      </c>
      <c r="L49" s="28"/>
      <c r="M49" s="27">
        <v>181.62</v>
      </c>
      <c r="N49" s="28"/>
      <c r="O49" s="27">
        <v>140.07</v>
      </c>
      <c r="P49" s="28"/>
      <c r="Q49" s="27">
        <v>197.69</v>
      </c>
      <c r="R49" s="28"/>
      <c r="S49" s="27">
        <v>85.05</v>
      </c>
      <c r="T49" s="28"/>
      <c r="U49" s="27">
        <v>83.24</v>
      </c>
      <c r="V49" s="28"/>
      <c r="W49" s="27">
        <v>62.31</v>
      </c>
      <c r="X49" s="28"/>
      <c r="Y49" s="27">
        <v>62.3</v>
      </c>
      <c r="Z49" s="28"/>
      <c r="AA49" s="27">
        <v>174.46</v>
      </c>
      <c r="AB49" s="27"/>
      <c r="AC49" s="27"/>
      <c r="AD49" s="27"/>
      <c r="AE49" s="27"/>
      <c r="AF49" s="28"/>
      <c r="AG49" s="27">
        <f t="shared" si="1"/>
        <v>1441.39</v>
      </c>
    </row>
    <row r="50" spans="1:33" s="29" customFormat="1" ht="15.75" thickBot="1" x14ac:dyDescent="0.3">
      <c r="A50" s="26"/>
      <c r="B50" s="26"/>
      <c r="C50" s="26"/>
      <c r="D50" s="26"/>
      <c r="E50" s="26"/>
      <c r="F50" s="26"/>
      <c r="G50" s="26" t="s">
        <v>59</v>
      </c>
      <c r="H50" s="26"/>
      <c r="I50" s="30">
        <v>18.23</v>
      </c>
      <c r="J50" s="28"/>
      <c r="K50" s="30">
        <v>0</v>
      </c>
      <c r="L50" s="28"/>
      <c r="M50" s="30">
        <v>0</v>
      </c>
      <c r="N50" s="28"/>
      <c r="O50" s="30">
        <v>0</v>
      </c>
      <c r="P50" s="28"/>
      <c r="Q50" s="30">
        <v>0</v>
      </c>
      <c r="R50" s="28"/>
      <c r="S50" s="30">
        <v>0</v>
      </c>
      <c r="T50" s="28"/>
      <c r="U50" s="30">
        <v>0</v>
      </c>
      <c r="V50" s="28"/>
      <c r="W50" s="30">
        <v>0</v>
      </c>
      <c r="X50" s="28"/>
      <c r="Y50" s="30">
        <v>0</v>
      </c>
      <c r="Z50" s="28"/>
      <c r="AA50" s="30">
        <v>32.299999999999997</v>
      </c>
      <c r="AB50" s="31"/>
      <c r="AC50" s="31"/>
      <c r="AD50" s="31"/>
      <c r="AE50" s="31"/>
      <c r="AF50" s="28"/>
      <c r="AG50" s="30">
        <f t="shared" si="1"/>
        <v>50.53</v>
      </c>
    </row>
    <row r="51" spans="1:33" s="29" customFormat="1" x14ac:dyDescent="0.25">
      <c r="A51" s="26"/>
      <c r="B51" s="26"/>
      <c r="C51" s="26"/>
      <c r="D51" s="26"/>
      <c r="E51" s="26"/>
      <c r="F51" s="26" t="s">
        <v>60</v>
      </c>
      <c r="G51" s="26"/>
      <c r="H51" s="26"/>
      <c r="I51" s="27">
        <f>ROUND(SUM(I46:I50),5)</f>
        <v>889.62</v>
      </c>
      <c r="J51" s="28"/>
      <c r="K51" s="27">
        <f>ROUND(SUM(K46:K50),5)</f>
        <v>871.4</v>
      </c>
      <c r="L51" s="28"/>
      <c r="M51" s="27">
        <f>ROUND(SUM(M46:M50),5)</f>
        <v>825.67</v>
      </c>
      <c r="N51" s="28"/>
      <c r="O51" s="27">
        <f>ROUND(SUM(O46:O50),5)</f>
        <v>784.16</v>
      </c>
      <c r="P51" s="28"/>
      <c r="Q51" s="27">
        <f>ROUND(SUM(Q46:Q50),5)</f>
        <v>1163.79</v>
      </c>
      <c r="R51" s="28"/>
      <c r="S51" s="27">
        <f>ROUND(SUM(S46:S50),5)</f>
        <v>729.13</v>
      </c>
      <c r="T51" s="28"/>
      <c r="U51" s="27">
        <f>ROUND(SUM(U46:U50),5)</f>
        <v>692.01</v>
      </c>
      <c r="V51" s="28"/>
      <c r="W51" s="27">
        <f>ROUND(SUM(W46:W50),5)</f>
        <v>682.82</v>
      </c>
      <c r="X51" s="28"/>
      <c r="Y51" s="27">
        <f>ROUND(SUM(Y46:Y50),5)</f>
        <v>682.84</v>
      </c>
      <c r="Z51" s="28"/>
      <c r="AA51" s="27">
        <f>ROUND(SUM(AA46:AA50),5)</f>
        <v>1239.21</v>
      </c>
      <c r="AB51" s="27"/>
      <c r="AC51" s="27"/>
      <c r="AD51" s="27"/>
      <c r="AE51" s="27"/>
      <c r="AF51" s="28"/>
      <c r="AG51" s="27">
        <f t="shared" si="1"/>
        <v>8560.65</v>
      </c>
    </row>
    <row r="52" spans="1:33" s="29" customFormat="1" x14ac:dyDescent="0.25">
      <c r="A52" s="26"/>
      <c r="B52" s="26"/>
      <c r="C52" s="26"/>
      <c r="D52" s="26"/>
      <c r="E52" s="26"/>
      <c r="F52" s="26" t="s">
        <v>61</v>
      </c>
      <c r="G52" s="26"/>
      <c r="H52" s="26"/>
      <c r="I52" s="27">
        <v>36</v>
      </c>
      <c r="J52" s="28"/>
      <c r="K52" s="27">
        <v>32.5</v>
      </c>
      <c r="L52" s="28"/>
      <c r="M52" s="27">
        <v>35</v>
      </c>
      <c r="N52" s="28"/>
      <c r="O52" s="27">
        <v>30</v>
      </c>
      <c r="P52" s="28"/>
      <c r="Q52" s="27">
        <v>35</v>
      </c>
      <c r="R52" s="28"/>
      <c r="S52" s="27">
        <v>32.5</v>
      </c>
      <c r="T52" s="28"/>
      <c r="U52" s="27">
        <v>32.5</v>
      </c>
      <c r="V52" s="28"/>
      <c r="W52" s="27">
        <v>35</v>
      </c>
      <c r="X52" s="28"/>
      <c r="Y52" s="27">
        <v>32.5</v>
      </c>
      <c r="Z52" s="28"/>
      <c r="AA52" s="27">
        <v>30</v>
      </c>
      <c r="AB52" s="27"/>
      <c r="AC52" s="27"/>
      <c r="AD52" s="27"/>
      <c r="AE52" s="27"/>
      <c r="AF52" s="28"/>
      <c r="AG52" s="27">
        <f t="shared" si="1"/>
        <v>331</v>
      </c>
    </row>
    <row r="53" spans="1:33" s="29" customFormat="1" x14ac:dyDescent="0.25">
      <c r="A53" s="26"/>
      <c r="B53" s="26"/>
      <c r="C53" s="26"/>
      <c r="D53" s="26"/>
      <c r="E53" s="26"/>
      <c r="F53" s="26" t="s">
        <v>62</v>
      </c>
      <c r="G53" s="26"/>
      <c r="H53" s="26"/>
      <c r="I53" s="27"/>
      <c r="J53" s="28"/>
      <c r="K53" s="27"/>
      <c r="L53" s="28"/>
      <c r="M53" s="27"/>
      <c r="N53" s="28"/>
      <c r="O53" s="27"/>
      <c r="P53" s="28"/>
      <c r="Q53" s="27"/>
      <c r="R53" s="28"/>
      <c r="S53" s="27"/>
      <c r="T53" s="28"/>
      <c r="U53" s="27"/>
      <c r="V53" s="28"/>
      <c r="W53" s="27"/>
      <c r="X53" s="28"/>
      <c r="Y53" s="27"/>
      <c r="Z53" s="28"/>
      <c r="AA53" s="27"/>
      <c r="AB53" s="27"/>
      <c r="AC53" s="27"/>
      <c r="AD53" s="27"/>
      <c r="AE53" s="27"/>
      <c r="AF53" s="28"/>
      <c r="AG53" s="27"/>
    </row>
    <row r="54" spans="1:33" s="29" customFormat="1" x14ac:dyDescent="0.25">
      <c r="A54" s="26"/>
      <c r="B54" s="26"/>
      <c r="C54" s="26"/>
      <c r="D54" s="26"/>
      <c r="E54" s="26"/>
      <c r="F54" s="26"/>
      <c r="G54" s="26" t="s">
        <v>63</v>
      </c>
      <c r="H54" s="26"/>
      <c r="I54" s="27">
        <v>0</v>
      </c>
      <c r="J54" s="28"/>
      <c r="K54" s="27">
        <v>0</v>
      </c>
      <c r="L54" s="28"/>
      <c r="M54" s="27">
        <v>0</v>
      </c>
      <c r="N54" s="28"/>
      <c r="O54" s="27">
        <v>0</v>
      </c>
      <c r="P54" s="28"/>
      <c r="Q54" s="27">
        <v>1760</v>
      </c>
      <c r="R54" s="28"/>
      <c r="S54" s="27">
        <v>1272</v>
      </c>
      <c r="T54" s="28"/>
      <c r="U54" s="27">
        <v>240</v>
      </c>
      <c r="V54" s="28"/>
      <c r="W54" s="27">
        <v>0</v>
      </c>
      <c r="X54" s="28"/>
      <c r="Y54" s="27">
        <v>870</v>
      </c>
      <c r="Z54" s="28"/>
      <c r="AA54" s="27">
        <v>0</v>
      </c>
      <c r="AB54" s="27"/>
      <c r="AC54" s="27"/>
      <c r="AD54" s="27"/>
      <c r="AE54" s="27"/>
      <c r="AF54" s="28"/>
      <c r="AG54" s="27">
        <f t="shared" ref="AG54:AG62" si="2">ROUND(SUM(I54:AE54),5)</f>
        <v>4142</v>
      </c>
    </row>
    <row r="55" spans="1:33" s="29" customFormat="1" x14ac:dyDescent="0.25">
      <c r="A55" s="26"/>
      <c r="B55" s="26"/>
      <c r="C55" s="26"/>
      <c r="D55" s="26"/>
      <c r="E55" s="26"/>
      <c r="F55" s="26"/>
      <c r="G55" s="26" t="s">
        <v>64</v>
      </c>
      <c r="H55" s="26"/>
      <c r="I55" s="27">
        <v>0</v>
      </c>
      <c r="J55" s="28"/>
      <c r="K55" s="27">
        <v>0</v>
      </c>
      <c r="L55" s="28"/>
      <c r="M55" s="27">
        <v>0</v>
      </c>
      <c r="N55" s="28"/>
      <c r="O55" s="27">
        <v>0</v>
      </c>
      <c r="P55" s="28"/>
      <c r="Q55" s="27">
        <v>200</v>
      </c>
      <c r="R55" s="28"/>
      <c r="S55" s="27">
        <v>0</v>
      </c>
      <c r="T55" s="28"/>
      <c r="U55" s="27">
        <v>0</v>
      </c>
      <c r="V55" s="28"/>
      <c r="W55" s="27">
        <v>0</v>
      </c>
      <c r="X55" s="28"/>
      <c r="Y55" s="27">
        <v>0</v>
      </c>
      <c r="Z55" s="28"/>
      <c r="AA55" s="27">
        <v>0</v>
      </c>
      <c r="AB55" s="27"/>
      <c r="AC55" s="27"/>
      <c r="AD55" s="27"/>
      <c r="AE55" s="27"/>
      <c r="AF55" s="28"/>
      <c r="AG55" s="27">
        <f t="shared" si="2"/>
        <v>200</v>
      </c>
    </row>
    <row r="56" spans="1:33" s="29" customFormat="1" x14ac:dyDescent="0.25">
      <c r="A56" s="26"/>
      <c r="B56" s="26"/>
      <c r="C56" s="26"/>
      <c r="D56" s="26"/>
      <c r="E56" s="26"/>
      <c r="F56" s="26"/>
      <c r="G56" s="26" t="s">
        <v>65</v>
      </c>
      <c r="H56" s="26"/>
      <c r="I56" s="27">
        <v>0</v>
      </c>
      <c r="J56" s="28"/>
      <c r="K56" s="27">
        <v>0</v>
      </c>
      <c r="L56" s="28"/>
      <c r="M56" s="27">
        <v>0</v>
      </c>
      <c r="N56" s="28"/>
      <c r="O56" s="27">
        <v>0</v>
      </c>
      <c r="P56" s="28"/>
      <c r="Q56" s="27">
        <v>0</v>
      </c>
      <c r="R56" s="28"/>
      <c r="S56" s="27">
        <v>0</v>
      </c>
      <c r="T56" s="28"/>
      <c r="U56" s="27">
        <v>0</v>
      </c>
      <c r="V56" s="28"/>
      <c r="W56" s="27">
        <v>0</v>
      </c>
      <c r="X56" s="28"/>
      <c r="Y56" s="27">
        <v>0</v>
      </c>
      <c r="Z56" s="28"/>
      <c r="AA56" s="27">
        <v>12</v>
      </c>
      <c r="AB56" s="27"/>
      <c r="AC56" s="27"/>
      <c r="AD56" s="27"/>
      <c r="AE56" s="27"/>
      <c r="AF56" s="28"/>
      <c r="AG56" s="27">
        <f t="shared" si="2"/>
        <v>12</v>
      </c>
    </row>
    <row r="57" spans="1:33" s="29" customFormat="1" ht="15.75" thickBot="1" x14ac:dyDescent="0.3">
      <c r="A57" s="26"/>
      <c r="B57" s="26"/>
      <c r="C57" s="26"/>
      <c r="D57" s="26"/>
      <c r="E57" s="26"/>
      <c r="F57" s="26"/>
      <c r="G57" s="26" t="s">
        <v>66</v>
      </c>
      <c r="H57" s="26"/>
      <c r="I57" s="30">
        <v>0</v>
      </c>
      <c r="J57" s="28"/>
      <c r="K57" s="30">
        <v>0</v>
      </c>
      <c r="L57" s="28"/>
      <c r="M57" s="30">
        <v>0</v>
      </c>
      <c r="N57" s="28"/>
      <c r="O57" s="30">
        <v>0</v>
      </c>
      <c r="P57" s="28"/>
      <c r="Q57" s="30">
        <v>30</v>
      </c>
      <c r="R57" s="28"/>
      <c r="S57" s="30">
        <v>0</v>
      </c>
      <c r="T57" s="28"/>
      <c r="U57" s="30">
        <v>0</v>
      </c>
      <c r="V57" s="28"/>
      <c r="W57" s="30">
        <v>0</v>
      </c>
      <c r="X57" s="28"/>
      <c r="Y57" s="30">
        <v>0</v>
      </c>
      <c r="Z57" s="28"/>
      <c r="AA57" s="30">
        <v>0</v>
      </c>
      <c r="AB57" s="31"/>
      <c r="AC57" s="31"/>
      <c r="AD57" s="31"/>
      <c r="AE57" s="31"/>
      <c r="AF57" s="28"/>
      <c r="AG57" s="30">
        <f t="shared" si="2"/>
        <v>30</v>
      </c>
    </row>
    <row r="58" spans="1:33" s="29" customFormat="1" x14ac:dyDescent="0.25">
      <c r="A58" s="26"/>
      <c r="B58" s="26"/>
      <c r="C58" s="26"/>
      <c r="D58" s="26"/>
      <c r="E58" s="26"/>
      <c r="F58" s="26" t="s">
        <v>67</v>
      </c>
      <c r="G58" s="26"/>
      <c r="H58" s="26"/>
      <c r="I58" s="27">
        <f>ROUND(SUM(I53:I57),5)</f>
        <v>0</v>
      </c>
      <c r="J58" s="28"/>
      <c r="K58" s="27">
        <f>ROUND(SUM(K53:K57),5)</f>
        <v>0</v>
      </c>
      <c r="L58" s="28"/>
      <c r="M58" s="27">
        <f>ROUND(SUM(M53:M57),5)</f>
        <v>0</v>
      </c>
      <c r="N58" s="28"/>
      <c r="O58" s="27">
        <f>ROUND(SUM(O53:O57),5)</f>
        <v>0</v>
      </c>
      <c r="P58" s="28"/>
      <c r="Q58" s="27">
        <f>ROUND(SUM(Q53:Q57),5)</f>
        <v>1990</v>
      </c>
      <c r="R58" s="28"/>
      <c r="S58" s="27">
        <f>ROUND(SUM(S53:S57),5)</f>
        <v>1272</v>
      </c>
      <c r="T58" s="28"/>
      <c r="U58" s="27">
        <f>ROUND(SUM(U53:U57),5)</f>
        <v>240</v>
      </c>
      <c r="V58" s="28"/>
      <c r="W58" s="27">
        <f>ROUND(SUM(W53:W57),5)</f>
        <v>0</v>
      </c>
      <c r="X58" s="28"/>
      <c r="Y58" s="27">
        <f>ROUND(SUM(Y53:Y57),5)</f>
        <v>870</v>
      </c>
      <c r="Z58" s="28"/>
      <c r="AA58" s="27">
        <f>ROUND(SUM(AA53:AA57),5)</f>
        <v>12</v>
      </c>
      <c r="AB58" s="27"/>
      <c r="AC58" s="27"/>
      <c r="AD58" s="27"/>
      <c r="AE58" s="27"/>
      <c r="AF58" s="28"/>
      <c r="AG58" s="27">
        <f t="shared" si="2"/>
        <v>4384</v>
      </c>
    </row>
    <row r="59" spans="1:33" s="29" customFormat="1" x14ac:dyDescent="0.25">
      <c r="A59" s="26"/>
      <c r="B59" s="26"/>
      <c r="C59" s="26"/>
      <c r="D59" s="26"/>
      <c r="E59" s="26"/>
      <c r="F59" s="26" t="s">
        <v>68</v>
      </c>
      <c r="G59" s="26"/>
      <c r="H59" s="26"/>
      <c r="I59" s="27">
        <v>0</v>
      </c>
      <c r="J59" s="28"/>
      <c r="K59" s="27">
        <v>96</v>
      </c>
      <c r="L59" s="28"/>
      <c r="M59" s="27">
        <v>0</v>
      </c>
      <c r="N59" s="28"/>
      <c r="O59" s="27">
        <v>0</v>
      </c>
      <c r="P59" s="28"/>
      <c r="Q59" s="27">
        <v>0</v>
      </c>
      <c r="R59" s="28"/>
      <c r="S59" s="27">
        <v>0</v>
      </c>
      <c r="T59" s="28"/>
      <c r="U59" s="27">
        <v>0</v>
      </c>
      <c r="V59" s="28"/>
      <c r="W59" s="27">
        <v>1340</v>
      </c>
      <c r="X59" s="28"/>
      <c r="Y59" s="27">
        <v>0</v>
      </c>
      <c r="Z59" s="28"/>
      <c r="AA59" s="27">
        <v>0</v>
      </c>
      <c r="AB59" s="27"/>
      <c r="AC59" s="27"/>
      <c r="AD59" s="27"/>
      <c r="AE59" s="27"/>
      <c r="AF59" s="28"/>
      <c r="AG59" s="27">
        <f t="shared" si="2"/>
        <v>1436</v>
      </c>
    </row>
    <row r="60" spans="1:33" s="29" customFormat="1" x14ac:dyDescent="0.25">
      <c r="A60" s="26"/>
      <c r="B60" s="26"/>
      <c r="C60" s="26"/>
      <c r="D60" s="26"/>
      <c r="E60" s="26"/>
      <c r="F60" s="26" t="s">
        <v>69</v>
      </c>
      <c r="G60" s="26"/>
      <c r="H60" s="26"/>
      <c r="I60" s="27">
        <v>212.95</v>
      </c>
      <c r="J60" s="28"/>
      <c r="K60" s="27">
        <v>0</v>
      </c>
      <c r="L60" s="28"/>
      <c r="M60" s="27">
        <v>50</v>
      </c>
      <c r="N60" s="28"/>
      <c r="O60" s="27">
        <v>0</v>
      </c>
      <c r="P60" s="28"/>
      <c r="Q60" s="27">
        <v>0</v>
      </c>
      <c r="R60" s="28"/>
      <c r="S60" s="27">
        <v>70</v>
      </c>
      <c r="T60" s="28"/>
      <c r="U60" s="27">
        <v>0</v>
      </c>
      <c r="V60" s="28"/>
      <c r="W60" s="27">
        <v>106.26</v>
      </c>
      <c r="X60" s="28"/>
      <c r="Y60" s="27">
        <v>0</v>
      </c>
      <c r="Z60" s="28"/>
      <c r="AA60" s="27">
        <v>960</v>
      </c>
      <c r="AB60" s="27"/>
      <c r="AC60" s="27"/>
      <c r="AD60" s="27"/>
      <c r="AE60" s="27"/>
      <c r="AF60" s="28"/>
      <c r="AG60" s="27">
        <f t="shared" si="2"/>
        <v>1399.21</v>
      </c>
    </row>
    <row r="61" spans="1:33" s="29" customFormat="1" x14ac:dyDescent="0.25">
      <c r="A61" s="26"/>
      <c r="B61" s="26"/>
      <c r="C61" s="26"/>
      <c r="D61" s="26"/>
      <c r="E61" s="26"/>
      <c r="F61" s="26" t="s">
        <v>70</v>
      </c>
      <c r="G61" s="26"/>
      <c r="H61" s="26"/>
      <c r="I61" s="27">
        <v>0</v>
      </c>
      <c r="J61" s="28"/>
      <c r="K61" s="27">
        <v>0</v>
      </c>
      <c r="L61" s="28"/>
      <c r="M61" s="27">
        <v>0</v>
      </c>
      <c r="N61" s="28"/>
      <c r="O61" s="27">
        <v>0</v>
      </c>
      <c r="P61" s="28"/>
      <c r="Q61" s="27">
        <v>49.9</v>
      </c>
      <c r="R61" s="28"/>
      <c r="S61" s="27">
        <v>0</v>
      </c>
      <c r="T61" s="28"/>
      <c r="U61" s="27">
        <v>0</v>
      </c>
      <c r="V61" s="28"/>
      <c r="W61" s="27">
        <v>0</v>
      </c>
      <c r="X61" s="28"/>
      <c r="Y61" s="27">
        <v>0</v>
      </c>
      <c r="Z61" s="28"/>
      <c r="AA61" s="27">
        <v>70</v>
      </c>
      <c r="AB61" s="27"/>
      <c r="AC61" s="27"/>
      <c r="AD61" s="27"/>
      <c r="AE61" s="27"/>
      <c r="AF61" s="28"/>
      <c r="AG61" s="27">
        <f t="shared" si="2"/>
        <v>119.9</v>
      </c>
    </row>
    <row r="62" spans="1:33" s="29" customFormat="1" x14ac:dyDescent="0.25">
      <c r="A62" s="26"/>
      <c r="B62" s="26"/>
      <c r="C62" s="26"/>
      <c r="D62" s="26"/>
      <c r="E62" s="26"/>
      <c r="F62" s="26" t="s">
        <v>71</v>
      </c>
      <c r="G62" s="26"/>
      <c r="H62" s="26"/>
      <c r="I62" s="27">
        <v>295.12</v>
      </c>
      <c r="J62" s="28"/>
      <c r="K62" s="27">
        <v>219.11</v>
      </c>
      <c r="L62" s="28"/>
      <c r="M62" s="27">
        <v>346.94</v>
      </c>
      <c r="N62" s="28"/>
      <c r="O62" s="27">
        <v>219.77</v>
      </c>
      <c r="P62" s="28"/>
      <c r="Q62" s="27">
        <v>229.99</v>
      </c>
      <c r="R62" s="28"/>
      <c r="S62" s="27">
        <v>666.64</v>
      </c>
      <c r="T62" s="28"/>
      <c r="U62" s="27">
        <v>152.71</v>
      </c>
      <c r="V62" s="28"/>
      <c r="W62" s="27">
        <v>440.44</v>
      </c>
      <c r="X62" s="28"/>
      <c r="Y62" s="27">
        <v>309.67</v>
      </c>
      <c r="Z62" s="28"/>
      <c r="AA62" s="27">
        <v>321.57</v>
      </c>
      <c r="AB62" s="27"/>
      <c r="AC62" s="27"/>
      <c r="AD62" s="27"/>
      <c r="AE62" s="27"/>
      <c r="AF62" s="28"/>
      <c r="AG62" s="27">
        <f t="shared" si="2"/>
        <v>3201.96</v>
      </c>
    </row>
    <row r="63" spans="1:33" s="29" customFormat="1" x14ac:dyDescent="0.25">
      <c r="A63" s="26"/>
      <c r="B63" s="26"/>
      <c r="C63" s="26"/>
      <c r="D63" s="26"/>
      <c r="E63" s="26"/>
      <c r="F63" s="26" t="s">
        <v>72</v>
      </c>
      <c r="G63" s="26"/>
      <c r="H63" s="26"/>
      <c r="I63" s="27"/>
      <c r="J63" s="28"/>
      <c r="K63" s="27"/>
      <c r="L63" s="28"/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8"/>
      <c r="Y63" s="27"/>
      <c r="Z63" s="28"/>
      <c r="AA63" s="27"/>
      <c r="AB63" s="27"/>
      <c r="AC63" s="27"/>
      <c r="AD63" s="27"/>
      <c r="AE63" s="27"/>
      <c r="AF63" s="28"/>
      <c r="AG63" s="27"/>
    </row>
    <row r="64" spans="1:33" s="29" customFormat="1" x14ac:dyDescent="0.25">
      <c r="A64" s="26"/>
      <c r="B64" s="26"/>
      <c r="C64" s="26"/>
      <c r="D64" s="26"/>
      <c r="E64" s="26"/>
      <c r="F64" s="26"/>
      <c r="G64" s="26" t="s">
        <v>73</v>
      </c>
      <c r="H64" s="26"/>
      <c r="I64" s="27">
        <v>0</v>
      </c>
      <c r="J64" s="28"/>
      <c r="K64" s="27">
        <v>0</v>
      </c>
      <c r="L64" s="28"/>
      <c r="M64" s="27">
        <v>0</v>
      </c>
      <c r="N64" s="28"/>
      <c r="O64" s="27">
        <v>0</v>
      </c>
      <c r="P64" s="28"/>
      <c r="Q64" s="27">
        <v>0</v>
      </c>
      <c r="R64" s="28"/>
      <c r="S64" s="27">
        <v>0</v>
      </c>
      <c r="T64" s="28"/>
      <c r="U64" s="27">
        <v>419.41</v>
      </c>
      <c r="V64" s="28"/>
      <c r="W64" s="27">
        <v>0</v>
      </c>
      <c r="X64" s="28"/>
      <c r="Y64" s="27">
        <v>0</v>
      </c>
      <c r="Z64" s="28"/>
      <c r="AA64" s="27">
        <v>0</v>
      </c>
      <c r="AB64" s="27"/>
      <c r="AC64" s="27"/>
      <c r="AD64" s="27"/>
      <c r="AE64" s="27"/>
      <c r="AF64" s="28"/>
      <c r="AG64" s="27">
        <f t="shared" ref="AG64:AG71" si="3">ROUND(SUM(I64:AE64),5)</f>
        <v>419.41</v>
      </c>
    </row>
    <row r="65" spans="1:33" s="29" customFormat="1" ht="15.75" thickBot="1" x14ac:dyDescent="0.3">
      <c r="A65" s="26"/>
      <c r="B65" s="26"/>
      <c r="C65" s="26"/>
      <c r="D65" s="26"/>
      <c r="E65" s="26"/>
      <c r="F65" s="26"/>
      <c r="G65" s="26" t="s">
        <v>74</v>
      </c>
      <c r="H65" s="26"/>
      <c r="I65" s="30">
        <v>0</v>
      </c>
      <c r="J65" s="28"/>
      <c r="K65" s="30">
        <v>284.87</v>
      </c>
      <c r="L65" s="28"/>
      <c r="M65" s="30">
        <v>0</v>
      </c>
      <c r="N65" s="28"/>
      <c r="O65" s="30">
        <v>0</v>
      </c>
      <c r="P65" s="28"/>
      <c r="Q65" s="30">
        <v>70</v>
      </c>
      <c r="R65" s="28"/>
      <c r="S65" s="30">
        <v>45</v>
      </c>
      <c r="T65" s="28"/>
      <c r="U65" s="30">
        <v>0</v>
      </c>
      <c r="V65" s="28"/>
      <c r="W65" s="30">
        <v>0</v>
      </c>
      <c r="X65" s="28"/>
      <c r="Y65" s="30">
        <v>29.99</v>
      </c>
      <c r="Z65" s="28"/>
      <c r="AA65" s="30">
        <v>0</v>
      </c>
      <c r="AB65" s="31"/>
      <c r="AC65" s="31"/>
      <c r="AD65" s="31"/>
      <c r="AE65" s="31"/>
      <c r="AF65" s="28"/>
      <c r="AG65" s="30">
        <f t="shared" si="3"/>
        <v>429.86</v>
      </c>
    </row>
    <row r="66" spans="1:33" s="29" customFormat="1" x14ac:dyDescent="0.25">
      <c r="A66" s="26"/>
      <c r="B66" s="26"/>
      <c r="C66" s="26"/>
      <c r="D66" s="26"/>
      <c r="E66" s="26"/>
      <c r="F66" s="26" t="s">
        <v>75</v>
      </c>
      <c r="G66" s="26"/>
      <c r="H66" s="26"/>
      <c r="I66" s="27">
        <f>ROUND(SUM(I63:I65),5)</f>
        <v>0</v>
      </c>
      <c r="J66" s="28"/>
      <c r="K66" s="27">
        <f>ROUND(SUM(K63:K65),5)</f>
        <v>284.87</v>
      </c>
      <c r="L66" s="28"/>
      <c r="M66" s="27">
        <f>ROUND(SUM(M63:M65),5)</f>
        <v>0</v>
      </c>
      <c r="N66" s="28"/>
      <c r="O66" s="27">
        <f>ROUND(SUM(O63:O65),5)</f>
        <v>0</v>
      </c>
      <c r="P66" s="28"/>
      <c r="Q66" s="27">
        <f>ROUND(SUM(Q63:Q65),5)</f>
        <v>70</v>
      </c>
      <c r="R66" s="28"/>
      <c r="S66" s="27">
        <f>ROUND(SUM(S63:S65),5)</f>
        <v>45</v>
      </c>
      <c r="T66" s="28"/>
      <c r="U66" s="27">
        <f>ROUND(SUM(U63:U65),5)</f>
        <v>419.41</v>
      </c>
      <c r="V66" s="28"/>
      <c r="W66" s="27">
        <f>ROUND(SUM(W63:W65),5)</f>
        <v>0</v>
      </c>
      <c r="X66" s="28"/>
      <c r="Y66" s="27">
        <f>ROUND(SUM(Y63:Y65),5)</f>
        <v>29.99</v>
      </c>
      <c r="Z66" s="28"/>
      <c r="AA66" s="27">
        <f>ROUND(SUM(AA63:AA65),5)</f>
        <v>0</v>
      </c>
      <c r="AB66" s="27"/>
      <c r="AC66" s="27"/>
      <c r="AD66" s="27"/>
      <c r="AE66" s="27"/>
      <c r="AF66" s="28"/>
      <c r="AG66" s="27">
        <f t="shared" si="3"/>
        <v>849.27</v>
      </c>
    </row>
    <row r="67" spans="1:33" s="29" customFormat="1" x14ac:dyDescent="0.25">
      <c r="A67" s="26"/>
      <c r="B67" s="26"/>
      <c r="C67" s="26"/>
      <c r="D67" s="26"/>
      <c r="E67" s="26"/>
      <c r="F67" s="26" t="s">
        <v>76</v>
      </c>
      <c r="G67" s="26"/>
      <c r="H67" s="26"/>
      <c r="I67" s="27">
        <v>0</v>
      </c>
      <c r="J67" s="28"/>
      <c r="K67" s="27">
        <v>0</v>
      </c>
      <c r="L67" s="28"/>
      <c r="M67" s="27">
        <v>0</v>
      </c>
      <c r="N67" s="28"/>
      <c r="O67" s="27">
        <v>0</v>
      </c>
      <c r="P67" s="28"/>
      <c r="Q67" s="27">
        <v>1093</v>
      </c>
      <c r="R67" s="28"/>
      <c r="S67" s="27">
        <v>493</v>
      </c>
      <c r="T67" s="28"/>
      <c r="U67" s="27">
        <v>0</v>
      </c>
      <c r="V67" s="28"/>
      <c r="W67" s="27">
        <v>0</v>
      </c>
      <c r="X67" s="28"/>
      <c r="Y67" s="27">
        <v>0</v>
      </c>
      <c r="Z67" s="28"/>
      <c r="AA67" s="27">
        <v>0</v>
      </c>
      <c r="AB67" s="27"/>
      <c r="AC67" s="27"/>
      <c r="AD67" s="27"/>
      <c r="AE67" s="27"/>
      <c r="AF67" s="28"/>
      <c r="AG67" s="27">
        <f t="shared" si="3"/>
        <v>1586</v>
      </c>
    </row>
    <row r="68" spans="1:33" s="29" customFormat="1" x14ac:dyDescent="0.25">
      <c r="A68" s="26"/>
      <c r="B68" s="26"/>
      <c r="C68" s="26"/>
      <c r="D68" s="26"/>
      <c r="E68" s="26"/>
      <c r="F68" s="26" t="s">
        <v>77</v>
      </c>
      <c r="G68" s="26"/>
      <c r="H68" s="26"/>
      <c r="I68" s="27">
        <v>200</v>
      </c>
      <c r="J68" s="28"/>
      <c r="K68" s="27">
        <v>150</v>
      </c>
      <c r="L68" s="28"/>
      <c r="M68" s="27">
        <v>350</v>
      </c>
      <c r="N68" s="28"/>
      <c r="O68" s="27">
        <v>0</v>
      </c>
      <c r="P68" s="28"/>
      <c r="Q68" s="27">
        <v>0</v>
      </c>
      <c r="R68" s="28"/>
      <c r="S68" s="27">
        <v>0</v>
      </c>
      <c r="T68" s="28"/>
      <c r="U68" s="27">
        <v>0</v>
      </c>
      <c r="V68" s="28"/>
      <c r="W68" s="27">
        <v>300</v>
      </c>
      <c r="X68" s="28"/>
      <c r="Y68" s="27">
        <v>0</v>
      </c>
      <c r="Z68" s="28"/>
      <c r="AA68" s="27">
        <v>0</v>
      </c>
      <c r="AB68" s="27"/>
      <c r="AC68" s="27"/>
      <c r="AD68" s="27"/>
      <c r="AE68" s="27"/>
      <c r="AF68" s="28"/>
      <c r="AG68" s="27">
        <f t="shared" si="3"/>
        <v>1000</v>
      </c>
    </row>
    <row r="69" spans="1:33" s="29" customFormat="1" x14ac:dyDescent="0.25">
      <c r="A69" s="26"/>
      <c r="B69" s="26"/>
      <c r="C69" s="26"/>
      <c r="D69" s="26"/>
      <c r="E69" s="26"/>
      <c r="F69" s="26" t="s">
        <v>78</v>
      </c>
      <c r="G69" s="26"/>
      <c r="H69" s="26"/>
      <c r="I69" s="27">
        <v>111.93</v>
      </c>
      <c r="J69" s="28"/>
      <c r="K69" s="27">
        <v>0</v>
      </c>
      <c r="L69" s="28"/>
      <c r="M69" s="27">
        <v>0</v>
      </c>
      <c r="N69" s="28"/>
      <c r="O69" s="27">
        <v>75</v>
      </c>
      <c r="P69" s="28"/>
      <c r="Q69" s="27">
        <v>0</v>
      </c>
      <c r="R69" s="28"/>
      <c r="S69" s="27">
        <v>0</v>
      </c>
      <c r="T69" s="28"/>
      <c r="U69" s="27">
        <v>102.68</v>
      </c>
      <c r="V69" s="28"/>
      <c r="W69" s="27">
        <v>118.79</v>
      </c>
      <c r="X69" s="28"/>
      <c r="Y69" s="27">
        <v>0</v>
      </c>
      <c r="Z69" s="28"/>
      <c r="AA69" s="27">
        <v>176.95</v>
      </c>
      <c r="AB69" s="27"/>
      <c r="AC69" s="27"/>
      <c r="AD69" s="27"/>
      <c r="AE69" s="27"/>
      <c r="AF69" s="28"/>
      <c r="AG69" s="27">
        <f t="shared" si="3"/>
        <v>585.35</v>
      </c>
    </row>
    <row r="70" spans="1:33" s="44" customFormat="1" x14ac:dyDescent="0.25">
      <c r="A70" s="42"/>
      <c r="B70" s="42"/>
      <c r="C70" s="42"/>
      <c r="D70" s="42"/>
      <c r="E70" s="42"/>
      <c r="F70" s="42" t="s">
        <v>79</v>
      </c>
      <c r="G70" s="42"/>
      <c r="H70" s="42"/>
      <c r="I70" s="41">
        <v>0</v>
      </c>
      <c r="J70" s="43"/>
      <c r="K70" s="41">
        <v>170</v>
      </c>
      <c r="L70" s="43"/>
      <c r="M70" s="41">
        <v>390</v>
      </c>
      <c r="N70" s="43"/>
      <c r="O70" s="41">
        <v>90</v>
      </c>
      <c r="P70" s="43"/>
      <c r="Q70" s="41">
        <v>205</v>
      </c>
      <c r="R70" s="43"/>
      <c r="S70" s="41">
        <v>65</v>
      </c>
      <c r="T70" s="43"/>
      <c r="U70" s="41">
        <v>120</v>
      </c>
      <c r="V70" s="43"/>
      <c r="W70" s="41">
        <v>28.83</v>
      </c>
      <c r="X70" s="43"/>
      <c r="Y70" s="41">
        <v>250</v>
      </c>
      <c r="Z70" s="43"/>
      <c r="AA70" s="45">
        <v>665</v>
      </c>
      <c r="AB70" s="41"/>
      <c r="AC70" s="41"/>
      <c r="AD70" s="41"/>
      <c r="AE70" s="41"/>
      <c r="AF70" s="43"/>
      <c r="AG70" s="41">
        <f t="shared" si="3"/>
        <v>1983.83</v>
      </c>
    </row>
    <row r="71" spans="1:33" s="29" customFormat="1" x14ac:dyDescent="0.25">
      <c r="A71" s="26"/>
      <c r="B71" s="26"/>
      <c r="C71" s="26"/>
      <c r="D71" s="26"/>
      <c r="E71" s="26"/>
      <c r="F71" s="26" t="s">
        <v>80</v>
      </c>
      <c r="G71" s="26"/>
      <c r="H71" s="26"/>
      <c r="I71" s="27">
        <v>135.44999999999999</v>
      </c>
      <c r="J71" s="28"/>
      <c r="K71" s="27">
        <v>104.3</v>
      </c>
      <c r="L71" s="28"/>
      <c r="M71" s="27">
        <v>155.99</v>
      </c>
      <c r="N71" s="28"/>
      <c r="O71" s="27">
        <v>298.66000000000003</v>
      </c>
      <c r="P71" s="28"/>
      <c r="Q71" s="27">
        <v>52.84</v>
      </c>
      <c r="R71" s="28"/>
      <c r="S71" s="27">
        <v>34.54</v>
      </c>
      <c r="T71" s="28"/>
      <c r="U71" s="27">
        <v>758.29</v>
      </c>
      <c r="V71" s="28"/>
      <c r="W71" s="27">
        <v>268.18</v>
      </c>
      <c r="X71" s="28"/>
      <c r="Y71" s="27">
        <v>146.46</v>
      </c>
      <c r="Z71" s="28"/>
      <c r="AA71" s="27">
        <v>35.21</v>
      </c>
      <c r="AB71" s="27"/>
      <c r="AC71" s="27"/>
      <c r="AD71" s="27"/>
      <c r="AE71" s="27"/>
      <c r="AF71" s="28"/>
      <c r="AG71" s="27">
        <f t="shared" si="3"/>
        <v>1989.92</v>
      </c>
    </row>
    <row r="72" spans="1:33" s="29" customFormat="1" x14ac:dyDescent="0.25">
      <c r="A72" s="26"/>
      <c r="B72" s="26"/>
      <c r="C72" s="26"/>
      <c r="D72" s="26"/>
      <c r="E72" s="26"/>
      <c r="F72" s="26" t="s">
        <v>81</v>
      </c>
      <c r="G72" s="26"/>
      <c r="H72" s="26"/>
      <c r="I72" s="27"/>
      <c r="J72" s="28"/>
      <c r="K72" s="27"/>
      <c r="L72" s="28"/>
      <c r="M72" s="27"/>
      <c r="N72" s="28"/>
      <c r="O72" s="27"/>
      <c r="P72" s="28"/>
      <c r="Q72" s="27"/>
      <c r="R72" s="28"/>
      <c r="S72" s="27"/>
      <c r="T72" s="28"/>
      <c r="U72" s="27"/>
      <c r="V72" s="28"/>
      <c r="W72" s="27"/>
      <c r="X72" s="28"/>
      <c r="Y72" s="27"/>
      <c r="Z72" s="28"/>
      <c r="AA72" s="27"/>
      <c r="AB72" s="27"/>
      <c r="AC72" s="27"/>
      <c r="AD72" s="27"/>
      <c r="AE72" s="27"/>
      <c r="AF72" s="28"/>
      <c r="AG72" s="27"/>
    </row>
    <row r="73" spans="1:33" s="29" customFormat="1" x14ac:dyDescent="0.25">
      <c r="A73" s="26"/>
      <c r="B73" s="26"/>
      <c r="C73" s="26"/>
      <c r="D73" s="26"/>
      <c r="E73" s="26"/>
      <c r="F73" s="26"/>
      <c r="G73" s="26" t="s">
        <v>82</v>
      </c>
      <c r="H73" s="26"/>
      <c r="I73" s="27">
        <v>100</v>
      </c>
      <c r="J73" s="28"/>
      <c r="K73" s="27">
        <v>105</v>
      </c>
      <c r="L73" s="28"/>
      <c r="M73" s="27">
        <v>171.91</v>
      </c>
      <c r="N73" s="28"/>
      <c r="O73" s="27">
        <v>130</v>
      </c>
      <c r="P73" s="28"/>
      <c r="Q73" s="27">
        <v>100</v>
      </c>
      <c r="R73" s="28"/>
      <c r="S73" s="27">
        <v>0</v>
      </c>
      <c r="T73" s="28"/>
      <c r="U73" s="27">
        <v>100</v>
      </c>
      <c r="V73" s="28"/>
      <c r="W73" s="27">
        <v>200</v>
      </c>
      <c r="X73" s="28"/>
      <c r="Y73" s="27">
        <v>0</v>
      </c>
      <c r="Z73" s="28"/>
      <c r="AA73" s="27">
        <v>100</v>
      </c>
      <c r="AB73" s="27"/>
      <c r="AC73" s="27"/>
      <c r="AD73" s="27"/>
      <c r="AE73" s="27"/>
      <c r="AF73" s="28"/>
      <c r="AG73" s="27">
        <f t="shared" ref="AG73:AG79" si="4">ROUND(SUM(I73:AE73),5)</f>
        <v>1006.91</v>
      </c>
    </row>
    <row r="74" spans="1:33" s="29" customFormat="1" x14ac:dyDescent="0.25">
      <c r="A74" s="26"/>
      <c r="B74" s="26"/>
      <c r="C74" s="26"/>
      <c r="D74" s="26"/>
      <c r="E74" s="26"/>
      <c r="F74" s="26"/>
      <c r="G74" s="26" t="s">
        <v>83</v>
      </c>
      <c r="H74" s="26"/>
      <c r="I74" s="27">
        <v>218.69</v>
      </c>
      <c r="J74" s="28"/>
      <c r="K74" s="27">
        <v>390.03</v>
      </c>
      <c r="L74" s="28"/>
      <c r="M74" s="27">
        <v>252.04</v>
      </c>
      <c r="N74" s="28"/>
      <c r="O74" s="27">
        <v>356.1</v>
      </c>
      <c r="P74" s="28"/>
      <c r="Q74" s="27">
        <v>372.02</v>
      </c>
      <c r="R74" s="28"/>
      <c r="S74" s="27">
        <v>271.29000000000002</v>
      </c>
      <c r="T74" s="28"/>
      <c r="U74" s="27">
        <v>261.02999999999997</v>
      </c>
      <c r="V74" s="28"/>
      <c r="W74" s="27">
        <v>332.63</v>
      </c>
      <c r="X74" s="28"/>
      <c r="Y74" s="27">
        <v>185.96</v>
      </c>
      <c r="Z74" s="28"/>
      <c r="AA74" s="27">
        <v>267.08</v>
      </c>
      <c r="AB74" s="27"/>
      <c r="AC74" s="27"/>
      <c r="AD74" s="27"/>
      <c r="AE74" s="27"/>
      <c r="AF74" s="28"/>
      <c r="AG74" s="27">
        <f t="shared" si="4"/>
        <v>2906.87</v>
      </c>
    </row>
    <row r="75" spans="1:33" s="29" customFormat="1" x14ac:dyDescent="0.25">
      <c r="A75" s="26"/>
      <c r="B75" s="26"/>
      <c r="C75" s="26"/>
      <c r="D75" s="26"/>
      <c r="E75" s="26"/>
      <c r="F75" s="26"/>
      <c r="G75" s="26" t="s">
        <v>84</v>
      </c>
      <c r="H75" s="26"/>
      <c r="I75" s="27">
        <v>190.08</v>
      </c>
      <c r="J75" s="28"/>
      <c r="K75" s="27">
        <v>248.68</v>
      </c>
      <c r="L75" s="28"/>
      <c r="M75" s="27">
        <v>15.95</v>
      </c>
      <c r="N75" s="28"/>
      <c r="O75" s="27">
        <v>0</v>
      </c>
      <c r="P75" s="28"/>
      <c r="Q75" s="27">
        <v>166.24</v>
      </c>
      <c r="R75" s="28"/>
      <c r="S75" s="27">
        <v>36.04</v>
      </c>
      <c r="T75" s="28"/>
      <c r="U75" s="27">
        <v>158.96</v>
      </c>
      <c r="V75" s="28"/>
      <c r="W75" s="27">
        <v>235.32</v>
      </c>
      <c r="X75" s="28"/>
      <c r="Y75" s="27">
        <v>275.38</v>
      </c>
      <c r="Z75" s="28"/>
      <c r="AA75" s="27">
        <v>227.74</v>
      </c>
      <c r="AB75" s="27"/>
      <c r="AC75" s="27"/>
      <c r="AD75" s="27"/>
      <c r="AE75" s="27"/>
      <c r="AF75" s="28"/>
      <c r="AG75" s="27">
        <f t="shared" si="4"/>
        <v>1554.39</v>
      </c>
    </row>
    <row r="76" spans="1:33" s="29" customFormat="1" x14ac:dyDescent="0.25">
      <c r="A76" s="26"/>
      <c r="B76" s="26"/>
      <c r="C76" s="26"/>
      <c r="D76" s="26"/>
      <c r="E76" s="26"/>
      <c r="F76" s="26"/>
      <c r="G76" s="26" t="s">
        <v>85</v>
      </c>
      <c r="H76" s="26"/>
      <c r="I76" s="27">
        <v>0</v>
      </c>
      <c r="J76" s="28"/>
      <c r="K76" s="27">
        <v>108.74</v>
      </c>
      <c r="L76" s="28"/>
      <c r="M76" s="27">
        <v>0</v>
      </c>
      <c r="N76" s="28"/>
      <c r="O76" s="27">
        <v>92.87</v>
      </c>
      <c r="P76" s="28"/>
      <c r="Q76" s="27">
        <v>280.48</v>
      </c>
      <c r="R76" s="28"/>
      <c r="S76" s="27">
        <v>60</v>
      </c>
      <c r="T76" s="28"/>
      <c r="U76" s="27">
        <v>150.02000000000001</v>
      </c>
      <c r="V76" s="28"/>
      <c r="W76" s="27">
        <v>56.47</v>
      </c>
      <c r="X76" s="28"/>
      <c r="Y76" s="27">
        <v>14.06</v>
      </c>
      <c r="Z76" s="28"/>
      <c r="AA76" s="27">
        <v>0</v>
      </c>
      <c r="AB76" s="27"/>
      <c r="AC76" s="27"/>
      <c r="AD76" s="27"/>
      <c r="AE76" s="27"/>
      <c r="AF76" s="28"/>
      <c r="AG76" s="27">
        <f t="shared" si="4"/>
        <v>762.64</v>
      </c>
    </row>
    <row r="77" spans="1:33" s="29" customFormat="1" x14ac:dyDescent="0.25">
      <c r="A77" s="26"/>
      <c r="B77" s="26"/>
      <c r="C77" s="26"/>
      <c r="D77" s="26"/>
      <c r="E77" s="26"/>
      <c r="F77" s="26"/>
      <c r="G77" s="26" t="s">
        <v>86</v>
      </c>
      <c r="H77" s="26"/>
      <c r="I77" s="27">
        <v>63.35</v>
      </c>
      <c r="J77" s="28"/>
      <c r="K77" s="27">
        <v>134.01</v>
      </c>
      <c r="L77" s="28"/>
      <c r="M77" s="27">
        <v>65</v>
      </c>
      <c r="N77" s="28"/>
      <c r="O77" s="27">
        <v>457.84</v>
      </c>
      <c r="P77" s="28"/>
      <c r="Q77" s="27">
        <v>97.98</v>
      </c>
      <c r="R77" s="28"/>
      <c r="S77" s="27">
        <v>323.95999999999998</v>
      </c>
      <c r="T77" s="28"/>
      <c r="U77" s="27">
        <v>317.97000000000003</v>
      </c>
      <c r="V77" s="28"/>
      <c r="W77" s="27">
        <v>103.44</v>
      </c>
      <c r="X77" s="28"/>
      <c r="Y77" s="27">
        <v>203.81</v>
      </c>
      <c r="Z77" s="28"/>
      <c r="AA77" s="27">
        <v>61.91</v>
      </c>
      <c r="AB77" s="27"/>
      <c r="AC77" s="27"/>
      <c r="AD77" s="27"/>
      <c r="AE77" s="27"/>
      <c r="AF77" s="28"/>
      <c r="AG77" s="27">
        <f t="shared" si="4"/>
        <v>1829.27</v>
      </c>
    </row>
    <row r="78" spans="1:33" s="44" customFormat="1" ht="15.75" thickBot="1" x14ac:dyDescent="0.3">
      <c r="A78" s="42"/>
      <c r="B78" s="42"/>
      <c r="C78" s="42"/>
      <c r="D78" s="42"/>
      <c r="E78" s="42"/>
      <c r="F78" s="42"/>
      <c r="G78" s="42" t="s">
        <v>87</v>
      </c>
      <c r="H78" s="42"/>
      <c r="I78" s="46">
        <v>50.22</v>
      </c>
      <c r="J78" s="43"/>
      <c r="K78" s="46">
        <v>0</v>
      </c>
      <c r="L78" s="43"/>
      <c r="M78" s="46">
        <v>0</v>
      </c>
      <c r="N78" s="43"/>
      <c r="O78" s="46">
        <v>5.53</v>
      </c>
      <c r="P78" s="43"/>
      <c r="Q78" s="46">
        <v>554.08000000000004</v>
      </c>
      <c r="R78" s="43"/>
      <c r="S78" s="46">
        <v>172.67</v>
      </c>
      <c r="T78" s="43"/>
      <c r="U78" s="46">
        <v>175.69</v>
      </c>
      <c r="V78" s="43"/>
      <c r="W78" s="46">
        <v>51.29</v>
      </c>
      <c r="X78" s="43"/>
      <c r="Y78" s="46">
        <v>76.709999999999994</v>
      </c>
      <c r="Z78" s="43"/>
      <c r="AA78" s="46">
        <v>40.869999999999997</v>
      </c>
      <c r="AB78" s="47"/>
      <c r="AC78" s="47"/>
      <c r="AD78" s="47"/>
      <c r="AE78" s="47"/>
      <c r="AF78" s="43"/>
      <c r="AG78" s="46">
        <f t="shared" si="4"/>
        <v>1127.06</v>
      </c>
    </row>
    <row r="79" spans="1:33" s="29" customFormat="1" x14ac:dyDescent="0.25">
      <c r="A79" s="26"/>
      <c r="B79" s="26"/>
      <c r="C79" s="26"/>
      <c r="D79" s="26"/>
      <c r="E79" s="26"/>
      <c r="F79" s="26" t="s">
        <v>88</v>
      </c>
      <c r="G79" s="26"/>
      <c r="H79" s="26"/>
      <c r="I79" s="27">
        <f>ROUND(SUM(I72:I78),5)</f>
        <v>622.34</v>
      </c>
      <c r="J79" s="28"/>
      <c r="K79" s="27">
        <f>ROUND(SUM(K72:K78),5)</f>
        <v>986.46</v>
      </c>
      <c r="L79" s="28"/>
      <c r="M79" s="27">
        <f>ROUND(SUM(M72:M78),5)</f>
        <v>504.9</v>
      </c>
      <c r="N79" s="28"/>
      <c r="O79" s="27">
        <f>ROUND(SUM(O72:O78),5)</f>
        <v>1042.3399999999999</v>
      </c>
      <c r="P79" s="28"/>
      <c r="Q79" s="27">
        <f>ROUND(SUM(Q72:Q78),5)</f>
        <v>1570.8</v>
      </c>
      <c r="R79" s="28"/>
      <c r="S79" s="27">
        <f>ROUND(SUM(S72:S78),5)</f>
        <v>863.96</v>
      </c>
      <c r="T79" s="28"/>
      <c r="U79" s="27">
        <f>ROUND(SUM(U72:U78),5)</f>
        <v>1163.67</v>
      </c>
      <c r="V79" s="28"/>
      <c r="W79" s="27">
        <f>ROUND(SUM(W72:W78),5)</f>
        <v>979.15</v>
      </c>
      <c r="X79" s="28"/>
      <c r="Y79" s="27">
        <f>ROUND(SUM(Y72:Y78),5)</f>
        <v>755.92</v>
      </c>
      <c r="Z79" s="28"/>
      <c r="AA79" s="27">
        <f>ROUND(SUM(AA72:AA78),5)</f>
        <v>697.6</v>
      </c>
      <c r="AB79" s="27"/>
      <c r="AC79" s="27"/>
      <c r="AD79" s="27"/>
      <c r="AE79" s="27"/>
      <c r="AF79" s="28"/>
      <c r="AG79" s="27">
        <f t="shared" si="4"/>
        <v>9187.14</v>
      </c>
    </row>
    <row r="80" spans="1:33" s="29" customFormat="1" x14ac:dyDescent="0.25">
      <c r="A80" s="26"/>
      <c r="B80" s="26"/>
      <c r="C80" s="26"/>
      <c r="D80" s="26"/>
      <c r="E80" s="26"/>
      <c r="F80" s="26" t="s">
        <v>89</v>
      </c>
      <c r="G80" s="26"/>
      <c r="H80" s="26"/>
      <c r="I80" s="27"/>
      <c r="J80" s="28"/>
      <c r="K80" s="27"/>
      <c r="L80" s="28"/>
      <c r="M80" s="27"/>
      <c r="N80" s="28"/>
      <c r="O80" s="27"/>
      <c r="P80" s="28"/>
      <c r="Q80" s="27"/>
      <c r="R80" s="28"/>
      <c r="S80" s="27"/>
      <c r="T80" s="28"/>
      <c r="U80" s="27"/>
      <c r="V80" s="28"/>
      <c r="W80" s="27"/>
      <c r="X80" s="28"/>
      <c r="Y80" s="27"/>
      <c r="Z80" s="28"/>
      <c r="AA80" s="27"/>
      <c r="AB80" s="27"/>
      <c r="AC80" s="27"/>
      <c r="AD80" s="27"/>
      <c r="AE80" s="27"/>
      <c r="AF80" s="28"/>
      <c r="AG80" s="27"/>
    </row>
    <row r="81" spans="1:33" s="29" customFormat="1" x14ac:dyDescent="0.25">
      <c r="A81" s="26"/>
      <c r="B81" s="26"/>
      <c r="C81" s="26"/>
      <c r="D81" s="26"/>
      <c r="E81" s="26"/>
      <c r="F81" s="26"/>
      <c r="G81" s="26" t="s">
        <v>90</v>
      </c>
      <c r="H81" s="26"/>
      <c r="I81" s="27">
        <v>0</v>
      </c>
      <c r="J81" s="28"/>
      <c r="K81" s="27">
        <v>2.25</v>
      </c>
      <c r="L81" s="28"/>
      <c r="M81" s="27">
        <v>15</v>
      </c>
      <c r="N81" s="28"/>
      <c r="O81" s="27">
        <v>0</v>
      </c>
      <c r="P81" s="28"/>
      <c r="Q81" s="27">
        <v>0</v>
      </c>
      <c r="R81" s="28"/>
      <c r="S81" s="27">
        <v>0</v>
      </c>
      <c r="T81" s="28"/>
      <c r="U81" s="27">
        <v>0</v>
      </c>
      <c r="V81" s="28"/>
      <c r="W81" s="27">
        <v>5</v>
      </c>
      <c r="X81" s="28"/>
      <c r="Y81" s="27">
        <v>0</v>
      </c>
      <c r="Z81" s="28"/>
      <c r="AA81" s="27">
        <v>0</v>
      </c>
      <c r="AB81" s="27"/>
      <c r="AC81" s="27"/>
      <c r="AD81" s="27"/>
      <c r="AE81" s="27"/>
      <c r="AF81" s="28"/>
      <c r="AG81" s="27">
        <f>ROUND(SUM(I81:AE81),5)</f>
        <v>22.25</v>
      </c>
    </row>
    <row r="82" spans="1:33" s="29" customFormat="1" ht="15.75" thickBot="1" x14ac:dyDescent="0.3">
      <c r="A82" s="26"/>
      <c r="B82" s="26"/>
      <c r="C82" s="26"/>
      <c r="D82" s="26"/>
      <c r="E82" s="26"/>
      <c r="F82" s="26"/>
      <c r="G82" s="26" t="s">
        <v>91</v>
      </c>
      <c r="H82" s="26"/>
      <c r="I82" s="30">
        <v>0</v>
      </c>
      <c r="J82" s="28"/>
      <c r="K82" s="30">
        <v>613.70000000000005</v>
      </c>
      <c r="L82" s="28"/>
      <c r="M82" s="30">
        <v>51.2</v>
      </c>
      <c r="N82" s="28"/>
      <c r="O82" s="30">
        <v>51.2</v>
      </c>
      <c r="P82" s="28"/>
      <c r="Q82" s="30">
        <v>51.2</v>
      </c>
      <c r="R82" s="28"/>
      <c r="S82" s="30">
        <v>824.22</v>
      </c>
      <c r="T82" s="28"/>
      <c r="U82" s="30">
        <v>51.81</v>
      </c>
      <c r="V82" s="28"/>
      <c r="W82" s="30">
        <v>50.69</v>
      </c>
      <c r="X82" s="28"/>
      <c r="Y82" s="30">
        <v>51.69</v>
      </c>
      <c r="Z82" s="28"/>
      <c r="AA82" s="30">
        <v>50</v>
      </c>
      <c r="AB82" s="31"/>
      <c r="AC82" s="31"/>
      <c r="AD82" s="31"/>
      <c r="AE82" s="31"/>
      <c r="AF82" s="28"/>
      <c r="AG82" s="30">
        <f>ROUND(SUM(I82:AE82),5)</f>
        <v>1795.71</v>
      </c>
    </row>
    <row r="83" spans="1:33" s="29" customFormat="1" x14ac:dyDescent="0.25">
      <c r="A83" s="26"/>
      <c r="B83" s="26"/>
      <c r="C83" s="26"/>
      <c r="D83" s="26"/>
      <c r="E83" s="26"/>
      <c r="F83" s="26" t="s">
        <v>92</v>
      </c>
      <c r="G83" s="26"/>
      <c r="H83" s="26"/>
      <c r="I83" s="27">
        <f>ROUND(SUM(I80:I82),5)</f>
        <v>0</v>
      </c>
      <c r="J83" s="28"/>
      <c r="K83" s="27">
        <f>ROUND(SUM(K80:K82),5)</f>
        <v>615.95000000000005</v>
      </c>
      <c r="L83" s="28"/>
      <c r="M83" s="27">
        <f>ROUND(SUM(M80:M82),5)</f>
        <v>66.2</v>
      </c>
      <c r="N83" s="28"/>
      <c r="O83" s="27">
        <f>ROUND(SUM(O80:O82),5)</f>
        <v>51.2</v>
      </c>
      <c r="P83" s="28"/>
      <c r="Q83" s="27">
        <f>ROUND(SUM(Q80:Q82),5)</f>
        <v>51.2</v>
      </c>
      <c r="R83" s="28"/>
      <c r="S83" s="27">
        <f>ROUND(SUM(S80:S82),5)</f>
        <v>824.22</v>
      </c>
      <c r="T83" s="28"/>
      <c r="U83" s="27">
        <f>ROUND(SUM(U80:U82),5)</f>
        <v>51.81</v>
      </c>
      <c r="V83" s="28"/>
      <c r="W83" s="27">
        <f>ROUND(SUM(W80:W82),5)</f>
        <v>55.69</v>
      </c>
      <c r="X83" s="28"/>
      <c r="Y83" s="27">
        <f>ROUND(SUM(Y80:Y82),5)</f>
        <v>51.69</v>
      </c>
      <c r="Z83" s="28"/>
      <c r="AA83" s="27">
        <f>ROUND(SUM(AA80:AA82),5)</f>
        <v>50</v>
      </c>
      <c r="AB83" s="27"/>
      <c r="AC83" s="27"/>
      <c r="AD83" s="27"/>
      <c r="AE83" s="27"/>
      <c r="AF83" s="28"/>
      <c r="AG83" s="27">
        <f>ROUND(SUM(I83:AE83),5)</f>
        <v>1817.96</v>
      </c>
    </row>
    <row r="84" spans="1:33" s="29" customFormat="1" ht="14.1" customHeight="1" x14ac:dyDescent="0.25">
      <c r="A84" s="26"/>
      <c r="B84" s="26"/>
      <c r="C84" s="26"/>
      <c r="D84" s="26"/>
      <c r="E84" s="26"/>
      <c r="F84" s="26" t="s">
        <v>93</v>
      </c>
      <c r="G84" s="26"/>
      <c r="H84" s="26"/>
      <c r="I84" s="27"/>
      <c r="J84" s="28"/>
      <c r="K84" s="27"/>
      <c r="L84" s="28"/>
      <c r="M84" s="27"/>
      <c r="N84" s="28"/>
      <c r="O84" s="27"/>
      <c r="P84" s="28"/>
      <c r="Q84" s="27"/>
      <c r="R84" s="28"/>
      <c r="S84" s="27"/>
      <c r="T84" s="28"/>
      <c r="U84" s="27"/>
      <c r="V84" s="28"/>
      <c r="W84" s="27"/>
      <c r="X84" s="28"/>
      <c r="Y84" s="27"/>
      <c r="Z84" s="28"/>
      <c r="AA84" s="27"/>
      <c r="AB84" s="27"/>
      <c r="AC84" s="27"/>
      <c r="AD84" s="27"/>
      <c r="AE84" s="27"/>
      <c r="AF84" s="28"/>
      <c r="AG84" s="27"/>
    </row>
    <row r="85" spans="1:33" s="29" customFormat="1" ht="14.1" customHeight="1" x14ac:dyDescent="0.25">
      <c r="A85" s="26"/>
      <c r="B85" s="26"/>
      <c r="C85" s="26"/>
      <c r="D85" s="26"/>
      <c r="E85" s="26"/>
      <c r="F85" s="26"/>
      <c r="G85" s="26" t="s">
        <v>94</v>
      </c>
      <c r="H85" s="26"/>
      <c r="I85" s="27">
        <v>254.56</v>
      </c>
      <c r="J85" s="28"/>
      <c r="K85" s="27">
        <v>331.2</v>
      </c>
      <c r="L85" s="28"/>
      <c r="M85" s="27">
        <v>310.5</v>
      </c>
      <c r="N85" s="28"/>
      <c r="O85" s="27">
        <v>382.4</v>
      </c>
      <c r="P85" s="28"/>
      <c r="Q85" s="27">
        <v>301.08999999999997</v>
      </c>
      <c r="R85" s="28"/>
      <c r="S85" s="27">
        <v>405.26</v>
      </c>
      <c r="T85" s="28"/>
      <c r="U85" s="27">
        <v>308.06</v>
      </c>
      <c r="V85" s="28"/>
      <c r="W85" s="27">
        <v>288.08</v>
      </c>
      <c r="X85" s="28"/>
      <c r="Y85" s="27">
        <v>152.47</v>
      </c>
      <c r="Z85" s="28"/>
      <c r="AA85" s="27">
        <v>244.85</v>
      </c>
      <c r="AB85" s="27"/>
      <c r="AC85" s="27"/>
      <c r="AD85" s="27"/>
      <c r="AE85" s="27"/>
      <c r="AF85" s="28"/>
      <c r="AG85" s="27">
        <f t="shared" ref="AG85:AG92" si="5">ROUND(SUM(I85:AE85),5)</f>
        <v>2978.47</v>
      </c>
    </row>
    <row r="86" spans="1:33" s="44" customFormat="1" ht="14.1" customHeight="1" x14ac:dyDescent="0.25">
      <c r="A86" s="42"/>
      <c r="B86" s="42"/>
      <c r="C86" s="42"/>
      <c r="D86" s="42"/>
      <c r="E86" s="42"/>
      <c r="F86" s="42"/>
      <c r="G86" s="42" t="s">
        <v>95</v>
      </c>
      <c r="H86" s="42"/>
      <c r="I86" s="41">
        <v>0</v>
      </c>
      <c r="J86" s="43"/>
      <c r="K86" s="41">
        <v>0</v>
      </c>
      <c r="L86" s="43"/>
      <c r="M86" s="41">
        <v>232</v>
      </c>
      <c r="N86" s="43"/>
      <c r="O86" s="41">
        <v>0</v>
      </c>
      <c r="P86" s="43"/>
      <c r="Q86" s="41">
        <v>0</v>
      </c>
      <c r="R86" s="43"/>
      <c r="S86" s="41">
        <v>0</v>
      </c>
      <c r="T86" s="43"/>
      <c r="U86" s="41">
        <v>0</v>
      </c>
      <c r="V86" s="43"/>
      <c r="W86" s="41">
        <v>0</v>
      </c>
      <c r="X86" s="43"/>
      <c r="Y86" s="41">
        <v>0</v>
      </c>
      <c r="Z86" s="43"/>
      <c r="AA86" s="41">
        <v>0</v>
      </c>
      <c r="AB86" s="41"/>
      <c r="AC86" s="41"/>
      <c r="AD86" s="41"/>
      <c r="AE86" s="41"/>
      <c r="AF86" s="43"/>
      <c r="AG86" s="41">
        <f t="shared" si="5"/>
        <v>232</v>
      </c>
    </row>
    <row r="87" spans="1:33" s="29" customFormat="1" ht="14.1" customHeight="1" x14ac:dyDescent="0.25">
      <c r="A87" s="26"/>
      <c r="B87" s="26"/>
      <c r="C87" s="26"/>
      <c r="D87" s="26"/>
      <c r="E87" s="26"/>
      <c r="F87" s="26"/>
      <c r="G87" s="26" t="s">
        <v>96</v>
      </c>
      <c r="H87" s="26"/>
      <c r="I87" s="27">
        <v>644.01</v>
      </c>
      <c r="J87" s="28"/>
      <c r="K87" s="27">
        <v>270.75</v>
      </c>
      <c r="L87" s="28"/>
      <c r="M87" s="27">
        <v>10</v>
      </c>
      <c r="N87" s="28"/>
      <c r="O87" s="27">
        <v>334.58</v>
      </c>
      <c r="P87" s="28"/>
      <c r="Q87" s="27">
        <v>20</v>
      </c>
      <c r="R87" s="28"/>
      <c r="S87" s="27">
        <v>0</v>
      </c>
      <c r="T87" s="28"/>
      <c r="U87" s="27">
        <v>35.880000000000003</v>
      </c>
      <c r="V87" s="28"/>
      <c r="W87" s="27">
        <v>58.45</v>
      </c>
      <c r="X87" s="28"/>
      <c r="Y87" s="27">
        <v>0</v>
      </c>
      <c r="Z87" s="28"/>
      <c r="AA87" s="27">
        <v>55.34</v>
      </c>
      <c r="AB87" s="27"/>
      <c r="AC87" s="27"/>
      <c r="AD87" s="27"/>
      <c r="AE87" s="27"/>
      <c r="AF87" s="28"/>
      <c r="AG87" s="27">
        <f t="shared" si="5"/>
        <v>1429.01</v>
      </c>
    </row>
    <row r="88" spans="1:33" s="29" customFormat="1" ht="14.1" customHeight="1" x14ac:dyDescent="0.25">
      <c r="A88" s="26"/>
      <c r="B88" s="26"/>
      <c r="C88" s="26"/>
      <c r="D88" s="26"/>
      <c r="E88" s="26"/>
      <c r="F88" s="26"/>
      <c r="G88" s="26" t="s">
        <v>97</v>
      </c>
      <c r="H88" s="26"/>
      <c r="I88" s="27">
        <v>0</v>
      </c>
      <c r="J88" s="28"/>
      <c r="K88" s="27">
        <v>0</v>
      </c>
      <c r="L88" s="28"/>
      <c r="M88" s="27">
        <v>61.46</v>
      </c>
      <c r="N88" s="28"/>
      <c r="O88" s="27">
        <v>0</v>
      </c>
      <c r="P88" s="28"/>
      <c r="Q88" s="27">
        <v>0</v>
      </c>
      <c r="R88" s="28"/>
      <c r="S88" s="27">
        <v>0</v>
      </c>
      <c r="T88" s="28"/>
      <c r="U88" s="27">
        <v>0</v>
      </c>
      <c r="V88" s="28"/>
      <c r="W88" s="27">
        <v>0</v>
      </c>
      <c r="X88" s="28"/>
      <c r="Y88" s="27">
        <v>0</v>
      </c>
      <c r="Z88" s="28"/>
      <c r="AA88" s="27">
        <v>9</v>
      </c>
      <c r="AB88" s="27"/>
      <c r="AC88" s="27"/>
      <c r="AD88" s="27"/>
      <c r="AE88" s="27"/>
      <c r="AF88" s="28"/>
      <c r="AG88" s="27">
        <f t="shared" si="5"/>
        <v>70.459999999999994</v>
      </c>
    </row>
    <row r="89" spans="1:33" s="29" customFormat="1" ht="14.1" customHeight="1" x14ac:dyDescent="0.25">
      <c r="A89" s="26"/>
      <c r="B89" s="26"/>
      <c r="C89" s="26"/>
      <c r="D89" s="26"/>
      <c r="E89" s="26"/>
      <c r="F89" s="26"/>
      <c r="G89" s="26" t="s">
        <v>98</v>
      </c>
      <c r="H89" s="26"/>
      <c r="I89" s="27">
        <v>0</v>
      </c>
      <c r="J89" s="28"/>
      <c r="K89" s="27">
        <v>29.88</v>
      </c>
      <c r="L89" s="28"/>
      <c r="M89" s="27">
        <v>24.7</v>
      </c>
      <c r="N89" s="28"/>
      <c r="O89" s="27">
        <v>0</v>
      </c>
      <c r="P89" s="28"/>
      <c r="Q89" s="27">
        <v>0</v>
      </c>
      <c r="R89" s="28"/>
      <c r="S89" s="27">
        <v>0</v>
      </c>
      <c r="T89" s="28"/>
      <c r="U89" s="27">
        <v>0</v>
      </c>
      <c r="V89" s="28"/>
      <c r="W89" s="27">
        <v>0</v>
      </c>
      <c r="X89" s="28"/>
      <c r="Y89" s="27">
        <v>57</v>
      </c>
      <c r="Z89" s="28"/>
      <c r="AA89" s="27">
        <v>0</v>
      </c>
      <c r="AB89" s="27"/>
      <c r="AC89" s="27"/>
      <c r="AD89" s="27"/>
      <c r="AE89" s="27"/>
      <c r="AF89" s="28"/>
      <c r="AG89" s="27">
        <f t="shared" si="5"/>
        <v>111.58</v>
      </c>
    </row>
    <row r="90" spans="1:33" s="29" customFormat="1" ht="14.1" customHeight="1" thickBot="1" x14ac:dyDescent="0.3">
      <c r="A90" s="26"/>
      <c r="B90" s="26"/>
      <c r="C90" s="26"/>
      <c r="D90" s="26"/>
      <c r="E90" s="26"/>
      <c r="F90" s="26"/>
      <c r="G90" s="26" t="s">
        <v>99</v>
      </c>
      <c r="H90" s="26"/>
      <c r="I90" s="31">
        <v>14</v>
      </c>
      <c r="J90" s="28"/>
      <c r="K90" s="31">
        <v>18</v>
      </c>
      <c r="L90" s="28"/>
      <c r="M90" s="31">
        <v>10</v>
      </c>
      <c r="N90" s="28"/>
      <c r="O90" s="31">
        <v>51</v>
      </c>
      <c r="P90" s="28"/>
      <c r="Q90" s="31">
        <v>7</v>
      </c>
      <c r="R90" s="28"/>
      <c r="S90" s="31">
        <v>28</v>
      </c>
      <c r="T90" s="28"/>
      <c r="U90" s="31">
        <v>16</v>
      </c>
      <c r="V90" s="28"/>
      <c r="W90" s="31">
        <v>6</v>
      </c>
      <c r="X90" s="28"/>
      <c r="Y90" s="31">
        <v>6</v>
      </c>
      <c r="Z90" s="28"/>
      <c r="AA90" s="31">
        <v>56</v>
      </c>
      <c r="AB90" s="31"/>
      <c r="AC90" s="31"/>
      <c r="AD90" s="31"/>
      <c r="AE90" s="31"/>
      <c r="AF90" s="28"/>
      <c r="AG90" s="31">
        <f t="shared" si="5"/>
        <v>212</v>
      </c>
    </row>
    <row r="91" spans="1:33" s="29" customFormat="1" ht="14.1" customHeight="1" thickBot="1" x14ac:dyDescent="0.3">
      <c r="A91" s="26"/>
      <c r="B91" s="26"/>
      <c r="C91" s="26"/>
      <c r="D91" s="26"/>
      <c r="E91" s="26"/>
      <c r="F91" s="26" t="s">
        <v>100</v>
      </c>
      <c r="G91" s="26"/>
      <c r="H91" s="26"/>
      <c r="I91" s="49">
        <f>ROUND(SUM(I84:I90),5)</f>
        <v>912.57</v>
      </c>
      <c r="J91" s="28"/>
      <c r="K91" s="49">
        <f>ROUND(SUM(K84:K90),5)</f>
        <v>649.83000000000004</v>
      </c>
      <c r="L91" s="28"/>
      <c r="M91" s="49">
        <f>ROUND(SUM(M84:M90),5)</f>
        <v>648.66</v>
      </c>
      <c r="N91" s="28"/>
      <c r="O91" s="49">
        <f>ROUND(SUM(O84:O90),5)</f>
        <v>767.98</v>
      </c>
      <c r="P91" s="28"/>
      <c r="Q91" s="49">
        <f>ROUND(SUM(Q84:Q90),5)</f>
        <v>328.09</v>
      </c>
      <c r="R91" s="28"/>
      <c r="S91" s="49">
        <f>ROUND(SUM(S84:S90),5)</f>
        <v>433.26</v>
      </c>
      <c r="T91" s="28"/>
      <c r="U91" s="49">
        <f>ROUND(SUM(U84:U90),5)</f>
        <v>359.94</v>
      </c>
      <c r="V91" s="28"/>
      <c r="W91" s="49">
        <f>ROUND(SUM(W84:W90),5)</f>
        <v>352.53</v>
      </c>
      <c r="X91" s="28"/>
      <c r="Y91" s="49">
        <f>ROUND(SUM(Y84:Y90),5)</f>
        <v>215.47</v>
      </c>
      <c r="Z91" s="28"/>
      <c r="AA91" s="49">
        <f>ROUND(SUM(AA84:AA90),5)</f>
        <v>365.19</v>
      </c>
      <c r="AB91" s="31"/>
      <c r="AC91" s="31"/>
      <c r="AD91" s="31"/>
      <c r="AE91" s="31"/>
      <c r="AF91" s="28"/>
      <c r="AG91" s="49">
        <f t="shared" si="5"/>
        <v>5033.5200000000004</v>
      </c>
    </row>
    <row r="92" spans="1:33" s="29" customFormat="1" x14ac:dyDescent="0.25">
      <c r="A92" s="26"/>
      <c r="B92" s="26"/>
      <c r="C92" s="26"/>
      <c r="D92" s="26"/>
      <c r="E92" s="26" t="s">
        <v>101</v>
      </c>
      <c r="F92" s="26"/>
      <c r="G92" s="26"/>
      <c r="H92" s="26"/>
      <c r="I92" s="27">
        <f>ROUND(SUM(I44:I45)+SUM(I51:I52)+SUM(I58:I62)+SUM(I66:I71)+I79+I83+I91,5)</f>
        <v>11835.2</v>
      </c>
      <c r="J92" s="28"/>
      <c r="K92" s="27">
        <f>ROUND(SUM(K44:K45)+SUM(K51:K52)+SUM(K58:K62)+SUM(K66:K71)+K79+K83+K91,5)</f>
        <v>12599.64</v>
      </c>
      <c r="L92" s="28"/>
      <c r="M92" s="27">
        <f>ROUND(SUM(M44:M45)+SUM(M51:M52)+SUM(M58:M62)+SUM(M66:M71)+M79+M83+M91,5)</f>
        <v>11792.58</v>
      </c>
      <c r="N92" s="28"/>
      <c r="O92" s="27">
        <f>ROUND(SUM(O44:O45)+SUM(O51:O52)+SUM(O58:O62)+SUM(O66:O71)+O79+O83+O91,5)</f>
        <v>11778.33</v>
      </c>
      <c r="P92" s="28"/>
      <c r="Q92" s="27">
        <f>ROUND(SUM(Q44:Q45)+SUM(Q51:Q52)+SUM(Q58:Q62)+SUM(Q66:Q71)+Q79+Q83+Q91,5)</f>
        <v>19468.439999999999</v>
      </c>
      <c r="R92" s="28"/>
      <c r="S92" s="27">
        <f>ROUND(SUM(S44:S45)+SUM(S51:S52)+SUM(S58:S62)+SUM(S66:S71)+S79+S83+S91,5)</f>
        <v>13948.47</v>
      </c>
      <c r="T92" s="28"/>
      <c r="U92" s="27">
        <f>ROUND(SUM(U44:U45)+SUM(U51:U52)+SUM(U58:U62)+SUM(U66:U71)+U79+U83+U91,5)</f>
        <v>12050.7</v>
      </c>
      <c r="V92" s="28"/>
      <c r="W92" s="27">
        <f>ROUND(SUM(W44:W45)+SUM(W51:W52)+SUM(W58:W62)+SUM(W66:W71)+W79+W83+W91,5)</f>
        <v>12819.23</v>
      </c>
      <c r="X92" s="28"/>
      <c r="Y92" s="27">
        <f>ROUND(SUM(Y44:Y45)+SUM(Y51:Y52)+SUM(Y58:Y62)+SUM(Y66:Y71)+Y79+Y83+Y91,5)</f>
        <v>11456.08</v>
      </c>
      <c r="Z92" s="28"/>
      <c r="AA92" s="27">
        <f>ROUND(SUM(AA44:AA45)+SUM(AA51:AA52)+SUM(AA58:AA62)+SUM(AA66:AA71)+AA79+AA83+AA91,5)</f>
        <v>18118.87</v>
      </c>
      <c r="AB92" s="27"/>
      <c r="AC92" s="27"/>
      <c r="AD92" s="27"/>
      <c r="AE92" s="27"/>
      <c r="AF92" s="28"/>
      <c r="AG92" s="27">
        <f t="shared" si="5"/>
        <v>135867.54</v>
      </c>
    </row>
    <row r="93" spans="1:33" x14ac:dyDescent="0.25">
      <c r="A93" s="1"/>
      <c r="B93" s="1"/>
      <c r="C93" s="1"/>
      <c r="D93" s="1"/>
      <c r="E93" s="1" t="s">
        <v>102</v>
      </c>
      <c r="F93" s="1"/>
      <c r="G93" s="1"/>
      <c r="H93" s="1"/>
      <c r="I93" s="2"/>
      <c r="J93" s="3"/>
      <c r="K93" s="2"/>
      <c r="L93" s="3"/>
      <c r="M93" s="2"/>
      <c r="N93" s="3"/>
      <c r="O93" s="2"/>
      <c r="P93" s="3"/>
      <c r="Q93" s="2"/>
      <c r="R93" s="3"/>
      <c r="S93" s="2"/>
      <c r="T93" s="3"/>
      <c r="U93" s="2"/>
      <c r="V93" s="3"/>
      <c r="W93" s="2"/>
      <c r="X93" s="3"/>
      <c r="Y93" s="2"/>
      <c r="Z93" s="3"/>
      <c r="AA93" s="2"/>
      <c r="AB93" s="2"/>
      <c r="AC93" s="2"/>
      <c r="AD93" s="2"/>
      <c r="AE93" s="2"/>
      <c r="AF93" s="3"/>
      <c r="AG93" s="2"/>
    </row>
    <row r="94" spans="1:33" x14ac:dyDescent="0.25">
      <c r="A94" s="1"/>
      <c r="B94" s="1"/>
      <c r="C94" s="1"/>
      <c r="D94" s="1"/>
      <c r="E94" s="1"/>
      <c r="F94" s="1" t="s">
        <v>103</v>
      </c>
      <c r="G94" s="1"/>
      <c r="H94" s="1"/>
      <c r="I94" s="2">
        <v>0</v>
      </c>
      <c r="J94" s="3"/>
      <c r="K94" s="2">
        <v>0</v>
      </c>
      <c r="L94" s="3"/>
      <c r="M94" s="2">
        <v>0</v>
      </c>
      <c r="N94" s="3"/>
      <c r="O94" s="2">
        <v>0</v>
      </c>
      <c r="P94" s="3"/>
      <c r="Q94" s="2">
        <v>0</v>
      </c>
      <c r="R94" s="3"/>
      <c r="S94" s="2">
        <v>0</v>
      </c>
      <c r="T94" s="3"/>
      <c r="U94" s="2">
        <v>0</v>
      </c>
      <c r="V94" s="3"/>
      <c r="W94" s="2">
        <v>0</v>
      </c>
      <c r="X94" s="3"/>
      <c r="Y94" s="2">
        <v>4704</v>
      </c>
      <c r="Z94" s="3"/>
      <c r="AA94" s="2">
        <v>0</v>
      </c>
      <c r="AB94" s="2"/>
      <c r="AC94" s="2"/>
      <c r="AD94" s="2"/>
      <c r="AE94" s="2"/>
      <c r="AF94" s="3"/>
      <c r="AG94" s="2">
        <f t="shared" ref="AG94:AG100" si="6">ROUND(SUM(I94:AE94),5)</f>
        <v>4704</v>
      </c>
    </row>
    <row r="95" spans="1:33" x14ac:dyDescent="0.25">
      <c r="A95" s="1"/>
      <c r="B95" s="1"/>
      <c r="C95" s="1"/>
      <c r="D95" s="1"/>
      <c r="E95" s="1"/>
      <c r="F95" s="1" t="s">
        <v>104</v>
      </c>
      <c r="G95" s="1"/>
      <c r="H95" s="1"/>
      <c r="I95" s="2">
        <v>0</v>
      </c>
      <c r="J95" s="3"/>
      <c r="K95" s="2">
        <v>0</v>
      </c>
      <c r="L95" s="3"/>
      <c r="M95" s="2">
        <v>0</v>
      </c>
      <c r="N95" s="3"/>
      <c r="O95" s="2">
        <v>0</v>
      </c>
      <c r="P95" s="3"/>
      <c r="Q95" s="2">
        <v>0</v>
      </c>
      <c r="R95" s="3"/>
      <c r="S95" s="2">
        <v>0</v>
      </c>
      <c r="T95" s="3"/>
      <c r="U95" s="2">
        <v>0</v>
      </c>
      <c r="V95" s="3"/>
      <c r="W95" s="2">
        <v>0</v>
      </c>
      <c r="X95" s="3"/>
      <c r="Y95" s="2">
        <v>1000</v>
      </c>
      <c r="Z95" s="3"/>
      <c r="AA95" s="2">
        <v>0</v>
      </c>
      <c r="AB95" s="2"/>
      <c r="AC95" s="2"/>
      <c r="AD95" s="2"/>
      <c r="AE95" s="2"/>
      <c r="AF95" s="3"/>
      <c r="AG95" s="2">
        <f t="shared" si="6"/>
        <v>1000</v>
      </c>
    </row>
    <row r="96" spans="1:33" x14ac:dyDescent="0.25">
      <c r="A96" s="1"/>
      <c r="B96" s="1"/>
      <c r="C96" s="1"/>
      <c r="D96" s="1"/>
      <c r="E96" s="1"/>
      <c r="F96" s="1" t="s">
        <v>105</v>
      </c>
      <c r="G96" s="1"/>
      <c r="H96" s="1"/>
      <c r="I96" s="2">
        <v>0</v>
      </c>
      <c r="J96" s="3"/>
      <c r="K96" s="2">
        <v>0</v>
      </c>
      <c r="L96" s="3"/>
      <c r="M96" s="2">
        <v>0</v>
      </c>
      <c r="N96" s="3"/>
      <c r="O96" s="2">
        <v>0</v>
      </c>
      <c r="P96" s="3"/>
      <c r="Q96" s="2">
        <v>0</v>
      </c>
      <c r="R96" s="3"/>
      <c r="S96" s="2">
        <v>0</v>
      </c>
      <c r="T96" s="3"/>
      <c r="U96" s="2">
        <v>0</v>
      </c>
      <c r="V96" s="3"/>
      <c r="W96" s="2">
        <v>27.48</v>
      </c>
      <c r="X96" s="3"/>
      <c r="Y96" s="2">
        <v>712.22</v>
      </c>
      <c r="Z96" s="3"/>
      <c r="AA96" s="2">
        <v>0</v>
      </c>
      <c r="AB96" s="2"/>
      <c r="AC96" s="2"/>
      <c r="AD96" s="2"/>
      <c r="AE96" s="2"/>
      <c r="AF96" s="3"/>
      <c r="AG96" s="2">
        <f t="shared" si="6"/>
        <v>739.7</v>
      </c>
    </row>
    <row r="97" spans="1:33" x14ac:dyDescent="0.25">
      <c r="A97" s="1"/>
      <c r="B97" s="1"/>
      <c r="C97" s="1"/>
      <c r="D97" s="1"/>
      <c r="E97" s="1"/>
      <c r="F97" s="1" t="s">
        <v>106</v>
      </c>
      <c r="G97" s="1"/>
      <c r="H97" s="1"/>
      <c r="I97" s="2">
        <v>250</v>
      </c>
      <c r="J97" s="3"/>
      <c r="K97" s="2">
        <v>0</v>
      </c>
      <c r="L97" s="3"/>
      <c r="M97" s="2">
        <v>0</v>
      </c>
      <c r="N97" s="3"/>
      <c r="O97" s="2">
        <v>0</v>
      </c>
      <c r="P97" s="3"/>
      <c r="Q97" s="2">
        <v>0</v>
      </c>
      <c r="R97" s="3"/>
      <c r="S97" s="2">
        <v>0</v>
      </c>
      <c r="T97" s="3"/>
      <c r="U97" s="2">
        <v>0</v>
      </c>
      <c r="V97" s="3"/>
      <c r="W97" s="2">
        <v>0</v>
      </c>
      <c r="X97" s="3"/>
      <c r="Y97" s="2">
        <v>0</v>
      </c>
      <c r="Z97" s="3"/>
      <c r="AA97" s="2">
        <v>0</v>
      </c>
      <c r="AB97" s="2"/>
      <c r="AC97" s="2"/>
      <c r="AD97" s="2"/>
      <c r="AE97" s="2"/>
      <c r="AF97" s="3"/>
      <c r="AG97" s="2">
        <f t="shared" si="6"/>
        <v>250</v>
      </c>
    </row>
    <row r="98" spans="1:33" x14ac:dyDescent="0.25">
      <c r="A98" s="1"/>
      <c r="B98" s="1"/>
      <c r="C98" s="1"/>
      <c r="D98" s="1"/>
      <c r="E98" s="1"/>
      <c r="F98" s="1" t="s">
        <v>107</v>
      </c>
      <c r="G98" s="1"/>
      <c r="H98" s="1"/>
      <c r="I98" s="2">
        <v>0</v>
      </c>
      <c r="J98" s="3"/>
      <c r="K98" s="2">
        <v>0</v>
      </c>
      <c r="L98" s="3"/>
      <c r="M98" s="2">
        <v>0</v>
      </c>
      <c r="N98" s="3"/>
      <c r="O98" s="2">
        <v>27.2</v>
      </c>
      <c r="P98" s="3"/>
      <c r="Q98" s="2">
        <v>98</v>
      </c>
      <c r="R98" s="3"/>
      <c r="S98" s="2">
        <v>0</v>
      </c>
      <c r="T98" s="3"/>
      <c r="U98" s="2">
        <v>117.6</v>
      </c>
      <c r="V98" s="3"/>
      <c r="W98" s="2">
        <v>135.22999999999999</v>
      </c>
      <c r="X98" s="3"/>
      <c r="Y98" s="2">
        <v>250</v>
      </c>
      <c r="Z98" s="3"/>
      <c r="AA98" s="2">
        <v>0</v>
      </c>
      <c r="AB98" s="2"/>
      <c r="AC98" s="2"/>
      <c r="AD98" s="2"/>
      <c r="AE98" s="2"/>
      <c r="AF98" s="3"/>
      <c r="AG98" s="2">
        <f t="shared" si="6"/>
        <v>628.03</v>
      </c>
    </row>
    <row r="99" spans="1:33" ht="15.75" thickBot="1" x14ac:dyDescent="0.3">
      <c r="A99" s="1"/>
      <c r="B99" s="1"/>
      <c r="C99" s="1"/>
      <c r="D99" s="1"/>
      <c r="E99" s="1"/>
      <c r="F99" s="1" t="s">
        <v>108</v>
      </c>
      <c r="G99" s="1"/>
      <c r="H99" s="1"/>
      <c r="I99" s="4">
        <v>0</v>
      </c>
      <c r="J99" s="3"/>
      <c r="K99" s="4">
        <v>0</v>
      </c>
      <c r="L99" s="3"/>
      <c r="M99" s="4">
        <v>0</v>
      </c>
      <c r="N99" s="3"/>
      <c r="O99" s="4">
        <v>0</v>
      </c>
      <c r="P99" s="3"/>
      <c r="Q99" s="4">
        <v>0</v>
      </c>
      <c r="R99" s="3"/>
      <c r="S99" s="4">
        <v>0</v>
      </c>
      <c r="T99" s="3"/>
      <c r="U99" s="4">
        <v>496.64</v>
      </c>
      <c r="V99" s="3"/>
      <c r="W99" s="4">
        <v>0</v>
      </c>
      <c r="X99" s="3"/>
      <c r="Y99" s="4">
        <v>0</v>
      </c>
      <c r="Z99" s="3"/>
      <c r="AA99" s="4">
        <v>0</v>
      </c>
      <c r="AB99" s="5"/>
      <c r="AC99" s="5"/>
      <c r="AD99" s="5"/>
      <c r="AE99" s="5"/>
      <c r="AF99" s="3"/>
      <c r="AG99" s="4">
        <f t="shared" si="6"/>
        <v>496.64</v>
      </c>
    </row>
    <row r="100" spans="1:33" x14ac:dyDescent="0.25">
      <c r="A100" s="1"/>
      <c r="B100" s="1"/>
      <c r="C100" s="1"/>
      <c r="D100" s="1"/>
      <c r="E100" s="1" t="s">
        <v>109</v>
      </c>
      <c r="F100" s="1"/>
      <c r="G100" s="1"/>
      <c r="H100" s="1"/>
      <c r="I100" s="2">
        <f>ROUND(SUM(I93:I99),5)</f>
        <v>250</v>
      </c>
      <c r="J100" s="3"/>
      <c r="K100" s="2">
        <f>ROUND(SUM(K93:K99),5)</f>
        <v>0</v>
      </c>
      <c r="L100" s="3"/>
      <c r="M100" s="2">
        <f>ROUND(SUM(M93:M99),5)</f>
        <v>0</v>
      </c>
      <c r="N100" s="3"/>
      <c r="O100" s="2">
        <f>ROUND(SUM(O93:O99),5)</f>
        <v>27.2</v>
      </c>
      <c r="P100" s="3"/>
      <c r="Q100" s="2">
        <f>ROUND(SUM(Q93:Q99),5)</f>
        <v>98</v>
      </c>
      <c r="R100" s="3"/>
      <c r="S100" s="2">
        <f>ROUND(SUM(S93:S99),5)</f>
        <v>0</v>
      </c>
      <c r="T100" s="3"/>
      <c r="U100" s="2">
        <f>ROUND(SUM(U93:U99),5)</f>
        <v>614.24</v>
      </c>
      <c r="V100" s="3"/>
      <c r="W100" s="2">
        <f>ROUND(SUM(W93:W99),5)</f>
        <v>162.71</v>
      </c>
      <c r="X100" s="3"/>
      <c r="Y100" s="2">
        <f>ROUND(SUM(Y93:Y99),5)</f>
        <v>6666.22</v>
      </c>
      <c r="Z100" s="3"/>
      <c r="AA100" s="2">
        <f>ROUND(SUM(AA93:AA99),5)</f>
        <v>0</v>
      </c>
      <c r="AB100" s="2"/>
      <c r="AC100" s="2"/>
      <c r="AD100" s="2"/>
      <c r="AE100" s="2"/>
      <c r="AF100" s="3"/>
      <c r="AG100" s="2">
        <f t="shared" si="6"/>
        <v>7818.37</v>
      </c>
    </row>
    <row r="101" spans="1:33" s="29" customFormat="1" x14ac:dyDescent="0.25">
      <c r="A101" s="26"/>
      <c r="B101" s="26"/>
      <c r="C101" s="26"/>
      <c r="D101" s="26"/>
      <c r="E101" s="26" t="s">
        <v>110</v>
      </c>
      <c r="F101" s="26"/>
      <c r="G101" s="26"/>
      <c r="H101" s="26"/>
      <c r="I101" s="27"/>
      <c r="J101" s="28"/>
      <c r="K101" s="27"/>
      <c r="L101" s="28"/>
      <c r="M101" s="27"/>
      <c r="N101" s="28"/>
      <c r="O101" s="27"/>
      <c r="P101" s="28"/>
      <c r="Q101" s="27"/>
      <c r="R101" s="28"/>
      <c r="S101" s="27"/>
      <c r="T101" s="28"/>
      <c r="U101" s="27"/>
      <c r="V101" s="28"/>
      <c r="W101" s="27"/>
      <c r="X101" s="28"/>
      <c r="Y101" s="27"/>
      <c r="Z101" s="28"/>
      <c r="AA101" s="27"/>
      <c r="AB101" s="27"/>
      <c r="AC101" s="27"/>
      <c r="AD101" s="27"/>
      <c r="AE101" s="27"/>
      <c r="AF101" s="28"/>
      <c r="AG101" s="27"/>
    </row>
    <row r="102" spans="1:33" s="29" customFormat="1" x14ac:dyDescent="0.25">
      <c r="A102" s="26"/>
      <c r="B102" s="26"/>
      <c r="C102" s="26"/>
      <c r="D102" s="26"/>
      <c r="E102" s="26"/>
      <c r="F102" s="26" t="s">
        <v>111</v>
      </c>
      <c r="G102" s="26"/>
      <c r="H102" s="26"/>
      <c r="I102" s="27">
        <v>115.98</v>
      </c>
      <c r="J102" s="28"/>
      <c r="K102" s="27">
        <v>58.91</v>
      </c>
      <c r="L102" s="28"/>
      <c r="M102" s="27">
        <v>20.9</v>
      </c>
      <c r="N102" s="28"/>
      <c r="O102" s="27">
        <v>87.97</v>
      </c>
      <c r="P102" s="28"/>
      <c r="Q102" s="27">
        <v>0</v>
      </c>
      <c r="R102" s="28"/>
      <c r="S102" s="27">
        <v>139.83000000000001</v>
      </c>
      <c r="T102" s="28"/>
      <c r="U102" s="27">
        <v>85.71</v>
      </c>
      <c r="V102" s="28"/>
      <c r="W102" s="27">
        <v>0</v>
      </c>
      <c r="X102" s="28"/>
      <c r="Y102" s="27">
        <v>0</v>
      </c>
      <c r="Z102" s="28"/>
      <c r="AA102" s="27">
        <v>30.57</v>
      </c>
      <c r="AB102" s="27"/>
      <c r="AC102" s="27"/>
      <c r="AD102" s="27"/>
      <c r="AE102" s="27"/>
      <c r="AF102" s="28"/>
      <c r="AG102" s="27">
        <f>ROUND(SUM(I102:AE102),5)</f>
        <v>539.87</v>
      </c>
    </row>
    <row r="103" spans="1:33" s="29" customFormat="1" x14ac:dyDescent="0.25">
      <c r="A103" s="26"/>
      <c r="B103" s="26"/>
      <c r="C103" s="26"/>
      <c r="D103" s="26"/>
      <c r="E103" s="26"/>
      <c r="F103" s="26" t="s">
        <v>112</v>
      </c>
      <c r="G103" s="26"/>
      <c r="H103" s="26"/>
      <c r="I103" s="27">
        <v>59</v>
      </c>
      <c r="J103" s="28"/>
      <c r="K103" s="27">
        <v>1901.7</v>
      </c>
      <c r="L103" s="28"/>
      <c r="M103" s="27">
        <v>59</v>
      </c>
      <c r="N103" s="28"/>
      <c r="O103" s="27">
        <v>59</v>
      </c>
      <c r="P103" s="28"/>
      <c r="Q103" s="27">
        <v>59</v>
      </c>
      <c r="R103" s="28"/>
      <c r="S103" s="27">
        <v>333.85</v>
      </c>
      <c r="T103" s="28"/>
      <c r="U103" s="27">
        <v>59</v>
      </c>
      <c r="V103" s="28"/>
      <c r="W103" s="27">
        <v>82.6</v>
      </c>
      <c r="X103" s="28"/>
      <c r="Y103" s="27">
        <v>89.58</v>
      </c>
      <c r="Z103" s="28"/>
      <c r="AA103" s="27">
        <v>88</v>
      </c>
      <c r="AB103" s="27"/>
      <c r="AC103" s="27"/>
      <c r="AD103" s="27"/>
      <c r="AE103" s="27"/>
      <c r="AF103" s="28"/>
      <c r="AG103" s="27">
        <f>ROUND(SUM(I103:AE103),5)</f>
        <v>2790.73</v>
      </c>
    </row>
    <row r="104" spans="1:33" s="29" customFormat="1" x14ac:dyDescent="0.25">
      <c r="A104" s="26"/>
      <c r="B104" s="26"/>
      <c r="C104" s="26"/>
      <c r="D104" s="26"/>
      <c r="E104" s="26"/>
      <c r="F104" s="26" t="s">
        <v>113</v>
      </c>
      <c r="G104" s="26"/>
      <c r="H104" s="26"/>
      <c r="I104" s="27">
        <v>29.97</v>
      </c>
      <c r="J104" s="28"/>
      <c r="K104" s="27">
        <v>31.79</v>
      </c>
      <c r="L104" s="28"/>
      <c r="M104" s="27">
        <v>48.34</v>
      </c>
      <c r="N104" s="28"/>
      <c r="O104" s="27">
        <v>0</v>
      </c>
      <c r="P104" s="28"/>
      <c r="Q104" s="27">
        <v>204.44</v>
      </c>
      <c r="R104" s="28"/>
      <c r="S104" s="27">
        <v>69.400000000000006</v>
      </c>
      <c r="T104" s="28"/>
      <c r="U104" s="27">
        <v>15.78</v>
      </c>
      <c r="V104" s="28"/>
      <c r="W104" s="27">
        <v>54.16</v>
      </c>
      <c r="X104" s="28"/>
      <c r="Y104" s="27">
        <v>756.55</v>
      </c>
      <c r="Z104" s="28"/>
      <c r="AA104" s="27">
        <v>115.11</v>
      </c>
      <c r="AB104" s="27"/>
      <c r="AC104" s="27"/>
      <c r="AD104" s="27"/>
      <c r="AE104" s="27"/>
      <c r="AF104" s="28"/>
      <c r="AG104" s="27">
        <f>ROUND(SUM(I104:AE104),5)</f>
        <v>1325.54</v>
      </c>
    </row>
    <row r="105" spans="1:33" s="29" customFormat="1" x14ac:dyDescent="0.25">
      <c r="A105" s="26"/>
      <c r="B105" s="26"/>
      <c r="C105" s="26"/>
      <c r="D105" s="26"/>
      <c r="E105" s="26"/>
      <c r="F105" s="26" t="s">
        <v>114</v>
      </c>
      <c r="G105" s="26"/>
      <c r="H105" s="26"/>
      <c r="I105" s="27"/>
      <c r="J105" s="28"/>
      <c r="K105" s="27"/>
      <c r="L105" s="28"/>
      <c r="M105" s="27"/>
      <c r="N105" s="28"/>
      <c r="O105" s="27"/>
      <c r="P105" s="28"/>
      <c r="Q105" s="27"/>
      <c r="R105" s="28"/>
      <c r="S105" s="27"/>
      <c r="T105" s="28"/>
      <c r="U105" s="27"/>
      <c r="V105" s="28"/>
      <c r="W105" s="27"/>
      <c r="X105" s="28"/>
      <c r="Y105" s="27"/>
      <c r="Z105" s="28"/>
      <c r="AA105" s="27"/>
      <c r="AB105" s="27"/>
      <c r="AC105" s="27"/>
      <c r="AD105" s="27"/>
      <c r="AE105" s="27"/>
      <c r="AF105" s="28"/>
      <c r="AG105" s="27"/>
    </row>
    <row r="106" spans="1:33" s="29" customFormat="1" x14ac:dyDescent="0.25">
      <c r="A106" s="26"/>
      <c r="B106" s="26"/>
      <c r="C106" s="26"/>
      <c r="D106" s="26"/>
      <c r="E106" s="26"/>
      <c r="F106" s="26"/>
      <c r="G106" s="26" t="s">
        <v>115</v>
      </c>
      <c r="H106" s="26"/>
      <c r="I106" s="27">
        <v>28.71</v>
      </c>
      <c r="J106" s="28"/>
      <c r="K106" s="27">
        <v>107.97</v>
      </c>
      <c r="L106" s="28"/>
      <c r="M106" s="27">
        <v>0</v>
      </c>
      <c r="N106" s="28"/>
      <c r="O106" s="27">
        <v>0</v>
      </c>
      <c r="P106" s="28"/>
      <c r="Q106" s="27">
        <v>23.45</v>
      </c>
      <c r="R106" s="28"/>
      <c r="S106" s="27">
        <v>0</v>
      </c>
      <c r="T106" s="28"/>
      <c r="U106" s="27">
        <v>0</v>
      </c>
      <c r="V106" s="28"/>
      <c r="W106" s="27">
        <v>0</v>
      </c>
      <c r="X106" s="28"/>
      <c r="Y106" s="27">
        <v>0</v>
      </c>
      <c r="Z106" s="28"/>
      <c r="AA106" s="27">
        <v>0</v>
      </c>
      <c r="AB106" s="27"/>
      <c r="AC106" s="27"/>
      <c r="AD106" s="27"/>
      <c r="AE106" s="27"/>
      <c r="AF106" s="28"/>
      <c r="AG106" s="27">
        <f t="shared" ref="AG106:AG112" si="7">ROUND(SUM(I106:AE106),5)</f>
        <v>160.13</v>
      </c>
    </row>
    <row r="107" spans="1:33" s="29" customFormat="1" ht="15.75" thickBot="1" x14ac:dyDescent="0.3">
      <c r="A107" s="26"/>
      <c r="B107" s="26"/>
      <c r="C107" s="26"/>
      <c r="D107" s="26"/>
      <c r="E107" s="26"/>
      <c r="F107" s="26"/>
      <c r="G107" s="26" t="s">
        <v>116</v>
      </c>
      <c r="H107" s="26"/>
      <c r="I107" s="30">
        <v>0</v>
      </c>
      <c r="J107" s="28"/>
      <c r="K107" s="30">
        <v>35</v>
      </c>
      <c r="L107" s="28"/>
      <c r="M107" s="30">
        <v>0</v>
      </c>
      <c r="N107" s="28"/>
      <c r="O107" s="30">
        <v>0</v>
      </c>
      <c r="P107" s="28"/>
      <c r="Q107" s="30">
        <v>0</v>
      </c>
      <c r="R107" s="28"/>
      <c r="S107" s="30">
        <v>0</v>
      </c>
      <c r="T107" s="28"/>
      <c r="U107" s="30">
        <v>0</v>
      </c>
      <c r="V107" s="28"/>
      <c r="W107" s="30">
        <v>0</v>
      </c>
      <c r="X107" s="28"/>
      <c r="Y107" s="30">
        <v>0</v>
      </c>
      <c r="Z107" s="28"/>
      <c r="AA107" s="30">
        <v>363.34</v>
      </c>
      <c r="AB107" s="31"/>
      <c r="AC107" s="31"/>
      <c r="AD107" s="31"/>
      <c r="AE107" s="31"/>
      <c r="AF107" s="28"/>
      <c r="AG107" s="30">
        <f t="shared" si="7"/>
        <v>398.34</v>
      </c>
    </row>
    <row r="108" spans="1:33" s="29" customFormat="1" x14ac:dyDescent="0.25">
      <c r="A108" s="26"/>
      <c r="B108" s="26"/>
      <c r="C108" s="26"/>
      <c r="D108" s="26"/>
      <c r="E108" s="26"/>
      <c r="F108" s="26" t="s">
        <v>117</v>
      </c>
      <c r="G108" s="26"/>
      <c r="H108" s="26"/>
      <c r="I108" s="27">
        <f>ROUND(SUM(I105:I107),5)</f>
        <v>28.71</v>
      </c>
      <c r="J108" s="28"/>
      <c r="K108" s="27">
        <f>ROUND(SUM(K105:K107),5)</f>
        <v>142.97</v>
      </c>
      <c r="L108" s="28"/>
      <c r="M108" s="27">
        <f>ROUND(SUM(M105:M107),5)</f>
        <v>0</v>
      </c>
      <c r="N108" s="28"/>
      <c r="O108" s="27">
        <f>ROUND(SUM(O105:O107),5)</f>
        <v>0</v>
      </c>
      <c r="P108" s="28"/>
      <c r="Q108" s="27">
        <f>ROUND(SUM(Q105:Q107),5)</f>
        <v>23.45</v>
      </c>
      <c r="R108" s="28"/>
      <c r="S108" s="27">
        <f>ROUND(SUM(S105:S107),5)</f>
        <v>0</v>
      </c>
      <c r="T108" s="28"/>
      <c r="U108" s="27">
        <f>ROUND(SUM(U105:U107),5)</f>
        <v>0</v>
      </c>
      <c r="V108" s="28"/>
      <c r="W108" s="27">
        <f>ROUND(SUM(W105:W107),5)</f>
        <v>0</v>
      </c>
      <c r="X108" s="28"/>
      <c r="Y108" s="27">
        <f>ROUND(SUM(Y105:Y107),5)</f>
        <v>0</v>
      </c>
      <c r="Z108" s="28"/>
      <c r="AA108" s="27">
        <f>ROUND(SUM(AA105:AA107),5)</f>
        <v>363.34</v>
      </c>
      <c r="AB108" s="27"/>
      <c r="AC108" s="27"/>
      <c r="AD108" s="27"/>
      <c r="AE108" s="27"/>
      <c r="AF108" s="28"/>
      <c r="AG108" s="27">
        <f t="shared" si="7"/>
        <v>558.47</v>
      </c>
    </row>
    <row r="109" spans="1:33" s="29" customFormat="1" x14ac:dyDescent="0.25">
      <c r="A109" s="26"/>
      <c r="B109" s="26"/>
      <c r="C109" s="26"/>
      <c r="D109" s="26"/>
      <c r="E109" s="26"/>
      <c r="F109" s="26" t="s">
        <v>118</v>
      </c>
      <c r="G109" s="26"/>
      <c r="H109" s="26"/>
      <c r="I109" s="27">
        <v>111.32</v>
      </c>
      <c r="J109" s="28"/>
      <c r="K109" s="27">
        <v>40</v>
      </c>
      <c r="L109" s="28"/>
      <c r="M109" s="27">
        <v>80</v>
      </c>
      <c r="N109" s="28"/>
      <c r="O109" s="27">
        <v>40</v>
      </c>
      <c r="P109" s="28"/>
      <c r="Q109" s="27">
        <v>100</v>
      </c>
      <c r="R109" s="28"/>
      <c r="S109" s="27">
        <v>200</v>
      </c>
      <c r="T109" s="28"/>
      <c r="U109" s="27">
        <v>100</v>
      </c>
      <c r="V109" s="28"/>
      <c r="W109" s="27">
        <v>0</v>
      </c>
      <c r="X109" s="28"/>
      <c r="Y109" s="27">
        <v>0</v>
      </c>
      <c r="Z109" s="28"/>
      <c r="AA109" s="27">
        <v>100</v>
      </c>
      <c r="AB109" s="27"/>
      <c r="AC109" s="27"/>
      <c r="AD109" s="27"/>
      <c r="AE109" s="27"/>
      <c r="AF109" s="28"/>
      <c r="AG109" s="27">
        <f t="shared" si="7"/>
        <v>771.32</v>
      </c>
    </row>
    <row r="110" spans="1:33" s="29" customFormat="1" x14ac:dyDescent="0.25">
      <c r="A110" s="26"/>
      <c r="B110" s="26"/>
      <c r="C110" s="26"/>
      <c r="D110" s="26"/>
      <c r="E110" s="26"/>
      <c r="F110" s="26" t="s">
        <v>119</v>
      </c>
      <c r="G110" s="26"/>
      <c r="H110" s="26"/>
      <c r="I110" s="27">
        <v>75</v>
      </c>
      <c r="J110" s="28"/>
      <c r="K110" s="27">
        <v>0</v>
      </c>
      <c r="L110" s="28"/>
      <c r="M110" s="27">
        <v>0</v>
      </c>
      <c r="N110" s="28"/>
      <c r="O110" s="27">
        <v>0</v>
      </c>
      <c r="P110" s="28"/>
      <c r="Q110" s="27">
        <v>0</v>
      </c>
      <c r="R110" s="28"/>
      <c r="S110" s="27">
        <v>0</v>
      </c>
      <c r="T110" s="28"/>
      <c r="U110" s="27">
        <v>0</v>
      </c>
      <c r="V110" s="28"/>
      <c r="W110" s="27">
        <v>0</v>
      </c>
      <c r="X110" s="28"/>
      <c r="Y110" s="27">
        <v>0</v>
      </c>
      <c r="Z110" s="28"/>
      <c r="AA110" s="27">
        <v>0</v>
      </c>
      <c r="AB110" s="27"/>
      <c r="AC110" s="27"/>
      <c r="AD110" s="27"/>
      <c r="AE110" s="27"/>
      <c r="AF110" s="28"/>
      <c r="AG110" s="27">
        <f t="shared" si="7"/>
        <v>75</v>
      </c>
    </row>
    <row r="111" spans="1:33" s="29" customFormat="1" x14ac:dyDescent="0.25">
      <c r="A111" s="26"/>
      <c r="B111" s="26"/>
      <c r="C111" s="26"/>
      <c r="D111" s="26"/>
      <c r="E111" s="26"/>
      <c r="F111" s="26" t="s">
        <v>120</v>
      </c>
      <c r="G111" s="26"/>
      <c r="H111" s="26"/>
      <c r="I111" s="27">
        <v>1129</v>
      </c>
      <c r="J111" s="28"/>
      <c r="K111" s="27">
        <v>0</v>
      </c>
      <c r="L111" s="28"/>
      <c r="M111" s="27">
        <v>0</v>
      </c>
      <c r="N111" s="28"/>
      <c r="O111" s="27">
        <v>0</v>
      </c>
      <c r="P111" s="28"/>
      <c r="Q111" s="27">
        <v>0</v>
      </c>
      <c r="R111" s="28"/>
      <c r="S111" s="27">
        <v>0</v>
      </c>
      <c r="T111" s="28"/>
      <c r="U111" s="27">
        <v>0</v>
      </c>
      <c r="V111" s="28"/>
      <c r="W111" s="27">
        <v>0</v>
      </c>
      <c r="X111" s="28"/>
      <c r="Y111" s="27">
        <v>0</v>
      </c>
      <c r="Z111" s="28"/>
      <c r="AA111" s="27">
        <v>0</v>
      </c>
      <c r="AB111" s="27"/>
      <c r="AC111" s="27"/>
      <c r="AD111" s="27"/>
      <c r="AE111" s="27"/>
      <c r="AF111" s="28"/>
      <c r="AG111" s="27">
        <f t="shared" si="7"/>
        <v>1129</v>
      </c>
    </row>
    <row r="112" spans="1:33" s="29" customFormat="1" x14ac:dyDescent="0.25">
      <c r="A112" s="26"/>
      <c r="B112" s="26"/>
      <c r="C112" s="26"/>
      <c r="D112" s="26"/>
      <c r="E112" s="26"/>
      <c r="F112" s="26" t="s">
        <v>121</v>
      </c>
      <c r="G112" s="26"/>
      <c r="H112" s="26"/>
      <c r="I112" s="27">
        <v>0</v>
      </c>
      <c r="J112" s="28"/>
      <c r="K112" s="27">
        <v>0</v>
      </c>
      <c r="L112" s="28"/>
      <c r="M112" s="27">
        <v>0</v>
      </c>
      <c r="N112" s="28"/>
      <c r="O112" s="27">
        <v>0</v>
      </c>
      <c r="P112" s="28"/>
      <c r="Q112" s="27">
        <v>1475</v>
      </c>
      <c r="R112" s="28"/>
      <c r="S112" s="27">
        <v>0</v>
      </c>
      <c r="T112" s="28"/>
      <c r="U112" s="27">
        <v>0</v>
      </c>
      <c r="V112" s="28"/>
      <c r="W112" s="27">
        <v>0</v>
      </c>
      <c r="X112" s="28"/>
      <c r="Y112" s="27">
        <v>0</v>
      </c>
      <c r="Z112" s="28"/>
      <c r="AA112" s="27">
        <v>0</v>
      </c>
      <c r="AB112" s="27"/>
      <c r="AC112" s="27"/>
      <c r="AD112" s="27"/>
      <c r="AE112" s="27"/>
      <c r="AF112" s="28"/>
      <c r="AG112" s="27">
        <f t="shared" si="7"/>
        <v>1475</v>
      </c>
    </row>
    <row r="113" spans="1:33" s="29" customFormat="1" x14ac:dyDescent="0.25">
      <c r="A113" s="26"/>
      <c r="B113" s="26"/>
      <c r="C113" s="26"/>
      <c r="D113" s="26"/>
      <c r="E113" s="26"/>
      <c r="F113" s="26" t="s">
        <v>122</v>
      </c>
      <c r="G113" s="26"/>
      <c r="H113" s="26"/>
      <c r="I113" s="27"/>
      <c r="J113" s="28"/>
      <c r="K113" s="27"/>
      <c r="L113" s="28"/>
      <c r="M113" s="27"/>
      <c r="N113" s="28"/>
      <c r="O113" s="27"/>
      <c r="P113" s="28"/>
      <c r="Q113" s="27"/>
      <c r="R113" s="28"/>
      <c r="S113" s="27"/>
      <c r="T113" s="28"/>
      <c r="U113" s="27"/>
      <c r="V113" s="28"/>
      <c r="W113" s="27"/>
      <c r="X113" s="28"/>
      <c r="Y113" s="27"/>
      <c r="Z113" s="28"/>
      <c r="AA113" s="27"/>
      <c r="AB113" s="27"/>
      <c r="AC113" s="27"/>
      <c r="AD113" s="27"/>
      <c r="AE113" s="27"/>
      <c r="AF113" s="28"/>
      <c r="AG113" s="27"/>
    </row>
    <row r="114" spans="1:33" s="29" customFormat="1" ht="15" customHeight="1" x14ac:dyDescent="0.25">
      <c r="A114" s="26"/>
      <c r="B114" s="26"/>
      <c r="C114" s="26"/>
      <c r="D114" s="26"/>
      <c r="E114" s="26"/>
      <c r="F114" s="26"/>
      <c r="G114" s="26" t="s">
        <v>123</v>
      </c>
      <c r="H114" s="26"/>
      <c r="I114" s="27">
        <v>156.01</v>
      </c>
      <c r="J114" s="28"/>
      <c r="K114" s="27">
        <v>161.99</v>
      </c>
      <c r="L114" s="28"/>
      <c r="M114" s="27">
        <v>332.42</v>
      </c>
      <c r="N114" s="28"/>
      <c r="O114" s="27">
        <v>84.3</v>
      </c>
      <c r="P114" s="28"/>
      <c r="Q114" s="27">
        <v>104.74</v>
      </c>
      <c r="R114" s="28"/>
      <c r="S114" s="27">
        <v>106.88</v>
      </c>
      <c r="T114" s="28"/>
      <c r="U114" s="27">
        <v>95.4</v>
      </c>
      <c r="V114" s="28"/>
      <c r="W114" s="27">
        <v>46.4</v>
      </c>
      <c r="X114" s="28"/>
      <c r="Y114" s="27">
        <v>13.6</v>
      </c>
      <c r="Z114" s="28"/>
      <c r="AA114" s="27">
        <v>111.25</v>
      </c>
      <c r="AB114" s="27"/>
      <c r="AC114" s="27"/>
      <c r="AD114" s="27"/>
      <c r="AE114" s="27"/>
      <c r="AF114" s="28"/>
      <c r="AG114" s="27">
        <f>ROUND(SUM(I114:AE114),5)</f>
        <v>1212.99</v>
      </c>
    </row>
    <row r="115" spans="1:33" s="44" customFormat="1" x14ac:dyDescent="0.25">
      <c r="A115" s="42"/>
      <c r="B115" s="42"/>
      <c r="C115" s="42"/>
      <c r="D115" s="42"/>
      <c r="E115" s="42"/>
      <c r="F115" s="42"/>
      <c r="G115" s="42" t="s">
        <v>124</v>
      </c>
      <c r="H115" s="42"/>
      <c r="I115" s="41">
        <v>102</v>
      </c>
      <c r="J115" s="43"/>
      <c r="K115" s="41">
        <v>0</v>
      </c>
      <c r="L115" s="43"/>
      <c r="M115" s="41">
        <v>151.6</v>
      </c>
      <c r="N115" s="43"/>
      <c r="O115" s="41">
        <v>107.8</v>
      </c>
      <c r="P115" s="43"/>
      <c r="Q115" s="41">
        <v>0</v>
      </c>
      <c r="R115" s="43"/>
      <c r="S115" s="41">
        <v>0</v>
      </c>
      <c r="T115" s="43"/>
      <c r="U115" s="41">
        <v>0</v>
      </c>
      <c r="V115" s="43"/>
      <c r="W115" s="41">
        <v>0</v>
      </c>
      <c r="X115" s="43"/>
      <c r="Y115" s="41">
        <v>0</v>
      </c>
      <c r="Z115" s="43"/>
      <c r="AA115" s="41">
        <v>0</v>
      </c>
      <c r="AB115" s="41"/>
      <c r="AC115" s="41"/>
      <c r="AD115" s="41"/>
      <c r="AE115" s="41"/>
      <c r="AF115" s="43"/>
      <c r="AG115" s="41">
        <f>ROUND(SUM(I115:AE115),5)</f>
        <v>361.4</v>
      </c>
    </row>
    <row r="116" spans="1:33" s="29" customFormat="1" x14ac:dyDescent="0.25">
      <c r="A116" s="26"/>
      <c r="B116" s="26"/>
      <c r="C116" s="26"/>
      <c r="D116" s="26"/>
      <c r="E116" s="26"/>
      <c r="F116" s="26"/>
      <c r="G116" s="26" t="s">
        <v>125</v>
      </c>
      <c r="H116" s="26"/>
      <c r="I116" s="27">
        <v>0</v>
      </c>
      <c r="J116" s="28"/>
      <c r="K116" s="27">
        <v>11</v>
      </c>
      <c r="L116" s="28"/>
      <c r="M116" s="27">
        <v>25.3</v>
      </c>
      <c r="N116" s="28"/>
      <c r="O116" s="27">
        <v>0</v>
      </c>
      <c r="P116" s="28"/>
      <c r="Q116" s="27">
        <v>75</v>
      </c>
      <c r="R116" s="28"/>
      <c r="S116" s="27">
        <v>0</v>
      </c>
      <c r="T116" s="28"/>
      <c r="U116" s="27">
        <v>0</v>
      </c>
      <c r="V116" s="28"/>
      <c r="W116" s="27">
        <v>0</v>
      </c>
      <c r="X116" s="28"/>
      <c r="Y116" s="27">
        <v>0</v>
      </c>
      <c r="Z116" s="28"/>
      <c r="AA116" s="27">
        <v>0</v>
      </c>
      <c r="AB116" s="27"/>
      <c r="AC116" s="27"/>
      <c r="AD116" s="27"/>
      <c r="AE116" s="27"/>
      <c r="AF116" s="28"/>
      <c r="AG116" s="27">
        <f>ROUND(SUM(I116:AE116),5)</f>
        <v>111.3</v>
      </c>
    </row>
    <row r="117" spans="1:33" s="29" customFormat="1" x14ac:dyDescent="0.25">
      <c r="A117" s="26"/>
      <c r="B117" s="26"/>
      <c r="C117" s="26"/>
      <c r="D117" s="26"/>
      <c r="E117" s="26"/>
      <c r="F117" s="26"/>
      <c r="G117" s="26" t="s">
        <v>126</v>
      </c>
      <c r="H117" s="26"/>
      <c r="I117" s="27">
        <v>0</v>
      </c>
      <c r="J117" s="28"/>
      <c r="K117" s="27">
        <v>0</v>
      </c>
      <c r="L117" s="28"/>
      <c r="M117" s="27">
        <v>20</v>
      </c>
      <c r="N117" s="28"/>
      <c r="O117" s="27">
        <v>0</v>
      </c>
      <c r="P117" s="28"/>
      <c r="Q117" s="27">
        <v>0</v>
      </c>
      <c r="R117" s="28"/>
      <c r="S117" s="27">
        <v>160</v>
      </c>
      <c r="T117" s="28"/>
      <c r="U117" s="27">
        <v>0</v>
      </c>
      <c r="V117" s="28"/>
      <c r="W117" s="27">
        <v>0</v>
      </c>
      <c r="X117" s="28"/>
      <c r="Y117" s="27">
        <v>0</v>
      </c>
      <c r="Z117" s="28"/>
      <c r="AA117" s="27">
        <v>0</v>
      </c>
      <c r="AB117" s="27"/>
      <c r="AC117" s="27"/>
      <c r="AD117" s="27"/>
      <c r="AE117" s="27"/>
      <c r="AF117" s="28"/>
      <c r="AG117" s="27">
        <f>ROUND(SUM(I117:AE117),5)</f>
        <v>180</v>
      </c>
    </row>
    <row r="118" spans="1:33" s="29" customFormat="1" x14ac:dyDescent="0.25">
      <c r="A118" s="26"/>
      <c r="B118" s="26"/>
      <c r="C118" s="26"/>
      <c r="D118" s="26"/>
      <c r="E118" s="26"/>
      <c r="F118" s="26"/>
      <c r="G118" s="26" t="s">
        <v>127</v>
      </c>
      <c r="H118" s="26"/>
      <c r="I118" s="27">
        <v>0</v>
      </c>
      <c r="J118" s="28"/>
      <c r="K118" s="27">
        <v>0</v>
      </c>
      <c r="L118" s="28"/>
      <c r="M118" s="27">
        <v>0</v>
      </c>
      <c r="N118" s="28"/>
      <c r="O118" s="27">
        <v>900</v>
      </c>
      <c r="P118" s="28"/>
      <c r="Q118" s="27">
        <v>0</v>
      </c>
      <c r="R118" s="28"/>
      <c r="S118" s="27">
        <v>3.22</v>
      </c>
      <c r="T118" s="28"/>
      <c r="U118" s="27">
        <v>14</v>
      </c>
      <c r="V118" s="28"/>
      <c r="W118" s="27">
        <v>235.96</v>
      </c>
      <c r="X118" s="28"/>
      <c r="Y118" s="27">
        <v>240</v>
      </c>
      <c r="Z118" s="28"/>
      <c r="AA118" s="27">
        <v>244.64</v>
      </c>
      <c r="AB118" s="27"/>
      <c r="AC118" s="27"/>
      <c r="AD118" s="27"/>
      <c r="AE118" s="27"/>
      <c r="AF118" s="28"/>
      <c r="AG118" s="27">
        <f>ROUND(SUM(I118:AE118),5)</f>
        <v>1637.82</v>
      </c>
    </row>
    <row r="119" spans="1:33" s="29" customFormat="1" x14ac:dyDescent="0.25">
      <c r="A119" s="26"/>
      <c r="B119" s="26"/>
      <c r="C119" s="26"/>
      <c r="D119" s="26"/>
      <c r="E119" s="26"/>
      <c r="F119" s="26"/>
      <c r="G119" s="26" t="s">
        <v>128</v>
      </c>
      <c r="H119" s="26"/>
      <c r="I119" s="27"/>
      <c r="J119" s="28"/>
      <c r="K119" s="27"/>
      <c r="L119" s="28"/>
      <c r="M119" s="27"/>
      <c r="N119" s="28"/>
      <c r="O119" s="27"/>
      <c r="P119" s="28"/>
      <c r="Q119" s="27"/>
      <c r="R119" s="28"/>
      <c r="S119" s="27"/>
      <c r="T119" s="28"/>
      <c r="U119" s="27"/>
      <c r="V119" s="28"/>
      <c r="W119" s="27"/>
      <c r="X119" s="28"/>
      <c r="Y119" s="27"/>
      <c r="Z119" s="28"/>
      <c r="AA119" s="27"/>
      <c r="AB119" s="27"/>
      <c r="AC119" s="27"/>
      <c r="AD119" s="27"/>
      <c r="AE119" s="27"/>
      <c r="AF119" s="28"/>
      <c r="AG119" s="27"/>
    </row>
    <row r="120" spans="1:33" s="29" customFormat="1" x14ac:dyDescent="0.25">
      <c r="A120" s="26"/>
      <c r="B120" s="26"/>
      <c r="C120" s="26"/>
      <c r="D120" s="26"/>
      <c r="E120" s="26"/>
      <c r="F120" s="26"/>
      <c r="G120" s="26"/>
      <c r="H120" s="26" t="s">
        <v>129</v>
      </c>
      <c r="I120" s="27">
        <v>0</v>
      </c>
      <c r="J120" s="28"/>
      <c r="K120" s="27">
        <v>0</v>
      </c>
      <c r="L120" s="28"/>
      <c r="M120" s="27">
        <v>0</v>
      </c>
      <c r="N120" s="28"/>
      <c r="O120" s="27">
        <v>0</v>
      </c>
      <c r="P120" s="28"/>
      <c r="Q120" s="27">
        <v>0</v>
      </c>
      <c r="R120" s="28"/>
      <c r="S120" s="27">
        <v>0</v>
      </c>
      <c r="T120" s="28"/>
      <c r="U120" s="27">
        <v>0</v>
      </c>
      <c r="V120" s="28"/>
      <c r="W120" s="27">
        <v>84.82</v>
      </c>
      <c r="X120" s="28"/>
      <c r="Y120" s="27">
        <v>48.69</v>
      </c>
      <c r="Z120" s="28"/>
      <c r="AA120" s="27">
        <v>47.12</v>
      </c>
      <c r="AB120" s="27"/>
      <c r="AC120" s="27"/>
      <c r="AD120" s="27"/>
      <c r="AE120" s="27"/>
      <c r="AF120" s="28"/>
      <c r="AG120" s="27">
        <f t="shared" ref="AG120:AG125" si="8">ROUND(SUM(I120:AE120),5)</f>
        <v>180.63</v>
      </c>
    </row>
    <row r="121" spans="1:33" s="29" customFormat="1" ht="15.75" thickBot="1" x14ac:dyDescent="0.3">
      <c r="A121" s="26"/>
      <c r="B121" s="26"/>
      <c r="C121" s="26"/>
      <c r="D121" s="26"/>
      <c r="E121" s="26"/>
      <c r="F121" s="26"/>
      <c r="G121" s="26"/>
      <c r="H121" s="26" t="s">
        <v>130</v>
      </c>
      <c r="I121" s="30">
        <v>0</v>
      </c>
      <c r="J121" s="28"/>
      <c r="K121" s="30">
        <v>0</v>
      </c>
      <c r="L121" s="28"/>
      <c r="M121" s="30">
        <v>0</v>
      </c>
      <c r="N121" s="28"/>
      <c r="O121" s="30">
        <v>0</v>
      </c>
      <c r="P121" s="28"/>
      <c r="Q121" s="30">
        <v>0</v>
      </c>
      <c r="R121" s="28"/>
      <c r="S121" s="30">
        <v>0</v>
      </c>
      <c r="T121" s="28"/>
      <c r="U121" s="30">
        <v>0</v>
      </c>
      <c r="V121" s="28"/>
      <c r="W121" s="30">
        <v>131.72</v>
      </c>
      <c r="X121" s="28"/>
      <c r="Y121" s="30">
        <v>75.62</v>
      </c>
      <c r="Z121" s="28"/>
      <c r="AA121" s="30">
        <v>73.17</v>
      </c>
      <c r="AB121" s="31"/>
      <c r="AC121" s="31"/>
      <c r="AD121" s="31"/>
      <c r="AE121" s="31"/>
      <c r="AF121" s="28"/>
      <c r="AG121" s="30">
        <f t="shared" si="8"/>
        <v>280.51</v>
      </c>
    </row>
    <row r="122" spans="1:33" s="29" customFormat="1" x14ac:dyDescent="0.25">
      <c r="A122" s="26"/>
      <c r="B122" s="26"/>
      <c r="C122" s="26"/>
      <c r="D122" s="26"/>
      <c r="E122" s="26"/>
      <c r="F122" s="26"/>
      <c r="G122" s="26" t="s">
        <v>131</v>
      </c>
      <c r="H122" s="26"/>
      <c r="I122" s="27">
        <f>ROUND(SUM(I119:I121),5)</f>
        <v>0</v>
      </c>
      <c r="J122" s="28"/>
      <c r="K122" s="27">
        <f>ROUND(SUM(K119:K121),5)</f>
        <v>0</v>
      </c>
      <c r="L122" s="28"/>
      <c r="M122" s="27">
        <f>ROUND(SUM(M119:M121),5)</f>
        <v>0</v>
      </c>
      <c r="N122" s="28"/>
      <c r="O122" s="27">
        <f>ROUND(SUM(O119:O121),5)</f>
        <v>0</v>
      </c>
      <c r="P122" s="28"/>
      <c r="Q122" s="27">
        <f>ROUND(SUM(Q119:Q121),5)</f>
        <v>0</v>
      </c>
      <c r="R122" s="28"/>
      <c r="S122" s="27">
        <f>ROUND(SUM(S119:S121),5)</f>
        <v>0</v>
      </c>
      <c r="T122" s="28"/>
      <c r="U122" s="27">
        <f>ROUND(SUM(U119:U121),5)</f>
        <v>0</v>
      </c>
      <c r="V122" s="28"/>
      <c r="W122" s="27">
        <f>ROUND(SUM(W119:W121),5)</f>
        <v>216.54</v>
      </c>
      <c r="X122" s="28"/>
      <c r="Y122" s="27">
        <f>ROUND(SUM(Y119:Y121),5)</f>
        <v>124.31</v>
      </c>
      <c r="Z122" s="28"/>
      <c r="AA122" s="27">
        <f>ROUND(SUM(AA119:AA121),5)</f>
        <v>120.29</v>
      </c>
      <c r="AB122" s="27"/>
      <c r="AC122" s="27"/>
      <c r="AD122" s="27"/>
      <c r="AE122" s="27"/>
      <c r="AF122" s="28"/>
      <c r="AG122" s="27">
        <f t="shared" si="8"/>
        <v>461.14</v>
      </c>
    </row>
    <row r="123" spans="1:33" s="29" customFormat="1" ht="15.75" thickBot="1" x14ac:dyDescent="0.3">
      <c r="A123" s="26"/>
      <c r="B123" s="26"/>
      <c r="C123" s="26"/>
      <c r="D123" s="26"/>
      <c r="E123" s="26"/>
      <c r="F123" s="26"/>
      <c r="G123" s="26" t="s">
        <v>132</v>
      </c>
      <c r="H123" s="26"/>
      <c r="I123" s="31">
        <v>0</v>
      </c>
      <c r="J123" s="28"/>
      <c r="K123" s="31">
        <v>0</v>
      </c>
      <c r="L123" s="28"/>
      <c r="M123" s="31">
        <v>0</v>
      </c>
      <c r="N123" s="28"/>
      <c r="O123" s="31">
        <v>0</v>
      </c>
      <c r="P123" s="28"/>
      <c r="Q123" s="31">
        <v>0</v>
      </c>
      <c r="R123" s="28"/>
      <c r="S123" s="31">
        <v>0</v>
      </c>
      <c r="T123" s="28"/>
      <c r="U123" s="31">
        <v>9.89</v>
      </c>
      <c r="V123" s="28"/>
      <c r="W123" s="31">
        <v>47.44</v>
      </c>
      <c r="X123" s="28"/>
      <c r="Y123" s="31">
        <v>284.35000000000002</v>
      </c>
      <c r="Z123" s="28"/>
      <c r="AA123" s="31">
        <v>0</v>
      </c>
      <c r="AB123" s="31"/>
      <c r="AC123" s="31"/>
      <c r="AD123" s="31"/>
      <c r="AE123" s="31"/>
      <c r="AF123" s="28"/>
      <c r="AG123" s="31">
        <f t="shared" si="8"/>
        <v>341.68</v>
      </c>
    </row>
    <row r="124" spans="1:33" s="29" customFormat="1" ht="15.75" thickBot="1" x14ac:dyDescent="0.3">
      <c r="A124" s="26"/>
      <c r="B124" s="26"/>
      <c r="C124" s="26"/>
      <c r="D124" s="26"/>
      <c r="E124" s="26"/>
      <c r="F124" s="26" t="s">
        <v>133</v>
      </c>
      <c r="G124" s="26"/>
      <c r="H124" s="26"/>
      <c r="I124" s="49">
        <f>ROUND(SUM(I113:I118)+SUM(I122:I123),5)</f>
        <v>258.01</v>
      </c>
      <c r="J124" s="28"/>
      <c r="K124" s="49">
        <f>ROUND(SUM(K113:K118)+SUM(K122:K123),5)</f>
        <v>172.99</v>
      </c>
      <c r="L124" s="28"/>
      <c r="M124" s="49">
        <f>ROUND(SUM(M113:M118)+SUM(M122:M123),5)</f>
        <v>529.32000000000005</v>
      </c>
      <c r="N124" s="28"/>
      <c r="O124" s="49">
        <f>ROUND(SUM(O113:O118)+SUM(O122:O123),5)</f>
        <v>1092.0999999999999</v>
      </c>
      <c r="P124" s="28"/>
      <c r="Q124" s="49">
        <f>ROUND(SUM(Q113:Q118)+SUM(Q122:Q123),5)</f>
        <v>179.74</v>
      </c>
      <c r="R124" s="28"/>
      <c r="S124" s="49">
        <f>ROUND(SUM(S113:S118)+SUM(S122:S123),5)</f>
        <v>270.10000000000002</v>
      </c>
      <c r="T124" s="28"/>
      <c r="U124" s="49">
        <f>ROUND(SUM(U113:U118)+SUM(U122:U123),5)</f>
        <v>119.29</v>
      </c>
      <c r="V124" s="28"/>
      <c r="W124" s="49">
        <f>ROUND(SUM(W113:W118)+SUM(W122:W123),5)</f>
        <v>546.34</v>
      </c>
      <c r="X124" s="28"/>
      <c r="Y124" s="49">
        <f>ROUND(SUM(Y113:Y118)+SUM(Y122:Y123),5)</f>
        <v>662.26</v>
      </c>
      <c r="Z124" s="28"/>
      <c r="AA124" s="49">
        <f>ROUND(SUM(AA113:AA118)+SUM(AA122:AA123),5)</f>
        <v>476.18</v>
      </c>
      <c r="AB124" s="31"/>
      <c r="AC124" s="31"/>
      <c r="AD124" s="31"/>
      <c r="AE124" s="31"/>
      <c r="AF124" s="28"/>
      <c r="AG124" s="49">
        <f t="shared" si="8"/>
        <v>4306.33</v>
      </c>
    </row>
    <row r="125" spans="1:33" s="29" customFormat="1" x14ac:dyDescent="0.25">
      <c r="A125" s="26"/>
      <c r="B125" s="26"/>
      <c r="C125" s="26"/>
      <c r="D125" s="26"/>
      <c r="E125" s="26" t="s">
        <v>134</v>
      </c>
      <c r="F125" s="26"/>
      <c r="G125" s="26"/>
      <c r="H125" s="26"/>
      <c r="I125" s="27">
        <f>ROUND(SUM(I101:I104)+SUM(I108:I112)+I124,5)</f>
        <v>1806.99</v>
      </c>
      <c r="J125" s="28"/>
      <c r="K125" s="27">
        <f>ROUND(SUM(K101:K104)+SUM(K108:K112)+K124,5)</f>
        <v>2348.36</v>
      </c>
      <c r="L125" s="28"/>
      <c r="M125" s="27">
        <f>ROUND(SUM(M101:M104)+SUM(M108:M112)+M124,5)</f>
        <v>737.56</v>
      </c>
      <c r="N125" s="28"/>
      <c r="O125" s="27">
        <f>ROUND(SUM(O101:O104)+SUM(O108:O112)+O124,5)</f>
        <v>1279.07</v>
      </c>
      <c r="P125" s="28"/>
      <c r="Q125" s="27">
        <f>ROUND(SUM(Q101:Q104)+SUM(Q108:Q112)+Q124,5)</f>
        <v>2041.63</v>
      </c>
      <c r="R125" s="28"/>
      <c r="S125" s="27">
        <f>ROUND(SUM(S101:S104)+SUM(S108:S112)+S124,5)</f>
        <v>1013.18</v>
      </c>
      <c r="T125" s="28"/>
      <c r="U125" s="27">
        <f>ROUND(SUM(U101:U104)+SUM(U108:U112)+U124,5)</f>
        <v>379.78</v>
      </c>
      <c r="V125" s="28"/>
      <c r="W125" s="27">
        <f>ROUND(SUM(W101:W104)+SUM(W108:W112)+W124,5)</f>
        <v>683.1</v>
      </c>
      <c r="X125" s="28"/>
      <c r="Y125" s="27">
        <f>ROUND(SUM(Y101:Y104)+SUM(Y108:Y112)+Y124,5)</f>
        <v>1508.39</v>
      </c>
      <c r="Z125" s="28"/>
      <c r="AA125" s="27">
        <f>ROUND(SUM(AA101:AA104)+SUM(AA108:AA112)+AA124,5)</f>
        <v>1173.2</v>
      </c>
      <c r="AB125" s="27"/>
      <c r="AC125" s="27"/>
      <c r="AD125" s="27"/>
      <c r="AE125" s="27"/>
      <c r="AF125" s="28"/>
      <c r="AG125" s="27">
        <f t="shared" si="8"/>
        <v>12971.26</v>
      </c>
    </row>
    <row r="126" spans="1:33" s="29" customFormat="1" x14ac:dyDescent="0.25">
      <c r="A126" s="26"/>
      <c r="B126" s="26"/>
      <c r="C126" s="26"/>
      <c r="D126" s="26"/>
      <c r="E126" s="26" t="s">
        <v>135</v>
      </c>
      <c r="F126" s="26"/>
      <c r="G126" s="26"/>
      <c r="H126" s="26"/>
      <c r="I126" s="27"/>
      <c r="J126" s="28"/>
      <c r="K126" s="27"/>
      <c r="L126" s="28"/>
      <c r="M126" s="27"/>
      <c r="N126" s="28"/>
      <c r="O126" s="27"/>
      <c r="P126" s="28"/>
      <c r="Q126" s="27"/>
      <c r="R126" s="28"/>
      <c r="S126" s="27"/>
      <c r="T126" s="28"/>
      <c r="U126" s="27"/>
      <c r="V126" s="28"/>
      <c r="W126" s="27"/>
      <c r="X126" s="28"/>
      <c r="Y126" s="27"/>
      <c r="Z126" s="28"/>
      <c r="AA126" s="27"/>
      <c r="AB126" s="27"/>
      <c r="AC126" s="27"/>
      <c r="AD126" s="27"/>
      <c r="AE126" s="27"/>
      <c r="AF126" s="28"/>
      <c r="AG126" s="27"/>
    </row>
    <row r="127" spans="1:33" s="29" customFormat="1" ht="15.75" thickBot="1" x14ac:dyDescent="0.3">
      <c r="A127" s="26"/>
      <c r="B127" s="26"/>
      <c r="C127" s="26"/>
      <c r="D127" s="26"/>
      <c r="E127" s="26"/>
      <c r="F127" s="26" t="s">
        <v>136</v>
      </c>
      <c r="G127" s="26"/>
      <c r="H127" s="26"/>
      <c r="I127" s="30">
        <v>0</v>
      </c>
      <c r="J127" s="28"/>
      <c r="K127" s="30">
        <v>0</v>
      </c>
      <c r="L127" s="28"/>
      <c r="M127" s="30">
        <v>0</v>
      </c>
      <c r="N127" s="28"/>
      <c r="O127" s="30">
        <v>0</v>
      </c>
      <c r="P127" s="28"/>
      <c r="Q127" s="30">
        <v>0</v>
      </c>
      <c r="R127" s="28"/>
      <c r="S127" s="30">
        <v>0</v>
      </c>
      <c r="T127" s="28"/>
      <c r="U127" s="30">
        <v>1050</v>
      </c>
      <c r="V127" s="28"/>
      <c r="W127" s="30">
        <v>41.91</v>
      </c>
      <c r="X127" s="28"/>
      <c r="Y127" s="30">
        <v>0</v>
      </c>
      <c r="Z127" s="28"/>
      <c r="AA127" s="30">
        <v>766.11</v>
      </c>
      <c r="AB127" s="31"/>
      <c r="AC127" s="31"/>
      <c r="AD127" s="31"/>
      <c r="AE127" s="31"/>
      <c r="AF127" s="28"/>
      <c r="AG127" s="30">
        <f>ROUND(SUM(I127:AE127),5)</f>
        <v>1858.02</v>
      </c>
    </row>
    <row r="128" spans="1:33" s="29" customFormat="1" x14ac:dyDescent="0.25">
      <c r="A128" s="26"/>
      <c r="B128" s="26"/>
      <c r="C128" s="26"/>
      <c r="D128" s="26"/>
      <c r="E128" s="26" t="s">
        <v>137</v>
      </c>
      <c r="F128" s="26"/>
      <c r="G128" s="26"/>
      <c r="H128" s="26"/>
      <c r="I128" s="27">
        <f>ROUND(SUM(I126:I127),5)</f>
        <v>0</v>
      </c>
      <c r="J128" s="28"/>
      <c r="K128" s="27">
        <f>ROUND(SUM(K126:K127),5)</f>
        <v>0</v>
      </c>
      <c r="L128" s="28"/>
      <c r="M128" s="27">
        <f>ROUND(SUM(M126:M127),5)</f>
        <v>0</v>
      </c>
      <c r="N128" s="28"/>
      <c r="O128" s="27">
        <f>ROUND(SUM(O126:O127),5)</f>
        <v>0</v>
      </c>
      <c r="P128" s="28"/>
      <c r="Q128" s="27">
        <f>ROUND(SUM(Q126:Q127),5)</f>
        <v>0</v>
      </c>
      <c r="R128" s="28"/>
      <c r="S128" s="27">
        <f>ROUND(SUM(S126:S127),5)</f>
        <v>0</v>
      </c>
      <c r="T128" s="28"/>
      <c r="U128" s="27">
        <f>ROUND(SUM(U126:U127),5)</f>
        <v>1050</v>
      </c>
      <c r="V128" s="28"/>
      <c r="W128" s="27">
        <f>ROUND(SUM(W126:W127),5)</f>
        <v>41.91</v>
      </c>
      <c r="X128" s="28"/>
      <c r="Y128" s="27">
        <f>ROUND(SUM(Y126:Y127),5)</f>
        <v>0</v>
      </c>
      <c r="Z128" s="28"/>
      <c r="AA128" s="27">
        <f>ROUND(SUM(AA126:AA127),5)</f>
        <v>766.11</v>
      </c>
      <c r="AB128" s="27"/>
      <c r="AC128" s="27"/>
      <c r="AD128" s="27"/>
      <c r="AE128" s="27"/>
      <c r="AF128" s="28"/>
      <c r="AG128" s="27">
        <f>ROUND(SUM(I128:AE128),5)</f>
        <v>1858.02</v>
      </c>
    </row>
    <row r="129" spans="1:33" s="29" customFormat="1" x14ac:dyDescent="0.25">
      <c r="A129" s="26"/>
      <c r="B129" s="26"/>
      <c r="C129" s="26"/>
      <c r="D129" s="26"/>
      <c r="E129" s="26" t="s">
        <v>138</v>
      </c>
      <c r="F129" s="26"/>
      <c r="G129" s="26"/>
      <c r="H129" s="26"/>
      <c r="I129" s="27">
        <v>0</v>
      </c>
      <c r="J129" s="28"/>
      <c r="K129" s="27">
        <v>1205.3699999999999</v>
      </c>
      <c r="L129" s="28"/>
      <c r="M129" s="27">
        <v>0</v>
      </c>
      <c r="N129" s="28"/>
      <c r="O129" s="27">
        <v>0</v>
      </c>
      <c r="P129" s="28"/>
      <c r="Q129" s="27">
        <v>0</v>
      </c>
      <c r="R129" s="28"/>
      <c r="S129" s="27">
        <v>0</v>
      </c>
      <c r="T129" s="28"/>
      <c r="U129" s="27">
        <v>0</v>
      </c>
      <c r="V129" s="28"/>
      <c r="W129" s="27">
        <v>0</v>
      </c>
      <c r="X129" s="28"/>
      <c r="Y129" s="27">
        <v>0</v>
      </c>
      <c r="Z129" s="28"/>
      <c r="AA129" s="27">
        <v>0</v>
      </c>
      <c r="AB129" s="27"/>
      <c r="AC129" s="27"/>
      <c r="AD129" s="27"/>
      <c r="AE129" s="27"/>
      <c r="AF129" s="28"/>
      <c r="AG129" s="27">
        <f>ROUND(SUM(I129:AE129),5)</f>
        <v>1205.3699999999999</v>
      </c>
    </row>
    <row r="130" spans="1:33" s="29" customFormat="1" x14ac:dyDescent="0.25">
      <c r="A130" s="26"/>
      <c r="B130" s="26"/>
      <c r="C130" s="26"/>
      <c r="D130" s="26"/>
      <c r="E130" s="26" t="s">
        <v>139</v>
      </c>
      <c r="F130" s="26"/>
      <c r="G130" s="26"/>
      <c r="H130" s="26"/>
      <c r="I130" s="27"/>
      <c r="J130" s="28"/>
      <c r="K130" s="27"/>
      <c r="L130" s="28"/>
      <c r="M130" s="27"/>
      <c r="N130" s="28"/>
      <c r="O130" s="27"/>
      <c r="P130" s="28"/>
      <c r="Q130" s="27"/>
      <c r="R130" s="28"/>
      <c r="S130" s="27"/>
      <c r="T130" s="28"/>
      <c r="U130" s="27"/>
      <c r="V130" s="28"/>
      <c r="W130" s="27"/>
      <c r="X130" s="28"/>
      <c r="Y130" s="27"/>
      <c r="Z130" s="28"/>
      <c r="AA130" s="27"/>
      <c r="AB130" s="27"/>
      <c r="AC130" s="27"/>
      <c r="AD130" s="27"/>
      <c r="AE130" s="27"/>
      <c r="AF130" s="28"/>
      <c r="AG130" s="27"/>
    </row>
    <row r="131" spans="1:33" s="35" customFormat="1" x14ac:dyDescent="0.25">
      <c r="A131" s="33"/>
      <c r="B131" s="33"/>
      <c r="C131" s="33"/>
      <c r="D131" s="33"/>
      <c r="E131" s="33"/>
      <c r="F131" s="33" t="s">
        <v>140</v>
      </c>
      <c r="G131" s="33"/>
      <c r="H131" s="33"/>
      <c r="I131" s="34">
        <v>0</v>
      </c>
      <c r="J131" s="36"/>
      <c r="K131" s="32">
        <v>3075</v>
      </c>
      <c r="L131" s="36"/>
      <c r="M131" s="34">
        <v>0</v>
      </c>
      <c r="N131" s="36"/>
      <c r="O131" s="34">
        <v>0</v>
      </c>
      <c r="P131" s="36"/>
      <c r="Q131" s="32">
        <v>3331</v>
      </c>
      <c r="R131" s="36"/>
      <c r="S131" s="34">
        <v>0</v>
      </c>
      <c r="T131" s="36"/>
      <c r="U131" s="32">
        <v>3335</v>
      </c>
      <c r="V131" s="36"/>
      <c r="W131" s="34">
        <v>0</v>
      </c>
      <c r="X131" s="36"/>
      <c r="Y131" s="34">
        <v>0</v>
      </c>
      <c r="Z131" s="36"/>
      <c r="AA131" s="34">
        <v>0</v>
      </c>
      <c r="AB131" s="34"/>
      <c r="AC131" s="34"/>
      <c r="AD131" s="34"/>
      <c r="AE131" s="34"/>
      <c r="AF131" s="36"/>
      <c r="AG131" s="34">
        <f>ROUND(SUM(I131:AE131),5)</f>
        <v>9741</v>
      </c>
    </row>
    <row r="132" spans="1:33" s="29" customFormat="1" x14ac:dyDescent="0.25">
      <c r="A132" s="26"/>
      <c r="B132" s="26"/>
      <c r="C132" s="26"/>
      <c r="D132" s="26"/>
      <c r="E132" s="26"/>
      <c r="F132" s="26" t="s">
        <v>141</v>
      </c>
      <c r="G132" s="26"/>
      <c r="H132" s="26"/>
      <c r="I132" s="27"/>
      <c r="J132" s="28"/>
      <c r="K132" s="27"/>
      <c r="L132" s="28"/>
      <c r="M132" s="27"/>
      <c r="N132" s="28"/>
      <c r="O132" s="27"/>
      <c r="P132" s="28"/>
      <c r="Q132" s="27"/>
      <c r="R132" s="28"/>
      <c r="S132" s="27"/>
      <c r="T132" s="28"/>
      <c r="U132" s="27"/>
      <c r="V132" s="28"/>
      <c r="W132" s="27"/>
      <c r="X132" s="28"/>
      <c r="Y132" s="27"/>
      <c r="Z132" s="28"/>
      <c r="AA132" s="27"/>
      <c r="AB132" s="27"/>
      <c r="AC132" s="27"/>
      <c r="AD132" s="27"/>
      <c r="AE132" s="27"/>
      <c r="AF132" s="28"/>
      <c r="AG132" s="27"/>
    </row>
    <row r="133" spans="1:33" s="29" customFormat="1" x14ac:dyDescent="0.25">
      <c r="A133" s="26"/>
      <c r="B133" s="26"/>
      <c r="C133" s="26"/>
      <c r="D133" s="26"/>
      <c r="E133" s="26"/>
      <c r="F133" s="26"/>
      <c r="G133" s="26" t="s">
        <v>142</v>
      </c>
      <c r="H133" s="26"/>
      <c r="I133" s="27">
        <v>-1253.72</v>
      </c>
      <c r="J133" s="28"/>
      <c r="K133" s="27">
        <v>0</v>
      </c>
      <c r="L133" s="28"/>
      <c r="M133" s="27">
        <v>0</v>
      </c>
      <c r="N133" s="28"/>
      <c r="O133" s="27">
        <v>0</v>
      </c>
      <c r="P133" s="28"/>
      <c r="Q133" s="27">
        <v>0</v>
      </c>
      <c r="R133" s="28"/>
      <c r="S133" s="27">
        <v>0</v>
      </c>
      <c r="T133" s="28"/>
      <c r="U133" s="27">
        <v>0</v>
      </c>
      <c r="V133" s="28"/>
      <c r="W133" s="27">
        <v>0</v>
      </c>
      <c r="X133" s="28"/>
      <c r="Y133" s="27">
        <v>0</v>
      </c>
      <c r="Z133" s="28"/>
      <c r="AA133" s="27">
        <v>0</v>
      </c>
      <c r="AB133" s="27"/>
      <c r="AC133" s="27"/>
      <c r="AD133" s="27"/>
      <c r="AE133" s="27"/>
      <c r="AF133" s="28"/>
      <c r="AG133" s="27">
        <f t="shared" ref="AG133:AG139" si="9">ROUND(SUM(I133:AE133),5)</f>
        <v>-1253.72</v>
      </c>
    </row>
    <row r="134" spans="1:33" s="29" customFormat="1" ht="15.75" thickBot="1" x14ac:dyDescent="0.3">
      <c r="A134" s="26"/>
      <c r="B134" s="26"/>
      <c r="C134" s="26"/>
      <c r="D134" s="26"/>
      <c r="E134" s="26"/>
      <c r="F134" s="26"/>
      <c r="G134" s="26" t="s">
        <v>143</v>
      </c>
      <c r="H134" s="26"/>
      <c r="I134" s="30">
        <v>100</v>
      </c>
      <c r="J134" s="28"/>
      <c r="K134" s="30">
        <v>103.89</v>
      </c>
      <c r="L134" s="28"/>
      <c r="M134" s="30">
        <v>100</v>
      </c>
      <c r="N134" s="28"/>
      <c r="O134" s="30">
        <v>151.53</v>
      </c>
      <c r="P134" s="28"/>
      <c r="Q134" s="30">
        <v>384.64</v>
      </c>
      <c r="R134" s="28"/>
      <c r="S134" s="30">
        <v>273.88</v>
      </c>
      <c r="T134" s="28"/>
      <c r="U134" s="30">
        <v>829.12</v>
      </c>
      <c r="V134" s="28"/>
      <c r="W134" s="30">
        <v>348.34</v>
      </c>
      <c r="X134" s="28"/>
      <c r="Y134" s="30">
        <v>0</v>
      </c>
      <c r="Z134" s="28"/>
      <c r="AA134" s="30">
        <v>403.25</v>
      </c>
      <c r="AB134" s="31"/>
      <c r="AC134" s="31"/>
      <c r="AD134" s="31"/>
      <c r="AE134" s="31"/>
      <c r="AF134" s="28"/>
      <c r="AG134" s="30">
        <f t="shared" si="9"/>
        <v>2694.65</v>
      </c>
    </row>
    <row r="135" spans="1:33" s="29" customFormat="1" x14ac:dyDescent="0.25">
      <c r="A135" s="26"/>
      <c r="B135" s="26"/>
      <c r="C135" s="26"/>
      <c r="D135" s="26"/>
      <c r="E135" s="26"/>
      <c r="F135" s="26" t="s">
        <v>144</v>
      </c>
      <c r="G135" s="26"/>
      <c r="H135" s="26"/>
      <c r="I135" s="27">
        <f>ROUND(SUM(I132:I134),5)</f>
        <v>-1153.72</v>
      </c>
      <c r="J135" s="28"/>
      <c r="K135" s="27">
        <f>ROUND(SUM(K132:K134),5)</f>
        <v>103.89</v>
      </c>
      <c r="L135" s="28"/>
      <c r="M135" s="27">
        <f>ROUND(SUM(M132:M134),5)</f>
        <v>100</v>
      </c>
      <c r="N135" s="28"/>
      <c r="O135" s="27">
        <f>ROUND(SUM(O132:O134),5)</f>
        <v>151.53</v>
      </c>
      <c r="P135" s="28"/>
      <c r="Q135" s="27">
        <f>ROUND(SUM(Q132:Q134),5)</f>
        <v>384.64</v>
      </c>
      <c r="R135" s="28"/>
      <c r="S135" s="27">
        <f>ROUND(SUM(S132:S134),5)</f>
        <v>273.88</v>
      </c>
      <c r="T135" s="28"/>
      <c r="U135" s="27">
        <f>ROUND(SUM(U132:U134),5)</f>
        <v>829.12</v>
      </c>
      <c r="V135" s="28"/>
      <c r="W135" s="27">
        <f>ROUND(SUM(W132:W134),5)</f>
        <v>348.34</v>
      </c>
      <c r="X135" s="28"/>
      <c r="Y135" s="27">
        <f>ROUND(SUM(Y132:Y134),5)</f>
        <v>0</v>
      </c>
      <c r="Z135" s="28"/>
      <c r="AA135" s="27">
        <f>ROUND(SUM(AA132:AA134),5)</f>
        <v>403.25</v>
      </c>
      <c r="AB135" s="27"/>
      <c r="AC135" s="27"/>
      <c r="AD135" s="27"/>
      <c r="AE135" s="27"/>
      <c r="AF135" s="28"/>
      <c r="AG135" s="27">
        <f t="shared" si="9"/>
        <v>1440.93</v>
      </c>
    </row>
    <row r="136" spans="1:33" s="29" customFormat="1" x14ac:dyDescent="0.25">
      <c r="A136" s="26"/>
      <c r="B136" s="26"/>
      <c r="C136" s="26"/>
      <c r="D136" s="26"/>
      <c r="E136" s="26"/>
      <c r="F136" s="26" t="s">
        <v>145</v>
      </c>
      <c r="G136" s="26"/>
      <c r="H136" s="26"/>
      <c r="I136" s="27">
        <v>0</v>
      </c>
      <c r="J136" s="28"/>
      <c r="K136" s="27">
        <v>28.4</v>
      </c>
      <c r="L136" s="28"/>
      <c r="M136" s="27">
        <v>0</v>
      </c>
      <c r="N136" s="28"/>
      <c r="O136" s="27">
        <v>276.35000000000002</v>
      </c>
      <c r="P136" s="28"/>
      <c r="Q136" s="27">
        <v>0</v>
      </c>
      <c r="R136" s="28"/>
      <c r="S136" s="27">
        <v>0</v>
      </c>
      <c r="T136" s="28"/>
      <c r="U136" s="27">
        <v>0</v>
      </c>
      <c r="V136" s="28"/>
      <c r="W136" s="27">
        <v>0</v>
      </c>
      <c r="X136" s="28"/>
      <c r="Y136" s="27">
        <v>0</v>
      </c>
      <c r="Z136" s="28"/>
      <c r="AA136" s="27">
        <v>0</v>
      </c>
      <c r="AB136" s="27"/>
      <c r="AC136" s="27"/>
      <c r="AD136" s="27"/>
      <c r="AE136" s="27"/>
      <c r="AF136" s="28"/>
      <c r="AG136" s="27">
        <f t="shared" si="9"/>
        <v>304.75</v>
      </c>
    </row>
    <row r="137" spans="1:33" s="29" customFormat="1" x14ac:dyDescent="0.25">
      <c r="A137" s="26"/>
      <c r="B137" s="26"/>
      <c r="C137" s="26"/>
      <c r="D137" s="26"/>
      <c r="E137" s="26"/>
      <c r="F137" s="26" t="s">
        <v>146</v>
      </c>
      <c r="G137" s="26"/>
      <c r="H137" s="26"/>
      <c r="I137" s="27">
        <v>2240.41</v>
      </c>
      <c r="J137" s="28"/>
      <c r="K137" s="27">
        <v>1638.6</v>
      </c>
      <c r="L137" s="28"/>
      <c r="M137" s="27">
        <v>1989.72</v>
      </c>
      <c r="N137" s="28"/>
      <c r="O137" s="27">
        <v>2126.59</v>
      </c>
      <c r="P137" s="28"/>
      <c r="Q137" s="27">
        <v>1874.62</v>
      </c>
      <c r="R137" s="28"/>
      <c r="S137" s="27">
        <v>2161.27</v>
      </c>
      <c r="T137" s="28"/>
      <c r="U137" s="27">
        <v>2464.3200000000002</v>
      </c>
      <c r="V137" s="28"/>
      <c r="W137" s="27">
        <v>1945.71</v>
      </c>
      <c r="X137" s="28"/>
      <c r="Y137" s="27">
        <v>1515.78</v>
      </c>
      <c r="Z137" s="28"/>
      <c r="AA137" s="27">
        <v>2403.27</v>
      </c>
      <c r="AB137" s="27"/>
      <c r="AC137" s="27"/>
      <c r="AD137" s="27"/>
      <c r="AE137" s="27"/>
      <c r="AF137" s="28"/>
      <c r="AG137" s="27">
        <f t="shared" si="9"/>
        <v>20360.29</v>
      </c>
    </row>
    <row r="138" spans="1:33" s="29" customFormat="1" x14ac:dyDescent="0.25">
      <c r="A138" s="26"/>
      <c r="B138" s="26"/>
      <c r="C138" s="26"/>
      <c r="D138" s="26"/>
      <c r="E138" s="26"/>
      <c r="F138" s="26" t="s">
        <v>147</v>
      </c>
      <c r="G138" s="26"/>
      <c r="H138" s="26"/>
      <c r="I138" s="27">
        <v>120.58</v>
      </c>
      <c r="J138" s="28"/>
      <c r="K138" s="27">
        <v>125.99</v>
      </c>
      <c r="L138" s="28"/>
      <c r="M138" s="27">
        <v>125.99</v>
      </c>
      <c r="N138" s="28"/>
      <c r="O138" s="27">
        <v>125.99</v>
      </c>
      <c r="P138" s="28"/>
      <c r="Q138" s="27">
        <v>125.99</v>
      </c>
      <c r="R138" s="28"/>
      <c r="S138" s="27">
        <v>125.99</v>
      </c>
      <c r="T138" s="28"/>
      <c r="U138" s="27">
        <v>125.99</v>
      </c>
      <c r="V138" s="28"/>
      <c r="W138" s="27">
        <v>125.99</v>
      </c>
      <c r="X138" s="28"/>
      <c r="Y138" s="27">
        <v>125.99</v>
      </c>
      <c r="Z138" s="28"/>
      <c r="AA138" s="27">
        <v>125.99</v>
      </c>
      <c r="AB138" s="27"/>
      <c r="AC138" s="27"/>
      <c r="AD138" s="27"/>
      <c r="AE138" s="27"/>
      <c r="AF138" s="28"/>
      <c r="AG138" s="27">
        <f t="shared" si="9"/>
        <v>1254.49</v>
      </c>
    </row>
    <row r="139" spans="1:33" s="29" customFormat="1" x14ac:dyDescent="0.25">
      <c r="A139" s="26"/>
      <c r="B139" s="26"/>
      <c r="C139" s="26"/>
      <c r="D139" s="26"/>
      <c r="E139" s="26"/>
      <c r="F139" s="26" t="s">
        <v>148</v>
      </c>
      <c r="G139" s="26"/>
      <c r="H139" s="26"/>
      <c r="I139" s="27">
        <v>265.33999999999997</v>
      </c>
      <c r="J139" s="28"/>
      <c r="K139" s="27">
        <v>262.33999999999997</v>
      </c>
      <c r="L139" s="28"/>
      <c r="M139" s="27">
        <v>265.06</v>
      </c>
      <c r="N139" s="28"/>
      <c r="O139" s="27">
        <v>262.60000000000002</v>
      </c>
      <c r="P139" s="28"/>
      <c r="Q139" s="27">
        <v>262.86</v>
      </c>
      <c r="R139" s="28"/>
      <c r="S139" s="27">
        <v>262.86</v>
      </c>
      <c r="T139" s="28"/>
      <c r="U139" s="27">
        <v>262.75</v>
      </c>
      <c r="V139" s="28"/>
      <c r="W139" s="27">
        <v>264.7</v>
      </c>
      <c r="X139" s="28"/>
      <c r="Y139" s="27">
        <v>264.7</v>
      </c>
      <c r="Z139" s="28"/>
      <c r="AA139" s="27">
        <v>265.37</v>
      </c>
      <c r="AB139" s="27"/>
      <c r="AC139" s="27"/>
      <c r="AD139" s="27"/>
      <c r="AE139" s="27"/>
      <c r="AF139" s="28"/>
      <c r="AG139" s="27">
        <f t="shared" si="9"/>
        <v>2638.58</v>
      </c>
    </row>
    <row r="140" spans="1:33" s="29" customFormat="1" x14ac:dyDescent="0.25">
      <c r="A140" s="26"/>
      <c r="B140" s="26"/>
      <c r="C140" s="26"/>
      <c r="D140" s="26"/>
      <c r="E140" s="26"/>
      <c r="F140" s="26" t="s">
        <v>149</v>
      </c>
      <c r="G140" s="26"/>
      <c r="H140" s="26"/>
      <c r="I140" s="27"/>
      <c r="J140" s="28"/>
      <c r="K140" s="27"/>
      <c r="L140" s="28"/>
      <c r="M140" s="27"/>
      <c r="N140" s="28"/>
      <c r="O140" s="27"/>
      <c r="P140" s="28"/>
      <c r="Q140" s="27"/>
      <c r="R140" s="28"/>
      <c r="S140" s="27"/>
      <c r="T140" s="28"/>
      <c r="U140" s="27"/>
      <c r="V140" s="28"/>
      <c r="W140" s="27"/>
      <c r="X140" s="28"/>
      <c r="Y140" s="27"/>
      <c r="Z140" s="28"/>
      <c r="AA140" s="27"/>
      <c r="AB140" s="27"/>
      <c r="AC140" s="27"/>
      <c r="AD140" s="27"/>
      <c r="AE140" s="27"/>
      <c r="AF140" s="28"/>
      <c r="AG140" s="27"/>
    </row>
    <row r="141" spans="1:33" s="29" customFormat="1" ht="15.75" thickBot="1" x14ac:dyDescent="0.3">
      <c r="A141" s="26"/>
      <c r="B141" s="26"/>
      <c r="C141" s="26"/>
      <c r="D141" s="26"/>
      <c r="E141" s="26"/>
      <c r="F141" s="26"/>
      <c r="G141" s="26" t="s">
        <v>150</v>
      </c>
      <c r="H141" s="26"/>
      <c r="I141" s="30">
        <v>718.76</v>
      </c>
      <c r="J141" s="28"/>
      <c r="K141" s="30">
        <v>849.67</v>
      </c>
      <c r="L141" s="28"/>
      <c r="M141" s="30">
        <v>556.84</v>
      </c>
      <c r="N141" s="28"/>
      <c r="O141" s="30">
        <v>564.33000000000004</v>
      </c>
      <c r="P141" s="28"/>
      <c r="Q141" s="30">
        <v>376.89</v>
      </c>
      <c r="R141" s="28"/>
      <c r="S141" s="30">
        <v>367.13</v>
      </c>
      <c r="T141" s="28"/>
      <c r="U141" s="30">
        <v>475.55</v>
      </c>
      <c r="V141" s="28"/>
      <c r="W141" s="30">
        <v>1199.28</v>
      </c>
      <c r="X141" s="28"/>
      <c r="Y141" s="30">
        <v>419.17</v>
      </c>
      <c r="Z141" s="28"/>
      <c r="AA141" s="30">
        <v>0</v>
      </c>
      <c r="AB141" s="31"/>
      <c r="AC141" s="31"/>
      <c r="AD141" s="31"/>
      <c r="AE141" s="31"/>
      <c r="AF141" s="28"/>
      <c r="AG141" s="30">
        <f t="shared" ref="AG141:AG152" si="10">ROUND(SUM(I141:AE141),5)</f>
        <v>5527.62</v>
      </c>
    </row>
    <row r="142" spans="1:33" s="29" customFormat="1" x14ac:dyDescent="0.25">
      <c r="A142" s="26"/>
      <c r="B142" s="26"/>
      <c r="C142" s="26"/>
      <c r="D142" s="26"/>
      <c r="E142" s="26"/>
      <c r="F142" s="26" t="s">
        <v>151</v>
      </c>
      <c r="G142" s="26"/>
      <c r="H142" s="26"/>
      <c r="I142" s="27">
        <f>ROUND(SUM(I140:I141),5)</f>
        <v>718.76</v>
      </c>
      <c r="J142" s="28"/>
      <c r="K142" s="27">
        <f>ROUND(SUM(K140:K141),5)</f>
        <v>849.67</v>
      </c>
      <c r="L142" s="28"/>
      <c r="M142" s="27">
        <f>ROUND(SUM(M140:M141),5)</f>
        <v>556.84</v>
      </c>
      <c r="N142" s="28"/>
      <c r="O142" s="27">
        <f>ROUND(SUM(O140:O141),5)</f>
        <v>564.33000000000004</v>
      </c>
      <c r="P142" s="28"/>
      <c r="Q142" s="27">
        <f>ROUND(SUM(Q140:Q141),5)</f>
        <v>376.89</v>
      </c>
      <c r="R142" s="28"/>
      <c r="S142" s="27">
        <f>ROUND(SUM(S140:S141),5)</f>
        <v>367.13</v>
      </c>
      <c r="T142" s="28"/>
      <c r="U142" s="27">
        <f>ROUND(SUM(U140:U141),5)</f>
        <v>475.55</v>
      </c>
      <c r="V142" s="28"/>
      <c r="W142" s="27">
        <f>ROUND(SUM(W140:W141),5)</f>
        <v>1199.28</v>
      </c>
      <c r="X142" s="28"/>
      <c r="Y142" s="27">
        <f>ROUND(SUM(Y140:Y141),5)</f>
        <v>419.17</v>
      </c>
      <c r="Z142" s="28"/>
      <c r="AA142" s="27">
        <f>ROUND(SUM(AA140:AA141),5)</f>
        <v>0</v>
      </c>
      <c r="AB142" s="27"/>
      <c r="AC142" s="27"/>
      <c r="AD142" s="27"/>
      <c r="AE142" s="27"/>
      <c r="AF142" s="28"/>
      <c r="AG142" s="27">
        <f t="shared" si="10"/>
        <v>5527.62</v>
      </c>
    </row>
    <row r="143" spans="1:33" s="29" customFormat="1" x14ac:dyDescent="0.25">
      <c r="A143" s="26"/>
      <c r="B143" s="26"/>
      <c r="C143" s="26"/>
      <c r="D143" s="26"/>
      <c r="E143" s="26"/>
      <c r="F143" s="26" t="s">
        <v>152</v>
      </c>
      <c r="G143" s="26"/>
      <c r="H143" s="26"/>
      <c r="I143" s="27">
        <v>0</v>
      </c>
      <c r="J143" s="28"/>
      <c r="K143" s="27">
        <v>0</v>
      </c>
      <c r="L143" s="28"/>
      <c r="M143" s="27">
        <v>0</v>
      </c>
      <c r="N143" s="28"/>
      <c r="O143" s="27">
        <v>69</v>
      </c>
      <c r="P143" s="28"/>
      <c r="Q143" s="27">
        <v>0</v>
      </c>
      <c r="R143" s="28"/>
      <c r="S143" s="27">
        <v>69</v>
      </c>
      <c r="T143" s="28"/>
      <c r="U143" s="27">
        <v>0</v>
      </c>
      <c r="V143" s="28"/>
      <c r="W143" s="27">
        <v>0</v>
      </c>
      <c r="X143" s="28"/>
      <c r="Y143" s="27">
        <v>69</v>
      </c>
      <c r="Z143" s="28"/>
      <c r="AA143" s="27">
        <v>0</v>
      </c>
      <c r="AB143" s="27"/>
      <c r="AC143" s="27"/>
      <c r="AD143" s="27"/>
      <c r="AE143" s="27"/>
      <c r="AF143" s="28"/>
      <c r="AG143" s="27">
        <f t="shared" si="10"/>
        <v>207</v>
      </c>
    </row>
    <row r="144" spans="1:33" s="29" customFormat="1" x14ac:dyDescent="0.25">
      <c r="A144" s="26"/>
      <c r="B144" s="26"/>
      <c r="C144" s="26"/>
      <c r="D144" s="26"/>
      <c r="E144" s="26"/>
      <c r="F144" s="26" t="s">
        <v>153</v>
      </c>
      <c r="G144" s="26"/>
      <c r="H144" s="26"/>
      <c r="I144" s="27">
        <v>167.63</v>
      </c>
      <c r="J144" s="28"/>
      <c r="K144" s="27">
        <v>148.57</v>
      </c>
      <c r="L144" s="28"/>
      <c r="M144" s="27">
        <v>156.86000000000001</v>
      </c>
      <c r="N144" s="28"/>
      <c r="O144" s="27">
        <v>151.05000000000001</v>
      </c>
      <c r="P144" s="28"/>
      <c r="Q144" s="27">
        <v>164.32</v>
      </c>
      <c r="R144" s="28"/>
      <c r="S144" s="27">
        <v>141.11000000000001</v>
      </c>
      <c r="T144" s="28"/>
      <c r="U144" s="27">
        <v>173.03</v>
      </c>
      <c r="V144" s="28"/>
      <c r="W144" s="27">
        <v>207.53</v>
      </c>
      <c r="X144" s="28"/>
      <c r="Y144" s="27">
        <v>254.89</v>
      </c>
      <c r="Z144" s="28"/>
      <c r="AA144" s="27">
        <v>254.57</v>
      </c>
      <c r="AB144" s="27"/>
      <c r="AC144" s="27"/>
      <c r="AD144" s="27"/>
      <c r="AE144" s="27"/>
      <c r="AF144" s="28"/>
      <c r="AG144" s="27">
        <f t="shared" si="10"/>
        <v>1819.56</v>
      </c>
    </row>
    <row r="145" spans="1:34" s="29" customFormat="1" x14ac:dyDescent="0.25">
      <c r="A145" s="26"/>
      <c r="B145" s="26"/>
      <c r="C145" s="26"/>
      <c r="D145" s="26"/>
      <c r="E145" s="26"/>
      <c r="F145" s="26" t="s">
        <v>154</v>
      </c>
      <c r="G145" s="26"/>
      <c r="H145" s="26"/>
      <c r="I145" s="27">
        <v>0</v>
      </c>
      <c r="J145" s="28"/>
      <c r="K145" s="27">
        <v>0</v>
      </c>
      <c r="L145" s="28"/>
      <c r="M145" s="27">
        <v>0</v>
      </c>
      <c r="N145" s="28"/>
      <c r="O145" s="27">
        <v>0</v>
      </c>
      <c r="P145" s="28"/>
      <c r="Q145" s="27">
        <v>109</v>
      </c>
      <c r="R145" s="28"/>
      <c r="S145" s="27">
        <v>0</v>
      </c>
      <c r="T145" s="28"/>
      <c r="U145" s="27">
        <v>109</v>
      </c>
      <c r="V145" s="28"/>
      <c r="W145" s="27">
        <v>250</v>
      </c>
      <c r="X145" s="28"/>
      <c r="Y145" s="27">
        <v>0</v>
      </c>
      <c r="Z145" s="28"/>
      <c r="AA145" s="27">
        <v>0</v>
      </c>
      <c r="AB145" s="27"/>
      <c r="AC145" s="27"/>
      <c r="AD145" s="27"/>
      <c r="AE145" s="27"/>
      <c r="AF145" s="28"/>
      <c r="AG145" s="27">
        <f t="shared" si="10"/>
        <v>468</v>
      </c>
    </row>
    <row r="146" spans="1:34" s="29" customFormat="1" x14ac:dyDescent="0.25">
      <c r="A146" s="26"/>
      <c r="B146" s="26"/>
      <c r="C146" s="26"/>
      <c r="D146" s="26"/>
      <c r="E146" s="26"/>
      <c r="F146" s="26" t="s">
        <v>155</v>
      </c>
      <c r="G146" s="26"/>
      <c r="H146" s="26"/>
      <c r="I146" s="27">
        <v>65.2</v>
      </c>
      <c r="J146" s="28"/>
      <c r="K146" s="27">
        <v>64.150000000000006</v>
      </c>
      <c r="L146" s="28"/>
      <c r="M146" s="27">
        <v>64.11</v>
      </c>
      <c r="N146" s="28"/>
      <c r="O146" s="27">
        <v>64.09</v>
      </c>
      <c r="P146" s="28"/>
      <c r="Q146" s="27">
        <v>78.72</v>
      </c>
      <c r="R146" s="28"/>
      <c r="S146" s="27">
        <v>157.49</v>
      </c>
      <c r="T146" s="28"/>
      <c r="U146" s="27">
        <v>78.290000000000006</v>
      </c>
      <c r="V146" s="28"/>
      <c r="W146" s="27">
        <v>78.81</v>
      </c>
      <c r="X146" s="28"/>
      <c r="Y146" s="27">
        <v>0</v>
      </c>
      <c r="Z146" s="28"/>
      <c r="AA146" s="27">
        <v>79.739999999999995</v>
      </c>
      <c r="AB146" s="27"/>
      <c r="AC146" s="27"/>
      <c r="AD146" s="27"/>
      <c r="AE146" s="27"/>
      <c r="AF146" s="28"/>
      <c r="AG146" s="27">
        <f t="shared" si="10"/>
        <v>730.6</v>
      </c>
    </row>
    <row r="147" spans="1:34" s="29" customFormat="1" ht="15.75" thickBot="1" x14ac:dyDescent="0.3">
      <c r="A147" s="26"/>
      <c r="B147" s="26"/>
      <c r="C147" s="26"/>
      <c r="D147" s="26"/>
      <c r="E147" s="26"/>
      <c r="F147" s="26" t="s">
        <v>156</v>
      </c>
      <c r="G147" s="26"/>
      <c r="H147" s="26"/>
      <c r="I147" s="30">
        <v>102.45</v>
      </c>
      <c r="J147" s="28"/>
      <c r="K147" s="30">
        <v>112.84</v>
      </c>
      <c r="L147" s="28"/>
      <c r="M147" s="30">
        <v>84.25</v>
      </c>
      <c r="N147" s="28"/>
      <c r="O147" s="30">
        <v>380.29</v>
      </c>
      <c r="P147" s="28"/>
      <c r="Q147" s="30">
        <v>347.63</v>
      </c>
      <c r="R147" s="28"/>
      <c r="S147" s="30">
        <v>55.4</v>
      </c>
      <c r="T147" s="28"/>
      <c r="U147" s="30">
        <v>338.43</v>
      </c>
      <c r="V147" s="28"/>
      <c r="W147" s="30">
        <v>1.71</v>
      </c>
      <c r="X147" s="28"/>
      <c r="Y147" s="30">
        <v>96.34</v>
      </c>
      <c r="Z147" s="28"/>
      <c r="AA147" s="30">
        <v>136.80000000000001</v>
      </c>
      <c r="AB147" s="31"/>
      <c r="AC147" s="31"/>
      <c r="AD147" s="31"/>
      <c r="AE147" s="31"/>
      <c r="AF147" s="28"/>
      <c r="AG147" s="30">
        <f t="shared" si="10"/>
        <v>1656.14</v>
      </c>
    </row>
    <row r="148" spans="1:34" x14ac:dyDescent="0.25">
      <c r="A148" s="1"/>
      <c r="B148" s="1"/>
      <c r="C148" s="1"/>
      <c r="D148" s="1"/>
      <c r="E148" s="1" t="s">
        <v>157</v>
      </c>
      <c r="F148" s="1"/>
      <c r="G148" s="1"/>
      <c r="H148" s="1"/>
      <c r="I148" s="2">
        <f>ROUND(SUM(I130:I131)+SUM(I135:I139)+SUM(I142:I147),5)</f>
        <v>2526.65</v>
      </c>
      <c r="J148" s="3"/>
      <c r="K148" s="2">
        <f>ROUND(SUM(K130:K131)+SUM(K135:K139)+SUM(K142:K147),5)</f>
        <v>6409.45</v>
      </c>
      <c r="L148" s="3"/>
      <c r="M148" s="2">
        <f>ROUND(SUM(M130:M131)+SUM(M135:M139)+SUM(M142:M147),5)</f>
        <v>3342.83</v>
      </c>
      <c r="N148" s="3"/>
      <c r="O148" s="2">
        <f>ROUND(SUM(O130:O131)+SUM(O135:O139)+SUM(O142:O147),5)</f>
        <v>4171.82</v>
      </c>
      <c r="P148" s="3"/>
      <c r="Q148" s="2">
        <f>ROUND(SUM(Q130:Q131)+SUM(Q135:Q139)+SUM(Q142:Q147),5)</f>
        <v>7055.67</v>
      </c>
      <c r="R148" s="3"/>
      <c r="S148" s="2">
        <f>ROUND(SUM(S130:S131)+SUM(S135:S139)+SUM(S142:S147),5)</f>
        <v>3614.13</v>
      </c>
      <c r="T148" s="3"/>
      <c r="U148" s="2">
        <f>ROUND(SUM(U130:U131)+SUM(U135:U139)+SUM(U142:U147),5)</f>
        <v>8191.48</v>
      </c>
      <c r="V148" s="3"/>
      <c r="W148" s="2">
        <f>ROUND(SUM(W130:W131)+SUM(W135:W139)+SUM(W142:W147),5)</f>
        <v>4422.07</v>
      </c>
      <c r="X148" s="3"/>
      <c r="Y148" s="2">
        <f>ROUND(SUM(Y130:Y131)+SUM(Y135:Y139)+SUM(Y142:Y147),5)</f>
        <v>2745.87</v>
      </c>
      <c r="Z148" s="3"/>
      <c r="AA148" s="2">
        <f>ROUND(SUM(AA130:AA131)+SUM(AA135:AA139)+SUM(AA142:AA147),5)</f>
        <v>3668.99</v>
      </c>
      <c r="AB148" s="2"/>
      <c r="AC148" s="2"/>
      <c r="AD148" s="2"/>
      <c r="AE148" s="2"/>
      <c r="AF148" s="3"/>
      <c r="AG148" s="2">
        <f t="shared" si="10"/>
        <v>46148.959999999999</v>
      </c>
    </row>
    <row r="149" spans="1:34" ht="15.75" thickBot="1" x14ac:dyDescent="0.3">
      <c r="A149" s="1"/>
      <c r="B149" s="1"/>
      <c r="C149" s="1"/>
      <c r="D149" s="1"/>
      <c r="E149" s="1" t="s">
        <v>158</v>
      </c>
      <c r="F149" s="1"/>
      <c r="G149" s="1"/>
      <c r="H149" s="1"/>
      <c r="I149" s="5">
        <v>0</v>
      </c>
      <c r="J149" s="3"/>
      <c r="K149" s="5">
        <v>0</v>
      </c>
      <c r="L149" s="3"/>
      <c r="M149" s="5">
        <v>305.12</v>
      </c>
      <c r="N149" s="3"/>
      <c r="O149" s="5">
        <v>657.75</v>
      </c>
      <c r="P149" s="3"/>
      <c r="Q149" s="5">
        <v>10</v>
      </c>
      <c r="R149" s="3"/>
      <c r="S149" s="5">
        <v>0</v>
      </c>
      <c r="T149" s="3"/>
      <c r="U149" s="5">
        <v>362.52</v>
      </c>
      <c r="V149" s="3"/>
      <c r="W149" s="5">
        <v>237.48</v>
      </c>
      <c r="X149" s="3"/>
      <c r="Y149" s="5">
        <v>1068.31</v>
      </c>
      <c r="Z149" s="3"/>
      <c r="AA149" s="5">
        <v>0</v>
      </c>
      <c r="AB149" s="5"/>
      <c r="AC149" s="5"/>
      <c r="AD149" s="5"/>
      <c r="AE149" s="5"/>
      <c r="AF149" s="3"/>
      <c r="AG149" s="5">
        <f t="shared" si="10"/>
        <v>2641.18</v>
      </c>
    </row>
    <row r="150" spans="1:34" ht="15.75" thickBot="1" x14ac:dyDescent="0.3">
      <c r="A150" s="1"/>
      <c r="B150" s="1"/>
      <c r="C150" s="1"/>
      <c r="D150" s="1" t="s">
        <v>159</v>
      </c>
      <c r="E150" s="1"/>
      <c r="F150" s="1"/>
      <c r="G150" s="1"/>
      <c r="H150" s="1"/>
      <c r="I150" s="7">
        <f>ROUND(I40+I43+I92+I100+I125+SUM(I128:I129)+SUM(I148:I149),5)</f>
        <v>16418.84</v>
      </c>
      <c r="J150" s="3"/>
      <c r="K150" s="7">
        <f>ROUND(K40+K43+K92+K100+K125+SUM(K128:K129)+SUM(K148:K149),5)</f>
        <v>22562.82</v>
      </c>
      <c r="L150" s="3"/>
      <c r="M150" s="7">
        <f>ROUND(M40+M43+M92+M100+M125+SUM(M128:M129)+SUM(M148:M149),5)</f>
        <v>16178.09</v>
      </c>
      <c r="N150" s="3"/>
      <c r="O150" s="7">
        <f>ROUND(O40+O43+O92+O100+O125+SUM(O128:O129)+SUM(O148:O149),5)</f>
        <v>17914.169999999998</v>
      </c>
      <c r="P150" s="3"/>
      <c r="Q150" s="7">
        <f>ROUND(Q40+Q43+Q92+Q100+Q125+SUM(Q128:Q129)+SUM(Q148:Q149),5)</f>
        <v>28673.74</v>
      </c>
      <c r="R150" s="3"/>
      <c r="S150" s="7">
        <f>ROUND(S40+S43+S92+S100+S125+SUM(S128:S129)+SUM(S148:S149),5)</f>
        <v>18575.78</v>
      </c>
      <c r="T150" s="3"/>
      <c r="U150" s="7">
        <f>ROUND(U40+U43+U92+U100+U125+SUM(U128:U129)+SUM(U148:U149),5)</f>
        <v>22648.720000000001</v>
      </c>
      <c r="V150" s="3"/>
      <c r="W150" s="7">
        <f>ROUND(W40+W43+W92+W100+W125+SUM(W128:W129)+SUM(W148:W149),5)</f>
        <v>18375.66</v>
      </c>
      <c r="X150" s="3"/>
      <c r="Y150" s="50">
        <f>ROUND(Y40+Y43+Y92+Y100+Y125+SUM(Y128:Y129)+SUM(Y148:Y149),5)</f>
        <v>23444.87</v>
      </c>
      <c r="Z150" s="43"/>
      <c r="AA150" s="50">
        <f>ROUND(AA40+AA43+AA92+AA100+AA125+SUM(AA128:AA129)+SUM(AA148:AA149),5)</f>
        <v>23727.17</v>
      </c>
      <c r="AB150" s="5"/>
      <c r="AC150" s="5"/>
      <c r="AD150" s="5"/>
      <c r="AE150" s="5"/>
      <c r="AF150" s="3"/>
      <c r="AG150" s="7">
        <f t="shared" si="10"/>
        <v>208519.86</v>
      </c>
      <c r="AH150" s="48">
        <v>250224</v>
      </c>
    </row>
    <row r="151" spans="1:34" ht="15.75" thickBot="1" x14ac:dyDescent="0.3">
      <c r="A151" s="1"/>
      <c r="B151" s="1" t="s">
        <v>160</v>
      </c>
      <c r="C151" s="1"/>
      <c r="D151" s="1"/>
      <c r="E151" s="1"/>
      <c r="F151" s="1"/>
      <c r="G151" s="1"/>
      <c r="H151" s="1"/>
      <c r="I151" s="7">
        <f>ROUND(I2+I39-I150,5)</f>
        <v>-13291.64</v>
      </c>
      <c r="J151" s="3"/>
      <c r="K151" s="7">
        <f>ROUND(K2+K39-K150,5)</f>
        <v>-16604.55</v>
      </c>
      <c r="L151" s="3"/>
      <c r="M151" s="7">
        <f>ROUND(M2+M39-M150,5)</f>
        <v>-7911.24</v>
      </c>
      <c r="N151" s="3"/>
      <c r="O151" s="7">
        <f>ROUND(O2+O39-O150,5)</f>
        <v>-7298.03</v>
      </c>
      <c r="P151" s="3"/>
      <c r="Q151" s="7">
        <f>ROUND(Q2+Q39-Q150,5)</f>
        <v>-10418.01</v>
      </c>
      <c r="R151" s="3"/>
      <c r="S151" s="7">
        <f>ROUND(S2+S39-S150,5)</f>
        <v>13054.17</v>
      </c>
      <c r="T151" s="3"/>
      <c r="U151" s="7">
        <f>ROUND(U2+U39-U150,5)</f>
        <v>-10792.05</v>
      </c>
      <c r="V151" s="3"/>
      <c r="W151" s="7">
        <f>ROUND(W2+W39-W150,5)</f>
        <v>1794.43</v>
      </c>
      <c r="X151" s="3"/>
      <c r="Y151" s="7">
        <f>ROUND(Y2+Y39-Y150,5)</f>
        <v>29724.38</v>
      </c>
      <c r="Z151" s="3"/>
      <c r="AA151" s="7">
        <f>ROUND(AA2+AA39-AA150,5)</f>
        <v>9765.5499999999993</v>
      </c>
      <c r="AB151" s="5"/>
      <c r="AC151" s="5"/>
      <c r="AD151" s="5"/>
      <c r="AE151" s="5"/>
      <c r="AF151" s="3"/>
      <c r="AG151" s="7">
        <f t="shared" si="10"/>
        <v>-11976.99</v>
      </c>
    </row>
    <row r="152" spans="1:34" s="9" customFormat="1" ht="12" thickBot="1" x14ac:dyDescent="0.25">
      <c r="A152" s="1" t="s">
        <v>161</v>
      </c>
      <c r="B152" s="1"/>
      <c r="C152" s="1"/>
      <c r="D152" s="1"/>
      <c r="E152" s="1"/>
      <c r="F152" s="1"/>
      <c r="G152" s="1"/>
      <c r="H152" s="1"/>
      <c r="I152" s="8">
        <f>I151</f>
        <v>-13291.64</v>
      </c>
      <c r="J152" s="1"/>
      <c r="K152" s="8">
        <f>K151</f>
        <v>-16604.55</v>
      </c>
      <c r="L152" s="1"/>
      <c r="M152" s="8">
        <f>M151</f>
        <v>-7911.24</v>
      </c>
      <c r="N152" s="1"/>
      <c r="O152" s="8">
        <f>O151</f>
        <v>-7298.03</v>
      </c>
      <c r="P152" s="1"/>
      <c r="Q152" s="8">
        <f>Q151</f>
        <v>-10418.01</v>
      </c>
      <c r="R152" s="1"/>
      <c r="S152" s="8">
        <f>S151</f>
        <v>13054.17</v>
      </c>
      <c r="T152" s="1"/>
      <c r="U152" s="8">
        <f>U151</f>
        <v>-10792.05</v>
      </c>
      <c r="V152" s="1"/>
      <c r="W152" s="8">
        <f>W151</f>
        <v>1794.43</v>
      </c>
      <c r="X152" s="1"/>
      <c r="Y152" s="8">
        <f>Y151</f>
        <v>29724.38</v>
      </c>
      <c r="Z152" s="1"/>
      <c r="AA152" s="8">
        <f>AA151</f>
        <v>9765.5499999999993</v>
      </c>
      <c r="AB152" s="20"/>
      <c r="AC152" s="20"/>
      <c r="AD152" s="20"/>
      <c r="AE152" s="20"/>
      <c r="AF152" s="1"/>
      <c r="AG152" s="8">
        <f t="shared" si="10"/>
        <v>-11976.99</v>
      </c>
    </row>
    <row r="153" spans="1:34" ht="15.75" thickTop="1" x14ac:dyDescent="0.25"/>
  </sheetData>
  <pageMargins left="0.7" right="0.7" top="0.75" bottom="0.75" header="0.1" footer="0.3"/>
  <pageSetup orientation="portrait" r:id="rId1"/>
  <headerFooter>
    <oddHeader>&amp;L&amp;"Arial,Bold"&amp;8 1:35 PM
&amp;"Arial,Bold"&amp;8 11/17/17
&amp;"Arial,Bold"&amp;8 Accrual Basis&amp;C&amp;"Arial,Bold"&amp;12 Rest Stop Ministries, Inc.
&amp;"Arial,Bold"&amp;14 P&amp;&amp;L (Expanded)
&amp;"Arial,Bold"&amp;10 January through October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153"/>
  <sheetViews>
    <sheetView zoomScaleNormal="100" workbookViewId="0">
      <pane xSplit="8" ySplit="1" topLeftCell="N42" activePane="bottomRight" state="frozenSplit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5" x14ac:dyDescent="0.25"/>
  <cols>
    <col min="1" max="7" width="3" style="14" customWidth="1"/>
    <col min="8" max="8" width="33.7109375" style="14" customWidth="1"/>
    <col min="9" max="21" width="12.7109375" style="15" customWidth="1"/>
  </cols>
  <sheetData>
    <row r="1" spans="1:21" s="13" customFormat="1" ht="15.75" thickBot="1" x14ac:dyDescent="0.3">
      <c r="A1" s="10"/>
      <c r="B1" s="10"/>
      <c r="C1" s="10"/>
      <c r="D1" s="10"/>
      <c r="E1" s="10"/>
      <c r="F1" s="10"/>
      <c r="G1" s="10"/>
      <c r="H1" s="10"/>
      <c r="I1" s="11" t="s">
        <v>0</v>
      </c>
      <c r="J1" s="11" t="s">
        <v>1</v>
      </c>
      <c r="K1" s="11" t="s">
        <v>2</v>
      </c>
      <c r="L1" s="11" t="s">
        <v>3</v>
      </c>
      <c r="M1" s="11" t="s">
        <v>4</v>
      </c>
      <c r="N1" s="11" t="s">
        <v>5</v>
      </c>
      <c r="O1" s="11" t="s">
        <v>6</v>
      </c>
      <c r="P1" s="11" t="s">
        <v>7</v>
      </c>
      <c r="Q1" s="11" t="s">
        <v>8</v>
      </c>
      <c r="R1" s="11" t="s">
        <v>9</v>
      </c>
      <c r="S1" s="21" t="s">
        <v>162</v>
      </c>
      <c r="T1" s="21" t="s">
        <v>163</v>
      </c>
      <c r="U1" s="11" t="s">
        <v>10</v>
      </c>
    </row>
    <row r="2" spans="1:21" ht="15.75" thickTop="1" x14ac:dyDescent="0.25">
      <c r="A2" s="1"/>
      <c r="B2" s="1" t="s">
        <v>11</v>
      </c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"/>
      <c r="B3" s="1"/>
      <c r="C3" s="1"/>
      <c r="D3" s="1" t="s">
        <v>12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1"/>
      <c r="B4" s="1"/>
      <c r="C4" s="1"/>
      <c r="D4" s="1"/>
      <c r="E4" s="1" t="s">
        <v>13</v>
      </c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1"/>
      <c r="B5" s="1"/>
      <c r="C5" s="1"/>
      <c r="D5" s="1"/>
      <c r="E5" s="1"/>
      <c r="F5" s="1" t="s">
        <v>14</v>
      </c>
      <c r="G5" s="1"/>
      <c r="H5" s="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">
        <f>ROUND(SUM(I5:T5),5)</f>
        <v>0</v>
      </c>
    </row>
    <row r="6" spans="1:21" x14ac:dyDescent="0.25">
      <c r="A6" s="1"/>
      <c r="B6" s="1"/>
      <c r="C6" s="1"/>
      <c r="D6" s="1"/>
      <c r="E6" s="1"/>
      <c r="F6" s="1" t="s">
        <v>15</v>
      </c>
      <c r="G6" s="1"/>
      <c r="H6" s="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">
        <f t="shared" ref="U6:U33" si="0">ROUND(SUM(I6:T6),5)</f>
        <v>0</v>
      </c>
    </row>
    <row r="7" spans="1:21" x14ac:dyDescent="0.25">
      <c r="A7" s="1"/>
      <c r="B7" s="1"/>
      <c r="C7" s="1"/>
      <c r="D7" s="1"/>
      <c r="E7" s="1"/>
      <c r="F7" s="1" t="s">
        <v>16</v>
      </c>
      <c r="G7" s="1"/>
      <c r="H7" s="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">
        <f t="shared" si="0"/>
        <v>0</v>
      </c>
    </row>
    <row r="8" spans="1:21" ht="15.75" thickBot="1" x14ac:dyDescent="0.3">
      <c r="A8" s="1"/>
      <c r="B8" s="1"/>
      <c r="C8" s="1"/>
      <c r="D8" s="1"/>
      <c r="E8" s="1"/>
      <c r="F8" s="1" t="s">
        <v>17</v>
      </c>
      <c r="G8" s="1"/>
      <c r="H8" s="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4">
        <f t="shared" si="0"/>
        <v>0</v>
      </c>
    </row>
    <row r="9" spans="1:21" x14ac:dyDescent="0.25">
      <c r="A9" s="1"/>
      <c r="B9" s="1"/>
      <c r="C9" s="1"/>
      <c r="D9" s="1"/>
      <c r="E9" s="1" t="s">
        <v>18</v>
      </c>
      <c r="F9" s="1"/>
      <c r="G9" s="1"/>
      <c r="H9" s="1"/>
      <c r="I9" s="2">
        <f t="shared" ref="I9:R9" si="1">ROUND(SUM(I4:I8),5)</f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"/>
      <c r="T9" s="2"/>
      <c r="U9" s="2">
        <f t="shared" si="0"/>
        <v>0</v>
      </c>
    </row>
    <row r="10" spans="1:21" x14ac:dyDescent="0.25">
      <c r="A10" s="1"/>
      <c r="B10" s="1"/>
      <c r="C10" s="1"/>
      <c r="D10" s="1"/>
      <c r="E10" s="1" t="s">
        <v>19</v>
      </c>
      <c r="F10" s="1"/>
      <c r="G10" s="1"/>
      <c r="H10" s="1"/>
      <c r="I10" s="2"/>
      <c r="J10" s="2"/>
      <c r="K10" s="2"/>
      <c r="L10" s="2"/>
      <c r="M10" s="23"/>
      <c r="N10" s="23"/>
      <c r="O10" s="23"/>
      <c r="P10" s="23"/>
      <c r="Q10" s="23"/>
      <c r="R10" s="23"/>
      <c r="S10" s="23"/>
      <c r="T10" s="23"/>
      <c r="U10" s="2"/>
    </row>
    <row r="11" spans="1:21" x14ac:dyDescent="0.25">
      <c r="A11" s="1"/>
      <c r="B11" s="1"/>
      <c r="C11" s="1"/>
      <c r="D11" s="1"/>
      <c r="E11" s="1"/>
      <c r="F11" s="1" t="s">
        <v>20</v>
      </c>
      <c r="G11" s="1"/>
      <c r="H11" s="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">
        <f t="shared" si="0"/>
        <v>0</v>
      </c>
    </row>
    <row r="12" spans="1:21" x14ac:dyDescent="0.25">
      <c r="A12" s="1"/>
      <c r="B12" s="1"/>
      <c r="C12" s="1"/>
      <c r="D12" s="1"/>
      <c r="E12" s="1"/>
      <c r="F12" s="1" t="s">
        <v>21</v>
      </c>
      <c r="G12" s="1"/>
      <c r="H12" s="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">
        <f t="shared" si="0"/>
        <v>0</v>
      </c>
    </row>
    <row r="13" spans="1:21" ht="15.75" thickBot="1" x14ac:dyDescent="0.3">
      <c r="A13" s="1"/>
      <c r="B13" s="1"/>
      <c r="C13" s="1"/>
      <c r="D13" s="1"/>
      <c r="E13" s="1"/>
      <c r="F13" s="1" t="s">
        <v>22</v>
      </c>
      <c r="G13" s="1"/>
      <c r="H13" s="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">
        <f t="shared" si="0"/>
        <v>0</v>
      </c>
    </row>
    <row r="14" spans="1:21" x14ac:dyDescent="0.25">
      <c r="A14" s="1"/>
      <c r="B14" s="1"/>
      <c r="C14" s="1"/>
      <c r="D14" s="1"/>
      <c r="E14" s="1" t="s">
        <v>23</v>
      </c>
      <c r="F14" s="1"/>
      <c r="G14" s="1"/>
      <c r="H14" s="1"/>
      <c r="I14" s="2">
        <f t="shared" ref="I14:R14" si="2">ROUND(SUM(I10:I13),5)</f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0</v>
      </c>
      <c r="R14" s="2">
        <f t="shared" si="2"/>
        <v>0</v>
      </c>
      <c r="S14" s="2"/>
      <c r="T14" s="2"/>
      <c r="U14" s="2">
        <f t="shared" si="0"/>
        <v>0</v>
      </c>
    </row>
    <row r="15" spans="1:21" x14ac:dyDescent="0.25">
      <c r="A15" s="1"/>
      <c r="B15" s="1"/>
      <c r="C15" s="1"/>
      <c r="D15" s="1"/>
      <c r="E15" s="1" t="s">
        <v>24</v>
      </c>
      <c r="F15" s="1"/>
      <c r="G15" s="1"/>
      <c r="H15" s="1"/>
      <c r="I15" s="2"/>
      <c r="J15" s="2"/>
      <c r="K15" s="2"/>
      <c r="L15" s="2"/>
      <c r="M15" s="23"/>
      <c r="N15" s="23"/>
      <c r="O15" s="23"/>
      <c r="P15" s="23"/>
      <c r="Q15" s="23"/>
      <c r="R15" s="23"/>
      <c r="S15" s="23"/>
      <c r="T15" s="23"/>
      <c r="U15" s="2"/>
    </row>
    <row r="16" spans="1:21" x14ac:dyDescent="0.25">
      <c r="A16" s="1"/>
      <c r="B16" s="1"/>
      <c r="C16" s="1"/>
      <c r="D16" s="1"/>
      <c r="E16" s="1"/>
      <c r="F16" s="1" t="s">
        <v>25</v>
      </c>
      <c r="G16" s="1"/>
      <c r="H16" s="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">
        <f t="shared" si="0"/>
        <v>0</v>
      </c>
    </row>
    <row r="17" spans="1:21" ht="15.75" thickBot="1" x14ac:dyDescent="0.3">
      <c r="A17" s="1"/>
      <c r="B17" s="1"/>
      <c r="C17" s="1"/>
      <c r="D17" s="1"/>
      <c r="E17" s="1"/>
      <c r="F17" s="1" t="s">
        <v>26</v>
      </c>
      <c r="G17" s="1"/>
      <c r="H17" s="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">
        <f t="shared" si="0"/>
        <v>0</v>
      </c>
    </row>
    <row r="18" spans="1:21" x14ac:dyDescent="0.25">
      <c r="A18" s="1"/>
      <c r="B18" s="1"/>
      <c r="C18" s="1"/>
      <c r="D18" s="1"/>
      <c r="E18" s="1" t="s">
        <v>27</v>
      </c>
      <c r="F18" s="1"/>
      <c r="G18" s="1"/>
      <c r="H18" s="1"/>
      <c r="I18" s="2">
        <f t="shared" ref="I18:R18" si="3">ROUND(SUM(I15:I17),5)</f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2">
        <f t="shared" si="3"/>
        <v>0</v>
      </c>
      <c r="P18" s="2">
        <f t="shared" si="3"/>
        <v>0</v>
      </c>
      <c r="Q18" s="2">
        <f t="shared" si="3"/>
        <v>0</v>
      </c>
      <c r="R18" s="2">
        <f t="shared" si="3"/>
        <v>0</v>
      </c>
      <c r="S18" s="2"/>
      <c r="T18" s="2"/>
      <c r="U18" s="2">
        <f t="shared" si="0"/>
        <v>0</v>
      </c>
    </row>
    <row r="19" spans="1:21" x14ac:dyDescent="0.25">
      <c r="A19" s="1"/>
      <c r="B19" s="1"/>
      <c r="C19" s="1"/>
      <c r="D19" s="1"/>
      <c r="E19" s="1" t="s">
        <v>28</v>
      </c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"/>
      <c r="B20" s="1"/>
      <c r="C20" s="1"/>
      <c r="D20" s="1"/>
      <c r="E20" s="1"/>
      <c r="F20" s="1" t="s">
        <v>29</v>
      </c>
      <c r="G20" s="1"/>
      <c r="H20" s="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"/>
      <c r="T20" s="2"/>
      <c r="U20" s="2">
        <f t="shared" si="0"/>
        <v>0</v>
      </c>
    </row>
    <row r="21" spans="1:21" x14ac:dyDescent="0.25">
      <c r="A21" s="1"/>
      <c r="B21" s="1"/>
      <c r="C21" s="1"/>
      <c r="D21" s="1"/>
      <c r="E21" s="1"/>
      <c r="F21" s="1" t="s">
        <v>30</v>
      </c>
      <c r="G21" s="1"/>
      <c r="H21" s="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"/>
      <c r="T21" s="2"/>
      <c r="U21" s="2"/>
    </row>
    <row r="22" spans="1:21" x14ac:dyDescent="0.25">
      <c r="A22" s="1"/>
      <c r="B22" s="1"/>
      <c r="C22" s="1"/>
      <c r="D22" s="1"/>
      <c r="E22" s="1"/>
      <c r="F22" s="1"/>
      <c r="G22" s="1" t="s">
        <v>31</v>
      </c>
      <c r="H22" s="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"/>
      <c r="T22" s="2"/>
      <c r="U22" s="2">
        <f t="shared" si="0"/>
        <v>0</v>
      </c>
    </row>
    <row r="23" spans="1:21" x14ac:dyDescent="0.25">
      <c r="A23" s="1"/>
      <c r="B23" s="1"/>
      <c r="C23" s="1"/>
      <c r="D23" s="1"/>
      <c r="E23" s="1"/>
      <c r="F23" s="1"/>
      <c r="G23" s="1" t="s">
        <v>32</v>
      </c>
      <c r="H23" s="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>
        <f t="shared" si="0"/>
        <v>0</v>
      </c>
    </row>
    <row r="24" spans="1:21" x14ac:dyDescent="0.25">
      <c r="A24" s="1"/>
      <c r="B24" s="1"/>
      <c r="C24" s="1"/>
      <c r="D24" s="1"/>
      <c r="E24" s="1"/>
      <c r="F24" s="1"/>
      <c r="G24" s="1" t="s">
        <v>33</v>
      </c>
      <c r="H24" s="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"/>
      <c r="T24" s="2"/>
      <c r="U24" s="2">
        <f t="shared" si="0"/>
        <v>0</v>
      </c>
    </row>
    <row r="25" spans="1:21" ht="15.75" thickBot="1" x14ac:dyDescent="0.3">
      <c r="A25" s="1"/>
      <c r="B25" s="1"/>
      <c r="C25" s="1"/>
      <c r="D25" s="1"/>
      <c r="E25" s="1"/>
      <c r="F25" s="1"/>
      <c r="G25" s="1" t="s">
        <v>34</v>
      </c>
      <c r="H25" s="1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"/>
      <c r="T25" s="4"/>
      <c r="U25" s="5">
        <f t="shared" si="0"/>
        <v>0</v>
      </c>
    </row>
    <row r="26" spans="1:21" ht="15.75" thickBot="1" x14ac:dyDescent="0.3">
      <c r="A26" s="1"/>
      <c r="B26" s="1"/>
      <c r="C26" s="1"/>
      <c r="D26" s="1"/>
      <c r="E26" s="1"/>
      <c r="F26" s="1" t="s">
        <v>35</v>
      </c>
      <c r="G26" s="1"/>
      <c r="H26" s="1"/>
      <c r="I26" s="6">
        <f t="shared" ref="I26:R26" si="4">ROUND(SUM(I21:I25),5)</f>
        <v>0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4"/>
      <c r="T26" s="4"/>
      <c r="U26" s="6">
        <f t="shared" si="0"/>
        <v>0</v>
      </c>
    </row>
    <row r="27" spans="1:21" x14ac:dyDescent="0.25">
      <c r="A27" s="1"/>
      <c r="B27" s="1"/>
      <c r="C27" s="1"/>
      <c r="D27" s="1"/>
      <c r="E27" s="1" t="s">
        <v>36</v>
      </c>
      <c r="F27" s="1"/>
      <c r="G27" s="1"/>
      <c r="H27" s="1"/>
      <c r="I27" s="2">
        <f t="shared" ref="I27:R27" si="5">ROUND(SUM(I19:I20)+I26,5)</f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  <c r="R27" s="2">
        <f t="shared" si="5"/>
        <v>0</v>
      </c>
      <c r="S27" s="2"/>
      <c r="T27" s="2"/>
      <c r="U27" s="2">
        <f t="shared" si="0"/>
        <v>0</v>
      </c>
    </row>
    <row r="28" spans="1:21" x14ac:dyDescent="0.25">
      <c r="A28" s="1"/>
      <c r="B28" s="1"/>
      <c r="C28" s="1"/>
      <c r="D28" s="1"/>
      <c r="E28" s="1" t="s">
        <v>37</v>
      </c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1"/>
      <c r="B29" s="1"/>
      <c r="C29" s="1"/>
      <c r="D29" s="1"/>
      <c r="E29" s="1"/>
      <c r="F29" s="1" t="s">
        <v>38</v>
      </c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f t="shared" si="0"/>
        <v>0</v>
      </c>
    </row>
    <row r="30" spans="1:21" x14ac:dyDescent="0.25">
      <c r="A30" s="1"/>
      <c r="B30" s="1"/>
      <c r="C30" s="1"/>
      <c r="D30" s="1"/>
      <c r="E30" s="1"/>
      <c r="F30" s="1" t="s">
        <v>39</v>
      </c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f t="shared" si="0"/>
        <v>0</v>
      </c>
    </row>
    <row r="31" spans="1:21" ht="15.75" thickBot="1" x14ac:dyDescent="0.3">
      <c r="A31" s="1"/>
      <c r="B31" s="1"/>
      <c r="C31" s="1"/>
      <c r="D31" s="1"/>
      <c r="E31" s="1"/>
      <c r="F31" s="1" t="s">
        <v>40</v>
      </c>
      <c r="G31" s="1"/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  <c r="T31" s="4"/>
      <c r="U31" s="5">
        <f t="shared" si="0"/>
        <v>0</v>
      </c>
    </row>
    <row r="32" spans="1:21" ht="15.75" thickBot="1" x14ac:dyDescent="0.3">
      <c r="A32" s="1"/>
      <c r="B32" s="1"/>
      <c r="C32" s="1"/>
      <c r="D32" s="1"/>
      <c r="E32" s="1" t="s">
        <v>41</v>
      </c>
      <c r="F32" s="1"/>
      <c r="G32" s="1"/>
      <c r="H32" s="1"/>
      <c r="I32" s="6">
        <f t="shared" ref="I32:R32" si="6">ROUND(SUM(I28:I31),5)</f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6">
        <f t="shared" si="6"/>
        <v>0</v>
      </c>
      <c r="N32" s="6">
        <f t="shared" si="6"/>
        <v>0</v>
      </c>
      <c r="O32" s="6">
        <f t="shared" si="6"/>
        <v>0</v>
      </c>
      <c r="P32" s="6">
        <f t="shared" si="6"/>
        <v>0</v>
      </c>
      <c r="Q32" s="6">
        <f t="shared" si="6"/>
        <v>0</v>
      </c>
      <c r="R32" s="6">
        <f t="shared" si="6"/>
        <v>0</v>
      </c>
      <c r="S32" s="4"/>
      <c r="T32" s="4"/>
      <c r="U32" s="6">
        <f t="shared" si="0"/>
        <v>0</v>
      </c>
    </row>
    <row r="33" spans="1:21" x14ac:dyDescent="0.25">
      <c r="A33" s="1"/>
      <c r="B33" s="1"/>
      <c r="C33" s="1"/>
      <c r="D33" s="1" t="s">
        <v>42</v>
      </c>
      <c r="E33" s="1"/>
      <c r="F33" s="1"/>
      <c r="G33" s="1"/>
      <c r="H33" s="1"/>
      <c r="I33" s="2">
        <f t="shared" ref="I33:R33" si="7">ROUND(I3+I9+I14+I18+I27+I32,5)</f>
        <v>0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0</v>
      </c>
      <c r="N33" s="2">
        <f t="shared" si="7"/>
        <v>0</v>
      </c>
      <c r="O33" s="2">
        <f t="shared" si="7"/>
        <v>0</v>
      </c>
      <c r="P33" s="2">
        <f t="shared" si="7"/>
        <v>0</v>
      </c>
      <c r="Q33" s="2">
        <f t="shared" si="7"/>
        <v>0</v>
      </c>
      <c r="R33" s="2">
        <f t="shared" si="7"/>
        <v>0</v>
      </c>
      <c r="S33" s="2"/>
      <c r="T33" s="2"/>
      <c r="U33" s="2">
        <f t="shared" si="0"/>
        <v>0</v>
      </c>
    </row>
    <row r="34" spans="1:21" x14ac:dyDescent="0.25">
      <c r="A34" s="1"/>
      <c r="B34" s="1"/>
      <c r="C34" s="1"/>
      <c r="D34" s="1" t="s">
        <v>43</v>
      </c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"/>
      <c r="B35" s="1"/>
      <c r="C35" s="1"/>
      <c r="D35" s="1"/>
      <c r="E35" s="1" t="s">
        <v>44</v>
      </c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thickBot="1" x14ac:dyDescent="0.3">
      <c r="A36" s="1"/>
      <c r="B36" s="1"/>
      <c r="C36" s="1"/>
      <c r="D36" s="1"/>
      <c r="E36" s="1"/>
      <c r="F36" s="1" t="s">
        <v>45</v>
      </c>
      <c r="G36" s="1"/>
      <c r="H36" s="1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5">
        <f t="shared" ref="U36:U39" si="8">ROUND(SUM(I36:T36),5)</f>
        <v>0</v>
      </c>
    </row>
    <row r="37" spans="1:21" ht="15.75" thickBot="1" x14ac:dyDescent="0.3">
      <c r="A37" s="1"/>
      <c r="B37" s="1"/>
      <c r="C37" s="1"/>
      <c r="D37" s="1"/>
      <c r="E37" s="1" t="s">
        <v>46</v>
      </c>
      <c r="F37" s="1"/>
      <c r="G37" s="1"/>
      <c r="H37" s="1"/>
      <c r="I37" s="7">
        <f t="shared" ref="I37:R37" si="9">ROUND(SUM(I35:I36),5)</f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7">
        <f t="shared" si="9"/>
        <v>0</v>
      </c>
      <c r="R37" s="7">
        <f t="shared" si="9"/>
        <v>0</v>
      </c>
      <c r="S37" s="4"/>
      <c r="T37" s="4"/>
      <c r="U37" s="7">
        <f t="shared" si="8"/>
        <v>0</v>
      </c>
    </row>
    <row r="38" spans="1:21" ht="15.75" thickBot="1" x14ac:dyDescent="0.3">
      <c r="A38" s="1"/>
      <c r="B38" s="1"/>
      <c r="C38" s="1"/>
      <c r="D38" s="1" t="s">
        <v>47</v>
      </c>
      <c r="E38" s="1"/>
      <c r="F38" s="1"/>
      <c r="G38" s="1"/>
      <c r="H38" s="1"/>
      <c r="I38" s="6">
        <f t="shared" ref="I38:R38" si="10">ROUND(I34+I37,5)</f>
        <v>0</v>
      </c>
      <c r="J38" s="6">
        <f t="shared" si="10"/>
        <v>0</v>
      </c>
      <c r="K38" s="6">
        <f t="shared" si="10"/>
        <v>0</v>
      </c>
      <c r="L38" s="6">
        <f t="shared" si="10"/>
        <v>0</v>
      </c>
      <c r="M38" s="6">
        <f t="shared" si="10"/>
        <v>0</v>
      </c>
      <c r="N38" s="6">
        <f t="shared" si="10"/>
        <v>0</v>
      </c>
      <c r="O38" s="6">
        <f t="shared" si="10"/>
        <v>0</v>
      </c>
      <c r="P38" s="6">
        <f t="shared" si="10"/>
        <v>0</v>
      </c>
      <c r="Q38" s="6">
        <f t="shared" si="10"/>
        <v>0</v>
      </c>
      <c r="R38" s="6">
        <f t="shared" si="10"/>
        <v>0</v>
      </c>
      <c r="S38" s="4"/>
      <c r="T38" s="4"/>
      <c r="U38" s="6">
        <f t="shared" si="8"/>
        <v>0</v>
      </c>
    </row>
    <row r="39" spans="1:21" x14ac:dyDescent="0.25">
      <c r="A39" s="1"/>
      <c r="B39" s="1"/>
      <c r="C39" s="1" t="s">
        <v>48</v>
      </c>
      <c r="D39" s="1"/>
      <c r="E39" s="1"/>
      <c r="F39" s="1"/>
      <c r="G39" s="1"/>
      <c r="H39" s="1"/>
      <c r="I39" s="2">
        <f t="shared" ref="I39:R39" si="11">ROUND(I33-I38,5)</f>
        <v>0</v>
      </c>
      <c r="J39" s="2">
        <f t="shared" si="11"/>
        <v>0</v>
      </c>
      <c r="K39" s="2">
        <f t="shared" si="11"/>
        <v>0</v>
      </c>
      <c r="L39" s="2">
        <f t="shared" si="11"/>
        <v>0</v>
      </c>
      <c r="M39" s="2">
        <f t="shared" si="11"/>
        <v>0</v>
      </c>
      <c r="N39" s="2">
        <f t="shared" si="11"/>
        <v>0</v>
      </c>
      <c r="O39" s="2">
        <f t="shared" si="11"/>
        <v>0</v>
      </c>
      <c r="P39" s="2">
        <f t="shared" si="11"/>
        <v>0</v>
      </c>
      <c r="Q39" s="2">
        <f t="shared" si="11"/>
        <v>0</v>
      </c>
      <c r="R39" s="2">
        <f t="shared" si="11"/>
        <v>0</v>
      </c>
      <c r="S39" s="2"/>
      <c r="T39" s="2"/>
      <c r="U39" s="2">
        <f t="shared" si="8"/>
        <v>0</v>
      </c>
    </row>
    <row r="40" spans="1:21" x14ac:dyDescent="0.25">
      <c r="A40" s="1"/>
      <c r="B40" s="1"/>
      <c r="C40" s="1"/>
      <c r="D40" s="1" t="s">
        <v>49</v>
      </c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"/>
      <c r="B41" s="1"/>
      <c r="C41" s="1"/>
      <c r="D41" s="1"/>
      <c r="E41" s="1" t="s">
        <v>50</v>
      </c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thickBot="1" x14ac:dyDescent="0.3">
      <c r="A42" s="1"/>
      <c r="B42" s="1"/>
      <c r="C42" s="1"/>
      <c r="D42" s="1"/>
      <c r="E42" s="1"/>
      <c r="F42" s="1" t="s">
        <v>51</v>
      </c>
      <c r="G42" s="1"/>
      <c r="H42" s="1"/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/>
      <c r="T42" s="4"/>
      <c r="U42" s="4">
        <f t="shared" ref="U42:U43" si="12">ROUND(SUM(I42:T42),5)</f>
        <v>0</v>
      </c>
    </row>
    <row r="43" spans="1:21" x14ac:dyDescent="0.25">
      <c r="A43" s="1"/>
      <c r="B43" s="1"/>
      <c r="C43" s="1"/>
      <c r="D43" s="1"/>
      <c r="E43" s="1" t="s">
        <v>52</v>
      </c>
      <c r="F43" s="1"/>
      <c r="G43" s="1"/>
      <c r="H43" s="1"/>
      <c r="I43" s="2">
        <f t="shared" ref="I43:R43" si="13">ROUND(SUM(I41:I42),5)</f>
        <v>0</v>
      </c>
      <c r="J43" s="2">
        <f t="shared" si="13"/>
        <v>0</v>
      </c>
      <c r="K43" s="2">
        <f t="shared" si="13"/>
        <v>0</v>
      </c>
      <c r="L43" s="2">
        <f t="shared" si="13"/>
        <v>0</v>
      </c>
      <c r="M43" s="2">
        <f t="shared" si="13"/>
        <v>0</v>
      </c>
      <c r="N43" s="2">
        <f t="shared" si="13"/>
        <v>0</v>
      </c>
      <c r="O43" s="2">
        <f t="shared" si="13"/>
        <v>0</v>
      </c>
      <c r="P43" s="2">
        <f t="shared" si="13"/>
        <v>0</v>
      </c>
      <c r="Q43" s="2">
        <f t="shared" si="13"/>
        <v>0</v>
      </c>
      <c r="R43" s="2">
        <f t="shared" si="13"/>
        <v>0</v>
      </c>
      <c r="S43" s="2"/>
      <c r="T43" s="2"/>
      <c r="U43" s="2">
        <f t="shared" si="12"/>
        <v>0</v>
      </c>
    </row>
    <row r="44" spans="1:21" x14ac:dyDescent="0.25">
      <c r="A44" s="1"/>
      <c r="B44" s="1"/>
      <c r="C44" s="1"/>
      <c r="D44" s="1"/>
      <c r="E44" s="1" t="s">
        <v>53</v>
      </c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1"/>
      <c r="B45" s="1"/>
      <c r="C45" s="1"/>
      <c r="D45" s="1"/>
      <c r="E45" s="1"/>
      <c r="F45" s="1" t="s">
        <v>54</v>
      </c>
      <c r="G45" s="1"/>
      <c r="H45" s="1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"/>
      <c r="T45" s="2"/>
      <c r="U45" s="2">
        <f t="shared" ref="U45" si="14">ROUND(SUM(I45:T45),5)</f>
        <v>0</v>
      </c>
    </row>
    <row r="46" spans="1:21" x14ac:dyDescent="0.25">
      <c r="A46" s="1"/>
      <c r="B46" s="1"/>
      <c r="C46" s="1"/>
      <c r="D46" s="1"/>
      <c r="E46" s="1"/>
      <c r="F46" s="1" t="s">
        <v>55</v>
      </c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"/>
      <c r="B47" s="1"/>
      <c r="C47" s="1"/>
      <c r="D47" s="1"/>
      <c r="E47" s="1"/>
      <c r="F47" s="1"/>
      <c r="G47" s="1" t="s">
        <v>56</v>
      </c>
      <c r="H47" s="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"/>
      <c r="T47" s="2"/>
      <c r="U47" s="2">
        <f t="shared" ref="U47:U92" si="15">ROUND(SUM(I47:T47),5)</f>
        <v>0</v>
      </c>
    </row>
    <row r="48" spans="1:21" x14ac:dyDescent="0.25">
      <c r="A48" s="1"/>
      <c r="B48" s="1"/>
      <c r="C48" s="1"/>
      <c r="D48" s="1"/>
      <c r="E48" s="1"/>
      <c r="F48" s="1"/>
      <c r="G48" s="1" t="s">
        <v>57</v>
      </c>
      <c r="H48" s="1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"/>
      <c r="T48" s="2"/>
      <c r="U48" s="2">
        <f t="shared" si="15"/>
        <v>0</v>
      </c>
    </row>
    <row r="49" spans="1:21" x14ac:dyDescent="0.25">
      <c r="A49" s="1"/>
      <c r="B49" s="1"/>
      <c r="C49" s="1"/>
      <c r="D49" s="1"/>
      <c r="E49" s="1"/>
      <c r="F49" s="1"/>
      <c r="G49" s="1" t="s">
        <v>58</v>
      </c>
      <c r="H49" s="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"/>
      <c r="T49" s="2"/>
      <c r="U49" s="2">
        <f t="shared" si="15"/>
        <v>0</v>
      </c>
    </row>
    <row r="50" spans="1:21" ht="15.75" thickBot="1" x14ac:dyDescent="0.3">
      <c r="A50" s="1"/>
      <c r="B50" s="1"/>
      <c r="C50" s="1"/>
      <c r="D50" s="1"/>
      <c r="E50" s="1"/>
      <c r="F50" s="1"/>
      <c r="G50" s="1" t="s">
        <v>59</v>
      </c>
      <c r="H50" s="1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4"/>
      <c r="T50" s="4"/>
      <c r="U50" s="4">
        <f t="shared" si="15"/>
        <v>0</v>
      </c>
    </row>
    <row r="51" spans="1:21" x14ac:dyDescent="0.25">
      <c r="A51" s="1"/>
      <c r="B51" s="1"/>
      <c r="C51" s="1"/>
      <c r="D51" s="1"/>
      <c r="E51" s="1"/>
      <c r="F51" s="1" t="s">
        <v>60</v>
      </c>
      <c r="G51" s="1"/>
      <c r="H51" s="1"/>
      <c r="I51" s="2">
        <f t="shared" ref="I51:R51" si="16">ROUND(SUM(I46:I50),5)</f>
        <v>0</v>
      </c>
      <c r="J51" s="2">
        <f t="shared" si="16"/>
        <v>0</v>
      </c>
      <c r="K51" s="2">
        <f t="shared" si="16"/>
        <v>0</v>
      </c>
      <c r="L51" s="2">
        <f t="shared" si="16"/>
        <v>0</v>
      </c>
      <c r="M51" s="2">
        <f t="shared" si="16"/>
        <v>0</v>
      </c>
      <c r="N51" s="2">
        <f t="shared" si="16"/>
        <v>0</v>
      </c>
      <c r="O51" s="2">
        <f t="shared" si="16"/>
        <v>0</v>
      </c>
      <c r="P51" s="2">
        <f t="shared" si="16"/>
        <v>0</v>
      </c>
      <c r="Q51" s="2">
        <f t="shared" si="16"/>
        <v>0</v>
      </c>
      <c r="R51" s="2">
        <f t="shared" si="16"/>
        <v>0</v>
      </c>
      <c r="S51" s="2"/>
      <c r="T51" s="2"/>
      <c r="U51" s="2">
        <f t="shared" si="15"/>
        <v>0</v>
      </c>
    </row>
    <row r="52" spans="1:21" x14ac:dyDescent="0.25">
      <c r="A52" s="1"/>
      <c r="B52" s="1"/>
      <c r="C52" s="1"/>
      <c r="D52" s="1"/>
      <c r="E52" s="1"/>
      <c r="F52" s="1" t="s">
        <v>61</v>
      </c>
      <c r="G52" s="1"/>
      <c r="H52" s="1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"/>
      <c r="T52" s="2"/>
      <c r="U52" s="2">
        <f t="shared" si="15"/>
        <v>0</v>
      </c>
    </row>
    <row r="53" spans="1:21" x14ac:dyDescent="0.25">
      <c r="A53" s="1"/>
      <c r="B53" s="1"/>
      <c r="C53" s="1"/>
      <c r="D53" s="1"/>
      <c r="E53" s="1"/>
      <c r="F53" s="1" t="s">
        <v>62</v>
      </c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"/>
      <c r="B54" s="1"/>
      <c r="C54" s="1"/>
      <c r="D54" s="1"/>
      <c r="E54" s="1"/>
      <c r="F54" s="1"/>
      <c r="G54" s="1" t="s">
        <v>63</v>
      </c>
      <c r="H54" s="1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"/>
      <c r="T54" s="2"/>
      <c r="U54" s="2">
        <f t="shared" si="15"/>
        <v>0</v>
      </c>
    </row>
    <row r="55" spans="1:21" x14ac:dyDescent="0.25">
      <c r="A55" s="1"/>
      <c r="B55" s="1"/>
      <c r="C55" s="1"/>
      <c r="D55" s="1"/>
      <c r="E55" s="1"/>
      <c r="F55" s="1"/>
      <c r="G55" s="1" t="s">
        <v>64</v>
      </c>
      <c r="H55" s="1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"/>
      <c r="T55" s="2"/>
      <c r="U55" s="2">
        <f t="shared" si="15"/>
        <v>0</v>
      </c>
    </row>
    <row r="56" spans="1:21" x14ac:dyDescent="0.25">
      <c r="A56" s="1"/>
      <c r="B56" s="1"/>
      <c r="C56" s="1"/>
      <c r="D56" s="1"/>
      <c r="E56" s="1"/>
      <c r="F56" s="1"/>
      <c r="G56" s="1" t="s">
        <v>65</v>
      </c>
      <c r="H56" s="1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"/>
      <c r="T56" s="2"/>
      <c r="U56" s="2">
        <f t="shared" si="15"/>
        <v>0</v>
      </c>
    </row>
    <row r="57" spans="1:21" ht="15.75" thickBot="1" x14ac:dyDescent="0.3">
      <c r="A57" s="1"/>
      <c r="B57" s="1"/>
      <c r="C57" s="1"/>
      <c r="D57" s="1"/>
      <c r="E57" s="1"/>
      <c r="F57" s="1"/>
      <c r="G57" s="1" t="s">
        <v>66</v>
      </c>
      <c r="H57" s="1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4"/>
      <c r="T57" s="4"/>
      <c r="U57" s="4">
        <f t="shared" si="15"/>
        <v>0</v>
      </c>
    </row>
    <row r="58" spans="1:21" x14ac:dyDescent="0.25">
      <c r="A58" s="1"/>
      <c r="B58" s="1"/>
      <c r="C58" s="1"/>
      <c r="D58" s="1"/>
      <c r="E58" s="1"/>
      <c r="F58" s="1" t="s">
        <v>67</v>
      </c>
      <c r="G58" s="1"/>
      <c r="H58" s="1"/>
      <c r="I58" s="2">
        <f t="shared" ref="I58:R58" si="17">ROUND(SUM(I53:I57),5)</f>
        <v>0</v>
      </c>
      <c r="J58" s="2">
        <f t="shared" si="17"/>
        <v>0</v>
      </c>
      <c r="K58" s="2">
        <f t="shared" si="17"/>
        <v>0</v>
      </c>
      <c r="L58" s="2">
        <f t="shared" si="17"/>
        <v>0</v>
      </c>
      <c r="M58" s="2">
        <f t="shared" si="17"/>
        <v>0</v>
      </c>
      <c r="N58" s="2">
        <f t="shared" si="17"/>
        <v>0</v>
      </c>
      <c r="O58" s="2">
        <f t="shared" si="17"/>
        <v>0</v>
      </c>
      <c r="P58" s="2">
        <f t="shared" si="17"/>
        <v>0</v>
      </c>
      <c r="Q58" s="2">
        <f t="shared" si="17"/>
        <v>0</v>
      </c>
      <c r="R58" s="2">
        <f t="shared" si="17"/>
        <v>0</v>
      </c>
      <c r="S58" s="2"/>
      <c r="T58" s="2"/>
      <c r="U58" s="2">
        <f t="shared" si="15"/>
        <v>0</v>
      </c>
    </row>
    <row r="59" spans="1:21" x14ac:dyDescent="0.25">
      <c r="A59" s="1"/>
      <c r="B59" s="1"/>
      <c r="C59" s="1"/>
      <c r="D59" s="1"/>
      <c r="E59" s="1"/>
      <c r="F59" s="1" t="s">
        <v>68</v>
      </c>
      <c r="G59" s="1"/>
      <c r="H59" s="1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"/>
      <c r="T59" s="2"/>
      <c r="U59" s="2">
        <f t="shared" si="15"/>
        <v>0</v>
      </c>
    </row>
    <row r="60" spans="1:21" x14ac:dyDescent="0.25">
      <c r="A60" s="1"/>
      <c r="B60" s="1"/>
      <c r="C60" s="1"/>
      <c r="D60" s="1"/>
      <c r="E60" s="1"/>
      <c r="F60" s="1" t="s">
        <v>69</v>
      </c>
      <c r="G60" s="1"/>
      <c r="H60" s="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"/>
      <c r="T60" s="2"/>
      <c r="U60" s="2">
        <f t="shared" si="15"/>
        <v>0</v>
      </c>
    </row>
    <row r="61" spans="1:21" x14ac:dyDescent="0.25">
      <c r="A61" s="1"/>
      <c r="B61" s="1"/>
      <c r="C61" s="1"/>
      <c r="D61" s="1"/>
      <c r="E61" s="1"/>
      <c r="F61" s="1" t="s">
        <v>70</v>
      </c>
      <c r="G61" s="1"/>
      <c r="H61" s="1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"/>
      <c r="T61" s="2"/>
      <c r="U61" s="2">
        <f t="shared" si="15"/>
        <v>0</v>
      </c>
    </row>
    <row r="62" spans="1:21" x14ac:dyDescent="0.25">
      <c r="A62" s="1"/>
      <c r="B62" s="1"/>
      <c r="C62" s="1"/>
      <c r="D62" s="1"/>
      <c r="E62" s="1"/>
      <c r="F62" s="1" t="s">
        <v>71</v>
      </c>
      <c r="G62" s="1"/>
      <c r="H62" s="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"/>
      <c r="T62" s="2"/>
      <c r="U62" s="2">
        <f t="shared" si="15"/>
        <v>0</v>
      </c>
    </row>
    <row r="63" spans="1:21" x14ac:dyDescent="0.25">
      <c r="A63" s="1"/>
      <c r="B63" s="1"/>
      <c r="C63" s="1"/>
      <c r="D63" s="1"/>
      <c r="E63" s="1"/>
      <c r="F63" s="1" t="s">
        <v>72</v>
      </c>
      <c r="G63" s="1"/>
      <c r="H63" s="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"/>
      <c r="T63" s="2"/>
      <c r="U63" s="2"/>
    </row>
    <row r="64" spans="1:21" x14ac:dyDescent="0.25">
      <c r="A64" s="1"/>
      <c r="B64" s="1"/>
      <c r="C64" s="1"/>
      <c r="D64" s="1"/>
      <c r="E64" s="1"/>
      <c r="F64" s="1"/>
      <c r="G64" s="1" t="s">
        <v>73</v>
      </c>
      <c r="H64" s="1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"/>
      <c r="T64" s="2"/>
      <c r="U64" s="2">
        <f t="shared" si="15"/>
        <v>0</v>
      </c>
    </row>
    <row r="65" spans="1:21" ht="15.75" thickBot="1" x14ac:dyDescent="0.3">
      <c r="A65" s="1"/>
      <c r="B65" s="1"/>
      <c r="C65" s="1"/>
      <c r="D65" s="1"/>
      <c r="E65" s="1"/>
      <c r="F65" s="1"/>
      <c r="G65" s="1" t="s">
        <v>74</v>
      </c>
      <c r="H65" s="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4"/>
      <c r="T65" s="4"/>
      <c r="U65" s="4">
        <f t="shared" si="15"/>
        <v>0</v>
      </c>
    </row>
    <row r="66" spans="1:21" x14ac:dyDescent="0.25">
      <c r="A66" s="1"/>
      <c r="B66" s="1"/>
      <c r="C66" s="1"/>
      <c r="D66" s="1"/>
      <c r="E66" s="1"/>
      <c r="F66" s="1" t="s">
        <v>75</v>
      </c>
      <c r="G66" s="1"/>
      <c r="H66" s="1"/>
      <c r="I66" s="2">
        <f t="shared" ref="I66:R66" si="18">ROUND(SUM(I63:I65),5)</f>
        <v>0</v>
      </c>
      <c r="J66" s="2">
        <f t="shared" si="18"/>
        <v>0</v>
      </c>
      <c r="K66" s="2">
        <f t="shared" si="18"/>
        <v>0</v>
      </c>
      <c r="L66" s="2">
        <f t="shared" si="18"/>
        <v>0</v>
      </c>
      <c r="M66" s="2">
        <f t="shared" si="18"/>
        <v>0</v>
      </c>
      <c r="N66" s="2">
        <f t="shared" si="18"/>
        <v>0</v>
      </c>
      <c r="O66" s="2">
        <f t="shared" si="18"/>
        <v>0</v>
      </c>
      <c r="P66" s="2">
        <f t="shared" si="18"/>
        <v>0</v>
      </c>
      <c r="Q66" s="2">
        <f t="shared" si="18"/>
        <v>0</v>
      </c>
      <c r="R66" s="2">
        <f t="shared" si="18"/>
        <v>0</v>
      </c>
      <c r="S66" s="2"/>
      <c r="T66" s="2"/>
      <c r="U66" s="2">
        <f t="shared" si="15"/>
        <v>0</v>
      </c>
    </row>
    <row r="67" spans="1:21" x14ac:dyDescent="0.25">
      <c r="A67" s="1"/>
      <c r="B67" s="1"/>
      <c r="C67" s="1"/>
      <c r="D67" s="1"/>
      <c r="E67" s="1"/>
      <c r="F67" s="1" t="s">
        <v>76</v>
      </c>
      <c r="G67" s="1"/>
      <c r="H67" s="1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"/>
      <c r="T67" s="2"/>
      <c r="U67" s="2">
        <f t="shared" si="15"/>
        <v>0</v>
      </c>
    </row>
    <row r="68" spans="1:21" x14ac:dyDescent="0.25">
      <c r="A68" s="1"/>
      <c r="B68" s="1"/>
      <c r="C68" s="1"/>
      <c r="D68" s="1"/>
      <c r="E68" s="1"/>
      <c r="F68" s="1" t="s">
        <v>77</v>
      </c>
      <c r="G68" s="1"/>
      <c r="H68" s="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"/>
      <c r="T68" s="2"/>
      <c r="U68" s="2">
        <f t="shared" si="15"/>
        <v>0</v>
      </c>
    </row>
    <row r="69" spans="1:21" x14ac:dyDescent="0.25">
      <c r="A69" s="1"/>
      <c r="B69" s="1"/>
      <c r="C69" s="1"/>
      <c r="D69" s="1"/>
      <c r="E69" s="1"/>
      <c r="F69" s="1" t="s">
        <v>78</v>
      </c>
      <c r="G69" s="1"/>
      <c r="H69" s="1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"/>
      <c r="T69" s="2"/>
      <c r="U69" s="2">
        <f t="shared" si="15"/>
        <v>0</v>
      </c>
    </row>
    <row r="70" spans="1:21" x14ac:dyDescent="0.25">
      <c r="A70" s="1"/>
      <c r="B70" s="1"/>
      <c r="C70" s="1"/>
      <c r="D70" s="1"/>
      <c r="E70" s="1"/>
      <c r="F70" s="1" t="s">
        <v>79</v>
      </c>
      <c r="G70" s="1"/>
      <c r="H70" s="1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"/>
      <c r="T70" s="2"/>
      <c r="U70" s="2">
        <f t="shared" si="15"/>
        <v>0</v>
      </c>
    </row>
    <row r="71" spans="1:21" x14ac:dyDescent="0.25">
      <c r="A71" s="1"/>
      <c r="B71" s="1"/>
      <c r="C71" s="1"/>
      <c r="D71" s="1"/>
      <c r="E71" s="1"/>
      <c r="F71" s="1" t="s">
        <v>80</v>
      </c>
      <c r="G71" s="1"/>
      <c r="H71" s="1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"/>
      <c r="T71" s="2"/>
      <c r="U71" s="2">
        <f t="shared" si="15"/>
        <v>0</v>
      </c>
    </row>
    <row r="72" spans="1:21" x14ac:dyDescent="0.25">
      <c r="A72" s="1"/>
      <c r="B72" s="1"/>
      <c r="C72" s="1"/>
      <c r="D72" s="1"/>
      <c r="E72" s="1"/>
      <c r="F72" s="1" t="s">
        <v>81</v>
      </c>
      <c r="G72" s="1"/>
      <c r="H72" s="1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"/>
      <c r="T72" s="2"/>
      <c r="U72" s="2"/>
    </row>
    <row r="73" spans="1:21" x14ac:dyDescent="0.25">
      <c r="A73" s="1"/>
      <c r="B73" s="1"/>
      <c r="C73" s="1"/>
      <c r="D73" s="1"/>
      <c r="E73" s="1"/>
      <c r="F73" s="1"/>
      <c r="G73" s="1" t="s">
        <v>82</v>
      </c>
      <c r="H73" s="1"/>
      <c r="I73" s="23"/>
      <c r="J73" s="23"/>
      <c r="K73" s="23"/>
      <c r="L73" s="23"/>
      <c r="M73" s="23"/>
      <c r="N73" s="23" t="s">
        <v>164</v>
      </c>
      <c r="O73" s="23"/>
      <c r="P73" s="23"/>
      <c r="Q73" s="23"/>
      <c r="R73" s="23"/>
      <c r="S73" s="2"/>
      <c r="T73" s="2"/>
      <c r="U73" s="2">
        <f t="shared" si="15"/>
        <v>0</v>
      </c>
    </row>
    <row r="74" spans="1:21" x14ac:dyDescent="0.25">
      <c r="A74" s="1"/>
      <c r="B74" s="1"/>
      <c r="C74" s="1"/>
      <c r="D74" s="1"/>
      <c r="E74" s="1"/>
      <c r="F74" s="1"/>
      <c r="G74" s="1" t="s">
        <v>83</v>
      </c>
      <c r="H74" s="1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"/>
      <c r="T74" s="2"/>
      <c r="U74" s="2">
        <f t="shared" si="15"/>
        <v>0</v>
      </c>
    </row>
    <row r="75" spans="1:21" x14ac:dyDescent="0.25">
      <c r="A75" s="1"/>
      <c r="B75" s="1"/>
      <c r="C75" s="1"/>
      <c r="D75" s="1"/>
      <c r="E75" s="1"/>
      <c r="F75" s="1"/>
      <c r="G75" s="1" t="s">
        <v>84</v>
      </c>
      <c r="H75" s="1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"/>
      <c r="T75" s="2"/>
      <c r="U75" s="2">
        <f t="shared" si="15"/>
        <v>0</v>
      </c>
    </row>
    <row r="76" spans="1:21" x14ac:dyDescent="0.25">
      <c r="A76" s="1"/>
      <c r="B76" s="1"/>
      <c r="C76" s="1"/>
      <c r="D76" s="1"/>
      <c r="E76" s="1"/>
      <c r="F76" s="1"/>
      <c r="G76" s="1" t="s">
        <v>85</v>
      </c>
      <c r="H76" s="1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"/>
      <c r="T76" s="2"/>
      <c r="U76" s="2">
        <f t="shared" si="15"/>
        <v>0</v>
      </c>
    </row>
    <row r="77" spans="1:21" x14ac:dyDescent="0.25">
      <c r="A77" s="1"/>
      <c r="B77" s="1"/>
      <c r="C77" s="1"/>
      <c r="D77" s="1"/>
      <c r="E77" s="1"/>
      <c r="F77" s="1"/>
      <c r="G77" s="1" t="s">
        <v>86</v>
      </c>
      <c r="H77" s="1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"/>
      <c r="T77" s="2"/>
      <c r="U77" s="2">
        <f t="shared" si="15"/>
        <v>0</v>
      </c>
    </row>
    <row r="78" spans="1:21" ht="15.75" thickBot="1" x14ac:dyDescent="0.3">
      <c r="A78" s="1"/>
      <c r="B78" s="1"/>
      <c r="C78" s="1"/>
      <c r="D78" s="1"/>
      <c r="E78" s="1"/>
      <c r="F78" s="1"/>
      <c r="G78" s="1" t="s">
        <v>87</v>
      </c>
      <c r="H78" s="1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4"/>
      <c r="T78" s="4"/>
      <c r="U78" s="4">
        <f t="shared" si="15"/>
        <v>0</v>
      </c>
    </row>
    <row r="79" spans="1:21" x14ac:dyDescent="0.25">
      <c r="A79" s="1"/>
      <c r="B79" s="1"/>
      <c r="C79" s="1"/>
      <c r="D79" s="1"/>
      <c r="E79" s="1"/>
      <c r="F79" s="1" t="s">
        <v>88</v>
      </c>
      <c r="G79" s="1"/>
      <c r="H79" s="1"/>
      <c r="I79" s="2">
        <f t="shared" ref="I79:R79" si="19">ROUND(SUM(I72:I78),5)</f>
        <v>0</v>
      </c>
      <c r="J79" s="2">
        <f t="shared" si="19"/>
        <v>0</v>
      </c>
      <c r="K79" s="2">
        <f t="shared" si="19"/>
        <v>0</v>
      </c>
      <c r="L79" s="2">
        <f t="shared" si="19"/>
        <v>0</v>
      </c>
      <c r="M79" s="2">
        <f t="shared" si="19"/>
        <v>0</v>
      </c>
      <c r="N79" s="2">
        <f t="shared" si="19"/>
        <v>0</v>
      </c>
      <c r="O79" s="2">
        <f t="shared" si="19"/>
        <v>0</v>
      </c>
      <c r="P79" s="2">
        <f t="shared" si="19"/>
        <v>0</v>
      </c>
      <c r="Q79" s="2">
        <f t="shared" si="19"/>
        <v>0</v>
      </c>
      <c r="R79" s="2">
        <f t="shared" si="19"/>
        <v>0</v>
      </c>
      <c r="S79" s="2"/>
      <c r="T79" s="2"/>
      <c r="U79" s="2">
        <f t="shared" si="15"/>
        <v>0</v>
      </c>
    </row>
    <row r="80" spans="1:21" x14ac:dyDescent="0.25">
      <c r="A80" s="1"/>
      <c r="B80" s="1"/>
      <c r="C80" s="1"/>
      <c r="D80" s="1"/>
      <c r="E80" s="1"/>
      <c r="F80" s="1" t="s">
        <v>89</v>
      </c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1"/>
      <c r="B81" s="1"/>
      <c r="C81" s="1"/>
      <c r="D81" s="1"/>
      <c r="E81" s="1"/>
      <c r="F81" s="1"/>
      <c r="G81" s="1" t="s">
        <v>90</v>
      </c>
      <c r="H81" s="1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"/>
      <c r="T81" s="2"/>
      <c r="U81" s="2">
        <f t="shared" si="15"/>
        <v>0</v>
      </c>
    </row>
    <row r="82" spans="1:21" ht="15.75" thickBot="1" x14ac:dyDescent="0.3">
      <c r="A82" s="1"/>
      <c r="B82" s="1"/>
      <c r="C82" s="1"/>
      <c r="D82" s="1"/>
      <c r="E82" s="1"/>
      <c r="F82" s="1"/>
      <c r="G82" s="1" t="s">
        <v>91</v>
      </c>
      <c r="H82" s="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4"/>
      <c r="T82" s="4"/>
      <c r="U82" s="4">
        <f t="shared" si="15"/>
        <v>0</v>
      </c>
    </row>
    <row r="83" spans="1:21" x14ac:dyDescent="0.25">
      <c r="A83" s="1"/>
      <c r="B83" s="1"/>
      <c r="C83" s="1"/>
      <c r="D83" s="1"/>
      <c r="E83" s="1"/>
      <c r="F83" s="1" t="s">
        <v>92</v>
      </c>
      <c r="G83" s="1"/>
      <c r="H83" s="1"/>
      <c r="I83" s="2">
        <f t="shared" ref="I83:R83" si="20">ROUND(SUM(I80:I82),5)</f>
        <v>0</v>
      </c>
      <c r="J83" s="2">
        <f t="shared" si="20"/>
        <v>0</v>
      </c>
      <c r="K83" s="2">
        <f t="shared" si="20"/>
        <v>0</v>
      </c>
      <c r="L83" s="2">
        <f t="shared" si="20"/>
        <v>0</v>
      </c>
      <c r="M83" s="2">
        <f t="shared" si="20"/>
        <v>0</v>
      </c>
      <c r="N83" s="2">
        <f t="shared" si="20"/>
        <v>0</v>
      </c>
      <c r="O83" s="2">
        <f t="shared" si="20"/>
        <v>0</v>
      </c>
      <c r="P83" s="2">
        <f t="shared" si="20"/>
        <v>0</v>
      </c>
      <c r="Q83" s="2">
        <f t="shared" si="20"/>
        <v>0</v>
      </c>
      <c r="R83" s="2">
        <f t="shared" si="20"/>
        <v>0</v>
      </c>
      <c r="S83" s="2"/>
      <c r="T83" s="2"/>
      <c r="U83" s="2">
        <f t="shared" si="15"/>
        <v>0</v>
      </c>
    </row>
    <row r="84" spans="1:21" x14ac:dyDescent="0.25">
      <c r="A84" s="1"/>
      <c r="B84" s="1"/>
      <c r="C84" s="1"/>
      <c r="D84" s="1"/>
      <c r="E84" s="1"/>
      <c r="F84" s="1" t="s">
        <v>93</v>
      </c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1"/>
      <c r="B85" s="1"/>
      <c r="C85" s="1"/>
      <c r="D85" s="1"/>
      <c r="E85" s="1"/>
      <c r="F85" s="1"/>
      <c r="G85" s="1" t="s">
        <v>94</v>
      </c>
      <c r="H85" s="1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"/>
      <c r="T85" s="2"/>
      <c r="U85" s="2">
        <f t="shared" si="15"/>
        <v>0</v>
      </c>
    </row>
    <row r="86" spans="1:21" x14ac:dyDescent="0.25">
      <c r="A86" s="1"/>
      <c r="B86" s="1"/>
      <c r="C86" s="1"/>
      <c r="D86" s="1"/>
      <c r="E86" s="1"/>
      <c r="F86" s="1"/>
      <c r="G86" s="1" t="s">
        <v>95</v>
      </c>
      <c r="H86" s="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"/>
      <c r="T86" s="2"/>
      <c r="U86" s="2">
        <f t="shared" si="15"/>
        <v>0</v>
      </c>
    </row>
    <row r="87" spans="1:21" x14ac:dyDescent="0.25">
      <c r="A87" s="1"/>
      <c r="B87" s="1"/>
      <c r="C87" s="1"/>
      <c r="D87" s="1"/>
      <c r="E87" s="1"/>
      <c r="F87" s="1"/>
      <c r="G87" s="1" t="s">
        <v>96</v>
      </c>
      <c r="H87" s="1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"/>
      <c r="T87" s="2"/>
      <c r="U87" s="2">
        <f t="shared" si="15"/>
        <v>0</v>
      </c>
    </row>
    <row r="88" spans="1:21" x14ac:dyDescent="0.25">
      <c r="A88" s="1"/>
      <c r="B88" s="1"/>
      <c r="C88" s="1"/>
      <c r="D88" s="1"/>
      <c r="E88" s="1"/>
      <c r="F88" s="1"/>
      <c r="G88" s="1" t="s">
        <v>97</v>
      </c>
      <c r="H88" s="1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"/>
      <c r="T88" s="2"/>
      <c r="U88" s="2">
        <f t="shared" si="15"/>
        <v>0</v>
      </c>
    </row>
    <row r="89" spans="1:21" x14ac:dyDescent="0.25">
      <c r="A89" s="1"/>
      <c r="B89" s="1"/>
      <c r="C89" s="1"/>
      <c r="D89" s="1"/>
      <c r="E89" s="1"/>
      <c r="F89" s="1"/>
      <c r="G89" s="1" t="s">
        <v>98</v>
      </c>
      <c r="H89" s="1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"/>
      <c r="T89" s="2"/>
      <c r="U89" s="2">
        <f t="shared" si="15"/>
        <v>0</v>
      </c>
    </row>
    <row r="90" spans="1:21" ht="15.75" thickBot="1" x14ac:dyDescent="0.3">
      <c r="A90" s="1"/>
      <c r="B90" s="1"/>
      <c r="C90" s="1"/>
      <c r="D90" s="1"/>
      <c r="E90" s="1"/>
      <c r="F90" s="1"/>
      <c r="G90" s="1" t="s">
        <v>99</v>
      </c>
      <c r="H90" s="1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4"/>
      <c r="T90" s="4"/>
      <c r="U90" s="5">
        <f t="shared" si="15"/>
        <v>0</v>
      </c>
    </row>
    <row r="91" spans="1:21" ht="15.75" thickBot="1" x14ac:dyDescent="0.3">
      <c r="A91" s="1"/>
      <c r="B91" s="1"/>
      <c r="C91" s="1"/>
      <c r="D91" s="1"/>
      <c r="E91" s="1"/>
      <c r="F91" s="1" t="s">
        <v>100</v>
      </c>
      <c r="G91" s="1"/>
      <c r="H91" s="1"/>
      <c r="I91" s="6">
        <f t="shared" ref="I91:R91" si="21">ROUND(SUM(I84:I90),5)</f>
        <v>0</v>
      </c>
      <c r="J91" s="6">
        <f t="shared" si="21"/>
        <v>0</v>
      </c>
      <c r="K91" s="6">
        <f t="shared" si="21"/>
        <v>0</v>
      </c>
      <c r="L91" s="6">
        <f t="shared" si="21"/>
        <v>0</v>
      </c>
      <c r="M91" s="6">
        <f t="shared" si="21"/>
        <v>0</v>
      </c>
      <c r="N91" s="6">
        <f t="shared" si="21"/>
        <v>0</v>
      </c>
      <c r="O91" s="6">
        <f t="shared" si="21"/>
        <v>0</v>
      </c>
      <c r="P91" s="6">
        <f t="shared" si="21"/>
        <v>0</v>
      </c>
      <c r="Q91" s="6">
        <f t="shared" si="21"/>
        <v>0</v>
      </c>
      <c r="R91" s="6">
        <f t="shared" si="21"/>
        <v>0</v>
      </c>
      <c r="S91" s="4"/>
      <c r="T91" s="4"/>
      <c r="U91" s="6">
        <f t="shared" si="15"/>
        <v>0</v>
      </c>
    </row>
    <row r="92" spans="1:21" x14ac:dyDescent="0.25">
      <c r="A92" s="1"/>
      <c r="B92" s="1"/>
      <c r="C92" s="1"/>
      <c r="D92" s="1"/>
      <c r="E92" s="1" t="s">
        <v>101</v>
      </c>
      <c r="F92" s="1"/>
      <c r="G92" s="1"/>
      <c r="H92" s="1"/>
      <c r="I92" s="2">
        <f t="shared" ref="I92:R92" si="22">ROUND(SUM(I44:I45)+SUM(I51:I52)+SUM(I58:I62)+SUM(I66:I71)+I79+I83+I91,5)</f>
        <v>0</v>
      </c>
      <c r="J92" s="2">
        <f t="shared" si="22"/>
        <v>0</v>
      </c>
      <c r="K92" s="2">
        <f t="shared" si="22"/>
        <v>0</v>
      </c>
      <c r="L92" s="2">
        <f t="shared" si="22"/>
        <v>0</v>
      </c>
      <c r="M92" s="2">
        <f t="shared" si="22"/>
        <v>0</v>
      </c>
      <c r="N92" s="2">
        <f t="shared" si="22"/>
        <v>0</v>
      </c>
      <c r="O92" s="2">
        <f t="shared" si="22"/>
        <v>0</v>
      </c>
      <c r="P92" s="2">
        <f t="shared" si="22"/>
        <v>0</v>
      </c>
      <c r="Q92" s="2">
        <f t="shared" si="22"/>
        <v>0</v>
      </c>
      <c r="R92" s="2">
        <f t="shared" si="22"/>
        <v>0</v>
      </c>
      <c r="S92" s="2"/>
      <c r="T92" s="2"/>
      <c r="U92" s="2">
        <f t="shared" si="15"/>
        <v>0</v>
      </c>
    </row>
    <row r="93" spans="1:21" x14ac:dyDescent="0.25">
      <c r="A93" s="1"/>
      <c r="B93" s="1"/>
      <c r="C93" s="1"/>
      <c r="D93" s="1"/>
      <c r="E93" s="1" t="s">
        <v>102</v>
      </c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1"/>
      <c r="B94" s="1"/>
      <c r="C94" s="1"/>
      <c r="D94" s="1"/>
      <c r="E94" s="1"/>
      <c r="F94" s="1" t="s">
        <v>103</v>
      </c>
      <c r="G94" s="1"/>
      <c r="H94" s="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"/>
      <c r="T94" s="2"/>
      <c r="U94" s="2">
        <v>0</v>
      </c>
    </row>
    <row r="95" spans="1:21" x14ac:dyDescent="0.25">
      <c r="A95" s="1"/>
      <c r="B95" s="1"/>
      <c r="C95" s="1"/>
      <c r="D95" s="1"/>
      <c r="E95" s="1"/>
      <c r="F95" s="1" t="s">
        <v>104</v>
      </c>
      <c r="G95" s="1"/>
      <c r="H95" s="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"/>
      <c r="T95" s="2"/>
      <c r="U95" s="2">
        <v>0</v>
      </c>
    </row>
    <row r="96" spans="1:21" x14ac:dyDescent="0.25">
      <c r="A96" s="1"/>
      <c r="B96" s="1"/>
      <c r="C96" s="1"/>
      <c r="D96" s="1"/>
      <c r="E96" s="1"/>
      <c r="F96" s="1" t="s">
        <v>105</v>
      </c>
      <c r="G96" s="1"/>
      <c r="H96" s="1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"/>
      <c r="T96" s="2"/>
      <c r="U96" s="2">
        <v>0</v>
      </c>
    </row>
    <row r="97" spans="1:21" x14ac:dyDescent="0.25">
      <c r="A97" s="1"/>
      <c r="B97" s="1"/>
      <c r="C97" s="1"/>
      <c r="D97" s="1"/>
      <c r="E97" s="1"/>
      <c r="F97" s="1" t="s">
        <v>106</v>
      </c>
      <c r="G97" s="1"/>
      <c r="H97" s="1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"/>
      <c r="T97" s="2"/>
      <c r="U97" s="2">
        <v>0</v>
      </c>
    </row>
    <row r="98" spans="1:21" x14ac:dyDescent="0.25">
      <c r="A98" s="1"/>
      <c r="B98" s="1"/>
      <c r="C98" s="1"/>
      <c r="D98" s="1"/>
      <c r="E98" s="1"/>
      <c r="F98" s="1" t="s">
        <v>107</v>
      </c>
      <c r="G98" s="1"/>
      <c r="H98" s="1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"/>
      <c r="T98" s="2"/>
      <c r="U98" s="2">
        <v>0</v>
      </c>
    </row>
    <row r="99" spans="1:21" ht="15.75" thickBot="1" x14ac:dyDescent="0.3">
      <c r="A99" s="1"/>
      <c r="B99" s="1"/>
      <c r="C99" s="1"/>
      <c r="D99" s="1"/>
      <c r="E99" s="1"/>
      <c r="F99" s="1" t="s">
        <v>108</v>
      </c>
      <c r="G99" s="1"/>
      <c r="H99" s="1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4"/>
      <c r="T99" s="4"/>
      <c r="U99" s="4">
        <v>0</v>
      </c>
    </row>
    <row r="100" spans="1:21" x14ac:dyDescent="0.25">
      <c r="A100" s="1"/>
      <c r="B100" s="1"/>
      <c r="C100" s="1"/>
      <c r="D100" s="1"/>
      <c r="E100" s="1" t="s">
        <v>109</v>
      </c>
      <c r="F100" s="1"/>
      <c r="G100" s="1"/>
      <c r="H100" s="1"/>
      <c r="I100" s="2">
        <f t="shared" ref="I100:R100" si="23">ROUND(SUM(I93:I99),5)</f>
        <v>0</v>
      </c>
      <c r="J100" s="2">
        <f t="shared" si="23"/>
        <v>0</v>
      </c>
      <c r="K100" s="2">
        <f t="shared" si="23"/>
        <v>0</v>
      </c>
      <c r="L100" s="2">
        <f t="shared" si="23"/>
        <v>0</v>
      </c>
      <c r="M100" s="2">
        <f t="shared" si="23"/>
        <v>0</v>
      </c>
      <c r="N100" s="2">
        <f t="shared" si="23"/>
        <v>0</v>
      </c>
      <c r="O100" s="2">
        <f t="shared" si="23"/>
        <v>0</v>
      </c>
      <c r="P100" s="2">
        <f t="shared" si="23"/>
        <v>0</v>
      </c>
      <c r="Q100" s="2">
        <f t="shared" si="23"/>
        <v>0</v>
      </c>
      <c r="R100" s="2">
        <f t="shared" si="23"/>
        <v>0</v>
      </c>
      <c r="S100" s="2"/>
      <c r="T100" s="2"/>
      <c r="U100" s="2">
        <v>0</v>
      </c>
    </row>
    <row r="101" spans="1:21" x14ac:dyDescent="0.25">
      <c r="A101" s="1"/>
      <c r="B101" s="1"/>
      <c r="C101" s="1"/>
      <c r="D101" s="1"/>
      <c r="E101" s="1" t="s">
        <v>110</v>
      </c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1"/>
      <c r="B102" s="1"/>
      <c r="C102" s="1"/>
      <c r="D102" s="1"/>
      <c r="E102" s="1"/>
      <c r="F102" s="1" t="s">
        <v>111</v>
      </c>
      <c r="G102" s="1"/>
      <c r="H102" s="1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"/>
      <c r="T102" s="2"/>
      <c r="U102" s="2">
        <f>ROUND(SUM(I102:T102),5)</f>
        <v>0</v>
      </c>
    </row>
    <row r="103" spans="1:21" x14ac:dyDescent="0.25">
      <c r="A103" s="1"/>
      <c r="B103" s="1"/>
      <c r="C103" s="1"/>
      <c r="D103" s="1"/>
      <c r="E103" s="1"/>
      <c r="F103" s="1" t="s">
        <v>112</v>
      </c>
      <c r="G103" s="1"/>
      <c r="H103" s="1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"/>
      <c r="T103" s="2"/>
      <c r="U103" s="2">
        <f>ROUND(SUM(I103:T103),5)</f>
        <v>0</v>
      </c>
    </row>
    <row r="104" spans="1:21" x14ac:dyDescent="0.25">
      <c r="A104" s="1"/>
      <c r="B104" s="1"/>
      <c r="C104" s="1"/>
      <c r="D104" s="1"/>
      <c r="E104" s="1"/>
      <c r="F104" s="1" t="s">
        <v>113</v>
      </c>
      <c r="G104" s="1"/>
      <c r="H104" s="1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"/>
      <c r="T104" s="2"/>
      <c r="U104" s="2">
        <f>ROUND(SUM(I104:T104),5)</f>
        <v>0</v>
      </c>
    </row>
    <row r="105" spans="1:21" x14ac:dyDescent="0.25">
      <c r="A105" s="1"/>
      <c r="B105" s="1"/>
      <c r="C105" s="1"/>
      <c r="D105" s="1"/>
      <c r="E105" s="1"/>
      <c r="F105" s="1" t="s">
        <v>114</v>
      </c>
      <c r="G105" s="1"/>
      <c r="H105" s="1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"/>
      <c r="T105" s="2"/>
      <c r="U105" s="2"/>
    </row>
    <row r="106" spans="1:21" x14ac:dyDescent="0.25">
      <c r="A106" s="1"/>
      <c r="B106" s="1"/>
      <c r="C106" s="1"/>
      <c r="D106" s="1"/>
      <c r="E106" s="1"/>
      <c r="F106" s="1"/>
      <c r="G106" s="1" t="s">
        <v>115</v>
      </c>
      <c r="H106" s="1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"/>
      <c r="T106" s="2"/>
      <c r="U106" s="2">
        <f t="shared" ref="U106:U112" si="24">ROUND(SUM(I106:T106),5)</f>
        <v>0</v>
      </c>
    </row>
    <row r="107" spans="1:21" ht="15.75" thickBot="1" x14ac:dyDescent="0.3">
      <c r="A107" s="1"/>
      <c r="B107" s="1"/>
      <c r="C107" s="1"/>
      <c r="D107" s="1"/>
      <c r="E107" s="1"/>
      <c r="F107" s="1"/>
      <c r="G107" s="1" t="s">
        <v>116</v>
      </c>
      <c r="H107" s="1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4"/>
      <c r="T107" s="4"/>
      <c r="U107" s="4">
        <f t="shared" si="24"/>
        <v>0</v>
      </c>
    </row>
    <row r="108" spans="1:21" x14ac:dyDescent="0.25">
      <c r="A108" s="1"/>
      <c r="B108" s="1"/>
      <c r="C108" s="1"/>
      <c r="D108" s="1"/>
      <c r="E108" s="1"/>
      <c r="F108" s="1" t="s">
        <v>117</v>
      </c>
      <c r="G108" s="1"/>
      <c r="H108" s="1"/>
      <c r="I108" s="2">
        <f t="shared" ref="I108:R108" si="25">ROUND(SUM(I105:I107),5)</f>
        <v>0</v>
      </c>
      <c r="J108" s="2">
        <f t="shared" si="25"/>
        <v>0</v>
      </c>
      <c r="K108" s="2">
        <f t="shared" si="25"/>
        <v>0</v>
      </c>
      <c r="L108" s="2">
        <f t="shared" si="25"/>
        <v>0</v>
      </c>
      <c r="M108" s="2">
        <f t="shared" si="25"/>
        <v>0</v>
      </c>
      <c r="N108" s="2">
        <f t="shared" si="25"/>
        <v>0</v>
      </c>
      <c r="O108" s="2">
        <f t="shared" si="25"/>
        <v>0</v>
      </c>
      <c r="P108" s="2">
        <f t="shared" si="25"/>
        <v>0</v>
      </c>
      <c r="Q108" s="2">
        <f t="shared" si="25"/>
        <v>0</v>
      </c>
      <c r="R108" s="2">
        <f t="shared" si="25"/>
        <v>0</v>
      </c>
      <c r="S108" s="2"/>
      <c r="T108" s="2"/>
      <c r="U108" s="2">
        <f t="shared" si="24"/>
        <v>0</v>
      </c>
    </row>
    <row r="109" spans="1:21" x14ac:dyDescent="0.25">
      <c r="A109" s="1"/>
      <c r="B109" s="1"/>
      <c r="C109" s="1"/>
      <c r="D109" s="1"/>
      <c r="E109" s="1"/>
      <c r="F109" s="1" t="s">
        <v>118</v>
      </c>
      <c r="G109" s="1"/>
      <c r="H109" s="1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"/>
      <c r="T109" s="2"/>
      <c r="U109" s="2">
        <f t="shared" si="24"/>
        <v>0</v>
      </c>
    </row>
    <row r="110" spans="1:21" x14ac:dyDescent="0.25">
      <c r="A110" s="1"/>
      <c r="B110" s="1"/>
      <c r="C110" s="1"/>
      <c r="D110" s="1"/>
      <c r="E110" s="1"/>
      <c r="F110" s="1" t="s">
        <v>119</v>
      </c>
      <c r="G110" s="1"/>
      <c r="H110" s="1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"/>
      <c r="T110" s="2"/>
      <c r="U110" s="2">
        <f t="shared" si="24"/>
        <v>0</v>
      </c>
    </row>
    <row r="111" spans="1:21" x14ac:dyDescent="0.25">
      <c r="A111" s="1"/>
      <c r="B111" s="1"/>
      <c r="C111" s="1"/>
      <c r="D111" s="1"/>
      <c r="E111" s="1"/>
      <c r="F111" s="1" t="s">
        <v>120</v>
      </c>
      <c r="G111" s="1"/>
      <c r="H111" s="1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"/>
      <c r="T111" s="2"/>
      <c r="U111" s="2">
        <f t="shared" si="24"/>
        <v>0</v>
      </c>
    </row>
    <row r="112" spans="1:21" x14ac:dyDescent="0.25">
      <c r="A112" s="1"/>
      <c r="B112" s="1"/>
      <c r="C112" s="1"/>
      <c r="D112" s="1"/>
      <c r="E112" s="1"/>
      <c r="F112" s="1" t="s">
        <v>121</v>
      </c>
      <c r="G112" s="1"/>
      <c r="H112" s="1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"/>
      <c r="T112" s="2"/>
      <c r="U112" s="2">
        <f t="shared" si="24"/>
        <v>0</v>
      </c>
    </row>
    <row r="113" spans="1:21" x14ac:dyDescent="0.25">
      <c r="A113" s="1"/>
      <c r="B113" s="1"/>
      <c r="C113" s="1"/>
      <c r="D113" s="1"/>
      <c r="E113" s="1"/>
      <c r="F113" s="1" t="s">
        <v>122</v>
      </c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1"/>
      <c r="B114" s="1"/>
      <c r="C114" s="1"/>
      <c r="D114" s="1"/>
      <c r="E114" s="1"/>
      <c r="F114" s="1"/>
      <c r="G114" s="1" t="s">
        <v>123</v>
      </c>
      <c r="H114" s="1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"/>
      <c r="T114" s="2"/>
      <c r="U114" s="2">
        <f>ROUND(SUM(I114:T114),5)</f>
        <v>0</v>
      </c>
    </row>
    <row r="115" spans="1:21" x14ac:dyDescent="0.25">
      <c r="A115" s="1"/>
      <c r="B115" s="1"/>
      <c r="C115" s="1"/>
      <c r="D115" s="1"/>
      <c r="E115" s="1"/>
      <c r="F115" s="1"/>
      <c r="G115" s="1" t="s">
        <v>124</v>
      </c>
      <c r="H115" s="1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"/>
      <c r="T115" s="2"/>
      <c r="U115" s="2">
        <f>ROUND(SUM(I115:T115),5)</f>
        <v>0</v>
      </c>
    </row>
    <row r="116" spans="1:21" x14ac:dyDescent="0.25">
      <c r="A116" s="1"/>
      <c r="B116" s="1"/>
      <c r="C116" s="1"/>
      <c r="D116" s="1"/>
      <c r="E116" s="1"/>
      <c r="F116" s="1"/>
      <c r="G116" s="1" t="s">
        <v>125</v>
      </c>
      <c r="H116" s="1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"/>
      <c r="T116" s="2"/>
      <c r="U116" s="2">
        <f>ROUND(SUM(I116:T116),5)</f>
        <v>0</v>
      </c>
    </row>
    <row r="117" spans="1:21" x14ac:dyDescent="0.25">
      <c r="A117" s="1"/>
      <c r="B117" s="1"/>
      <c r="C117" s="1"/>
      <c r="D117" s="1"/>
      <c r="E117" s="1"/>
      <c r="F117" s="1"/>
      <c r="G117" s="1" t="s">
        <v>126</v>
      </c>
      <c r="H117" s="1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"/>
      <c r="T117" s="2"/>
      <c r="U117" s="2">
        <f>ROUND(SUM(I117:T117),5)</f>
        <v>0</v>
      </c>
    </row>
    <row r="118" spans="1:21" x14ac:dyDescent="0.25">
      <c r="A118" s="1"/>
      <c r="B118" s="1"/>
      <c r="C118" s="1"/>
      <c r="D118" s="1"/>
      <c r="E118" s="1"/>
      <c r="F118" s="1"/>
      <c r="G118" s="1" t="s">
        <v>127</v>
      </c>
      <c r="H118" s="1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"/>
      <c r="T118" s="2"/>
      <c r="U118" s="2">
        <f>ROUND(SUM(I118:T118),5)</f>
        <v>0</v>
      </c>
    </row>
    <row r="119" spans="1:21" x14ac:dyDescent="0.25">
      <c r="A119" s="1"/>
      <c r="B119" s="1"/>
      <c r="C119" s="1"/>
      <c r="D119" s="1"/>
      <c r="E119" s="1"/>
      <c r="F119" s="1"/>
      <c r="G119" s="1" t="s">
        <v>128</v>
      </c>
      <c r="H119" s="1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"/>
      <c r="T119" s="2"/>
      <c r="U119" s="2"/>
    </row>
    <row r="120" spans="1:21" x14ac:dyDescent="0.25">
      <c r="A120" s="1"/>
      <c r="B120" s="1"/>
      <c r="C120" s="1"/>
      <c r="D120" s="1"/>
      <c r="E120" s="1"/>
      <c r="F120" s="1"/>
      <c r="G120" s="1"/>
      <c r="H120" s="1" t="s">
        <v>129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"/>
      <c r="T120" s="2"/>
      <c r="U120" s="2">
        <f t="shared" ref="U120:U125" si="26">ROUND(SUM(I120:T120),5)</f>
        <v>0</v>
      </c>
    </row>
    <row r="121" spans="1:21" ht="15.75" thickBot="1" x14ac:dyDescent="0.3">
      <c r="A121" s="1"/>
      <c r="B121" s="1"/>
      <c r="C121" s="1"/>
      <c r="D121" s="1"/>
      <c r="E121" s="1"/>
      <c r="F121" s="1"/>
      <c r="G121" s="1"/>
      <c r="H121" s="1" t="s">
        <v>130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4"/>
      <c r="T121" s="4"/>
      <c r="U121" s="4">
        <f t="shared" si="26"/>
        <v>0</v>
      </c>
    </row>
    <row r="122" spans="1:21" x14ac:dyDescent="0.25">
      <c r="A122" s="1"/>
      <c r="B122" s="1"/>
      <c r="C122" s="1"/>
      <c r="D122" s="1"/>
      <c r="E122" s="1"/>
      <c r="F122" s="1"/>
      <c r="G122" s="1" t="s">
        <v>131</v>
      </c>
      <c r="H122" s="1"/>
      <c r="I122" s="2">
        <f t="shared" ref="I122:R122" si="27">ROUND(SUM(I119:I121),5)</f>
        <v>0</v>
      </c>
      <c r="J122" s="2">
        <f t="shared" si="27"/>
        <v>0</v>
      </c>
      <c r="K122" s="2">
        <f t="shared" si="27"/>
        <v>0</v>
      </c>
      <c r="L122" s="2">
        <f t="shared" si="27"/>
        <v>0</v>
      </c>
      <c r="M122" s="2">
        <f t="shared" si="27"/>
        <v>0</v>
      </c>
      <c r="N122" s="2">
        <f t="shared" si="27"/>
        <v>0</v>
      </c>
      <c r="O122" s="2">
        <f t="shared" si="27"/>
        <v>0</v>
      </c>
      <c r="P122" s="2">
        <f t="shared" si="27"/>
        <v>0</v>
      </c>
      <c r="Q122" s="2">
        <f t="shared" si="27"/>
        <v>0</v>
      </c>
      <c r="R122" s="2">
        <f t="shared" si="27"/>
        <v>0</v>
      </c>
      <c r="S122" s="2"/>
      <c r="T122" s="2"/>
      <c r="U122" s="2">
        <f t="shared" si="26"/>
        <v>0</v>
      </c>
    </row>
    <row r="123" spans="1:21" ht="15.75" thickBot="1" x14ac:dyDescent="0.3">
      <c r="A123" s="1"/>
      <c r="B123" s="1"/>
      <c r="C123" s="1"/>
      <c r="D123" s="1"/>
      <c r="E123" s="1"/>
      <c r="F123" s="1"/>
      <c r="G123" s="1" t="s">
        <v>132</v>
      </c>
      <c r="H123" s="1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4"/>
      <c r="T123" s="4"/>
      <c r="U123" s="5">
        <f t="shared" si="26"/>
        <v>0</v>
      </c>
    </row>
    <row r="124" spans="1:21" ht="15.75" thickBot="1" x14ac:dyDescent="0.3">
      <c r="A124" s="1"/>
      <c r="B124" s="1"/>
      <c r="C124" s="1"/>
      <c r="D124" s="1"/>
      <c r="E124" s="1"/>
      <c r="F124" s="1" t="s">
        <v>133</v>
      </c>
      <c r="G124" s="1"/>
      <c r="H124" s="1"/>
      <c r="I124" s="6">
        <f t="shared" ref="I124:R124" si="28">ROUND(SUM(I113:I118)+SUM(I122:I123),5)</f>
        <v>0</v>
      </c>
      <c r="J124" s="6">
        <f t="shared" si="28"/>
        <v>0</v>
      </c>
      <c r="K124" s="6">
        <f t="shared" si="28"/>
        <v>0</v>
      </c>
      <c r="L124" s="6">
        <f t="shared" si="28"/>
        <v>0</v>
      </c>
      <c r="M124" s="6">
        <f t="shared" si="28"/>
        <v>0</v>
      </c>
      <c r="N124" s="6">
        <f t="shared" si="28"/>
        <v>0</v>
      </c>
      <c r="O124" s="6">
        <f t="shared" si="28"/>
        <v>0</v>
      </c>
      <c r="P124" s="6">
        <f t="shared" si="28"/>
        <v>0</v>
      </c>
      <c r="Q124" s="6">
        <f t="shared" si="28"/>
        <v>0</v>
      </c>
      <c r="R124" s="6">
        <f t="shared" si="28"/>
        <v>0</v>
      </c>
      <c r="S124" s="4"/>
      <c r="T124" s="4"/>
      <c r="U124" s="6">
        <f t="shared" si="26"/>
        <v>0</v>
      </c>
    </row>
    <row r="125" spans="1:21" x14ac:dyDescent="0.25">
      <c r="A125" s="1"/>
      <c r="B125" s="1"/>
      <c r="C125" s="1"/>
      <c r="D125" s="1"/>
      <c r="E125" s="1" t="s">
        <v>134</v>
      </c>
      <c r="F125" s="1"/>
      <c r="G125" s="1"/>
      <c r="H125" s="1"/>
      <c r="I125" s="2">
        <f t="shared" ref="I125:R125" si="29">ROUND(SUM(I101:I104)+SUM(I108:I112)+I124,5)</f>
        <v>0</v>
      </c>
      <c r="J125" s="2">
        <f t="shared" si="29"/>
        <v>0</v>
      </c>
      <c r="K125" s="2">
        <f t="shared" si="29"/>
        <v>0</v>
      </c>
      <c r="L125" s="2">
        <f t="shared" si="29"/>
        <v>0</v>
      </c>
      <c r="M125" s="2">
        <f t="shared" si="29"/>
        <v>0</v>
      </c>
      <c r="N125" s="2">
        <f t="shared" si="29"/>
        <v>0</v>
      </c>
      <c r="O125" s="2">
        <f t="shared" si="29"/>
        <v>0</v>
      </c>
      <c r="P125" s="2">
        <f t="shared" si="29"/>
        <v>0</v>
      </c>
      <c r="Q125" s="2">
        <f t="shared" si="29"/>
        <v>0</v>
      </c>
      <c r="R125" s="2">
        <f t="shared" si="29"/>
        <v>0</v>
      </c>
      <c r="S125" s="2"/>
      <c r="T125" s="2"/>
      <c r="U125" s="2">
        <f t="shared" si="26"/>
        <v>0</v>
      </c>
    </row>
    <row r="126" spans="1:21" x14ac:dyDescent="0.25">
      <c r="A126" s="1"/>
      <c r="B126" s="1"/>
      <c r="C126" s="1"/>
      <c r="D126" s="1"/>
      <c r="E126" s="1" t="s">
        <v>135</v>
      </c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thickBot="1" x14ac:dyDescent="0.3">
      <c r="A127" s="1"/>
      <c r="B127" s="1"/>
      <c r="C127" s="1"/>
      <c r="D127" s="1"/>
      <c r="E127" s="1"/>
      <c r="F127" s="1" t="s">
        <v>136</v>
      </c>
      <c r="G127" s="1"/>
      <c r="H127" s="1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4"/>
      <c r="T127" s="4"/>
      <c r="U127" s="4">
        <f>ROUND(SUM(I127:T127),5)</f>
        <v>0</v>
      </c>
    </row>
    <row r="128" spans="1:21" x14ac:dyDescent="0.25">
      <c r="A128" s="1"/>
      <c r="B128" s="1"/>
      <c r="C128" s="1"/>
      <c r="D128" s="1"/>
      <c r="E128" s="1" t="s">
        <v>137</v>
      </c>
      <c r="F128" s="1"/>
      <c r="G128" s="1"/>
      <c r="H128" s="1"/>
      <c r="I128" s="2">
        <f t="shared" ref="I128:R128" si="30">ROUND(SUM(I126:I127),5)</f>
        <v>0</v>
      </c>
      <c r="J128" s="2">
        <f t="shared" si="30"/>
        <v>0</v>
      </c>
      <c r="K128" s="2">
        <f t="shared" si="30"/>
        <v>0</v>
      </c>
      <c r="L128" s="2">
        <f t="shared" si="30"/>
        <v>0</v>
      </c>
      <c r="M128" s="2">
        <f t="shared" si="30"/>
        <v>0</v>
      </c>
      <c r="N128" s="2">
        <f t="shared" si="30"/>
        <v>0</v>
      </c>
      <c r="O128" s="2">
        <f t="shared" si="30"/>
        <v>0</v>
      </c>
      <c r="P128" s="2">
        <f t="shared" si="30"/>
        <v>0</v>
      </c>
      <c r="Q128" s="2">
        <f t="shared" si="30"/>
        <v>0</v>
      </c>
      <c r="R128" s="2">
        <f t="shared" si="30"/>
        <v>0</v>
      </c>
      <c r="S128" s="2"/>
      <c r="T128" s="2"/>
      <c r="U128" s="2">
        <f>ROUND(SUM(I128:T128),5)</f>
        <v>0</v>
      </c>
    </row>
    <row r="129" spans="1:21" x14ac:dyDescent="0.25">
      <c r="A129" s="1"/>
      <c r="B129" s="1"/>
      <c r="C129" s="1"/>
      <c r="D129" s="1"/>
      <c r="E129" s="1" t="s">
        <v>138</v>
      </c>
      <c r="F129" s="1"/>
      <c r="G129" s="1"/>
      <c r="H129" s="1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"/>
      <c r="T129" s="2"/>
      <c r="U129" s="2">
        <f>ROUND(SUM(I129:T129),5)</f>
        <v>0</v>
      </c>
    </row>
    <row r="130" spans="1:21" x14ac:dyDescent="0.25">
      <c r="A130" s="1"/>
      <c r="B130" s="1"/>
      <c r="C130" s="1"/>
      <c r="D130" s="1"/>
      <c r="E130" s="1" t="s">
        <v>139</v>
      </c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1"/>
      <c r="B131" s="1"/>
      <c r="C131" s="1"/>
      <c r="D131" s="1"/>
      <c r="E131" s="1"/>
      <c r="F131" s="1" t="s">
        <v>140</v>
      </c>
      <c r="G131" s="1"/>
      <c r="H131" s="1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"/>
      <c r="T131" s="2"/>
      <c r="U131" s="2">
        <f>ROUND(SUM(I131:T131),5)</f>
        <v>0</v>
      </c>
    </row>
    <row r="132" spans="1:21" x14ac:dyDescent="0.25">
      <c r="A132" s="1"/>
      <c r="B132" s="1"/>
      <c r="C132" s="1"/>
      <c r="D132" s="1"/>
      <c r="E132" s="1"/>
      <c r="F132" s="1" t="s">
        <v>141</v>
      </c>
      <c r="G132" s="1"/>
      <c r="H132" s="1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"/>
      <c r="T132" s="2"/>
      <c r="U132" s="2"/>
    </row>
    <row r="133" spans="1:21" x14ac:dyDescent="0.25">
      <c r="A133" s="1"/>
      <c r="B133" s="1"/>
      <c r="C133" s="1"/>
      <c r="D133" s="1"/>
      <c r="E133" s="1"/>
      <c r="F133" s="1"/>
      <c r="G133" s="1" t="s">
        <v>142</v>
      </c>
      <c r="H133" s="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"/>
      <c r="T133" s="2"/>
      <c r="U133" s="2">
        <f t="shared" ref="U133:U139" si="31">ROUND(SUM(I133:T133),5)</f>
        <v>0</v>
      </c>
    </row>
    <row r="134" spans="1:21" ht="15.75" thickBot="1" x14ac:dyDescent="0.3">
      <c r="A134" s="1"/>
      <c r="B134" s="1"/>
      <c r="C134" s="1"/>
      <c r="D134" s="1"/>
      <c r="E134" s="1"/>
      <c r="F134" s="1"/>
      <c r="G134" s="1" t="s">
        <v>143</v>
      </c>
      <c r="H134" s="1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4"/>
      <c r="T134" s="4"/>
      <c r="U134" s="4">
        <f t="shared" si="31"/>
        <v>0</v>
      </c>
    </row>
    <row r="135" spans="1:21" x14ac:dyDescent="0.25">
      <c r="A135" s="1"/>
      <c r="B135" s="1"/>
      <c r="C135" s="1"/>
      <c r="D135" s="1"/>
      <c r="E135" s="1"/>
      <c r="F135" s="1" t="s">
        <v>144</v>
      </c>
      <c r="G135" s="1"/>
      <c r="H135" s="1"/>
      <c r="I135" s="2">
        <f t="shared" ref="I135:R135" si="32">ROUND(SUM(I132:I134),5)</f>
        <v>0</v>
      </c>
      <c r="J135" s="2">
        <f t="shared" si="32"/>
        <v>0</v>
      </c>
      <c r="K135" s="2">
        <f t="shared" si="32"/>
        <v>0</v>
      </c>
      <c r="L135" s="2">
        <f t="shared" si="32"/>
        <v>0</v>
      </c>
      <c r="M135" s="2">
        <f t="shared" si="32"/>
        <v>0</v>
      </c>
      <c r="N135" s="2">
        <f t="shared" si="32"/>
        <v>0</v>
      </c>
      <c r="O135" s="2">
        <f t="shared" si="32"/>
        <v>0</v>
      </c>
      <c r="P135" s="2">
        <f t="shared" si="32"/>
        <v>0</v>
      </c>
      <c r="Q135" s="2">
        <f t="shared" si="32"/>
        <v>0</v>
      </c>
      <c r="R135" s="2">
        <f t="shared" si="32"/>
        <v>0</v>
      </c>
      <c r="S135" s="2"/>
      <c r="T135" s="2"/>
      <c r="U135" s="2">
        <f t="shared" si="31"/>
        <v>0</v>
      </c>
    </row>
    <row r="136" spans="1:21" x14ac:dyDescent="0.25">
      <c r="A136" s="1"/>
      <c r="B136" s="1"/>
      <c r="C136" s="1"/>
      <c r="D136" s="1"/>
      <c r="E136" s="1"/>
      <c r="F136" s="1" t="s">
        <v>145</v>
      </c>
      <c r="G136" s="1"/>
      <c r="H136" s="1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"/>
      <c r="T136" s="2"/>
      <c r="U136" s="2">
        <f t="shared" si="31"/>
        <v>0</v>
      </c>
    </row>
    <row r="137" spans="1:21" x14ac:dyDescent="0.25">
      <c r="A137" s="1"/>
      <c r="B137" s="1"/>
      <c r="C137" s="1"/>
      <c r="D137" s="1"/>
      <c r="E137" s="1"/>
      <c r="F137" s="1" t="s">
        <v>146</v>
      </c>
      <c r="G137" s="1"/>
      <c r="H137" s="1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"/>
      <c r="T137" s="2"/>
      <c r="U137" s="2">
        <f t="shared" si="31"/>
        <v>0</v>
      </c>
    </row>
    <row r="138" spans="1:21" x14ac:dyDescent="0.25">
      <c r="A138" s="1"/>
      <c r="B138" s="1"/>
      <c r="C138" s="1"/>
      <c r="D138" s="1"/>
      <c r="E138" s="1"/>
      <c r="F138" s="1" t="s">
        <v>147</v>
      </c>
      <c r="G138" s="1"/>
      <c r="H138" s="1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"/>
      <c r="T138" s="2"/>
      <c r="U138" s="2">
        <f t="shared" si="31"/>
        <v>0</v>
      </c>
    </row>
    <row r="139" spans="1:21" x14ac:dyDescent="0.25">
      <c r="A139" s="1"/>
      <c r="B139" s="1"/>
      <c r="C139" s="1"/>
      <c r="D139" s="1"/>
      <c r="E139" s="1"/>
      <c r="F139" s="1" t="s">
        <v>148</v>
      </c>
      <c r="G139" s="1"/>
      <c r="H139" s="1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"/>
      <c r="T139" s="2"/>
      <c r="U139" s="2">
        <f t="shared" si="31"/>
        <v>0</v>
      </c>
    </row>
    <row r="140" spans="1:21" x14ac:dyDescent="0.25">
      <c r="A140" s="1"/>
      <c r="B140" s="1"/>
      <c r="C140" s="1"/>
      <c r="D140" s="1"/>
      <c r="E140" s="1"/>
      <c r="F140" s="1" t="s">
        <v>149</v>
      </c>
      <c r="G140" s="1"/>
      <c r="H140" s="1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"/>
      <c r="T140" s="2"/>
      <c r="U140" s="2"/>
    </row>
    <row r="141" spans="1:21" ht="15.75" thickBot="1" x14ac:dyDescent="0.3">
      <c r="A141" s="1"/>
      <c r="B141" s="1"/>
      <c r="C141" s="1"/>
      <c r="D141" s="1"/>
      <c r="E141" s="1"/>
      <c r="F141" s="1"/>
      <c r="G141" s="1" t="s">
        <v>150</v>
      </c>
      <c r="H141" s="1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4"/>
      <c r="T141" s="4"/>
      <c r="U141" s="4">
        <f t="shared" ref="U141:U152" si="33">ROUND(SUM(I141:T141),5)</f>
        <v>0</v>
      </c>
    </row>
    <row r="142" spans="1:21" x14ac:dyDescent="0.25">
      <c r="A142" s="1"/>
      <c r="B142" s="1"/>
      <c r="C142" s="1"/>
      <c r="D142" s="1"/>
      <c r="E142" s="1"/>
      <c r="F142" s="1" t="s">
        <v>151</v>
      </c>
      <c r="G142" s="1"/>
      <c r="H142" s="1"/>
      <c r="I142" s="2">
        <f t="shared" ref="I142:R142" si="34">ROUND(SUM(I140:I141),5)</f>
        <v>0</v>
      </c>
      <c r="J142" s="2">
        <f t="shared" si="34"/>
        <v>0</v>
      </c>
      <c r="K142" s="2">
        <f t="shared" si="34"/>
        <v>0</v>
      </c>
      <c r="L142" s="2">
        <f t="shared" si="34"/>
        <v>0</v>
      </c>
      <c r="M142" s="2">
        <f t="shared" si="34"/>
        <v>0</v>
      </c>
      <c r="N142" s="2">
        <f t="shared" si="34"/>
        <v>0</v>
      </c>
      <c r="O142" s="2">
        <f t="shared" si="34"/>
        <v>0</v>
      </c>
      <c r="P142" s="2">
        <f t="shared" si="34"/>
        <v>0</v>
      </c>
      <c r="Q142" s="2">
        <f t="shared" si="34"/>
        <v>0</v>
      </c>
      <c r="R142" s="2">
        <f t="shared" si="34"/>
        <v>0</v>
      </c>
      <c r="S142" s="2"/>
      <c r="T142" s="2"/>
      <c r="U142" s="2">
        <f t="shared" si="33"/>
        <v>0</v>
      </c>
    </row>
    <row r="143" spans="1:21" x14ac:dyDescent="0.25">
      <c r="A143" s="1"/>
      <c r="B143" s="1"/>
      <c r="C143" s="1"/>
      <c r="D143" s="1"/>
      <c r="E143" s="1"/>
      <c r="F143" s="1" t="s">
        <v>152</v>
      </c>
      <c r="G143" s="1"/>
      <c r="H143" s="1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"/>
      <c r="T143" s="2"/>
      <c r="U143" s="2">
        <f t="shared" si="33"/>
        <v>0</v>
      </c>
    </row>
    <row r="144" spans="1:21" x14ac:dyDescent="0.25">
      <c r="A144" s="1"/>
      <c r="B144" s="1"/>
      <c r="C144" s="1"/>
      <c r="D144" s="1"/>
      <c r="E144" s="1"/>
      <c r="F144" s="1" t="s">
        <v>153</v>
      </c>
      <c r="G144" s="1"/>
      <c r="H144" s="1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"/>
      <c r="T144" s="2"/>
      <c r="U144" s="2">
        <f t="shared" si="33"/>
        <v>0</v>
      </c>
    </row>
    <row r="145" spans="1:21" x14ac:dyDescent="0.25">
      <c r="A145" s="1"/>
      <c r="B145" s="1"/>
      <c r="C145" s="1"/>
      <c r="D145" s="1"/>
      <c r="E145" s="1"/>
      <c r="F145" s="1" t="s">
        <v>154</v>
      </c>
      <c r="G145" s="1"/>
      <c r="H145" s="1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"/>
      <c r="T145" s="2"/>
      <c r="U145" s="2">
        <f t="shared" si="33"/>
        <v>0</v>
      </c>
    </row>
    <row r="146" spans="1:21" x14ac:dyDescent="0.25">
      <c r="A146" s="1"/>
      <c r="B146" s="1"/>
      <c r="C146" s="1"/>
      <c r="D146" s="1"/>
      <c r="E146" s="1"/>
      <c r="F146" s="1" t="s">
        <v>155</v>
      </c>
      <c r="G146" s="1"/>
      <c r="H146" s="1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"/>
      <c r="T146" s="2"/>
      <c r="U146" s="2">
        <f t="shared" si="33"/>
        <v>0</v>
      </c>
    </row>
    <row r="147" spans="1:21" ht="15.75" thickBot="1" x14ac:dyDescent="0.3">
      <c r="A147" s="1"/>
      <c r="B147" s="1"/>
      <c r="C147" s="1"/>
      <c r="D147" s="1"/>
      <c r="E147" s="1"/>
      <c r="F147" s="1" t="s">
        <v>156</v>
      </c>
      <c r="G147" s="1"/>
      <c r="H147" s="1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4"/>
      <c r="T147" s="4"/>
      <c r="U147" s="4">
        <f t="shared" si="33"/>
        <v>0</v>
      </c>
    </row>
    <row r="148" spans="1:21" x14ac:dyDescent="0.25">
      <c r="A148" s="1"/>
      <c r="B148" s="1"/>
      <c r="C148" s="1"/>
      <c r="D148" s="1"/>
      <c r="E148" s="1" t="s">
        <v>157</v>
      </c>
      <c r="F148" s="1"/>
      <c r="G148" s="1"/>
      <c r="H148" s="1"/>
      <c r="I148" s="2">
        <f t="shared" ref="I148:R148" si="35">ROUND(SUM(I130:I131)+SUM(I135:I139)+SUM(I142:I147),5)</f>
        <v>0</v>
      </c>
      <c r="J148" s="2">
        <f t="shared" si="35"/>
        <v>0</v>
      </c>
      <c r="K148" s="2">
        <f t="shared" si="35"/>
        <v>0</v>
      </c>
      <c r="L148" s="2">
        <f t="shared" si="35"/>
        <v>0</v>
      </c>
      <c r="M148" s="2">
        <f t="shared" si="35"/>
        <v>0</v>
      </c>
      <c r="N148" s="2">
        <f t="shared" si="35"/>
        <v>0</v>
      </c>
      <c r="O148" s="2">
        <f t="shared" si="35"/>
        <v>0</v>
      </c>
      <c r="P148" s="2">
        <f t="shared" si="35"/>
        <v>0</v>
      </c>
      <c r="Q148" s="2">
        <f t="shared" si="35"/>
        <v>0</v>
      </c>
      <c r="R148" s="2">
        <f t="shared" si="35"/>
        <v>0</v>
      </c>
      <c r="S148" s="2"/>
      <c r="T148" s="2"/>
      <c r="U148" s="2">
        <f t="shared" si="33"/>
        <v>0</v>
      </c>
    </row>
    <row r="149" spans="1:21" ht="15.75" thickBot="1" x14ac:dyDescent="0.3">
      <c r="A149" s="1"/>
      <c r="B149" s="1"/>
      <c r="C149" s="1"/>
      <c r="D149" s="1"/>
      <c r="E149" s="1" t="s">
        <v>158</v>
      </c>
      <c r="F149" s="1"/>
      <c r="G149" s="1"/>
      <c r="H149" s="1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4"/>
      <c r="T149" s="4"/>
      <c r="U149" s="5">
        <f t="shared" si="33"/>
        <v>0</v>
      </c>
    </row>
    <row r="150" spans="1:21" ht="15.75" thickBot="1" x14ac:dyDescent="0.3">
      <c r="A150" s="1"/>
      <c r="B150" s="1"/>
      <c r="C150" s="1"/>
      <c r="D150" s="1" t="s">
        <v>159</v>
      </c>
      <c r="E150" s="1"/>
      <c r="F150" s="1"/>
      <c r="G150" s="1"/>
      <c r="H150" s="1"/>
      <c r="I150" s="7">
        <f t="shared" ref="I150:R150" si="36">ROUND(I40+I43+I92+I100+I125+SUM(I128:I129)+SUM(I148:I149),5)</f>
        <v>0</v>
      </c>
      <c r="J150" s="7">
        <f t="shared" si="36"/>
        <v>0</v>
      </c>
      <c r="K150" s="7">
        <f t="shared" si="36"/>
        <v>0</v>
      </c>
      <c r="L150" s="7">
        <f t="shared" si="36"/>
        <v>0</v>
      </c>
      <c r="M150" s="7">
        <f t="shared" si="36"/>
        <v>0</v>
      </c>
      <c r="N150" s="7">
        <f t="shared" si="36"/>
        <v>0</v>
      </c>
      <c r="O150" s="7">
        <f t="shared" si="36"/>
        <v>0</v>
      </c>
      <c r="P150" s="7">
        <f t="shared" si="36"/>
        <v>0</v>
      </c>
      <c r="Q150" s="7">
        <f t="shared" si="36"/>
        <v>0</v>
      </c>
      <c r="R150" s="7">
        <f t="shared" si="36"/>
        <v>0</v>
      </c>
      <c r="S150" s="4"/>
      <c r="T150" s="4"/>
      <c r="U150" s="7">
        <f t="shared" si="33"/>
        <v>0</v>
      </c>
    </row>
    <row r="151" spans="1:21" ht="15.75" thickBot="1" x14ac:dyDescent="0.3">
      <c r="A151" s="1"/>
      <c r="B151" s="1" t="s">
        <v>160</v>
      </c>
      <c r="C151" s="1"/>
      <c r="D151" s="1"/>
      <c r="E151" s="1"/>
      <c r="F151" s="1"/>
      <c r="G151" s="1"/>
      <c r="H151" s="1"/>
      <c r="I151" s="7">
        <f t="shared" ref="I151:R151" si="37">ROUND(I2+I39-I150,5)</f>
        <v>0</v>
      </c>
      <c r="J151" s="7">
        <f t="shared" si="37"/>
        <v>0</v>
      </c>
      <c r="K151" s="7">
        <f t="shared" si="37"/>
        <v>0</v>
      </c>
      <c r="L151" s="7">
        <f t="shared" si="37"/>
        <v>0</v>
      </c>
      <c r="M151" s="7">
        <f t="shared" si="37"/>
        <v>0</v>
      </c>
      <c r="N151" s="7">
        <f t="shared" si="37"/>
        <v>0</v>
      </c>
      <c r="O151" s="7">
        <f t="shared" si="37"/>
        <v>0</v>
      </c>
      <c r="P151" s="7">
        <f t="shared" si="37"/>
        <v>0</v>
      </c>
      <c r="Q151" s="7">
        <f t="shared" si="37"/>
        <v>0</v>
      </c>
      <c r="R151" s="7">
        <f t="shared" si="37"/>
        <v>0</v>
      </c>
      <c r="S151" s="4"/>
      <c r="T151" s="4"/>
      <c r="U151" s="7">
        <f t="shared" si="33"/>
        <v>0</v>
      </c>
    </row>
    <row r="152" spans="1:21" s="9" customFormat="1" ht="12" thickBot="1" x14ac:dyDescent="0.25">
      <c r="A152" s="1" t="s">
        <v>161</v>
      </c>
      <c r="B152" s="1"/>
      <c r="C152" s="1"/>
      <c r="D152" s="1"/>
      <c r="E152" s="1"/>
      <c r="F152" s="1"/>
      <c r="G152" s="1"/>
      <c r="H152" s="1"/>
      <c r="I152" s="8">
        <f t="shared" ref="I152:R152" si="38">I151</f>
        <v>0</v>
      </c>
      <c r="J152" s="8">
        <f t="shared" si="38"/>
        <v>0</v>
      </c>
      <c r="K152" s="8">
        <f t="shared" si="38"/>
        <v>0</v>
      </c>
      <c r="L152" s="8">
        <f t="shared" si="38"/>
        <v>0</v>
      </c>
      <c r="M152" s="8">
        <f t="shared" si="38"/>
        <v>0</v>
      </c>
      <c r="N152" s="8">
        <f t="shared" si="38"/>
        <v>0</v>
      </c>
      <c r="O152" s="8">
        <f t="shared" si="38"/>
        <v>0</v>
      </c>
      <c r="P152" s="8">
        <f t="shared" si="38"/>
        <v>0</v>
      </c>
      <c r="Q152" s="8">
        <f t="shared" si="38"/>
        <v>0</v>
      </c>
      <c r="R152" s="8">
        <f t="shared" si="38"/>
        <v>0</v>
      </c>
      <c r="S152" s="22"/>
      <c r="T152" s="22"/>
      <c r="U152" s="8">
        <f t="shared" si="33"/>
        <v>0</v>
      </c>
    </row>
    <row r="153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1:35 PM
&amp;"Arial,Bold"&amp;8 11/17/17
&amp;"Arial,Bold"&amp;8 Accrual Basis&amp;C&amp;"Arial,Bold"&amp;12 Rest Stop Ministries, Inc.
&amp;"Arial,Bold"&amp;14 P&amp;&amp;L (Expanded)
&amp;"Arial,Bold"&amp;10 January through October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X197"/>
  <sheetViews>
    <sheetView tabSelected="1" zoomScale="130" zoomScaleNormal="13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defaultColWidth="9.140625" defaultRowHeight="11.25" x14ac:dyDescent="0.2"/>
  <cols>
    <col min="1" max="7" width="3" style="54" customWidth="1"/>
    <col min="8" max="8" width="29.85546875" style="54" customWidth="1"/>
    <col min="9" max="20" width="12.7109375" style="87" customWidth="1"/>
    <col min="21" max="21" width="12.7109375" style="64" customWidth="1"/>
    <col min="22" max="22" width="10.85546875" style="64" bestFit="1" customWidth="1"/>
    <col min="23" max="23" width="12.7109375" style="64" bestFit="1" customWidth="1"/>
    <col min="24" max="16384" width="9.140625" style="63"/>
  </cols>
  <sheetData>
    <row r="1" spans="1:23" s="92" customFormat="1" ht="54" customHeight="1" thickBot="1" x14ac:dyDescent="0.25">
      <c r="A1" s="53"/>
      <c r="B1" s="53"/>
      <c r="C1" s="53"/>
      <c r="D1" s="53"/>
      <c r="E1" s="53"/>
      <c r="F1" s="53"/>
      <c r="G1" s="53"/>
      <c r="H1" s="53"/>
      <c r="I1" s="62">
        <v>44197</v>
      </c>
      <c r="J1" s="62">
        <f t="shared" ref="J1:T1" si="0">I1+31</f>
        <v>44228</v>
      </c>
      <c r="K1" s="62">
        <f t="shared" si="0"/>
        <v>44259</v>
      </c>
      <c r="L1" s="62">
        <f t="shared" si="0"/>
        <v>44290</v>
      </c>
      <c r="M1" s="62">
        <f t="shared" si="0"/>
        <v>44321</v>
      </c>
      <c r="N1" s="62">
        <f t="shared" si="0"/>
        <v>44352</v>
      </c>
      <c r="O1" s="62">
        <f t="shared" si="0"/>
        <v>44383</v>
      </c>
      <c r="P1" s="62">
        <f t="shared" si="0"/>
        <v>44414</v>
      </c>
      <c r="Q1" s="62">
        <f t="shared" si="0"/>
        <v>44445</v>
      </c>
      <c r="R1" s="62">
        <f t="shared" si="0"/>
        <v>44476</v>
      </c>
      <c r="S1" s="62">
        <f t="shared" si="0"/>
        <v>44507</v>
      </c>
      <c r="T1" s="62">
        <f t="shared" si="0"/>
        <v>44538</v>
      </c>
      <c r="U1" s="62" t="s">
        <v>208</v>
      </c>
      <c r="V1" s="67" t="s">
        <v>209</v>
      </c>
      <c r="W1" s="94" t="s">
        <v>210</v>
      </c>
    </row>
    <row r="2" spans="1:23" ht="12" thickTop="1" x14ac:dyDescent="0.2">
      <c r="A2" s="51"/>
      <c r="B2" s="51" t="s">
        <v>11</v>
      </c>
      <c r="C2" s="51"/>
      <c r="D2" s="51"/>
      <c r="E2" s="51"/>
      <c r="F2" s="51"/>
      <c r="G2" s="51"/>
      <c r="H2" s="51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55"/>
      <c r="V2" s="82"/>
      <c r="W2" s="95"/>
    </row>
    <row r="3" spans="1:23" x14ac:dyDescent="0.2">
      <c r="A3" s="51"/>
      <c r="B3" s="51"/>
      <c r="C3" s="51"/>
      <c r="D3" s="51" t="s">
        <v>12</v>
      </c>
      <c r="E3" s="51"/>
      <c r="F3" s="51"/>
      <c r="G3" s="51"/>
      <c r="H3" s="51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55"/>
      <c r="V3" s="82"/>
      <c r="W3" s="95"/>
    </row>
    <row r="4" spans="1:23" x14ac:dyDescent="0.2">
      <c r="A4" s="51"/>
      <c r="B4" s="51"/>
      <c r="C4" s="51"/>
      <c r="D4" s="51"/>
      <c r="E4" s="51" t="s">
        <v>13</v>
      </c>
      <c r="F4" s="51"/>
      <c r="G4" s="51"/>
      <c r="H4" s="51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3"/>
      <c r="V4" s="82"/>
      <c r="W4" s="95"/>
    </row>
    <row r="5" spans="1:23" x14ac:dyDescent="0.2">
      <c r="A5" s="51"/>
      <c r="B5" s="51"/>
      <c r="C5" s="51"/>
      <c r="D5" s="51"/>
      <c r="E5" s="51"/>
      <c r="F5" s="51" t="s">
        <v>14</v>
      </c>
      <c r="G5" s="51"/>
      <c r="H5" s="51"/>
      <c r="I5" s="55">
        <f>7146-1000</f>
        <v>6146</v>
      </c>
      <c r="J5" s="104">
        <f>4409-1000</f>
        <v>3409</v>
      </c>
      <c r="K5" s="104">
        <f>5096-1000-500</f>
        <v>3596</v>
      </c>
      <c r="L5" s="105">
        <f>5791-1000-500</f>
        <v>4291</v>
      </c>
      <c r="M5" s="105">
        <f>6479-1000-500</f>
        <v>4979</v>
      </c>
      <c r="N5" s="105">
        <f>5988-1000-500</f>
        <v>4488</v>
      </c>
      <c r="O5" s="105">
        <f>5055-1000-500</f>
        <v>3555</v>
      </c>
      <c r="P5" s="105">
        <f>7397.08-1000-500</f>
        <v>5897.08</v>
      </c>
      <c r="Q5" s="105">
        <f>69237.88-7500-10000-500-1619</f>
        <v>49618.880000000005</v>
      </c>
      <c r="R5" s="105">
        <f>109201.1-75000-2500-2000</f>
        <v>29701.100000000006</v>
      </c>
      <c r="S5" s="105">
        <f>16010-1000-500</f>
        <v>14510</v>
      </c>
      <c r="T5" s="104">
        <f>16169-1000-500</f>
        <v>14669</v>
      </c>
      <c r="U5" s="55">
        <f>SUM(I5:T5)</f>
        <v>144860.06</v>
      </c>
      <c r="V5" s="68"/>
      <c r="W5" s="96">
        <f>U5-V5</f>
        <v>144860.06</v>
      </c>
    </row>
    <row r="6" spans="1:23" x14ac:dyDescent="0.2">
      <c r="A6" s="51"/>
      <c r="B6" s="51"/>
      <c r="C6" s="51"/>
      <c r="D6" s="51"/>
      <c r="E6" s="51"/>
      <c r="F6" s="51" t="s">
        <v>212</v>
      </c>
      <c r="G6" s="51"/>
      <c r="H6" s="51"/>
      <c r="I6" s="55">
        <v>2973.2</v>
      </c>
      <c r="J6" s="104">
        <v>8091.59</v>
      </c>
      <c r="K6" s="104">
        <v>7016.73</v>
      </c>
      <c r="L6" s="105">
        <f>3935.99</f>
        <v>3935.99</v>
      </c>
      <c r="M6" s="105">
        <f>3714.12</f>
        <v>3714.12</v>
      </c>
      <c r="N6" s="105">
        <f>25601.97-2000</f>
        <v>23601.97</v>
      </c>
      <c r="O6" s="105">
        <f>2702.35</f>
        <v>2702.35</v>
      </c>
      <c r="P6" s="105">
        <f>1565.32</f>
        <v>1565.32</v>
      </c>
      <c r="Q6" s="105">
        <f>4449.2</f>
        <v>4449.2</v>
      </c>
      <c r="R6" s="105">
        <f>14519.25-1000</f>
        <v>13519.25</v>
      </c>
      <c r="S6" s="105">
        <f>12632.55-1000</f>
        <v>11632.55</v>
      </c>
      <c r="T6" s="104">
        <v>16836.16</v>
      </c>
      <c r="U6" s="55">
        <f>SUM(I6:T6)</f>
        <v>100038.43000000001</v>
      </c>
      <c r="V6" s="68"/>
      <c r="W6" s="96">
        <f t="shared" ref="W6:W21" si="1">U6-V6</f>
        <v>100038.43000000001</v>
      </c>
    </row>
    <row r="7" spans="1:23" x14ac:dyDescent="0.2">
      <c r="A7" s="51"/>
      <c r="B7" s="51"/>
      <c r="C7" s="51"/>
      <c r="D7" s="51"/>
      <c r="E7" s="51"/>
      <c r="F7" s="51" t="s">
        <v>213</v>
      </c>
      <c r="G7" s="51"/>
      <c r="H7" s="51"/>
      <c r="I7" s="55">
        <v>0</v>
      </c>
      <c r="J7" s="104">
        <v>0</v>
      </c>
      <c r="K7" s="104"/>
      <c r="L7" s="104"/>
      <c r="M7" s="104"/>
      <c r="N7" s="104"/>
      <c r="O7" s="104"/>
      <c r="P7" s="104"/>
      <c r="Q7" s="104"/>
      <c r="R7" s="104"/>
      <c r="S7" s="104"/>
      <c r="T7" s="104">
        <v>0</v>
      </c>
      <c r="U7" s="55">
        <f t="shared" ref="U7:U12" si="2">SUM(I7:T7)</f>
        <v>0</v>
      </c>
      <c r="V7" s="68"/>
      <c r="W7" s="96">
        <f t="shared" si="1"/>
        <v>0</v>
      </c>
    </row>
    <row r="8" spans="1:23" x14ac:dyDescent="0.2">
      <c r="A8" s="51"/>
      <c r="B8" s="51"/>
      <c r="C8" s="51"/>
      <c r="D8" s="51"/>
      <c r="E8" s="51"/>
      <c r="F8" s="51" t="s">
        <v>16</v>
      </c>
      <c r="G8" s="51"/>
      <c r="H8" s="51"/>
      <c r="I8" s="56">
        <v>355</v>
      </c>
      <c r="J8" s="55">
        <v>330</v>
      </c>
      <c r="K8" s="55">
        <v>355</v>
      </c>
      <c r="L8" s="105">
        <f>355</f>
        <v>355</v>
      </c>
      <c r="M8" s="105">
        <f>355</f>
        <v>355</v>
      </c>
      <c r="N8" s="105">
        <f>255</f>
        <v>255</v>
      </c>
      <c r="O8" s="105">
        <f>250</f>
        <v>250</v>
      </c>
      <c r="P8" s="105">
        <f>325</f>
        <v>325</v>
      </c>
      <c r="Q8" s="105">
        <f>5405</f>
        <v>5405</v>
      </c>
      <c r="R8" s="105">
        <f>355</f>
        <v>355</v>
      </c>
      <c r="S8" s="105">
        <f>355</f>
        <v>355</v>
      </c>
      <c r="T8" s="55">
        <v>275</v>
      </c>
      <c r="U8" s="55">
        <f t="shared" si="2"/>
        <v>8970</v>
      </c>
      <c r="V8" s="68"/>
      <c r="W8" s="96">
        <f t="shared" si="1"/>
        <v>8970</v>
      </c>
    </row>
    <row r="9" spans="1:23" hidden="1" x14ac:dyDescent="0.2">
      <c r="A9" s="51"/>
      <c r="B9" s="51"/>
      <c r="C9" s="51"/>
      <c r="D9" s="51"/>
      <c r="E9" s="51"/>
      <c r="F9" s="51" t="s">
        <v>17</v>
      </c>
      <c r="G9" s="51"/>
      <c r="H9" s="51"/>
      <c r="I9" s="56">
        <v>0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>
        <v>0</v>
      </c>
      <c r="U9" s="55">
        <f t="shared" si="2"/>
        <v>0</v>
      </c>
      <c r="V9" s="68"/>
      <c r="W9" s="97">
        <f t="shared" si="1"/>
        <v>0</v>
      </c>
    </row>
    <row r="10" spans="1:23" hidden="1" x14ac:dyDescent="0.2">
      <c r="A10" s="51"/>
      <c r="B10" s="51"/>
      <c r="C10" s="51"/>
      <c r="D10" s="51"/>
      <c r="E10" s="51"/>
      <c r="F10" s="51" t="s">
        <v>195</v>
      </c>
      <c r="G10" s="51"/>
      <c r="H10" s="51"/>
      <c r="I10" s="56">
        <v>0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>
        <v>0</v>
      </c>
      <c r="U10" s="55">
        <f t="shared" si="2"/>
        <v>0</v>
      </c>
      <c r="V10" s="68"/>
      <c r="W10" s="97">
        <f t="shared" si="1"/>
        <v>0</v>
      </c>
    </row>
    <row r="11" spans="1:23" x14ac:dyDescent="0.2">
      <c r="A11" s="51"/>
      <c r="B11" s="51"/>
      <c r="C11" s="51"/>
      <c r="D11" s="51"/>
      <c r="E11" s="51" t="s">
        <v>18</v>
      </c>
      <c r="F11" s="51"/>
      <c r="G11" s="51"/>
      <c r="H11" s="51"/>
      <c r="I11" s="55">
        <f t="shared" ref="I11:T11" si="3">SUM(I5:I10)</f>
        <v>9474.2000000000007</v>
      </c>
      <c r="J11" s="55">
        <f t="shared" si="3"/>
        <v>11830.59</v>
      </c>
      <c r="K11" s="55">
        <f t="shared" si="3"/>
        <v>10967.73</v>
      </c>
      <c r="L11" s="55">
        <f t="shared" si="3"/>
        <v>8581.99</v>
      </c>
      <c r="M11" s="55">
        <f t="shared" si="3"/>
        <v>9048.119999999999</v>
      </c>
      <c r="N11" s="55">
        <f t="shared" si="3"/>
        <v>28344.97</v>
      </c>
      <c r="O11" s="55">
        <f t="shared" si="3"/>
        <v>6507.35</v>
      </c>
      <c r="P11" s="55">
        <f t="shared" si="3"/>
        <v>7787.4</v>
      </c>
      <c r="Q11" s="55">
        <f t="shared" si="3"/>
        <v>59473.08</v>
      </c>
      <c r="R11" s="55">
        <f t="shared" si="3"/>
        <v>43575.350000000006</v>
      </c>
      <c r="S11" s="55">
        <f t="shared" si="3"/>
        <v>26497.55</v>
      </c>
      <c r="T11" s="55">
        <f t="shared" si="3"/>
        <v>31780.16</v>
      </c>
      <c r="U11" s="55">
        <f>SUM(I11:T11)</f>
        <v>253868.49</v>
      </c>
      <c r="V11" s="68"/>
      <c r="W11" s="96">
        <f t="shared" si="1"/>
        <v>253868.49</v>
      </c>
    </row>
    <row r="12" spans="1:23" x14ac:dyDescent="0.2">
      <c r="A12" s="51"/>
      <c r="B12" s="51"/>
      <c r="C12" s="51"/>
      <c r="D12" s="51"/>
      <c r="E12" s="51" t="s">
        <v>196</v>
      </c>
      <c r="F12" s="51"/>
      <c r="G12" s="51"/>
      <c r="H12" s="5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f t="shared" si="2"/>
        <v>0</v>
      </c>
      <c r="V12" s="68"/>
      <c r="W12" s="96">
        <f t="shared" si="1"/>
        <v>0</v>
      </c>
    </row>
    <row r="13" spans="1:23" x14ac:dyDescent="0.2">
      <c r="A13" s="51"/>
      <c r="B13" s="51"/>
      <c r="C13" s="51"/>
      <c r="D13" s="51"/>
      <c r="E13" s="51"/>
      <c r="F13" s="51" t="s">
        <v>197</v>
      </c>
      <c r="G13" s="51"/>
      <c r="H13" s="51"/>
      <c r="I13" s="56"/>
      <c r="J13" s="104"/>
      <c r="K13" s="104">
        <v>5000</v>
      </c>
      <c r="L13" s="104"/>
      <c r="M13" s="104"/>
      <c r="N13" s="104">
        <v>5000</v>
      </c>
      <c r="O13" s="104"/>
      <c r="P13" s="105"/>
      <c r="Q13" s="104">
        <v>5000</v>
      </c>
      <c r="R13" s="104"/>
      <c r="S13" s="104"/>
      <c r="T13" s="104">
        <v>10000</v>
      </c>
      <c r="U13" s="55">
        <f t="shared" ref="U13:U72" si="4">SUM(I13:T13)</f>
        <v>25000</v>
      </c>
      <c r="V13" s="68"/>
      <c r="W13" s="96">
        <f t="shared" si="1"/>
        <v>25000</v>
      </c>
    </row>
    <row r="14" spans="1:23" x14ac:dyDescent="0.2">
      <c r="A14" s="51"/>
      <c r="B14" s="51"/>
      <c r="C14" s="51"/>
      <c r="D14" s="51"/>
      <c r="E14" s="51"/>
      <c r="F14" s="51" t="s">
        <v>198</v>
      </c>
      <c r="G14" s="51"/>
      <c r="H14" s="51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v>0</v>
      </c>
      <c r="U14" s="55">
        <f t="shared" si="4"/>
        <v>0</v>
      </c>
      <c r="V14" s="68"/>
      <c r="W14" s="96">
        <f t="shared" si="1"/>
        <v>0</v>
      </c>
    </row>
    <row r="15" spans="1:23" x14ac:dyDescent="0.2">
      <c r="A15" s="51"/>
      <c r="B15" s="51"/>
      <c r="C15" s="51"/>
      <c r="D15" s="51"/>
      <c r="E15" s="51"/>
      <c r="F15" s="51" t="s">
        <v>211</v>
      </c>
      <c r="G15" s="51"/>
      <c r="H15" s="51"/>
      <c r="I15" s="56">
        <f>215885/12</f>
        <v>17990.416666666668</v>
      </c>
      <c r="J15" s="56">
        <f t="shared" ref="J15:T15" si="5">215885/12</f>
        <v>17990.416666666668</v>
      </c>
      <c r="K15" s="56">
        <f t="shared" si="5"/>
        <v>17990.416666666668</v>
      </c>
      <c r="L15" s="56">
        <f t="shared" si="5"/>
        <v>17990.416666666668</v>
      </c>
      <c r="M15" s="56">
        <f t="shared" si="5"/>
        <v>17990.416666666668</v>
      </c>
      <c r="N15" s="56">
        <f t="shared" si="5"/>
        <v>17990.416666666668</v>
      </c>
      <c r="O15" s="56">
        <f t="shared" si="5"/>
        <v>17990.416666666668</v>
      </c>
      <c r="P15" s="56">
        <f t="shared" si="5"/>
        <v>17990.416666666668</v>
      </c>
      <c r="Q15" s="56">
        <f t="shared" si="5"/>
        <v>17990.416666666668</v>
      </c>
      <c r="R15" s="56">
        <f t="shared" si="5"/>
        <v>17990.416666666668</v>
      </c>
      <c r="S15" s="56">
        <f t="shared" si="5"/>
        <v>17990.416666666668</v>
      </c>
      <c r="T15" s="56">
        <f t="shared" si="5"/>
        <v>17990.416666666668</v>
      </c>
      <c r="U15" s="55">
        <f t="shared" si="4"/>
        <v>215884.99999999997</v>
      </c>
      <c r="V15" s="68">
        <f>U15</f>
        <v>215884.99999999997</v>
      </c>
      <c r="W15" s="96">
        <f t="shared" si="1"/>
        <v>0</v>
      </c>
    </row>
    <row r="16" spans="1:23" x14ac:dyDescent="0.2">
      <c r="A16" s="51"/>
      <c r="B16" s="51"/>
      <c r="C16" s="51"/>
      <c r="D16" s="51"/>
      <c r="E16" s="51" t="s">
        <v>207</v>
      </c>
      <c r="F16" s="51"/>
      <c r="G16" s="51"/>
      <c r="H16" s="51"/>
      <c r="I16" s="55">
        <f>SUM(I13:I15)</f>
        <v>17990.416666666668</v>
      </c>
      <c r="J16" s="55">
        <f t="shared" ref="J16:T16" si="6">SUM(J13:J15)</f>
        <v>17990.416666666668</v>
      </c>
      <c r="K16" s="55">
        <f t="shared" si="6"/>
        <v>22990.416666666668</v>
      </c>
      <c r="L16" s="55">
        <f t="shared" si="6"/>
        <v>17990.416666666668</v>
      </c>
      <c r="M16" s="55">
        <f t="shared" si="6"/>
        <v>17990.416666666668</v>
      </c>
      <c r="N16" s="55">
        <f t="shared" si="6"/>
        <v>22990.416666666668</v>
      </c>
      <c r="O16" s="55">
        <f t="shared" si="6"/>
        <v>17990.416666666668</v>
      </c>
      <c r="P16" s="55">
        <f t="shared" si="6"/>
        <v>17990.416666666668</v>
      </c>
      <c r="Q16" s="55">
        <f t="shared" si="6"/>
        <v>22990.416666666668</v>
      </c>
      <c r="R16" s="55">
        <f t="shared" si="6"/>
        <v>17990.416666666668</v>
      </c>
      <c r="S16" s="55">
        <f t="shared" si="6"/>
        <v>17990.416666666668</v>
      </c>
      <c r="T16" s="55">
        <f t="shared" si="6"/>
        <v>27990.416666666668</v>
      </c>
      <c r="U16" s="55">
        <f t="shared" ref="U16:V16" si="7">ROUND(SUM(U12:U15),5)</f>
        <v>240885</v>
      </c>
      <c r="V16" s="68">
        <f t="shared" si="7"/>
        <v>215885</v>
      </c>
      <c r="W16" s="96">
        <f t="shared" si="1"/>
        <v>25000</v>
      </c>
    </row>
    <row r="17" spans="1:23" x14ac:dyDescent="0.2">
      <c r="A17" s="51"/>
      <c r="B17" s="51"/>
      <c r="C17" s="51"/>
      <c r="D17" s="51"/>
      <c r="E17" s="51" t="s">
        <v>19</v>
      </c>
      <c r="F17" s="51"/>
      <c r="G17" s="51"/>
      <c r="H17" s="51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>
        <f t="shared" si="4"/>
        <v>0</v>
      </c>
      <c r="V17" s="68"/>
      <c r="W17" s="96">
        <f t="shared" si="1"/>
        <v>0</v>
      </c>
    </row>
    <row r="18" spans="1:23" x14ac:dyDescent="0.2">
      <c r="A18" s="51"/>
      <c r="B18" s="51"/>
      <c r="C18" s="51"/>
      <c r="D18" s="51"/>
      <c r="E18" s="51"/>
      <c r="F18" s="51" t="s">
        <v>20</v>
      </c>
      <c r="G18" s="51"/>
      <c r="H18" s="51"/>
      <c r="I18" s="55">
        <v>0</v>
      </c>
      <c r="J18" s="55">
        <v>0</v>
      </c>
      <c r="K18" s="55">
        <v>0</v>
      </c>
      <c r="L18" s="55"/>
      <c r="M18" s="55"/>
      <c r="N18" s="55"/>
      <c r="O18" s="55"/>
      <c r="P18" s="55">
        <v>10000</v>
      </c>
      <c r="Q18" s="55">
        <v>15000</v>
      </c>
      <c r="R18" s="55"/>
      <c r="S18" s="55"/>
      <c r="T18" s="55"/>
      <c r="U18" s="55">
        <f t="shared" si="4"/>
        <v>25000</v>
      </c>
      <c r="V18" s="68"/>
      <c r="W18" s="96">
        <f t="shared" si="1"/>
        <v>25000</v>
      </c>
    </row>
    <row r="19" spans="1:23" x14ac:dyDescent="0.2">
      <c r="A19" s="51"/>
      <c r="B19" s="51"/>
      <c r="C19" s="51"/>
      <c r="D19" s="51"/>
      <c r="E19" s="51"/>
      <c r="F19" s="51" t="s">
        <v>205</v>
      </c>
      <c r="G19" s="51"/>
      <c r="H19" s="51"/>
      <c r="I19" s="55">
        <v>0</v>
      </c>
      <c r="J19" s="55">
        <v>0</v>
      </c>
      <c r="K19" s="55">
        <v>0</v>
      </c>
      <c r="L19" s="55"/>
      <c r="M19" s="55"/>
      <c r="N19" s="55"/>
      <c r="O19" s="55"/>
      <c r="P19" s="55"/>
      <c r="Q19" s="55"/>
      <c r="R19" s="55"/>
      <c r="S19" s="55"/>
      <c r="T19" s="55"/>
      <c r="U19" s="55">
        <f t="shared" si="4"/>
        <v>0</v>
      </c>
      <c r="V19" s="68"/>
      <c r="W19" s="96">
        <f t="shared" si="1"/>
        <v>0</v>
      </c>
    </row>
    <row r="20" spans="1:23" x14ac:dyDescent="0.2">
      <c r="A20" s="51"/>
      <c r="B20" s="51"/>
      <c r="C20" s="51"/>
      <c r="D20" s="51"/>
      <c r="E20" s="51"/>
      <c r="F20" s="51" t="s">
        <v>206</v>
      </c>
      <c r="G20" s="51"/>
      <c r="H20" s="51"/>
      <c r="I20" s="55">
        <v>0</v>
      </c>
      <c r="J20" s="55">
        <v>0</v>
      </c>
      <c r="K20" s="55">
        <v>0</v>
      </c>
      <c r="L20" s="55"/>
      <c r="M20" s="55"/>
      <c r="N20" s="55"/>
      <c r="O20" s="55"/>
      <c r="P20" s="55"/>
      <c r="Q20" s="55">
        <v>6000</v>
      </c>
      <c r="R20" s="55"/>
      <c r="S20" s="55"/>
      <c r="T20" s="55"/>
      <c r="U20" s="55">
        <f t="shared" si="4"/>
        <v>6000</v>
      </c>
      <c r="V20" s="68"/>
      <c r="W20" s="96">
        <f t="shared" si="1"/>
        <v>6000</v>
      </c>
    </row>
    <row r="21" spans="1:23" ht="12" thickBot="1" x14ac:dyDescent="0.25">
      <c r="A21" s="51"/>
      <c r="B21" s="51"/>
      <c r="C21" s="51"/>
      <c r="D21" s="51"/>
      <c r="E21" s="51"/>
      <c r="F21" s="51" t="s">
        <v>22</v>
      </c>
      <c r="G21" s="51"/>
      <c r="H21" s="51"/>
      <c r="I21" s="57">
        <v>0</v>
      </c>
      <c r="J21" s="57">
        <v>0</v>
      </c>
      <c r="K21" s="57">
        <v>0</v>
      </c>
      <c r="L21" s="57"/>
      <c r="M21" s="57"/>
      <c r="N21" s="57"/>
      <c r="O21" s="57"/>
      <c r="P21" s="57"/>
      <c r="Q21" s="57">
        <v>25000</v>
      </c>
      <c r="R21" s="57"/>
      <c r="S21" s="57"/>
      <c r="T21" s="57"/>
      <c r="U21" s="57">
        <f t="shared" si="4"/>
        <v>25000</v>
      </c>
      <c r="V21" s="69"/>
      <c r="W21" s="98">
        <f t="shared" si="1"/>
        <v>25000</v>
      </c>
    </row>
    <row r="22" spans="1:23" x14ac:dyDescent="0.2">
      <c r="A22" s="51"/>
      <c r="B22" s="51"/>
      <c r="C22" s="51"/>
      <c r="D22" s="51"/>
      <c r="E22" s="51" t="s">
        <v>23</v>
      </c>
      <c r="F22" s="51"/>
      <c r="G22" s="51"/>
      <c r="H22" s="51"/>
      <c r="I22" s="55">
        <f t="shared" ref="I22:T22" si="8">ROUND(SUM(I17:I21),5)</f>
        <v>0</v>
      </c>
      <c r="J22" s="55">
        <f t="shared" si="8"/>
        <v>0</v>
      </c>
      <c r="K22" s="55">
        <f t="shared" si="8"/>
        <v>0</v>
      </c>
      <c r="L22" s="55">
        <f t="shared" si="8"/>
        <v>0</v>
      </c>
      <c r="M22" s="55">
        <f t="shared" si="8"/>
        <v>0</v>
      </c>
      <c r="N22" s="55">
        <f t="shared" si="8"/>
        <v>0</v>
      </c>
      <c r="O22" s="55">
        <f t="shared" si="8"/>
        <v>0</v>
      </c>
      <c r="P22" s="55">
        <f t="shared" si="8"/>
        <v>10000</v>
      </c>
      <c r="Q22" s="55">
        <f t="shared" si="8"/>
        <v>46000</v>
      </c>
      <c r="R22" s="55">
        <f t="shared" si="8"/>
        <v>0</v>
      </c>
      <c r="S22" s="55">
        <f t="shared" si="8"/>
        <v>0</v>
      </c>
      <c r="T22" s="55">
        <f t="shared" si="8"/>
        <v>0</v>
      </c>
      <c r="U22" s="55">
        <f t="shared" si="4"/>
        <v>56000</v>
      </c>
      <c r="V22" s="68">
        <f>ROUND(SUM(V17:V21),5)</f>
        <v>0</v>
      </c>
      <c r="W22" s="96">
        <f>ROUND(SUM(W17:W21),5)</f>
        <v>56000</v>
      </c>
    </row>
    <row r="23" spans="1:23" x14ac:dyDescent="0.2">
      <c r="A23" s="51"/>
      <c r="B23" s="51"/>
      <c r="C23" s="51"/>
      <c r="D23" s="51"/>
      <c r="E23" s="51" t="s">
        <v>199</v>
      </c>
      <c r="F23" s="51"/>
      <c r="G23" s="51"/>
      <c r="H23" s="51"/>
      <c r="I23" s="56">
        <v>0</v>
      </c>
      <c r="J23" s="56">
        <v>0</v>
      </c>
      <c r="K23" s="56">
        <v>0</v>
      </c>
      <c r="L23" s="56"/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5">
        <f t="shared" si="4"/>
        <v>0</v>
      </c>
      <c r="V23" s="68"/>
      <c r="W23" s="96">
        <f t="shared" ref="W23:W70" si="9">U23-V23</f>
        <v>0</v>
      </c>
    </row>
    <row r="24" spans="1:23" x14ac:dyDescent="0.2">
      <c r="A24" s="51"/>
      <c r="B24" s="51"/>
      <c r="C24" s="51"/>
      <c r="D24" s="51"/>
      <c r="E24" s="51" t="s">
        <v>24</v>
      </c>
      <c r="F24" s="51"/>
      <c r="G24" s="51"/>
      <c r="H24" s="51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>
        <f t="shared" si="4"/>
        <v>0</v>
      </c>
      <c r="V24" s="68"/>
      <c r="W24" s="96">
        <f t="shared" si="9"/>
        <v>0</v>
      </c>
    </row>
    <row r="25" spans="1:23" x14ac:dyDescent="0.2">
      <c r="A25" s="51"/>
      <c r="B25" s="51"/>
      <c r="C25" s="51"/>
      <c r="D25" s="51"/>
      <c r="E25" s="51"/>
      <c r="F25" s="51" t="s">
        <v>25</v>
      </c>
      <c r="G25" s="51"/>
      <c r="H25" s="51"/>
      <c r="I25" s="55">
        <v>0</v>
      </c>
      <c r="J25" s="55"/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f>5728-5728</f>
        <v>0</v>
      </c>
      <c r="R25" s="55">
        <v>0</v>
      </c>
      <c r="S25" s="55">
        <v>0</v>
      </c>
      <c r="T25" s="55"/>
      <c r="U25" s="55">
        <f t="shared" si="4"/>
        <v>0</v>
      </c>
      <c r="V25" s="68"/>
      <c r="W25" s="96">
        <f t="shared" si="9"/>
        <v>0</v>
      </c>
    </row>
    <row r="26" spans="1:23" hidden="1" x14ac:dyDescent="0.2">
      <c r="A26" s="51"/>
      <c r="B26" s="51"/>
      <c r="C26" s="51"/>
      <c r="D26" s="51"/>
      <c r="E26" s="51"/>
      <c r="F26" s="51" t="s">
        <v>200</v>
      </c>
      <c r="G26" s="51"/>
      <c r="H26" s="51"/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f t="shared" si="4"/>
        <v>0</v>
      </c>
      <c r="V26" s="68"/>
      <c r="W26" s="96">
        <f t="shared" si="9"/>
        <v>0</v>
      </c>
    </row>
    <row r="27" spans="1:23" ht="12" hidden="1" thickBot="1" x14ac:dyDescent="0.25">
      <c r="A27" s="51"/>
      <c r="B27" s="51"/>
      <c r="C27" s="51"/>
      <c r="D27" s="51"/>
      <c r="E27" s="51"/>
      <c r="F27" s="51" t="s">
        <v>26</v>
      </c>
      <c r="G27" s="51"/>
      <c r="H27" s="51"/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f t="shared" si="4"/>
        <v>0</v>
      </c>
      <c r="V27" s="69"/>
      <c r="W27" s="98">
        <f t="shared" si="9"/>
        <v>0</v>
      </c>
    </row>
    <row r="28" spans="1:23" x14ac:dyDescent="0.2">
      <c r="A28" s="51"/>
      <c r="B28" s="51"/>
      <c r="C28" s="51"/>
      <c r="D28" s="51"/>
      <c r="E28" s="51" t="s">
        <v>27</v>
      </c>
      <c r="F28" s="51"/>
      <c r="G28" s="51"/>
      <c r="H28" s="51"/>
      <c r="I28" s="55">
        <f t="shared" ref="I28" si="10">ROUND(SUM(I24:I27),5)</f>
        <v>0</v>
      </c>
      <c r="J28" s="55">
        <f t="shared" ref="J28" si="11">ROUND(SUM(J24:J27),5)</f>
        <v>0</v>
      </c>
      <c r="K28" s="55">
        <f t="shared" ref="K28" si="12">ROUND(SUM(K24:K27),5)</f>
        <v>0</v>
      </c>
      <c r="L28" s="55">
        <f t="shared" ref="L28" si="13">ROUND(SUM(L24:L27),5)</f>
        <v>0</v>
      </c>
      <c r="M28" s="55">
        <f t="shared" ref="M28" si="14">ROUND(SUM(M24:M27),5)</f>
        <v>0</v>
      </c>
      <c r="N28" s="55">
        <f t="shared" ref="N28" si="15">ROUND(SUM(N24:N27),5)</f>
        <v>0</v>
      </c>
      <c r="O28" s="55">
        <f t="shared" ref="O28" si="16">ROUND(SUM(O24:O27),5)</f>
        <v>0</v>
      </c>
      <c r="P28" s="55">
        <f t="shared" ref="P28" si="17">ROUND(SUM(P24:P27),5)</f>
        <v>0</v>
      </c>
      <c r="Q28" s="55">
        <f t="shared" ref="Q28" si="18">ROUND(SUM(Q24:Q27),5)</f>
        <v>0</v>
      </c>
      <c r="R28" s="55">
        <f t="shared" ref="R28" si="19">ROUND(SUM(R24:R27),5)</f>
        <v>0</v>
      </c>
      <c r="S28" s="55">
        <f t="shared" ref="S28" si="20">ROUND(SUM(S24:S27),5)</f>
        <v>0</v>
      </c>
      <c r="T28" s="55">
        <f t="shared" ref="T28:V28" si="21">ROUND(SUM(T24:T27),5)</f>
        <v>0</v>
      </c>
      <c r="U28" s="55">
        <f t="shared" si="4"/>
        <v>0</v>
      </c>
      <c r="V28" s="68">
        <f t="shared" si="21"/>
        <v>0</v>
      </c>
      <c r="W28" s="96">
        <f t="shared" si="9"/>
        <v>0</v>
      </c>
    </row>
    <row r="29" spans="1:23" x14ac:dyDescent="0.2">
      <c r="A29" s="51"/>
      <c r="B29" s="51"/>
      <c r="C29" s="51"/>
      <c r="D29" s="51"/>
      <c r="E29" s="51" t="s">
        <v>28</v>
      </c>
      <c r="F29" s="51"/>
      <c r="G29" s="51"/>
      <c r="H29" s="51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>
        <f t="shared" si="4"/>
        <v>0</v>
      </c>
      <c r="V29" s="68"/>
      <c r="W29" s="96">
        <f t="shared" si="9"/>
        <v>0</v>
      </c>
    </row>
    <row r="30" spans="1:23" hidden="1" x14ac:dyDescent="0.2">
      <c r="A30" s="51"/>
      <c r="B30" s="51"/>
      <c r="C30" s="51"/>
      <c r="D30" s="51"/>
      <c r="E30" s="51"/>
      <c r="F30" s="51" t="s">
        <v>201</v>
      </c>
      <c r="G30" s="51"/>
      <c r="H30" s="51"/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f t="shared" si="4"/>
        <v>0</v>
      </c>
      <c r="V30" s="68"/>
      <c r="W30" s="96">
        <f t="shared" si="9"/>
        <v>0</v>
      </c>
    </row>
    <row r="31" spans="1:23" x14ac:dyDescent="0.2">
      <c r="A31" s="51"/>
      <c r="B31" s="51"/>
      <c r="C31" s="51"/>
      <c r="D31" s="51"/>
      <c r="E31" s="51"/>
      <c r="F31" s="51" t="s">
        <v>29</v>
      </c>
      <c r="G31" s="51"/>
      <c r="H31" s="51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>
        <f t="shared" si="4"/>
        <v>0</v>
      </c>
      <c r="V31" s="68"/>
      <c r="W31" s="96">
        <f t="shared" si="9"/>
        <v>0</v>
      </c>
    </row>
    <row r="32" spans="1:23" x14ac:dyDescent="0.2">
      <c r="A32" s="51"/>
      <c r="B32" s="51"/>
      <c r="C32" s="51"/>
      <c r="D32" s="51"/>
      <c r="E32" s="51"/>
      <c r="F32" s="51" t="s">
        <v>30</v>
      </c>
      <c r="G32" s="51"/>
      <c r="H32" s="5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>
        <f t="shared" si="4"/>
        <v>0</v>
      </c>
      <c r="V32" s="68"/>
      <c r="W32" s="96">
        <f t="shared" si="9"/>
        <v>0</v>
      </c>
    </row>
    <row r="33" spans="1:23" x14ac:dyDescent="0.2">
      <c r="A33" s="51"/>
      <c r="B33" s="51"/>
      <c r="C33" s="51"/>
      <c r="D33" s="51"/>
      <c r="E33" s="51"/>
      <c r="F33" s="51"/>
      <c r="G33" s="51" t="s">
        <v>31</v>
      </c>
      <c r="H33" s="51"/>
      <c r="I33" s="55"/>
      <c r="J33" s="56">
        <v>0</v>
      </c>
      <c r="K33" s="56"/>
      <c r="L33" s="56"/>
      <c r="M33" s="56"/>
      <c r="N33" s="56"/>
      <c r="O33" s="56"/>
      <c r="P33" s="56"/>
      <c r="Q33" s="56"/>
      <c r="R33" s="56"/>
      <c r="S33" s="56"/>
      <c r="T33" s="56">
        <v>40</v>
      </c>
      <c r="U33" s="56">
        <f t="shared" si="4"/>
        <v>40</v>
      </c>
      <c r="V33" s="68"/>
      <c r="W33" s="96">
        <f t="shared" si="9"/>
        <v>40</v>
      </c>
    </row>
    <row r="34" spans="1:23" x14ac:dyDescent="0.2">
      <c r="A34" s="51"/>
      <c r="B34" s="51"/>
      <c r="C34" s="51"/>
      <c r="D34" s="51"/>
      <c r="E34" s="51"/>
      <c r="F34" s="51"/>
      <c r="G34" s="51" t="s">
        <v>32</v>
      </c>
      <c r="H34" s="51"/>
      <c r="I34" s="55"/>
      <c r="J34" s="56"/>
      <c r="K34" s="56"/>
      <c r="L34" s="56"/>
      <c r="M34" s="56"/>
      <c r="N34" s="56">
        <v>20</v>
      </c>
      <c r="O34" s="56">
        <v>40</v>
      </c>
      <c r="P34" s="56"/>
      <c r="Q34" s="56"/>
      <c r="R34" s="56">
        <v>20</v>
      </c>
      <c r="S34" s="56">
        <v>20</v>
      </c>
      <c r="T34" s="56">
        <v>0</v>
      </c>
      <c r="U34" s="56">
        <f t="shared" si="4"/>
        <v>100</v>
      </c>
      <c r="V34" s="68"/>
      <c r="W34" s="96">
        <f t="shared" si="9"/>
        <v>100</v>
      </c>
    </row>
    <row r="35" spans="1:23" x14ac:dyDescent="0.2">
      <c r="A35" s="51"/>
      <c r="B35" s="51"/>
      <c r="C35" s="51"/>
      <c r="D35" s="51"/>
      <c r="E35" s="51"/>
      <c r="F35" s="51"/>
      <c r="G35" s="51" t="s">
        <v>33</v>
      </c>
      <c r="H35" s="51"/>
      <c r="I35" s="55"/>
      <c r="J35" s="56"/>
      <c r="K35" s="56"/>
      <c r="L35" s="56"/>
      <c r="M35" s="56"/>
      <c r="N35" s="56">
        <v>15.99</v>
      </c>
      <c r="O35" s="56"/>
      <c r="P35" s="56"/>
      <c r="Q35" s="56">
        <v>186</v>
      </c>
      <c r="R35" s="56"/>
      <c r="S35" s="56">
        <v>15.98</v>
      </c>
      <c r="T35" s="56">
        <v>0</v>
      </c>
      <c r="U35" s="56">
        <f t="shared" si="4"/>
        <v>217.97</v>
      </c>
      <c r="V35" s="68"/>
      <c r="W35" s="96">
        <f t="shared" si="9"/>
        <v>217.97</v>
      </c>
    </row>
    <row r="36" spans="1:23" x14ac:dyDescent="0.2">
      <c r="A36" s="51"/>
      <c r="B36" s="51"/>
      <c r="C36" s="51"/>
      <c r="D36" s="51"/>
      <c r="E36" s="51"/>
      <c r="F36" s="51"/>
      <c r="G36" s="51" t="s">
        <v>34</v>
      </c>
      <c r="H36" s="51"/>
      <c r="I36" s="56"/>
      <c r="J36" s="56">
        <v>0</v>
      </c>
      <c r="K36" s="56">
        <v>23.98</v>
      </c>
      <c r="L36" s="56"/>
      <c r="M36" s="56"/>
      <c r="N36" s="56"/>
      <c r="O36" s="56"/>
      <c r="P36" s="56"/>
      <c r="Q36" s="56"/>
      <c r="R36" s="56"/>
      <c r="S36" s="56"/>
      <c r="T36" s="56">
        <v>185.98</v>
      </c>
      <c r="U36" s="56">
        <f t="shared" si="4"/>
        <v>209.95999999999998</v>
      </c>
      <c r="V36" s="68"/>
      <c r="W36" s="97">
        <f t="shared" si="9"/>
        <v>209.95999999999998</v>
      </c>
    </row>
    <row r="37" spans="1:23" ht="12" thickBot="1" x14ac:dyDescent="0.25">
      <c r="A37" s="51"/>
      <c r="B37" s="51"/>
      <c r="C37" s="51"/>
      <c r="D37" s="51"/>
      <c r="E37" s="51"/>
      <c r="F37" s="51"/>
      <c r="G37" s="1" t="s">
        <v>214</v>
      </c>
      <c r="H37" s="1"/>
      <c r="I37" s="56">
        <v>268</v>
      </c>
      <c r="J37" s="56">
        <v>15.99</v>
      </c>
      <c r="K37" s="56">
        <v>12</v>
      </c>
      <c r="L37" s="56"/>
      <c r="M37" s="56"/>
      <c r="N37" s="56">
        <v>11.99</v>
      </c>
      <c r="O37" s="56"/>
      <c r="P37" s="56"/>
      <c r="Q37" s="56">
        <v>11.99</v>
      </c>
      <c r="R37" s="56"/>
      <c r="S37" s="56">
        <v>32</v>
      </c>
      <c r="T37" s="56"/>
      <c r="U37" s="56"/>
      <c r="V37" s="68"/>
      <c r="W37" s="97">
        <f t="shared" si="9"/>
        <v>0</v>
      </c>
    </row>
    <row r="38" spans="1:23" ht="12" thickBot="1" x14ac:dyDescent="0.25">
      <c r="A38" s="51"/>
      <c r="B38" s="51"/>
      <c r="C38" s="51"/>
      <c r="D38" s="51"/>
      <c r="E38" s="51"/>
      <c r="F38" s="51" t="s">
        <v>35</v>
      </c>
      <c r="G38" s="51"/>
      <c r="H38" s="51"/>
      <c r="I38" s="58">
        <f>SUM(I30:I37)</f>
        <v>268</v>
      </c>
      <c r="J38" s="58">
        <f t="shared" ref="J38:W38" si="22">SUM(J30:J37)</f>
        <v>15.99</v>
      </c>
      <c r="K38" s="58">
        <f t="shared" si="22"/>
        <v>35.980000000000004</v>
      </c>
      <c r="L38" s="58">
        <f t="shared" si="22"/>
        <v>0</v>
      </c>
      <c r="M38" s="58">
        <f t="shared" si="22"/>
        <v>0</v>
      </c>
      <c r="N38" s="58">
        <f t="shared" si="22"/>
        <v>47.980000000000004</v>
      </c>
      <c r="O38" s="58">
        <f t="shared" si="22"/>
        <v>40</v>
      </c>
      <c r="P38" s="58">
        <f t="shared" si="22"/>
        <v>0</v>
      </c>
      <c r="Q38" s="58">
        <f t="shared" si="22"/>
        <v>197.99</v>
      </c>
      <c r="R38" s="58">
        <f t="shared" si="22"/>
        <v>20</v>
      </c>
      <c r="S38" s="58">
        <f t="shared" si="22"/>
        <v>67.98</v>
      </c>
      <c r="T38" s="58">
        <f t="shared" si="22"/>
        <v>225.98</v>
      </c>
      <c r="U38" s="58">
        <f t="shared" si="22"/>
        <v>567.93000000000006</v>
      </c>
      <c r="V38" s="70">
        <f t="shared" si="22"/>
        <v>0</v>
      </c>
      <c r="W38" s="99">
        <f t="shared" si="22"/>
        <v>567.93000000000006</v>
      </c>
    </row>
    <row r="39" spans="1:23" x14ac:dyDescent="0.2">
      <c r="A39" s="51"/>
      <c r="B39" s="51"/>
      <c r="C39" s="51"/>
      <c r="D39" s="51"/>
      <c r="E39" s="51" t="s">
        <v>36</v>
      </c>
      <c r="F39" s="51"/>
      <c r="G39" s="51"/>
      <c r="H39" s="51"/>
      <c r="I39" s="55">
        <f t="shared" ref="I39:U39" si="23">ROUND(SUM(I29:I31)+I38,5)</f>
        <v>268</v>
      </c>
      <c r="J39" s="55">
        <f t="shared" si="23"/>
        <v>15.99</v>
      </c>
      <c r="K39" s="55">
        <f t="shared" si="23"/>
        <v>35.979999999999997</v>
      </c>
      <c r="L39" s="55">
        <f t="shared" si="23"/>
        <v>0</v>
      </c>
      <c r="M39" s="55">
        <f t="shared" si="23"/>
        <v>0</v>
      </c>
      <c r="N39" s="55">
        <f t="shared" si="23"/>
        <v>47.98</v>
      </c>
      <c r="O39" s="55">
        <f t="shared" si="23"/>
        <v>40</v>
      </c>
      <c r="P39" s="55">
        <f t="shared" si="23"/>
        <v>0</v>
      </c>
      <c r="Q39" s="55">
        <f t="shared" si="23"/>
        <v>197.99</v>
      </c>
      <c r="R39" s="55">
        <f t="shared" si="23"/>
        <v>20</v>
      </c>
      <c r="S39" s="55">
        <f t="shared" si="23"/>
        <v>67.98</v>
      </c>
      <c r="T39" s="55">
        <f t="shared" si="23"/>
        <v>225.98</v>
      </c>
      <c r="U39" s="55">
        <f t="shared" si="23"/>
        <v>567.92999999999995</v>
      </c>
      <c r="V39" s="68">
        <f>ROUND(SUM(V29:V31)+V38,5)</f>
        <v>0</v>
      </c>
      <c r="W39" s="96">
        <f>ROUND(SUM(W29:W31)+W38,5)</f>
        <v>567.92999999999995</v>
      </c>
    </row>
    <row r="40" spans="1:23" x14ac:dyDescent="0.2">
      <c r="A40" s="51"/>
      <c r="B40" s="51"/>
      <c r="C40" s="51"/>
      <c r="D40" s="51"/>
      <c r="E40" s="51" t="s">
        <v>37</v>
      </c>
      <c r="F40" s="51"/>
      <c r="G40" s="51"/>
      <c r="H40" s="51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>
        <f t="shared" si="4"/>
        <v>0</v>
      </c>
      <c r="V40" s="68"/>
      <c r="W40" s="96">
        <f t="shared" si="9"/>
        <v>0</v>
      </c>
    </row>
    <row r="41" spans="1:23" x14ac:dyDescent="0.2">
      <c r="A41" s="51"/>
      <c r="B41" s="51"/>
      <c r="C41" s="51"/>
      <c r="D41" s="51"/>
      <c r="E41" s="51"/>
      <c r="F41" s="51" t="s">
        <v>38</v>
      </c>
      <c r="G41" s="51"/>
      <c r="H41" s="51"/>
      <c r="I41" s="55">
        <v>117.17</v>
      </c>
      <c r="J41" s="55">
        <v>114.06</v>
      </c>
      <c r="K41" s="105">
        <f>70.83</f>
        <v>70.83</v>
      </c>
      <c r="L41" s="105">
        <f>17.52</f>
        <v>17.52</v>
      </c>
      <c r="M41" s="105">
        <f>6.57</f>
        <v>6.57</v>
      </c>
      <c r="N41" s="105">
        <f>7.25</f>
        <v>7.25</v>
      </c>
      <c r="O41" s="105">
        <f>7.67</f>
        <v>7.67</v>
      </c>
      <c r="P41" s="105">
        <f>7.78</f>
        <v>7.78</v>
      </c>
      <c r="Q41" s="105">
        <f>9.03</f>
        <v>9.0299999999999994</v>
      </c>
      <c r="R41" s="105">
        <f>8.04</f>
        <v>8.0399999999999991</v>
      </c>
      <c r="S41" s="55"/>
      <c r="T41" s="55">
        <v>105.78</v>
      </c>
      <c r="U41" s="55">
        <f t="shared" si="4"/>
        <v>471.69999999999993</v>
      </c>
      <c r="V41" s="68"/>
      <c r="W41" s="96">
        <f t="shared" si="9"/>
        <v>471.69999999999993</v>
      </c>
    </row>
    <row r="42" spans="1:23" x14ac:dyDescent="0.2">
      <c r="A42" s="51"/>
      <c r="B42" s="51"/>
      <c r="C42" s="51"/>
      <c r="D42" s="51"/>
      <c r="E42" s="51"/>
      <c r="F42" s="51" t="s">
        <v>39</v>
      </c>
      <c r="G42" s="51"/>
      <c r="H42" s="51"/>
      <c r="I42" s="55">
        <v>0</v>
      </c>
      <c r="J42" s="55">
        <v>0</v>
      </c>
      <c r="K42" s="55"/>
      <c r="L42" s="55"/>
      <c r="M42" s="55"/>
      <c r="N42" s="55"/>
      <c r="O42" s="55"/>
      <c r="P42" s="55">
        <v>15.99</v>
      </c>
      <c r="Q42" s="55"/>
      <c r="R42" s="55"/>
      <c r="S42" s="55"/>
      <c r="T42" s="55"/>
      <c r="U42" s="55">
        <f t="shared" si="4"/>
        <v>15.99</v>
      </c>
      <c r="V42" s="68"/>
      <c r="W42" s="96">
        <f t="shared" si="9"/>
        <v>15.99</v>
      </c>
    </row>
    <row r="43" spans="1:23" ht="12" thickBot="1" x14ac:dyDescent="0.25">
      <c r="A43" s="51"/>
      <c r="B43" s="51"/>
      <c r="C43" s="51"/>
      <c r="D43" s="51"/>
      <c r="E43" s="51"/>
      <c r="F43" s="51" t="s">
        <v>215</v>
      </c>
      <c r="G43" s="51"/>
      <c r="H43" s="51"/>
      <c r="I43" s="56">
        <v>0</v>
      </c>
      <c r="J43" s="56">
        <v>0</v>
      </c>
      <c r="K43" s="56"/>
      <c r="L43" s="56"/>
      <c r="M43" s="56"/>
      <c r="N43" s="56">
        <v>0</v>
      </c>
      <c r="O43" s="56"/>
      <c r="P43" s="56">
        <v>100</v>
      </c>
      <c r="Q43" s="56">
        <f>70.2-34.25</f>
        <v>35.950000000000003</v>
      </c>
      <c r="R43" s="56">
        <f>50-1.17</f>
        <v>48.83</v>
      </c>
      <c r="S43" s="56">
        <v>-5.98</v>
      </c>
      <c r="T43" s="56"/>
      <c r="U43" s="56">
        <f t="shared" si="4"/>
        <v>178.79999999999998</v>
      </c>
      <c r="V43" s="68"/>
      <c r="W43" s="97">
        <f t="shared" si="9"/>
        <v>178.79999999999998</v>
      </c>
    </row>
    <row r="44" spans="1:23" ht="12" thickBot="1" x14ac:dyDescent="0.25">
      <c r="A44" s="51"/>
      <c r="B44" s="51"/>
      <c r="C44" s="51"/>
      <c r="D44" s="51"/>
      <c r="E44" s="51" t="s">
        <v>41</v>
      </c>
      <c r="F44" s="51"/>
      <c r="G44" s="51"/>
      <c r="H44" s="51"/>
      <c r="I44" s="58">
        <f t="shared" ref="I44:T44" si="24">ROUND(SUM(I40:I43),5)</f>
        <v>117.17</v>
      </c>
      <c r="J44" s="58">
        <f t="shared" si="24"/>
        <v>114.06</v>
      </c>
      <c r="K44" s="58">
        <f t="shared" si="24"/>
        <v>70.83</v>
      </c>
      <c r="L44" s="58">
        <f t="shared" si="24"/>
        <v>17.52</v>
      </c>
      <c r="M44" s="58">
        <f t="shared" si="24"/>
        <v>6.57</v>
      </c>
      <c r="N44" s="58">
        <f t="shared" si="24"/>
        <v>7.25</v>
      </c>
      <c r="O44" s="58">
        <f t="shared" si="24"/>
        <v>7.67</v>
      </c>
      <c r="P44" s="58">
        <f t="shared" si="24"/>
        <v>123.77</v>
      </c>
      <c r="Q44" s="58">
        <f t="shared" si="24"/>
        <v>44.98</v>
      </c>
      <c r="R44" s="58">
        <f t="shared" si="24"/>
        <v>56.87</v>
      </c>
      <c r="S44" s="58">
        <f t="shared" si="24"/>
        <v>-5.98</v>
      </c>
      <c r="T44" s="58">
        <f t="shared" si="24"/>
        <v>105.78</v>
      </c>
      <c r="U44" s="58">
        <f t="shared" si="4"/>
        <v>666.4899999999999</v>
      </c>
      <c r="V44" s="70">
        <f>ROUND(SUM(V40:V43),5)</f>
        <v>0</v>
      </c>
      <c r="W44" s="99">
        <f>ROUND(SUM(W40:W43),5)</f>
        <v>666.49</v>
      </c>
    </row>
    <row r="45" spans="1:23" x14ac:dyDescent="0.2">
      <c r="A45" s="51"/>
      <c r="B45" s="51"/>
      <c r="C45" s="51"/>
      <c r="D45" s="51" t="s">
        <v>42</v>
      </c>
      <c r="E45" s="51"/>
      <c r="F45" s="51"/>
      <c r="G45" s="51"/>
      <c r="H45" s="51"/>
      <c r="I45" s="55">
        <f t="shared" ref="I45:T45" si="25">I44+I39+I28+I22+I16+I11+I23</f>
        <v>27849.786666666667</v>
      </c>
      <c r="J45" s="55">
        <f t="shared" si="25"/>
        <v>29951.056666666667</v>
      </c>
      <c r="K45" s="55">
        <f t="shared" si="25"/>
        <v>34064.956666666665</v>
      </c>
      <c r="L45" s="55">
        <f t="shared" si="25"/>
        <v>26589.926666666666</v>
      </c>
      <c r="M45" s="55">
        <f t="shared" si="25"/>
        <v>27045.106666666667</v>
      </c>
      <c r="N45" s="55">
        <f t="shared" si="25"/>
        <v>51390.616666666669</v>
      </c>
      <c r="O45" s="55">
        <f t="shared" si="25"/>
        <v>24545.436666666668</v>
      </c>
      <c r="P45" s="55">
        <f t="shared" si="25"/>
        <v>35901.58666666667</v>
      </c>
      <c r="Q45" s="55">
        <f t="shared" si="25"/>
        <v>128706.46666666667</v>
      </c>
      <c r="R45" s="55">
        <f t="shared" si="25"/>
        <v>61642.636666666673</v>
      </c>
      <c r="S45" s="55">
        <f t="shared" si="25"/>
        <v>44549.966666666667</v>
      </c>
      <c r="T45" s="55">
        <f t="shared" si="25"/>
        <v>60102.33666666667</v>
      </c>
      <c r="U45" s="55">
        <f>+U44+U39+U22+U16+U11</f>
        <v>551987.90999999992</v>
      </c>
      <c r="V45" s="85">
        <f>V44+V39+V28+V22+V16+V11+V23</f>
        <v>215885</v>
      </c>
      <c r="W45" s="96">
        <f>+W44+W39+W22+W16+W11</f>
        <v>336102.91</v>
      </c>
    </row>
    <row r="46" spans="1:23" hidden="1" x14ac:dyDescent="0.2">
      <c r="A46" s="51"/>
      <c r="B46" s="51"/>
      <c r="C46" s="51"/>
      <c r="D46" s="51" t="s">
        <v>43</v>
      </c>
      <c r="E46" s="51"/>
      <c r="F46" s="51"/>
      <c r="G46" s="51"/>
      <c r="H46" s="51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>
        <f t="shared" si="4"/>
        <v>0</v>
      </c>
      <c r="V46" s="68"/>
      <c r="W46" s="96">
        <f t="shared" si="9"/>
        <v>0</v>
      </c>
    </row>
    <row r="47" spans="1:23" hidden="1" x14ac:dyDescent="0.2">
      <c r="A47" s="51"/>
      <c r="B47" s="51"/>
      <c r="C47" s="51"/>
      <c r="D47" s="51"/>
      <c r="E47" s="51" t="s">
        <v>44</v>
      </c>
      <c r="F47" s="51"/>
      <c r="G47" s="51"/>
      <c r="H47" s="51"/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f t="shared" si="4"/>
        <v>0</v>
      </c>
      <c r="V47" s="68"/>
      <c r="W47" s="96">
        <f t="shared" si="9"/>
        <v>0</v>
      </c>
    </row>
    <row r="48" spans="1:23" hidden="1" x14ac:dyDescent="0.2">
      <c r="A48" s="51"/>
      <c r="B48" s="51"/>
      <c r="C48" s="51"/>
      <c r="D48" s="51"/>
      <c r="E48" s="51"/>
      <c r="F48" s="51" t="s">
        <v>45</v>
      </c>
      <c r="G48" s="51"/>
      <c r="H48" s="51"/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f t="shared" si="4"/>
        <v>0</v>
      </c>
      <c r="V48" s="68"/>
      <c r="W48" s="97">
        <f t="shared" si="9"/>
        <v>0</v>
      </c>
    </row>
    <row r="49" spans="1:24" hidden="1" x14ac:dyDescent="0.2">
      <c r="A49" s="51"/>
      <c r="B49" s="51"/>
      <c r="C49" s="51"/>
      <c r="D49" s="51"/>
      <c r="E49" s="51" t="s">
        <v>46</v>
      </c>
      <c r="F49" s="51"/>
      <c r="G49" s="51"/>
      <c r="H49" s="51"/>
      <c r="I49" s="59">
        <f t="shared" ref="I49" si="26">ROUND(SUM(I47:I48),5)</f>
        <v>0</v>
      </c>
      <c r="J49" s="59">
        <f t="shared" ref="J49" si="27">ROUND(SUM(J47:J48),5)</f>
        <v>0</v>
      </c>
      <c r="K49" s="59">
        <f t="shared" ref="K49" si="28">ROUND(SUM(K47:K48),5)</f>
        <v>0</v>
      </c>
      <c r="L49" s="59">
        <f t="shared" ref="L49" si="29">ROUND(SUM(L47:L48),5)</f>
        <v>0</v>
      </c>
      <c r="M49" s="59">
        <f t="shared" ref="M49" si="30">ROUND(SUM(M47:M48),5)</f>
        <v>0</v>
      </c>
      <c r="N49" s="59">
        <f t="shared" ref="N49" si="31">ROUND(SUM(N47:N48),5)</f>
        <v>0</v>
      </c>
      <c r="O49" s="59">
        <f t="shared" ref="O49" si="32">ROUND(SUM(O47:O48),5)</f>
        <v>0</v>
      </c>
      <c r="P49" s="59">
        <f t="shared" ref="P49" si="33">ROUND(SUM(P47:P48),5)</f>
        <v>0</v>
      </c>
      <c r="Q49" s="59">
        <f t="shared" ref="Q49" si="34">ROUND(SUM(Q47:Q48),5)</f>
        <v>0</v>
      </c>
      <c r="R49" s="59">
        <f t="shared" ref="R49" si="35">ROUND(SUM(R47:R48),5)</f>
        <v>0</v>
      </c>
      <c r="S49" s="59">
        <f t="shared" ref="S49" si="36">ROUND(SUM(S47:S48),5)</f>
        <v>0</v>
      </c>
      <c r="T49" s="59">
        <f t="shared" ref="T49:W49" si="37">ROUND(SUM(T47:T48),5)</f>
        <v>0</v>
      </c>
      <c r="U49" s="59">
        <f t="shared" si="4"/>
        <v>0</v>
      </c>
      <c r="V49" s="71">
        <f t="shared" si="37"/>
        <v>0</v>
      </c>
      <c r="W49" s="100">
        <f t="shared" si="37"/>
        <v>0</v>
      </c>
    </row>
    <row r="50" spans="1:24" ht="12" hidden="1" thickBot="1" x14ac:dyDescent="0.25">
      <c r="A50" s="51"/>
      <c r="B50" s="51"/>
      <c r="C50" s="51"/>
      <c r="D50" s="51" t="s">
        <v>47</v>
      </c>
      <c r="E50" s="51"/>
      <c r="F50" s="51"/>
      <c r="G50" s="51"/>
      <c r="H50" s="51"/>
      <c r="I50" s="58">
        <f t="shared" ref="I50" si="38">ROUND(I46+I49,5)</f>
        <v>0</v>
      </c>
      <c r="J50" s="58">
        <f t="shared" ref="J50" si="39">ROUND(J46+J49,5)</f>
        <v>0</v>
      </c>
      <c r="K50" s="58">
        <f t="shared" ref="K50" si="40">ROUND(K46+K49,5)</f>
        <v>0</v>
      </c>
      <c r="L50" s="58">
        <f t="shared" ref="L50" si="41">ROUND(L46+L49,5)</f>
        <v>0</v>
      </c>
      <c r="M50" s="58">
        <f t="shared" ref="M50" si="42">ROUND(M46+M49,5)</f>
        <v>0</v>
      </c>
      <c r="N50" s="58">
        <f t="shared" ref="N50" si="43">ROUND(N46+N49,5)</f>
        <v>0</v>
      </c>
      <c r="O50" s="58">
        <f t="shared" ref="O50" si="44">ROUND(O46+O49,5)</f>
        <v>0</v>
      </c>
      <c r="P50" s="58">
        <f t="shared" ref="P50" si="45">ROUND(P46+P49,5)</f>
        <v>0</v>
      </c>
      <c r="Q50" s="58">
        <f t="shared" ref="Q50" si="46">ROUND(Q46+Q49,5)</f>
        <v>0</v>
      </c>
      <c r="R50" s="58">
        <f t="shared" ref="R50" si="47">ROUND(R46+R49,5)</f>
        <v>0</v>
      </c>
      <c r="S50" s="58">
        <f t="shared" ref="S50" si="48">ROUND(S46+S49,5)</f>
        <v>0</v>
      </c>
      <c r="T50" s="58">
        <f t="shared" ref="T50:W50" si="49">ROUND(T46+T49,5)</f>
        <v>0</v>
      </c>
      <c r="U50" s="58">
        <f t="shared" si="4"/>
        <v>0</v>
      </c>
      <c r="V50" s="71">
        <f t="shared" si="49"/>
        <v>0</v>
      </c>
      <c r="W50" s="99">
        <f t="shared" si="49"/>
        <v>0</v>
      </c>
    </row>
    <row r="51" spans="1:24" x14ac:dyDescent="0.2">
      <c r="A51" s="51"/>
      <c r="B51" s="51"/>
      <c r="C51" s="51" t="s">
        <v>48</v>
      </c>
      <c r="D51" s="51"/>
      <c r="E51" s="51"/>
      <c r="F51" s="51"/>
      <c r="G51" s="51"/>
      <c r="H51" s="51"/>
      <c r="I51" s="55">
        <f t="shared" ref="I51:S51" si="50">ROUND(I45-I50,5)</f>
        <v>27849.786670000001</v>
      </c>
      <c r="J51" s="55">
        <f t="shared" si="50"/>
        <v>29951.056670000002</v>
      </c>
      <c r="K51" s="55">
        <f t="shared" si="50"/>
        <v>34064.95667</v>
      </c>
      <c r="L51" s="55">
        <f t="shared" si="50"/>
        <v>26589.926670000001</v>
      </c>
      <c r="M51" s="55">
        <f t="shared" si="50"/>
        <v>27045.106670000001</v>
      </c>
      <c r="N51" s="55">
        <f t="shared" si="50"/>
        <v>51390.616670000003</v>
      </c>
      <c r="O51" s="55">
        <f t="shared" si="50"/>
        <v>24545.436669999999</v>
      </c>
      <c r="P51" s="55">
        <f t="shared" si="50"/>
        <v>35901.586669999997</v>
      </c>
      <c r="Q51" s="55">
        <f t="shared" si="50"/>
        <v>128706.46666999999</v>
      </c>
      <c r="R51" s="55">
        <f t="shared" si="50"/>
        <v>61642.63667</v>
      </c>
      <c r="S51" s="55">
        <f t="shared" si="50"/>
        <v>44549.966670000002</v>
      </c>
      <c r="T51" s="55">
        <f t="shared" ref="T51:W51" si="51">ROUND(T45-T50,5)</f>
        <v>60102.336669999997</v>
      </c>
      <c r="U51" s="55">
        <f t="shared" si="51"/>
        <v>551987.91</v>
      </c>
      <c r="V51" s="68">
        <f>V50+V45+V34+V28+V22+V17+V29</f>
        <v>215885</v>
      </c>
      <c r="W51" s="96">
        <f t="shared" si="51"/>
        <v>336102.91</v>
      </c>
      <c r="X51" s="74"/>
    </row>
    <row r="52" spans="1:24" x14ac:dyDescent="0.2">
      <c r="A52" s="51"/>
      <c r="B52" s="51"/>
      <c r="C52" s="51"/>
      <c r="D52" s="51" t="s">
        <v>49</v>
      </c>
      <c r="E52" s="51"/>
      <c r="F52" s="51"/>
      <c r="G52" s="51"/>
      <c r="H52" s="51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82"/>
      <c r="W52" s="96">
        <f t="shared" si="9"/>
        <v>0</v>
      </c>
    </row>
    <row r="53" spans="1:24" hidden="1" x14ac:dyDescent="0.2">
      <c r="A53" s="51"/>
      <c r="B53" s="51"/>
      <c r="C53" s="51"/>
      <c r="D53" s="51"/>
      <c r="E53" s="51" t="s">
        <v>50</v>
      </c>
      <c r="F53" s="51"/>
      <c r="G53" s="51"/>
      <c r="H53" s="51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82"/>
      <c r="W53" s="95">
        <f t="shared" si="9"/>
        <v>0</v>
      </c>
    </row>
    <row r="54" spans="1:24" hidden="1" x14ac:dyDescent="0.2">
      <c r="A54" s="51"/>
      <c r="B54" s="51"/>
      <c r="C54" s="51"/>
      <c r="D54" s="51"/>
      <c r="E54" s="51"/>
      <c r="F54" s="51" t="s">
        <v>51</v>
      </c>
      <c r="G54" s="51"/>
      <c r="H54" s="51"/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f t="shared" si="4"/>
        <v>0</v>
      </c>
      <c r="V54" s="68"/>
      <c r="W54" s="97">
        <f t="shared" si="9"/>
        <v>0</v>
      </c>
    </row>
    <row r="55" spans="1:24" hidden="1" x14ac:dyDescent="0.2">
      <c r="A55" s="51"/>
      <c r="B55" s="51"/>
      <c r="C55" s="51"/>
      <c r="D55" s="51"/>
      <c r="E55" s="51"/>
      <c r="F55" s="51" t="s">
        <v>202</v>
      </c>
      <c r="G55" s="51"/>
      <c r="H55" s="51"/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f t="shared" si="4"/>
        <v>0</v>
      </c>
      <c r="V55" s="68"/>
      <c r="W55" s="97">
        <f t="shared" si="9"/>
        <v>0</v>
      </c>
    </row>
    <row r="56" spans="1:24" hidden="1" x14ac:dyDescent="0.2">
      <c r="A56" s="51"/>
      <c r="B56" s="51"/>
      <c r="C56" s="51"/>
      <c r="D56" s="51"/>
      <c r="E56" s="51" t="s">
        <v>52</v>
      </c>
      <c r="F56" s="51"/>
      <c r="G56" s="51"/>
      <c r="H56" s="51"/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f t="shared" si="4"/>
        <v>0</v>
      </c>
      <c r="V56" s="68"/>
      <c r="W56" s="96">
        <f t="shared" si="9"/>
        <v>0</v>
      </c>
    </row>
    <row r="57" spans="1:24" x14ac:dyDescent="0.2">
      <c r="A57" s="51"/>
      <c r="B57" s="51"/>
      <c r="C57" s="51"/>
      <c r="D57" s="51"/>
      <c r="E57" s="51" t="s">
        <v>53</v>
      </c>
      <c r="F57" s="51"/>
      <c r="G57" s="51"/>
      <c r="H57" s="51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>
        <f t="shared" si="4"/>
        <v>0</v>
      </c>
      <c r="V57" s="68"/>
      <c r="W57" s="96">
        <f t="shared" si="9"/>
        <v>0</v>
      </c>
    </row>
    <row r="58" spans="1:24" x14ac:dyDescent="0.2">
      <c r="A58" s="51"/>
      <c r="B58" s="51"/>
      <c r="C58" s="51"/>
      <c r="D58" s="51"/>
      <c r="E58" s="51"/>
      <c r="F58" s="51" t="s">
        <v>54</v>
      </c>
      <c r="G58" s="51"/>
      <c r="H58" s="51"/>
      <c r="I58" s="55">
        <f>21497.21+196.48</f>
        <v>21693.69</v>
      </c>
      <c r="J58" s="55">
        <f>21497.21+196.48</f>
        <v>21693.69</v>
      </c>
      <c r="K58" s="55">
        <f>32245.82+392.96</f>
        <v>32638.78</v>
      </c>
      <c r="L58" s="55">
        <f t="shared" ref="L58:T58" si="52">21497.21+196.48</f>
        <v>21693.69</v>
      </c>
      <c r="M58" s="55">
        <f t="shared" si="52"/>
        <v>21693.69</v>
      </c>
      <c r="N58" s="55">
        <f t="shared" si="52"/>
        <v>21693.69</v>
      </c>
      <c r="O58" s="55">
        <f t="shared" si="52"/>
        <v>21693.69</v>
      </c>
      <c r="P58" s="55">
        <f t="shared" si="52"/>
        <v>21693.69</v>
      </c>
      <c r="Q58" s="55">
        <f>32245.82+392.96</f>
        <v>32638.78</v>
      </c>
      <c r="R58" s="55">
        <f t="shared" si="52"/>
        <v>21693.69</v>
      </c>
      <c r="S58" s="55">
        <f t="shared" si="52"/>
        <v>21693.69</v>
      </c>
      <c r="T58" s="55">
        <f t="shared" si="52"/>
        <v>21693.69</v>
      </c>
      <c r="U58" s="55">
        <f t="shared" si="4"/>
        <v>282214.46000000002</v>
      </c>
      <c r="V58" s="68">
        <v>168571</v>
      </c>
      <c r="W58" s="96">
        <f t="shared" si="9"/>
        <v>113643.46000000002</v>
      </c>
    </row>
    <row r="59" spans="1:24" x14ac:dyDescent="0.2">
      <c r="A59" s="51"/>
      <c r="B59" s="51"/>
      <c r="C59" s="51"/>
      <c r="D59" s="51"/>
      <c r="E59" s="51"/>
      <c r="F59" s="51"/>
      <c r="G59" s="51" t="s">
        <v>235</v>
      </c>
      <c r="H59" s="51"/>
      <c r="I59" s="55">
        <v>708</v>
      </c>
      <c r="J59" s="55">
        <v>708</v>
      </c>
      <c r="K59" s="55">
        <v>709</v>
      </c>
      <c r="L59" s="55">
        <v>708</v>
      </c>
      <c r="M59" s="55">
        <v>708</v>
      </c>
      <c r="N59" s="55">
        <v>709</v>
      </c>
      <c r="O59" s="55">
        <v>708</v>
      </c>
      <c r="P59" s="55">
        <v>708</v>
      </c>
      <c r="Q59" s="55">
        <v>709</v>
      </c>
      <c r="R59" s="55">
        <v>708</v>
      </c>
      <c r="S59" s="55">
        <v>708</v>
      </c>
      <c r="T59" s="55">
        <v>709</v>
      </c>
      <c r="U59" s="55">
        <f t="shared" ref="U59" si="53">SUM(I59:T59)</f>
        <v>8500</v>
      </c>
      <c r="V59" s="68">
        <f>V56*0.0145</f>
        <v>0</v>
      </c>
      <c r="W59" s="96">
        <f t="shared" si="9"/>
        <v>8500</v>
      </c>
    </row>
    <row r="60" spans="1:24" x14ac:dyDescent="0.2">
      <c r="A60" s="51"/>
      <c r="B60" s="51"/>
      <c r="C60" s="51"/>
      <c r="D60" s="51"/>
      <c r="E60" s="51"/>
      <c r="F60" s="51" t="s">
        <v>55</v>
      </c>
      <c r="G60" s="51"/>
      <c r="H60" s="51"/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f t="shared" si="4"/>
        <v>0</v>
      </c>
      <c r="V60" s="68"/>
      <c r="W60" s="96">
        <f t="shared" si="9"/>
        <v>0</v>
      </c>
    </row>
    <row r="61" spans="1:24" x14ac:dyDescent="0.2">
      <c r="A61" s="51"/>
      <c r="B61" s="51"/>
      <c r="C61" s="51"/>
      <c r="D61" s="51"/>
      <c r="E61" s="51"/>
      <c r="F61" s="51"/>
      <c r="G61" s="51" t="s">
        <v>56</v>
      </c>
      <c r="H61" s="51"/>
      <c r="I61" s="55">
        <f>I58*0.0145</f>
        <v>314.55850500000003</v>
      </c>
      <c r="J61" s="55">
        <f t="shared" ref="J61:T61" si="54">J58*0.0145</f>
        <v>314.55850500000003</v>
      </c>
      <c r="K61" s="55">
        <f t="shared" si="54"/>
        <v>473.26231000000001</v>
      </c>
      <c r="L61" s="55">
        <f t="shared" si="54"/>
        <v>314.55850500000003</v>
      </c>
      <c r="M61" s="55">
        <f t="shared" si="54"/>
        <v>314.55850500000003</v>
      </c>
      <c r="N61" s="55">
        <f t="shared" si="54"/>
        <v>314.55850500000003</v>
      </c>
      <c r="O61" s="55">
        <f t="shared" si="54"/>
        <v>314.55850500000003</v>
      </c>
      <c r="P61" s="55">
        <f t="shared" si="54"/>
        <v>314.55850500000003</v>
      </c>
      <c r="Q61" s="55">
        <f t="shared" si="54"/>
        <v>473.26231000000001</v>
      </c>
      <c r="R61" s="55">
        <f t="shared" si="54"/>
        <v>314.55850500000003</v>
      </c>
      <c r="S61" s="55">
        <f t="shared" si="54"/>
        <v>314.55850500000003</v>
      </c>
      <c r="T61" s="55">
        <f t="shared" si="54"/>
        <v>314.55850500000003</v>
      </c>
      <c r="U61" s="55">
        <f t="shared" si="4"/>
        <v>4092.1096699999998</v>
      </c>
      <c r="V61" s="68">
        <f>V58*0.0145</f>
        <v>2444.2795000000001</v>
      </c>
      <c r="W61" s="96">
        <f t="shared" si="9"/>
        <v>1647.8301699999997</v>
      </c>
    </row>
    <row r="62" spans="1:24" x14ac:dyDescent="0.2">
      <c r="A62" s="51"/>
      <c r="B62" s="51"/>
      <c r="C62" s="51"/>
      <c r="D62" s="51"/>
      <c r="E62" s="51"/>
      <c r="F62" s="51"/>
      <c r="G62" s="51" t="s">
        <v>57</v>
      </c>
      <c r="H62" s="51"/>
      <c r="I62" s="55">
        <f>I58*0.062</f>
        <v>1345.0087799999999</v>
      </c>
      <c r="J62" s="55">
        <f t="shared" ref="J62:T62" si="55">J58*0.062</f>
        <v>1345.0087799999999</v>
      </c>
      <c r="K62" s="55">
        <f t="shared" si="55"/>
        <v>2023.6043599999998</v>
      </c>
      <c r="L62" s="55">
        <f t="shared" si="55"/>
        <v>1345.0087799999999</v>
      </c>
      <c r="M62" s="55">
        <f t="shared" si="55"/>
        <v>1345.0087799999999</v>
      </c>
      <c r="N62" s="55">
        <f t="shared" si="55"/>
        <v>1345.0087799999999</v>
      </c>
      <c r="O62" s="55">
        <f t="shared" si="55"/>
        <v>1345.0087799999999</v>
      </c>
      <c r="P62" s="55">
        <f t="shared" si="55"/>
        <v>1345.0087799999999</v>
      </c>
      <c r="Q62" s="55">
        <f t="shared" si="55"/>
        <v>2023.6043599999998</v>
      </c>
      <c r="R62" s="55">
        <f t="shared" si="55"/>
        <v>1345.0087799999999</v>
      </c>
      <c r="S62" s="55">
        <f t="shared" si="55"/>
        <v>1345.0087799999999</v>
      </c>
      <c r="T62" s="55">
        <f t="shared" si="55"/>
        <v>1345.0087799999999</v>
      </c>
      <c r="U62" s="55">
        <f t="shared" si="4"/>
        <v>17497.29652</v>
      </c>
      <c r="V62" s="68">
        <f>V58*0.062</f>
        <v>10451.402</v>
      </c>
      <c r="W62" s="96">
        <f t="shared" si="9"/>
        <v>7045.8945199999998</v>
      </c>
    </row>
    <row r="63" spans="1:24" x14ac:dyDescent="0.2">
      <c r="A63" s="51"/>
      <c r="B63" s="51"/>
      <c r="C63" s="51"/>
      <c r="D63" s="51"/>
      <c r="E63" s="51"/>
      <c r="F63" s="51"/>
      <c r="G63" s="51" t="s">
        <v>58</v>
      </c>
      <c r="H63" s="51"/>
      <c r="I63" s="55">
        <f>I58*0.027</f>
        <v>585.72962999999993</v>
      </c>
      <c r="J63" s="55">
        <f t="shared" ref="J63:T63" si="56">J58*0.027</f>
        <v>585.72962999999993</v>
      </c>
      <c r="K63" s="55">
        <f t="shared" si="56"/>
        <v>881.24705999999992</v>
      </c>
      <c r="L63" s="55">
        <f t="shared" si="56"/>
        <v>585.72962999999993</v>
      </c>
      <c r="M63" s="55">
        <f t="shared" si="56"/>
        <v>585.72962999999993</v>
      </c>
      <c r="N63" s="55">
        <f t="shared" si="56"/>
        <v>585.72962999999993</v>
      </c>
      <c r="O63" s="55">
        <f t="shared" si="56"/>
        <v>585.72962999999993</v>
      </c>
      <c r="P63" s="55">
        <f t="shared" si="56"/>
        <v>585.72962999999993</v>
      </c>
      <c r="Q63" s="55">
        <f t="shared" si="56"/>
        <v>881.24705999999992</v>
      </c>
      <c r="R63" s="55">
        <f t="shared" si="56"/>
        <v>585.72962999999993</v>
      </c>
      <c r="S63" s="55">
        <f t="shared" si="56"/>
        <v>585.72962999999993</v>
      </c>
      <c r="T63" s="55">
        <f t="shared" si="56"/>
        <v>585.72962999999993</v>
      </c>
      <c r="U63" s="55">
        <f t="shared" si="4"/>
        <v>7619.7904199999984</v>
      </c>
      <c r="V63" s="68"/>
      <c r="W63" s="96">
        <f t="shared" si="9"/>
        <v>7619.7904199999984</v>
      </c>
    </row>
    <row r="64" spans="1:24" ht="12" thickBot="1" x14ac:dyDescent="0.25">
      <c r="A64" s="51"/>
      <c r="B64" s="51"/>
      <c r="C64" s="51"/>
      <c r="D64" s="51"/>
      <c r="E64" s="51"/>
      <c r="F64" s="51"/>
      <c r="G64" s="51" t="s">
        <v>59</v>
      </c>
      <c r="H64" s="51"/>
      <c r="I64" s="57">
        <f>I58*0.0007</f>
        <v>15.185582999999999</v>
      </c>
      <c r="J64" s="57">
        <f t="shared" ref="J64:T64" si="57">J58*0.0007</f>
        <v>15.185582999999999</v>
      </c>
      <c r="K64" s="57">
        <f t="shared" si="57"/>
        <v>22.847145999999999</v>
      </c>
      <c r="L64" s="57">
        <f t="shared" si="57"/>
        <v>15.185582999999999</v>
      </c>
      <c r="M64" s="57">
        <f t="shared" si="57"/>
        <v>15.185582999999999</v>
      </c>
      <c r="N64" s="57">
        <f t="shared" si="57"/>
        <v>15.185582999999999</v>
      </c>
      <c r="O64" s="57">
        <f t="shared" si="57"/>
        <v>15.185582999999999</v>
      </c>
      <c r="P64" s="57">
        <f t="shared" si="57"/>
        <v>15.185582999999999</v>
      </c>
      <c r="Q64" s="57">
        <f t="shared" si="57"/>
        <v>22.847145999999999</v>
      </c>
      <c r="R64" s="57">
        <f t="shared" si="57"/>
        <v>15.185582999999999</v>
      </c>
      <c r="S64" s="57">
        <f t="shared" si="57"/>
        <v>15.185582999999999</v>
      </c>
      <c r="T64" s="57">
        <f t="shared" si="57"/>
        <v>15.185582999999999</v>
      </c>
      <c r="U64" s="57">
        <f t="shared" si="4"/>
        <v>197.55012200000002</v>
      </c>
      <c r="V64" s="69"/>
      <c r="W64" s="98">
        <f t="shared" si="9"/>
        <v>197.55012200000002</v>
      </c>
    </row>
    <row r="65" spans="1:23" x14ac:dyDescent="0.2">
      <c r="A65" s="51"/>
      <c r="B65" s="51"/>
      <c r="C65" s="51"/>
      <c r="D65" s="51"/>
      <c r="E65" s="51"/>
      <c r="F65" s="51" t="s">
        <v>60</v>
      </c>
      <c r="G65" s="51"/>
      <c r="H65" s="51"/>
      <c r="I65" s="55">
        <f>ROUND(SUM(I60:I64),5)</f>
        <v>2260.4825000000001</v>
      </c>
      <c r="J65" s="55">
        <f t="shared" ref="J65" si="58">ROUND(SUM(J60:J64),5)</f>
        <v>2260.4825000000001</v>
      </c>
      <c r="K65" s="55">
        <f t="shared" ref="K65" si="59">ROUND(SUM(K60:K64),5)</f>
        <v>3400.9608800000001</v>
      </c>
      <c r="L65" s="55">
        <f t="shared" ref="L65" si="60">ROUND(SUM(L60:L64),5)</f>
        <v>2260.4825000000001</v>
      </c>
      <c r="M65" s="55">
        <f t="shared" ref="M65" si="61">ROUND(SUM(M60:M64),5)</f>
        <v>2260.4825000000001</v>
      </c>
      <c r="N65" s="55">
        <f t="shared" ref="N65" si="62">ROUND(SUM(N60:N64),5)</f>
        <v>2260.4825000000001</v>
      </c>
      <c r="O65" s="55">
        <f t="shared" ref="O65" si="63">ROUND(SUM(O60:O64),5)</f>
        <v>2260.4825000000001</v>
      </c>
      <c r="P65" s="55">
        <f t="shared" ref="P65" si="64">ROUND(SUM(P60:P64),5)</f>
        <v>2260.4825000000001</v>
      </c>
      <c r="Q65" s="55">
        <f t="shared" ref="Q65" si="65">ROUND(SUM(Q60:Q64),5)</f>
        <v>3400.9608800000001</v>
      </c>
      <c r="R65" s="55">
        <f t="shared" ref="R65" si="66">ROUND(SUM(R60:R64),5)</f>
        <v>2260.4825000000001</v>
      </c>
      <c r="S65" s="55">
        <f t="shared" ref="S65" si="67">ROUND(SUM(S60:S64),5)</f>
        <v>2260.4825000000001</v>
      </c>
      <c r="T65" s="55">
        <f t="shared" ref="T65:W65" si="68">ROUND(SUM(T60:T64),5)</f>
        <v>2260.4825000000001</v>
      </c>
      <c r="U65" s="55">
        <f t="shared" si="4"/>
        <v>29406.746759999995</v>
      </c>
      <c r="V65" s="68">
        <f t="shared" si="68"/>
        <v>12895.681500000001</v>
      </c>
      <c r="W65" s="96">
        <f t="shared" si="68"/>
        <v>16511.06523</v>
      </c>
    </row>
    <row r="66" spans="1:23" x14ac:dyDescent="0.2">
      <c r="A66" s="51"/>
      <c r="B66" s="51"/>
      <c r="C66" s="51"/>
      <c r="D66" s="51"/>
      <c r="E66" s="51"/>
      <c r="F66" s="51" t="s">
        <v>61</v>
      </c>
      <c r="G66" s="51"/>
      <c r="H66" s="51"/>
      <c r="I66" s="55">
        <v>69</v>
      </c>
      <c r="J66" s="55">
        <v>69</v>
      </c>
      <c r="K66" s="55">
        <v>69</v>
      </c>
      <c r="L66" s="55">
        <v>69</v>
      </c>
      <c r="M66" s="55">
        <v>69</v>
      </c>
      <c r="N66" s="55">
        <v>69</v>
      </c>
      <c r="O66" s="55">
        <v>69</v>
      </c>
      <c r="P66" s="55">
        <v>74</v>
      </c>
      <c r="Q66" s="55">
        <v>74</v>
      </c>
      <c r="R66" s="55">
        <v>74</v>
      </c>
      <c r="S66" s="55">
        <v>74</v>
      </c>
      <c r="T66" s="55">
        <v>74</v>
      </c>
      <c r="U66" s="55">
        <f t="shared" si="4"/>
        <v>853</v>
      </c>
      <c r="V66" s="68"/>
      <c r="W66" s="96">
        <f t="shared" si="9"/>
        <v>853</v>
      </c>
    </row>
    <row r="67" spans="1:23" x14ac:dyDescent="0.2">
      <c r="A67" s="51"/>
      <c r="B67" s="51"/>
      <c r="C67" s="51"/>
      <c r="D67" s="51"/>
      <c r="E67" s="51"/>
      <c r="F67" s="51" t="s">
        <v>62</v>
      </c>
      <c r="G67" s="51"/>
      <c r="H67" s="51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>
        <f t="shared" si="4"/>
        <v>0</v>
      </c>
      <c r="V67" s="68"/>
      <c r="W67" s="96">
        <f t="shared" si="9"/>
        <v>0</v>
      </c>
    </row>
    <row r="68" spans="1:23" x14ac:dyDescent="0.2">
      <c r="A68" s="51"/>
      <c r="B68" s="51"/>
      <c r="C68" s="51"/>
      <c r="D68" s="51"/>
      <c r="E68" s="51"/>
      <c r="F68" s="51"/>
      <c r="G68" s="51" t="s">
        <v>63</v>
      </c>
      <c r="H68" s="51"/>
      <c r="I68" s="55">
        <v>655</v>
      </c>
      <c r="J68" s="55">
        <v>655</v>
      </c>
      <c r="K68" s="55">
        <v>655</v>
      </c>
      <c r="L68" s="55">
        <v>655</v>
      </c>
      <c r="M68" s="55">
        <v>655</v>
      </c>
      <c r="N68" s="55">
        <v>655</v>
      </c>
      <c r="O68" s="55">
        <v>655</v>
      </c>
      <c r="P68" s="55">
        <v>655</v>
      </c>
      <c r="Q68" s="55">
        <v>655</v>
      </c>
      <c r="R68" s="55">
        <v>655</v>
      </c>
      <c r="S68" s="55">
        <v>655</v>
      </c>
      <c r="T68" s="55">
        <v>655</v>
      </c>
      <c r="U68" s="55">
        <f t="shared" si="4"/>
        <v>7860</v>
      </c>
      <c r="V68" s="68">
        <v>5072</v>
      </c>
      <c r="W68" s="96">
        <f t="shared" si="9"/>
        <v>2788</v>
      </c>
    </row>
    <row r="69" spans="1:23" x14ac:dyDescent="0.2">
      <c r="A69" s="51"/>
      <c r="B69" s="51"/>
      <c r="C69" s="51"/>
      <c r="D69" s="51"/>
      <c r="E69" s="51"/>
      <c r="F69" s="51"/>
      <c r="G69" s="51" t="s">
        <v>166</v>
      </c>
      <c r="H69" s="51"/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f t="shared" si="4"/>
        <v>0</v>
      </c>
      <c r="V69" s="68"/>
      <c r="W69" s="96">
        <f t="shared" si="9"/>
        <v>0</v>
      </c>
    </row>
    <row r="70" spans="1:23" x14ac:dyDescent="0.2">
      <c r="A70" s="51"/>
      <c r="B70" s="51"/>
      <c r="C70" s="51"/>
      <c r="D70" s="51"/>
      <c r="E70" s="51"/>
      <c r="F70" s="51"/>
      <c r="G70" s="51" t="s">
        <v>64</v>
      </c>
      <c r="H70" s="51"/>
      <c r="I70" s="55">
        <v>167</v>
      </c>
      <c r="J70" s="55">
        <v>167</v>
      </c>
      <c r="K70" s="55">
        <v>167</v>
      </c>
      <c r="L70" s="55">
        <v>167</v>
      </c>
      <c r="M70" s="55">
        <v>167</v>
      </c>
      <c r="N70" s="55">
        <v>167</v>
      </c>
      <c r="O70" s="55">
        <v>167</v>
      </c>
      <c r="P70" s="55">
        <v>167</v>
      </c>
      <c r="Q70" s="55">
        <v>167</v>
      </c>
      <c r="R70" s="55">
        <v>167</v>
      </c>
      <c r="S70" s="55">
        <v>167</v>
      </c>
      <c r="T70" s="55">
        <v>167</v>
      </c>
      <c r="U70" s="55">
        <f t="shared" si="4"/>
        <v>2004</v>
      </c>
      <c r="V70" s="68"/>
      <c r="W70" s="96">
        <f t="shared" si="9"/>
        <v>2004</v>
      </c>
    </row>
    <row r="71" spans="1:23" x14ac:dyDescent="0.2">
      <c r="A71" s="51"/>
      <c r="B71" s="51"/>
      <c r="C71" s="51"/>
      <c r="D71" s="51"/>
      <c r="E71" s="51"/>
      <c r="F71" s="51"/>
      <c r="G71" s="51" t="s">
        <v>65</v>
      </c>
      <c r="H71" s="51"/>
      <c r="I71" s="55">
        <v>167</v>
      </c>
      <c r="J71" s="55">
        <v>167</v>
      </c>
      <c r="K71" s="55">
        <v>167</v>
      </c>
      <c r="L71" s="55">
        <v>167</v>
      </c>
      <c r="M71" s="55">
        <v>167</v>
      </c>
      <c r="N71" s="55">
        <v>167</v>
      </c>
      <c r="O71" s="55">
        <v>167</v>
      </c>
      <c r="P71" s="55">
        <v>167</v>
      </c>
      <c r="Q71" s="55">
        <v>167</v>
      </c>
      <c r="R71" s="55">
        <v>167</v>
      </c>
      <c r="S71" s="55">
        <v>167</v>
      </c>
      <c r="T71" s="55">
        <v>167</v>
      </c>
      <c r="U71" s="55">
        <f t="shared" si="4"/>
        <v>2004</v>
      </c>
      <c r="V71" s="68"/>
      <c r="W71" s="96">
        <f t="shared" ref="W71:W133" si="69">U71-V71</f>
        <v>2004</v>
      </c>
    </row>
    <row r="72" spans="1:23" ht="12" thickBot="1" x14ac:dyDescent="0.25">
      <c r="A72" s="51"/>
      <c r="B72" s="51"/>
      <c r="C72" s="51"/>
      <c r="D72" s="51"/>
      <c r="E72" s="51"/>
      <c r="F72" s="51"/>
      <c r="G72" s="51" t="s">
        <v>66</v>
      </c>
      <c r="H72" s="51"/>
      <c r="I72" s="57">
        <v>2774</v>
      </c>
      <c r="J72" s="57">
        <v>1950</v>
      </c>
      <c r="K72" s="57">
        <v>1950</v>
      </c>
      <c r="L72" s="57">
        <v>1950</v>
      </c>
      <c r="M72" s="57">
        <v>1950</v>
      </c>
      <c r="N72" s="57">
        <v>1950</v>
      </c>
      <c r="O72" s="57">
        <v>1950</v>
      </c>
      <c r="P72" s="57">
        <v>1950</v>
      </c>
      <c r="Q72" s="57">
        <v>1950</v>
      </c>
      <c r="R72" s="57">
        <v>1950</v>
      </c>
      <c r="S72" s="57">
        <v>1950</v>
      </c>
      <c r="T72" s="57">
        <v>1950</v>
      </c>
      <c r="U72" s="57">
        <f t="shared" si="4"/>
        <v>24224</v>
      </c>
      <c r="V72" s="69">
        <v>24224</v>
      </c>
      <c r="W72" s="98">
        <f t="shared" si="69"/>
        <v>0</v>
      </c>
    </row>
    <row r="73" spans="1:23" x14ac:dyDescent="0.2">
      <c r="A73" s="51"/>
      <c r="B73" s="51"/>
      <c r="C73" s="51"/>
      <c r="D73" s="51"/>
      <c r="E73" s="51"/>
      <c r="F73" s="51" t="s">
        <v>67</v>
      </c>
      <c r="G73" s="51"/>
      <c r="H73" s="51"/>
      <c r="I73" s="55">
        <f>ROUND(SUM(I67:I72),5)</f>
        <v>3763</v>
      </c>
      <c r="J73" s="55">
        <f t="shared" ref="J73" si="70">ROUND(SUM(J67:J72),5)</f>
        <v>2939</v>
      </c>
      <c r="K73" s="55">
        <f t="shared" ref="K73" si="71">ROUND(SUM(K67:K72),5)</f>
        <v>2939</v>
      </c>
      <c r="L73" s="55">
        <f t="shared" ref="L73" si="72">ROUND(SUM(L67:L72),5)</f>
        <v>2939</v>
      </c>
      <c r="M73" s="55">
        <f t="shared" ref="M73" si="73">ROUND(SUM(M67:M72),5)</f>
        <v>2939</v>
      </c>
      <c r="N73" s="55">
        <f t="shared" ref="N73" si="74">ROUND(SUM(N67:N72),5)</f>
        <v>2939</v>
      </c>
      <c r="O73" s="55">
        <f t="shared" ref="O73" si="75">ROUND(SUM(O67:O72),5)</f>
        <v>2939</v>
      </c>
      <c r="P73" s="55">
        <f t="shared" ref="P73" si="76">ROUND(SUM(P67:P72),5)</f>
        <v>2939</v>
      </c>
      <c r="Q73" s="55">
        <f t="shared" ref="Q73" si="77">ROUND(SUM(Q67:Q72),5)</f>
        <v>2939</v>
      </c>
      <c r="R73" s="55">
        <f t="shared" ref="R73" si="78">ROUND(SUM(R67:R72),5)</f>
        <v>2939</v>
      </c>
      <c r="S73" s="55">
        <f t="shared" ref="S73" si="79">ROUND(SUM(S67:S72),5)</f>
        <v>2939</v>
      </c>
      <c r="T73" s="55">
        <f t="shared" ref="T73:W73" si="80">ROUND(SUM(T67:T72),5)</f>
        <v>2939</v>
      </c>
      <c r="U73" s="55">
        <f t="shared" ref="U73:U134" si="81">SUM(I73:T73)</f>
        <v>36092</v>
      </c>
      <c r="V73" s="68">
        <f t="shared" si="80"/>
        <v>29296</v>
      </c>
      <c r="W73" s="96">
        <f t="shared" si="80"/>
        <v>6796</v>
      </c>
    </row>
    <row r="74" spans="1:23" x14ac:dyDescent="0.2">
      <c r="A74" s="51"/>
      <c r="B74" s="51"/>
      <c r="C74" s="51"/>
      <c r="D74" s="51"/>
      <c r="E74" s="51"/>
      <c r="F74" s="51" t="s">
        <v>167</v>
      </c>
      <c r="G74" s="51"/>
      <c r="H74" s="51"/>
      <c r="I74" s="55">
        <v>1300</v>
      </c>
      <c r="J74" s="55">
        <v>200</v>
      </c>
      <c r="K74" s="55">
        <v>200</v>
      </c>
      <c r="L74" s="55">
        <v>200</v>
      </c>
      <c r="M74" s="55">
        <v>200</v>
      </c>
      <c r="N74" s="55">
        <v>200</v>
      </c>
      <c r="O74" s="55">
        <v>1500</v>
      </c>
      <c r="P74" s="55">
        <v>300</v>
      </c>
      <c r="Q74" s="55">
        <v>300</v>
      </c>
      <c r="R74" s="55">
        <v>300</v>
      </c>
      <c r="S74" s="55">
        <v>300</v>
      </c>
      <c r="T74" s="55">
        <v>300</v>
      </c>
      <c r="U74" s="55">
        <f t="shared" si="81"/>
        <v>5300</v>
      </c>
      <c r="V74" s="68"/>
      <c r="W74" s="96">
        <f t="shared" si="69"/>
        <v>5300</v>
      </c>
    </row>
    <row r="75" spans="1:23" x14ac:dyDescent="0.2">
      <c r="A75" s="51"/>
      <c r="B75" s="51"/>
      <c r="C75" s="51"/>
      <c r="D75" s="51"/>
      <c r="E75" s="51"/>
      <c r="F75" s="51" t="s">
        <v>68</v>
      </c>
      <c r="G75" s="51"/>
      <c r="H75" s="51"/>
      <c r="I75" s="55">
        <v>183.33333333333334</v>
      </c>
      <c r="J75" s="55">
        <v>183.33333333333334</v>
      </c>
      <c r="K75" s="55">
        <v>183.33333333333334</v>
      </c>
      <c r="L75" s="55">
        <v>183.33333333333334</v>
      </c>
      <c r="M75" s="55">
        <v>183.33333333333334</v>
      </c>
      <c r="N75" s="55">
        <v>183.33333333333334</v>
      </c>
      <c r="O75" s="55">
        <v>183.33333333333334</v>
      </c>
      <c r="P75" s="55">
        <v>183.33333333333334</v>
      </c>
      <c r="Q75" s="55">
        <v>183.33333333333334</v>
      </c>
      <c r="R75" s="55">
        <v>183.33333333333334</v>
      </c>
      <c r="S75" s="55">
        <v>183.33333333333334</v>
      </c>
      <c r="T75" s="55">
        <v>183.33333333333334</v>
      </c>
      <c r="U75" s="55">
        <f t="shared" si="81"/>
        <v>2199.9999999999995</v>
      </c>
      <c r="V75" s="68"/>
      <c r="W75" s="96">
        <f t="shared" si="69"/>
        <v>2199.9999999999995</v>
      </c>
    </row>
    <row r="76" spans="1:23" x14ac:dyDescent="0.2">
      <c r="A76" s="51"/>
      <c r="B76" s="51"/>
      <c r="C76" s="51"/>
      <c r="D76" s="51"/>
      <c r="E76" s="51"/>
      <c r="F76" s="51" t="s">
        <v>69</v>
      </c>
      <c r="G76" s="51"/>
      <c r="H76" s="51"/>
      <c r="I76" s="55">
        <v>83.333333333333329</v>
      </c>
      <c r="J76" s="55">
        <v>83.333333333333329</v>
      </c>
      <c r="K76" s="55">
        <v>83.333333333333329</v>
      </c>
      <c r="L76" s="55">
        <v>83.333333333333329</v>
      </c>
      <c r="M76" s="55">
        <v>83.333333333333329</v>
      </c>
      <c r="N76" s="55">
        <v>83.333333333333329</v>
      </c>
      <c r="O76" s="55">
        <v>83.333333333333329</v>
      </c>
      <c r="P76" s="55">
        <v>83.333333333333329</v>
      </c>
      <c r="Q76" s="55">
        <v>83.333333333333329</v>
      </c>
      <c r="R76" s="55">
        <v>83.333333333333329</v>
      </c>
      <c r="S76" s="55">
        <v>83.333333333333329</v>
      </c>
      <c r="T76" s="55">
        <v>83.333333333333329</v>
      </c>
      <c r="U76" s="55">
        <f t="shared" si="81"/>
        <v>1000.0000000000001</v>
      </c>
      <c r="V76" s="68"/>
      <c r="W76" s="96">
        <f t="shared" si="69"/>
        <v>1000.0000000000001</v>
      </c>
    </row>
    <row r="77" spans="1:23" x14ac:dyDescent="0.2">
      <c r="A77" s="51"/>
      <c r="B77" s="51"/>
      <c r="C77" s="51"/>
      <c r="D77" s="51"/>
      <c r="E77" s="51"/>
      <c r="F77" s="51" t="s">
        <v>70</v>
      </c>
      <c r="G77" s="51"/>
      <c r="H77" s="51"/>
      <c r="I77" s="55">
        <v>83.333333333333329</v>
      </c>
      <c r="J77" s="55">
        <v>83.333333333333329</v>
      </c>
      <c r="K77" s="55">
        <v>83.333333333333329</v>
      </c>
      <c r="L77" s="55">
        <v>83.333333333333329</v>
      </c>
      <c r="M77" s="55">
        <v>83.333333333333329</v>
      </c>
      <c r="N77" s="55">
        <v>83.333333333333329</v>
      </c>
      <c r="O77" s="55">
        <v>83.333333333333329</v>
      </c>
      <c r="P77" s="55">
        <v>83.333333333333329</v>
      </c>
      <c r="Q77" s="55">
        <v>83.333333333333329</v>
      </c>
      <c r="R77" s="55">
        <v>83.333333333333329</v>
      </c>
      <c r="S77" s="55">
        <v>83.333333333333329</v>
      </c>
      <c r="T77" s="55">
        <v>83.333333333333329</v>
      </c>
      <c r="U77" s="55">
        <f t="shared" si="81"/>
        <v>1000.0000000000001</v>
      </c>
      <c r="V77" s="68"/>
      <c r="W77" s="96">
        <f t="shared" si="69"/>
        <v>1000.0000000000001</v>
      </c>
    </row>
    <row r="78" spans="1:23" x14ac:dyDescent="0.2">
      <c r="A78" s="51"/>
      <c r="B78" s="51"/>
      <c r="C78" s="51"/>
      <c r="D78" s="51"/>
      <c r="E78" s="51"/>
      <c r="F78" s="51" t="s">
        <v>71</v>
      </c>
      <c r="G78" s="51"/>
      <c r="H78" s="51"/>
      <c r="I78" s="55">
        <v>350</v>
      </c>
      <c r="J78" s="55">
        <v>350</v>
      </c>
      <c r="K78" s="55">
        <v>350</v>
      </c>
      <c r="L78" s="55">
        <v>350</v>
      </c>
      <c r="M78" s="55">
        <v>350</v>
      </c>
      <c r="N78" s="55">
        <v>350</v>
      </c>
      <c r="O78" s="55">
        <v>350</v>
      </c>
      <c r="P78" s="55">
        <v>350</v>
      </c>
      <c r="Q78" s="55">
        <v>350</v>
      </c>
      <c r="R78" s="55">
        <v>350</v>
      </c>
      <c r="S78" s="55">
        <v>350</v>
      </c>
      <c r="T78" s="55">
        <v>350</v>
      </c>
      <c r="U78" s="55">
        <f t="shared" si="81"/>
        <v>4200</v>
      </c>
      <c r="V78" s="68"/>
      <c r="W78" s="96">
        <f t="shared" si="69"/>
        <v>4200</v>
      </c>
    </row>
    <row r="79" spans="1:23" x14ac:dyDescent="0.2">
      <c r="A79" s="51"/>
      <c r="B79" s="51"/>
      <c r="C79" s="51"/>
      <c r="D79" s="51"/>
      <c r="E79" s="51"/>
      <c r="F79" s="51" t="s">
        <v>72</v>
      </c>
      <c r="G79" s="51"/>
      <c r="H79" s="51"/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106">
        <v>0</v>
      </c>
      <c r="T79" s="55">
        <v>0</v>
      </c>
      <c r="U79" s="55">
        <f t="shared" si="81"/>
        <v>0</v>
      </c>
      <c r="V79" s="68"/>
      <c r="W79" s="96">
        <f t="shared" si="69"/>
        <v>0</v>
      </c>
    </row>
    <row r="80" spans="1:23" x14ac:dyDescent="0.2">
      <c r="A80" s="51"/>
      <c r="B80" s="51"/>
      <c r="C80" s="51"/>
      <c r="D80" s="51"/>
      <c r="E80" s="51"/>
      <c r="F80" s="51"/>
      <c r="G80" s="51" t="s">
        <v>73</v>
      </c>
      <c r="H80" s="51"/>
      <c r="I80" s="55">
        <v>54</v>
      </c>
      <c r="J80" s="55">
        <v>54</v>
      </c>
      <c r="K80" s="55">
        <v>54</v>
      </c>
      <c r="L80" s="55">
        <v>54</v>
      </c>
      <c r="M80" s="55">
        <v>54</v>
      </c>
      <c r="N80" s="55">
        <v>54</v>
      </c>
      <c r="O80" s="55">
        <v>54</v>
      </c>
      <c r="P80" s="55">
        <v>606</v>
      </c>
      <c r="Q80" s="55">
        <v>54</v>
      </c>
      <c r="R80" s="55">
        <v>54</v>
      </c>
      <c r="S80" s="55">
        <v>54</v>
      </c>
      <c r="T80" s="55">
        <v>54</v>
      </c>
      <c r="U80" s="55">
        <f t="shared" si="81"/>
        <v>1200</v>
      </c>
      <c r="V80" s="68"/>
      <c r="W80" s="96">
        <f t="shared" si="69"/>
        <v>1200</v>
      </c>
    </row>
    <row r="81" spans="1:23" ht="12" thickBot="1" x14ac:dyDescent="0.25">
      <c r="A81" s="51"/>
      <c r="B81" s="51"/>
      <c r="C81" s="51"/>
      <c r="D81" s="51"/>
      <c r="E81" s="51"/>
      <c r="F81" s="51"/>
      <c r="G81" s="51" t="s">
        <v>168</v>
      </c>
      <c r="H81" s="51"/>
      <c r="I81" s="57">
        <v>50</v>
      </c>
      <c r="J81" s="57">
        <v>0</v>
      </c>
      <c r="K81" s="57">
        <v>0</v>
      </c>
      <c r="L81" s="57">
        <v>50</v>
      </c>
      <c r="M81" s="57">
        <v>0</v>
      </c>
      <c r="N81" s="57">
        <v>100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200</v>
      </c>
      <c r="V81" s="69"/>
      <c r="W81" s="98">
        <f t="shared" si="69"/>
        <v>200</v>
      </c>
    </row>
    <row r="82" spans="1:23" x14ac:dyDescent="0.2">
      <c r="A82" s="51"/>
      <c r="B82" s="51"/>
      <c r="C82" s="51"/>
      <c r="D82" s="51"/>
      <c r="E82" s="51"/>
      <c r="F82" s="51" t="s">
        <v>75</v>
      </c>
      <c r="G82" s="51"/>
      <c r="H82" s="51"/>
      <c r="I82" s="55">
        <v>152.5</v>
      </c>
      <c r="J82" s="55">
        <v>152.5</v>
      </c>
      <c r="K82" s="55">
        <v>152.5</v>
      </c>
      <c r="L82" s="55">
        <v>152.5</v>
      </c>
      <c r="M82" s="55">
        <v>152.5</v>
      </c>
      <c r="N82" s="55">
        <v>152.5</v>
      </c>
      <c r="O82" s="55">
        <v>152.5</v>
      </c>
      <c r="P82" s="55">
        <v>152.5</v>
      </c>
      <c r="Q82" s="55">
        <v>152.5</v>
      </c>
      <c r="R82" s="55">
        <v>152.5</v>
      </c>
      <c r="S82" s="55">
        <v>152.5</v>
      </c>
      <c r="T82" s="55">
        <v>152.5</v>
      </c>
      <c r="U82" s="55">
        <f t="shared" si="81"/>
        <v>1830</v>
      </c>
      <c r="V82" s="68"/>
      <c r="W82" s="96">
        <f t="shared" si="69"/>
        <v>1830</v>
      </c>
    </row>
    <row r="83" spans="1:23" x14ac:dyDescent="0.2">
      <c r="A83" s="51"/>
      <c r="B83" s="51"/>
      <c r="C83" s="51"/>
      <c r="D83" s="51"/>
      <c r="E83" s="51"/>
      <c r="F83" s="51" t="s">
        <v>76</v>
      </c>
      <c r="G83" s="51"/>
      <c r="H83" s="51"/>
      <c r="I83" s="55">
        <v>83</v>
      </c>
      <c r="J83" s="55">
        <v>83</v>
      </c>
      <c r="K83" s="55">
        <v>84</v>
      </c>
      <c r="L83" s="55">
        <v>83</v>
      </c>
      <c r="M83" s="55">
        <v>83</v>
      </c>
      <c r="N83" s="55">
        <v>84</v>
      </c>
      <c r="O83" s="55">
        <v>83</v>
      </c>
      <c r="P83" s="55">
        <v>83</v>
      </c>
      <c r="Q83" s="55">
        <v>84</v>
      </c>
      <c r="R83" s="55">
        <v>83</v>
      </c>
      <c r="S83" s="55">
        <v>83</v>
      </c>
      <c r="T83" s="55">
        <v>84</v>
      </c>
      <c r="U83" s="55">
        <f t="shared" si="81"/>
        <v>1000</v>
      </c>
      <c r="V83" s="68"/>
      <c r="W83" s="96">
        <f t="shared" si="69"/>
        <v>1000</v>
      </c>
    </row>
    <row r="84" spans="1:23" x14ac:dyDescent="0.2">
      <c r="A84" s="51"/>
      <c r="B84" s="51"/>
      <c r="C84" s="51"/>
      <c r="D84" s="51"/>
      <c r="E84" s="51"/>
      <c r="F84" s="51" t="s">
        <v>77</v>
      </c>
      <c r="G84" s="51"/>
      <c r="H84" s="51"/>
      <c r="I84" s="55">
        <v>9</v>
      </c>
      <c r="J84" s="55">
        <v>9</v>
      </c>
      <c r="K84" s="55">
        <v>9</v>
      </c>
      <c r="L84" s="55">
        <v>9</v>
      </c>
      <c r="M84" s="55">
        <v>9</v>
      </c>
      <c r="N84" s="55">
        <v>9</v>
      </c>
      <c r="O84" s="55">
        <v>9</v>
      </c>
      <c r="P84" s="55">
        <v>9</v>
      </c>
      <c r="Q84" s="55">
        <v>9</v>
      </c>
      <c r="R84" s="55">
        <v>9</v>
      </c>
      <c r="S84" s="55">
        <v>9</v>
      </c>
      <c r="T84" s="55">
        <v>9</v>
      </c>
      <c r="U84" s="55">
        <f t="shared" si="81"/>
        <v>108</v>
      </c>
      <c r="V84" s="68"/>
      <c r="W84" s="96">
        <f t="shared" si="69"/>
        <v>108</v>
      </c>
    </row>
    <row r="85" spans="1:23" x14ac:dyDescent="0.2">
      <c r="A85" s="51"/>
      <c r="B85" s="51"/>
      <c r="C85" s="51"/>
      <c r="D85" s="51"/>
      <c r="E85" s="51"/>
      <c r="F85" s="51" t="s">
        <v>169</v>
      </c>
      <c r="G85" s="51"/>
      <c r="H85" s="51"/>
      <c r="I85" s="55">
        <v>25</v>
      </c>
      <c r="J85" s="55">
        <v>25</v>
      </c>
      <c r="K85" s="55">
        <v>25</v>
      </c>
      <c r="L85" s="55">
        <v>25</v>
      </c>
      <c r="M85" s="55">
        <v>25</v>
      </c>
      <c r="N85" s="55">
        <v>25</v>
      </c>
      <c r="O85" s="55">
        <v>25</v>
      </c>
      <c r="P85" s="55">
        <v>25</v>
      </c>
      <c r="Q85" s="55">
        <v>25</v>
      </c>
      <c r="R85" s="55">
        <v>25</v>
      </c>
      <c r="S85" s="55">
        <v>25</v>
      </c>
      <c r="T85" s="55">
        <v>25</v>
      </c>
      <c r="U85" s="55">
        <f t="shared" si="81"/>
        <v>300</v>
      </c>
      <c r="V85" s="68"/>
      <c r="W85" s="96">
        <f t="shared" si="69"/>
        <v>300</v>
      </c>
    </row>
    <row r="86" spans="1:23" x14ac:dyDescent="0.2">
      <c r="A86" s="51"/>
      <c r="B86" s="51"/>
      <c r="C86" s="51"/>
      <c r="D86" s="51"/>
      <c r="E86" s="51"/>
      <c r="F86" s="51" t="s">
        <v>78</v>
      </c>
      <c r="G86" s="51"/>
      <c r="H86" s="51"/>
      <c r="I86" s="55">
        <v>83</v>
      </c>
      <c r="J86" s="55">
        <v>83</v>
      </c>
      <c r="K86" s="55">
        <v>84</v>
      </c>
      <c r="L86" s="55">
        <v>83</v>
      </c>
      <c r="M86" s="55">
        <v>83</v>
      </c>
      <c r="N86" s="55">
        <v>84</v>
      </c>
      <c r="O86" s="55">
        <v>83</v>
      </c>
      <c r="P86" s="55">
        <v>83</v>
      </c>
      <c r="Q86" s="55">
        <v>84</v>
      </c>
      <c r="R86" s="55">
        <v>83</v>
      </c>
      <c r="S86" s="55">
        <v>83</v>
      </c>
      <c r="T86" s="55">
        <v>84</v>
      </c>
      <c r="U86" s="55">
        <f t="shared" si="81"/>
        <v>1000</v>
      </c>
      <c r="V86" s="68"/>
      <c r="W86" s="96">
        <f t="shared" si="69"/>
        <v>1000</v>
      </c>
    </row>
    <row r="87" spans="1:23" x14ac:dyDescent="0.2">
      <c r="A87" s="51"/>
      <c r="B87" s="51"/>
      <c r="C87" s="51"/>
      <c r="D87" s="51"/>
      <c r="E87" s="51"/>
      <c r="F87" s="51" t="s">
        <v>79</v>
      </c>
      <c r="G87" s="51"/>
      <c r="H87" s="51"/>
      <c r="I87" s="55">
        <v>67</v>
      </c>
      <c r="J87" s="55">
        <v>67</v>
      </c>
      <c r="K87" s="55">
        <v>67</v>
      </c>
      <c r="L87" s="55">
        <v>67</v>
      </c>
      <c r="M87" s="55">
        <v>67</v>
      </c>
      <c r="N87" s="55">
        <v>67</v>
      </c>
      <c r="O87" s="55">
        <v>67</v>
      </c>
      <c r="P87" s="55">
        <v>67</v>
      </c>
      <c r="Q87" s="55">
        <v>67</v>
      </c>
      <c r="R87" s="55">
        <v>67</v>
      </c>
      <c r="S87" s="55">
        <v>67</v>
      </c>
      <c r="T87" s="55">
        <v>67</v>
      </c>
      <c r="U87" s="55">
        <f t="shared" si="81"/>
        <v>804</v>
      </c>
      <c r="V87" s="68"/>
      <c r="W87" s="96">
        <f t="shared" si="69"/>
        <v>804</v>
      </c>
    </row>
    <row r="88" spans="1:23" x14ac:dyDescent="0.2">
      <c r="A88" s="51"/>
      <c r="B88" s="51"/>
      <c r="C88" s="51"/>
      <c r="D88" s="51"/>
      <c r="E88" s="51"/>
      <c r="F88" s="51" t="s">
        <v>80</v>
      </c>
      <c r="G88" s="51"/>
      <c r="H88" s="51"/>
      <c r="I88" s="55">
        <v>166.66666666666666</v>
      </c>
      <c r="J88" s="55">
        <v>166.66666666666666</v>
      </c>
      <c r="K88" s="55">
        <v>166.66666666666666</v>
      </c>
      <c r="L88" s="55">
        <v>166.66666666666666</v>
      </c>
      <c r="M88" s="55">
        <v>166.66666666666666</v>
      </c>
      <c r="N88" s="55">
        <v>166.66666666666666</v>
      </c>
      <c r="O88" s="55">
        <v>166.66666666666666</v>
      </c>
      <c r="P88" s="55">
        <v>166.66666666666666</v>
      </c>
      <c r="Q88" s="55">
        <v>166.66666666666666</v>
      </c>
      <c r="R88" s="55">
        <v>166.66666666666666</v>
      </c>
      <c r="S88" s="55">
        <v>166.66666666666666</v>
      </c>
      <c r="T88" s="55">
        <v>166.66666666666666</v>
      </c>
      <c r="U88" s="55">
        <f t="shared" si="81"/>
        <v>2000.0000000000002</v>
      </c>
      <c r="V88" s="68"/>
      <c r="W88" s="96">
        <f t="shared" si="69"/>
        <v>2000.0000000000002</v>
      </c>
    </row>
    <row r="89" spans="1:23" x14ac:dyDescent="0.2">
      <c r="A89" s="51"/>
      <c r="B89" s="51"/>
      <c r="C89" s="51"/>
      <c r="D89" s="51"/>
      <c r="E89" s="51"/>
      <c r="F89" s="51" t="s">
        <v>81</v>
      </c>
      <c r="G89" s="51"/>
      <c r="H89" s="51"/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f t="shared" si="81"/>
        <v>0</v>
      </c>
      <c r="V89" s="68"/>
      <c r="W89" s="96">
        <f t="shared" si="69"/>
        <v>0</v>
      </c>
    </row>
    <row r="90" spans="1:23" x14ac:dyDescent="0.2">
      <c r="A90" s="51"/>
      <c r="B90" s="51"/>
      <c r="C90" s="51"/>
      <c r="D90" s="51"/>
      <c r="E90" s="51"/>
      <c r="F90" s="51"/>
      <c r="G90" s="51" t="s">
        <v>165</v>
      </c>
      <c r="H90" s="51"/>
      <c r="I90" s="55">
        <v>133.33333333333334</v>
      </c>
      <c r="J90" s="55">
        <v>133.33333333333334</v>
      </c>
      <c r="K90" s="55">
        <v>133.33333333333334</v>
      </c>
      <c r="L90" s="55">
        <v>133.33333333333334</v>
      </c>
      <c r="M90" s="55">
        <v>133.33333333333334</v>
      </c>
      <c r="N90" s="55">
        <v>133.33333333333334</v>
      </c>
      <c r="O90" s="55">
        <v>133.33333333333334</v>
      </c>
      <c r="P90" s="55">
        <v>133.33333333333334</v>
      </c>
      <c r="Q90" s="55">
        <v>133.33333333333334</v>
      </c>
      <c r="R90" s="55">
        <v>133.33333333333334</v>
      </c>
      <c r="S90" s="55">
        <v>133.33333333333334</v>
      </c>
      <c r="T90" s="55">
        <v>133.33333333333334</v>
      </c>
      <c r="U90" s="55">
        <f t="shared" si="81"/>
        <v>1599.9999999999998</v>
      </c>
      <c r="V90" s="68"/>
      <c r="W90" s="96">
        <f t="shared" si="69"/>
        <v>1599.9999999999998</v>
      </c>
    </row>
    <row r="91" spans="1:23" x14ac:dyDescent="0.2">
      <c r="A91" s="51"/>
      <c r="B91" s="51"/>
      <c r="C91" s="51"/>
      <c r="D91" s="51"/>
      <c r="E91" s="51"/>
      <c r="F91" s="51"/>
      <c r="G91" s="51" t="s">
        <v>83</v>
      </c>
      <c r="H91" s="51"/>
      <c r="I91" s="55">
        <v>266.66666666666669</v>
      </c>
      <c r="J91" s="55">
        <v>266.66666666666669</v>
      </c>
      <c r="K91" s="55">
        <v>266.66666666666669</v>
      </c>
      <c r="L91" s="55">
        <v>266.66666666666669</v>
      </c>
      <c r="M91" s="55">
        <v>266.66666666666669</v>
      </c>
      <c r="N91" s="55">
        <v>266.66666666666669</v>
      </c>
      <c r="O91" s="55">
        <v>266.66666666666669</v>
      </c>
      <c r="P91" s="55">
        <v>266.66666666666669</v>
      </c>
      <c r="Q91" s="55">
        <v>266.66666666666669</v>
      </c>
      <c r="R91" s="55">
        <v>266.66666666666669</v>
      </c>
      <c r="S91" s="55">
        <v>266.66666666666669</v>
      </c>
      <c r="T91" s="55">
        <v>266.66666666666669</v>
      </c>
      <c r="U91" s="55">
        <f t="shared" si="81"/>
        <v>3199.9999999999995</v>
      </c>
      <c r="V91" s="68"/>
      <c r="W91" s="96">
        <f t="shared" si="69"/>
        <v>3199.9999999999995</v>
      </c>
    </row>
    <row r="92" spans="1:23" x14ac:dyDescent="0.2">
      <c r="A92" s="51"/>
      <c r="B92" s="51"/>
      <c r="C92" s="51"/>
      <c r="D92" s="51"/>
      <c r="E92" s="51"/>
      <c r="F92" s="51"/>
      <c r="G92" s="51" t="s">
        <v>84</v>
      </c>
      <c r="H92" s="51"/>
      <c r="I92" s="55">
        <v>100</v>
      </c>
      <c r="J92" s="55">
        <v>50</v>
      </c>
      <c r="K92" s="55">
        <v>100</v>
      </c>
      <c r="L92" s="55">
        <v>75</v>
      </c>
      <c r="M92" s="55">
        <v>92</v>
      </c>
      <c r="N92" s="55">
        <v>50</v>
      </c>
      <c r="O92" s="55">
        <v>50</v>
      </c>
      <c r="P92" s="55">
        <v>100</v>
      </c>
      <c r="Q92" s="55">
        <v>100</v>
      </c>
      <c r="R92" s="55">
        <v>100</v>
      </c>
      <c r="S92" s="55">
        <v>83</v>
      </c>
      <c r="T92" s="55">
        <v>100</v>
      </c>
      <c r="U92" s="55">
        <f t="shared" si="81"/>
        <v>1000</v>
      </c>
      <c r="V92" s="68"/>
      <c r="W92" s="96">
        <f t="shared" si="69"/>
        <v>1000</v>
      </c>
    </row>
    <row r="93" spans="1:23" x14ac:dyDescent="0.2">
      <c r="A93" s="51"/>
      <c r="B93" s="51"/>
      <c r="C93" s="51"/>
      <c r="D93" s="51"/>
      <c r="E93" s="51"/>
      <c r="F93" s="51"/>
      <c r="G93" s="51" t="s">
        <v>85</v>
      </c>
      <c r="H93" s="51"/>
      <c r="I93" s="55">
        <v>250</v>
      </c>
      <c r="J93" s="55">
        <v>45</v>
      </c>
      <c r="K93" s="55">
        <v>45</v>
      </c>
      <c r="L93" s="55">
        <v>45</v>
      </c>
      <c r="M93" s="55">
        <v>45</v>
      </c>
      <c r="N93" s="55">
        <v>250</v>
      </c>
      <c r="O93" s="55">
        <v>45</v>
      </c>
      <c r="P93" s="55">
        <v>45</v>
      </c>
      <c r="Q93" s="55">
        <v>45</v>
      </c>
      <c r="R93" s="55">
        <v>45</v>
      </c>
      <c r="S93" s="55">
        <v>45</v>
      </c>
      <c r="T93" s="55">
        <v>45</v>
      </c>
      <c r="U93" s="55">
        <f t="shared" si="81"/>
        <v>950</v>
      </c>
      <c r="V93" s="68"/>
      <c r="W93" s="96">
        <f t="shared" si="69"/>
        <v>950</v>
      </c>
    </row>
    <row r="94" spans="1:23" x14ac:dyDescent="0.2">
      <c r="A94" s="51"/>
      <c r="B94" s="51"/>
      <c r="C94" s="51"/>
      <c r="D94" s="51"/>
      <c r="E94" s="51"/>
      <c r="F94" s="51"/>
      <c r="G94" s="51" t="s">
        <v>86</v>
      </c>
      <c r="H94" s="51"/>
      <c r="I94" s="55">
        <v>42</v>
      </c>
      <c r="J94" s="55">
        <v>42</v>
      </c>
      <c r="K94" s="55">
        <v>42</v>
      </c>
      <c r="L94" s="55">
        <v>42</v>
      </c>
      <c r="M94" s="55">
        <v>42</v>
      </c>
      <c r="N94" s="55">
        <v>42</v>
      </c>
      <c r="O94" s="55">
        <v>42</v>
      </c>
      <c r="P94" s="55">
        <v>42</v>
      </c>
      <c r="Q94" s="55">
        <v>42</v>
      </c>
      <c r="R94" s="55">
        <v>42</v>
      </c>
      <c r="S94" s="55">
        <v>42</v>
      </c>
      <c r="T94" s="55">
        <v>42</v>
      </c>
      <c r="U94" s="55">
        <f t="shared" si="81"/>
        <v>504</v>
      </c>
      <c r="V94" s="68"/>
      <c r="W94" s="96">
        <f t="shared" si="69"/>
        <v>504</v>
      </c>
    </row>
    <row r="95" spans="1:23" ht="12" thickBot="1" x14ac:dyDescent="0.25">
      <c r="A95" s="51"/>
      <c r="B95" s="51"/>
      <c r="C95" s="51"/>
      <c r="D95" s="51"/>
      <c r="E95" s="51"/>
      <c r="F95" s="51"/>
      <c r="G95" s="51" t="s">
        <v>87</v>
      </c>
      <c r="H95" s="51"/>
      <c r="I95" s="57">
        <v>30</v>
      </c>
      <c r="J95" s="57">
        <v>29</v>
      </c>
      <c r="K95" s="57">
        <v>29</v>
      </c>
      <c r="L95" s="57">
        <v>29</v>
      </c>
      <c r="M95" s="57">
        <v>29</v>
      </c>
      <c r="N95" s="57">
        <v>29</v>
      </c>
      <c r="O95" s="57">
        <v>29</v>
      </c>
      <c r="P95" s="57">
        <v>29</v>
      </c>
      <c r="Q95" s="57">
        <v>29</v>
      </c>
      <c r="R95" s="57">
        <v>29</v>
      </c>
      <c r="S95" s="57">
        <v>29</v>
      </c>
      <c r="T95" s="57">
        <v>30</v>
      </c>
      <c r="U95" s="57">
        <f t="shared" si="81"/>
        <v>350</v>
      </c>
      <c r="V95" s="69"/>
      <c r="W95" s="98">
        <f t="shared" si="69"/>
        <v>350</v>
      </c>
    </row>
    <row r="96" spans="1:23" x14ac:dyDescent="0.2">
      <c r="A96" s="51"/>
      <c r="B96" s="51"/>
      <c r="C96" s="51"/>
      <c r="D96" s="51"/>
      <c r="E96" s="51"/>
      <c r="F96" s="51" t="s">
        <v>88</v>
      </c>
      <c r="G96" s="51"/>
      <c r="H96" s="51"/>
      <c r="I96" s="55">
        <f>ROUND(SUM(I89:I95),5)</f>
        <v>822</v>
      </c>
      <c r="J96" s="55">
        <f t="shared" ref="J96" si="82">ROUND(SUM(J89:J95),5)</f>
        <v>566</v>
      </c>
      <c r="K96" s="55">
        <f t="shared" ref="K96" si="83">ROUND(SUM(K89:K95),5)</f>
        <v>616</v>
      </c>
      <c r="L96" s="55">
        <f t="shared" ref="L96" si="84">ROUND(SUM(L89:L95),5)</f>
        <v>591</v>
      </c>
      <c r="M96" s="55">
        <f t="shared" ref="M96" si="85">ROUND(SUM(M89:M95),5)</f>
        <v>608</v>
      </c>
      <c r="N96" s="55">
        <f t="shared" ref="N96" si="86">ROUND(SUM(N89:N95),5)</f>
        <v>771</v>
      </c>
      <c r="O96" s="55">
        <f t="shared" ref="O96" si="87">ROUND(SUM(O89:O95),5)</f>
        <v>566</v>
      </c>
      <c r="P96" s="55">
        <f t="shared" ref="P96" si="88">ROUND(SUM(P89:P95),5)</f>
        <v>616</v>
      </c>
      <c r="Q96" s="55">
        <f t="shared" ref="Q96" si="89">ROUND(SUM(Q89:Q95),5)</f>
        <v>616</v>
      </c>
      <c r="R96" s="55">
        <f t="shared" ref="R96" si="90">ROUND(SUM(R89:R95),5)</f>
        <v>616</v>
      </c>
      <c r="S96" s="55">
        <f t="shared" ref="S96" si="91">ROUND(SUM(S89:S95),5)</f>
        <v>599</v>
      </c>
      <c r="T96" s="55">
        <f t="shared" ref="T96:W96" si="92">ROUND(SUM(T89:T95),5)</f>
        <v>617</v>
      </c>
      <c r="U96" s="55">
        <f t="shared" si="81"/>
        <v>7604</v>
      </c>
      <c r="V96" s="68">
        <f t="shared" si="92"/>
        <v>0</v>
      </c>
      <c r="W96" s="96">
        <f t="shared" si="92"/>
        <v>7604</v>
      </c>
    </row>
    <row r="97" spans="1:23" x14ac:dyDescent="0.2">
      <c r="A97" s="51"/>
      <c r="B97" s="51"/>
      <c r="C97" s="51"/>
      <c r="D97" s="51"/>
      <c r="E97" s="51"/>
      <c r="F97" s="51" t="s">
        <v>89</v>
      </c>
      <c r="G97" s="51"/>
      <c r="H97" s="51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>
        <f t="shared" si="81"/>
        <v>0</v>
      </c>
      <c r="V97" s="68"/>
      <c r="W97" s="96">
        <f t="shared" si="69"/>
        <v>0</v>
      </c>
    </row>
    <row r="98" spans="1:23" x14ac:dyDescent="0.2">
      <c r="A98" s="51"/>
      <c r="B98" s="51"/>
      <c r="C98" s="51"/>
      <c r="D98" s="51"/>
      <c r="E98" s="51"/>
      <c r="F98" s="51"/>
      <c r="G98" s="51" t="s">
        <v>90</v>
      </c>
      <c r="H98" s="51"/>
      <c r="I98" s="55">
        <v>20</v>
      </c>
      <c r="J98" s="55">
        <v>20</v>
      </c>
      <c r="K98" s="55">
        <v>20</v>
      </c>
      <c r="L98" s="55">
        <v>20</v>
      </c>
      <c r="M98" s="55">
        <v>20</v>
      </c>
      <c r="N98" s="55">
        <v>20</v>
      </c>
      <c r="O98" s="55">
        <v>20</v>
      </c>
      <c r="P98" s="55">
        <v>20</v>
      </c>
      <c r="Q98" s="55">
        <v>20</v>
      </c>
      <c r="R98" s="55">
        <v>20</v>
      </c>
      <c r="S98" s="55">
        <v>20</v>
      </c>
      <c r="T98" s="55">
        <v>20</v>
      </c>
      <c r="U98" s="55">
        <f t="shared" si="81"/>
        <v>240</v>
      </c>
      <c r="V98" s="68"/>
      <c r="W98" s="96">
        <f t="shared" si="69"/>
        <v>240</v>
      </c>
    </row>
    <row r="99" spans="1:23" x14ac:dyDescent="0.2">
      <c r="A99" s="51"/>
      <c r="B99" s="51"/>
      <c r="C99" s="51"/>
      <c r="D99" s="51"/>
      <c r="E99" s="51"/>
      <c r="F99" s="51"/>
      <c r="G99" s="51" t="s">
        <v>91</v>
      </c>
      <c r="H99" s="51"/>
      <c r="I99" s="56">
        <v>50</v>
      </c>
      <c r="J99" s="56">
        <v>50</v>
      </c>
      <c r="K99" s="56">
        <v>50</v>
      </c>
      <c r="L99" s="56">
        <v>50</v>
      </c>
      <c r="M99" s="56">
        <v>50</v>
      </c>
      <c r="N99" s="56">
        <v>50</v>
      </c>
      <c r="O99" s="56">
        <v>50</v>
      </c>
      <c r="P99" s="56">
        <v>50</v>
      </c>
      <c r="Q99" s="56">
        <v>50</v>
      </c>
      <c r="R99" s="56">
        <v>50</v>
      </c>
      <c r="S99" s="56">
        <v>50</v>
      </c>
      <c r="T99" s="56">
        <v>50</v>
      </c>
      <c r="U99" s="56">
        <f t="shared" si="81"/>
        <v>600</v>
      </c>
      <c r="V99" s="68"/>
      <c r="W99" s="97">
        <f t="shared" si="69"/>
        <v>600</v>
      </c>
    </row>
    <row r="100" spans="1:23" x14ac:dyDescent="0.2">
      <c r="A100" s="51"/>
      <c r="B100" s="51"/>
      <c r="C100" s="51"/>
      <c r="D100" s="51"/>
      <c r="E100" s="51"/>
      <c r="F100" s="51"/>
      <c r="G100" s="51" t="s">
        <v>170</v>
      </c>
      <c r="H100" s="51"/>
      <c r="I100" s="56">
        <v>80</v>
      </c>
      <c r="J100" s="56">
        <v>80</v>
      </c>
      <c r="K100" s="56">
        <v>80</v>
      </c>
      <c r="L100" s="56">
        <v>80</v>
      </c>
      <c r="M100" s="56">
        <v>80</v>
      </c>
      <c r="N100" s="56">
        <v>80</v>
      </c>
      <c r="O100" s="56">
        <v>80</v>
      </c>
      <c r="P100" s="56">
        <v>80</v>
      </c>
      <c r="Q100" s="56">
        <v>80</v>
      </c>
      <c r="R100" s="56">
        <v>80</v>
      </c>
      <c r="S100" s="56">
        <v>80</v>
      </c>
      <c r="T100" s="56">
        <v>80</v>
      </c>
      <c r="U100" s="56">
        <f t="shared" si="81"/>
        <v>960</v>
      </c>
      <c r="V100" s="68"/>
      <c r="W100" s="97">
        <f t="shared" si="69"/>
        <v>960</v>
      </c>
    </row>
    <row r="101" spans="1:23" x14ac:dyDescent="0.2">
      <c r="A101" s="51"/>
      <c r="B101" s="51"/>
      <c r="C101" s="51"/>
      <c r="D101" s="51"/>
      <c r="E101" s="51"/>
      <c r="F101" s="51" t="s">
        <v>92</v>
      </c>
      <c r="G101" s="51"/>
      <c r="H101" s="51"/>
      <c r="I101" s="55">
        <f>ROUND(SUM(I97:I100),5)</f>
        <v>150</v>
      </c>
      <c r="J101" s="55">
        <f t="shared" ref="J101:W101" si="93">ROUND(SUM(J97:J100),5)</f>
        <v>150</v>
      </c>
      <c r="K101" s="55">
        <f t="shared" si="93"/>
        <v>150</v>
      </c>
      <c r="L101" s="55">
        <f t="shared" si="93"/>
        <v>150</v>
      </c>
      <c r="M101" s="55">
        <f t="shared" si="93"/>
        <v>150</v>
      </c>
      <c r="N101" s="55">
        <f t="shared" si="93"/>
        <v>150</v>
      </c>
      <c r="O101" s="55">
        <f t="shared" si="93"/>
        <v>150</v>
      </c>
      <c r="P101" s="55">
        <f t="shared" si="93"/>
        <v>150</v>
      </c>
      <c r="Q101" s="55">
        <f t="shared" si="93"/>
        <v>150</v>
      </c>
      <c r="R101" s="55">
        <f t="shared" si="93"/>
        <v>150</v>
      </c>
      <c r="S101" s="55">
        <f t="shared" si="93"/>
        <v>150</v>
      </c>
      <c r="T101" s="55">
        <f t="shared" si="93"/>
        <v>150</v>
      </c>
      <c r="U101" s="55">
        <f t="shared" si="81"/>
        <v>1800</v>
      </c>
      <c r="V101" s="68">
        <f t="shared" si="93"/>
        <v>0</v>
      </c>
      <c r="W101" s="96">
        <f t="shared" si="93"/>
        <v>1800</v>
      </c>
    </row>
    <row r="102" spans="1:23" x14ac:dyDescent="0.2">
      <c r="A102" s="51"/>
      <c r="B102" s="51"/>
      <c r="C102" s="51"/>
      <c r="D102" s="51"/>
      <c r="E102" s="51"/>
      <c r="F102" s="51" t="s">
        <v>93</v>
      </c>
      <c r="G102" s="51"/>
      <c r="H102" s="51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>
        <f t="shared" si="81"/>
        <v>0</v>
      </c>
      <c r="V102" s="68"/>
      <c r="W102" s="96">
        <f t="shared" si="69"/>
        <v>0</v>
      </c>
    </row>
    <row r="103" spans="1:23" x14ac:dyDescent="0.2">
      <c r="A103" s="51"/>
      <c r="B103" s="51"/>
      <c r="C103" s="51"/>
      <c r="D103" s="51"/>
      <c r="E103" s="51"/>
      <c r="F103" s="51"/>
      <c r="G103" s="51" t="s">
        <v>94</v>
      </c>
      <c r="H103" s="51"/>
      <c r="I103" s="55">
        <v>200</v>
      </c>
      <c r="J103" s="55">
        <v>225</v>
      </c>
      <c r="K103" s="55">
        <v>275</v>
      </c>
      <c r="L103" s="55">
        <v>250</v>
      </c>
      <c r="M103" s="55">
        <v>250</v>
      </c>
      <c r="N103" s="55">
        <v>250</v>
      </c>
      <c r="O103" s="55">
        <v>300</v>
      </c>
      <c r="P103" s="55">
        <v>250</v>
      </c>
      <c r="Q103" s="55">
        <v>250</v>
      </c>
      <c r="R103" s="55">
        <v>250</v>
      </c>
      <c r="S103" s="55">
        <v>275</v>
      </c>
      <c r="T103" s="55">
        <v>225</v>
      </c>
      <c r="U103" s="55">
        <f t="shared" si="81"/>
        <v>3000</v>
      </c>
      <c r="V103" s="68"/>
      <c r="W103" s="96">
        <f t="shared" si="69"/>
        <v>3000</v>
      </c>
    </row>
    <row r="104" spans="1:23" x14ac:dyDescent="0.2">
      <c r="A104" s="51"/>
      <c r="B104" s="51"/>
      <c r="C104" s="51"/>
      <c r="D104" s="51"/>
      <c r="E104" s="51"/>
      <c r="F104" s="51"/>
      <c r="G104" s="51" t="s">
        <v>95</v>
      </c>
      <c r="H104" s="51"/>
      <c r="I104" s="55">
        <v>0</v>
      </c>
      <c r="J104" s="55">
        <v>0</v>
      </c>
      <c r="K104" s="55">
        <v>375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f t="shared" si="81"/>
        <v>375</v>
      </c>
      <c r="V104" s="68"/>
      <c r="W104" s="96">
        <f t="shared" si="69"/>
        <v>375</v>
      </c>
    </row>
    <row r="105" spans="1:23" x14ac:dyDescent="0.2">
      <c r="A105" s="51"/>
      <c r="B105" s="51"/>
      <c r="C105" s="51"/>
      <c r="D105" s="51"/>
      <c r="E105" s="51"/>
      <c r="F105" s="51"/>
      <c r="G105" s="51" t="s">
        <v>96</v>
      </c>
      <c r="H105" s="51"/>
      <c r="I105" s="55">
        <v>250</v>
      </c>
      <c r="J105" s="55">
        <v>250</v>
      </c>
      <c r="K105" s="55">
        <v>250</v>
      </c>
      <c r="L105" s="55">
        <v>250</v>
      </c>
      <c r="M105" s="55">
        <v>250</v>
      </c>
      <c r="N105" s="55">
        <v>250</v>
      </c>
      <c r="O105" s="55">
        <v>250</v>
      </c>
      <c r="P105" s="55">
        <v>250</v>
      </c>
      <c r="Q105" s="55">
        <v>250</v>
      </c>
      <c r="R105" s="55">
        <v>250</v>
      </c>
      <c r="S105" s="55">
        <v>250</v>
      </c>
      <c r="T105" s="55">
        <v>250</v>
      </c>
      <c r="U105" s="55">
        <f t="shared" si="81"/>
        <v>3000</v>
      </c>
      <c r="V105" s="68"/>
      <c r="W105" s="96">
        <f t="shared" si="69"/>
        <v>3000</v>
      </c>
    </row>
    <row r="106" spans="1:23" x14ac:dyDescent="0.2">
      <c r="A106" s="51"/>
      <c r="B106" s="51"/>
      <c r="C106" s="51"/>
      <c r="D106" s="51"/>
      <c r="E106" s="51"/>
      <c r="F106" s="51"/>
      <c r="G106" s="51" t="s">
        <v>97</v>
      </c>
      <c r="H106" s="51"/>
      <c r="I106" s="55">
        <v>84</v>
      </c>
      <c r="J106" s="55">
        <v>0</v>
      </c>
      <c r="K106" s="55"/>
      <c r="L106" s="55"/>
      <c r="M106" s="55">
        <v>84</v>
      </c>
      <c r="N106" s="55"/>
      <c r="O106" s="55"/>
      <c r="P106" s="55"/>
      <c r="Q106" s="55">
        <v>84</v>
      </c>
      <c r="R106" s="55"/>
      <c r="S106" s="55"/>
      <c r="T106" s="55"/>
      <c r="U106" s="55">
        <f t="shared" si="81"/>
        <v>252</v>
      </c>
      <c r="V106" s="68"/>
      <c r="W106" s="96">
        <f t="shared" si="69"/>
        <v>252</v>
      </c>
    </row>
    <row r="107" spans="1:23" x14ac:dyDescent="0.2">
      <c r="A107" s="51"/>
      <c r="B107" s="51"/>
      <c r="C107" s="51"/>
      <c r="D107" s="51"/>
      <c r="E107" s="51"/>
      <c r="F107" s="51"/>
      <c r="G107" s="51" t="s">
        <v>98</v>
      </c>
      <c r="H107" s="51"/>
      <c r="I107" s="55">
        <v>25</v>
      </c>
      <c r="J107" s="55">
        <v>25</v>
      </c>
      <c r="K107" s="55">
        <v>25</v>
      </c>
      <c r="L107" s="55">
        <v>25</v>
      </c>
      <c r="M107" s="55">
        <v>25</v>
      </c>
      <c r="N107" s="55">
        <v>25</v>
      </c>
      <c r="O107" s="55">
        <v>25</v>
      </c>
      <c r="P107" s="55">
        <v>25</v>
      </c>
      <c r="Q107" s="55">
        <v>25</v>
      </c>
      <c r="R107" s="55">
        <v>25</v>
      </c>
      <c r="S107" s="55">
        <v>25</v>
      </c>
      <c r="T107" s="55">
        <v>25</v>
      </c>
      <c r="U107" s="55">
        <f t="shared" si="81"/>
        <v>300</v>
      </c>
      <c r="V107" s="68"/>
      <c r="W107" s="96">
        <f t="shared" si="69"/>
        <v>300</v>
      </c>
    </row>
    <row r="108" spans="1:23" ht="12" thickBot="1" x14ac:dyDescent="0.25">
      <c r="A108" s="51"/>
      <c r="B108" s="51"/>
      <c r="C108" s="51"/>
      <c r="D108" s="51"/>
      <c r="E108" s="51"/>
      <c r="F108" s="51"/>
      <c r="G108" s="51" t="s">
        <v>99</v>
      </c>
      <c r="H108" s="51"/>
      <c r="I108" s="56">
        <v>16</v>
      </c>
      <c r="J108" s="56">
        <v>16</v>
      </c>
      <c r="K108" s="56">
        <v>16</v>
      </c>
      <c r="L108" s="56">
        <v>16</v>
      </c>
      <c r="M108" s="56">
        <v>16</v>
      </c>
      <c r="N108" s="56">
        <v>16</v>
      </c>
      <c r="O108" s="56">
        <v>16</v>
      </c>
      <c r="P108" s="56">
        <v>16</v>
      </c>
      <c r="Q108" s="56">
        <v>16</v>
      </c>
      <c r="R108" s="56">
        <v>16</v>
      </c>
      <c r="S108" s="56">
        <v>16</v>
      </c>
      <c r="T108" s="56">
        <v>16</v>
      </c>
      <c r="U108" s="56">
        <f t="shared" si="81"/>
        <v>192</v>
      </c>
      <c r="V108" s="68"/>
      <c r="W108" s="97">
        <f t="shared" si="69"/>
        <v>192</v>
      </c>
    </row>
    <row r="109" spans="1:23" ht="12" thickBot="1" x14ac:dyDescent="0.25">
      <c r="A109" s="51"/>
      <c r="B109" s="51"/>
      <c r="C109" s="51"/>
      <c r="D109" s="51"/>
      <c r="E109" s="51"/>
      <c r="F109" s="51" t="s">
        <v>100</v>
      </c>
      <c r="G109" s="51"/>
      <c r="H109" s="51"/>
      <c r="I109" s="58">
        <f>ROUND(SUM(I102:I108),5)</f>
        <v>575</v>
      </c>
      <c r="J109" s="58">
        <f t="shared" ref="J109" si="94">ROUND(SUM(J102:J108),5)</f>
        <v>516</v>
      </c>
      <c r="K109" s="58">
        <f t="shared" ref="K109" si="95">ROUND(SUM(K102:K108),5)</f>
        <v>941</v>
      </c>
      <c r="L109" s="58">
        <f t="shared" ref="L109" si="96">ROUND(SUM(L102:L108),5)</f>
        <v>541</v>
      </c>
      <c r="M109" s="58">
        <f t="shared" ref="M109" si="97">ROUND(SUM(M102:M108),5)</f>
        <v>625</v>
      </c>
      <c r="N109" s="58">
        <f t="shared" ref="N109" si="98">ROUND(SUM(N102:N108),5)</f>
        <v>541</v>
      </c>
      <c r="O109" s="58">
        <f t="shared" ref="O109" si="99">ROUND(SUM(O102:O108),5)</f>
        <v>591</v>
      </c>
      <c r="P109" s="58">
        <f t="shared" ref="P109" si="100">ROUND(SUM(P102:P108),5)</f>
        <v>541</v>
      </c>
      <c r="Q109" s="58">
        <f t="shared" ref="Q109" si="101">ROUND(SUM(Q102:Q108),5)</f>
        <v>625</v>
      </c>
      <c r="R109" s="58">
        <f t="shared" ref="R109" si="102">ROUND(SUM(R102:R108),5)</f>
        <v>541</v>
      </c>
      <c r="S109" s="58">
        <f t="shared" ref="S109" si="103">ROUND(SUM(S102:S108),5)</f>
        <v>566</v>
      </c>
      <c r="T109" s="58">
        <f t="shared" ref="T109:W109" si="104">ROUND(SUM(T102:T108),5)</f>
        <v>516</v>
      </c>
      <c r="U109" s="58">
        <f t="shared" si="81"/>
        <v>7119</v>
      </c>
      <c r="V109" s="70">
        <f t="shared" si="104"/>
        <v>0</v>
      </c>
      <c r="W109" s="99">
        <f t="shared" si="104"/>
        <v>7119</v>
      </c>
    </row>
    <row r="110" spans="1:23" x14ac:dyDescent="0.2">
      <c r="A110" s="51"/>
      <c r="B110" s="51"/>
      <c r="C110" s="51"/>
      <c r="D110" s="51"/>
      <c r="E110" s="51" t="s">
        <v>101</v>
      </c>
      <c r="F110" s="51"/>
      <c r="G110" s="51"/>
      <c r="H110" s="51"/>
      <c r="I110" s="55">
        <f>ROUND(SUM(I57:I58)+SUM(I65:I66)+SUM(I73:I78)+SUM(I82:I88)+I96+I101+I109+I56,5)</f>
        <v>31919.339169999999</v>
      </c>
      <c r="J110" s="55">
        <f t="shared" ref="J110:T110" si="105">ROUND(SUM(J57:J58)+SUM(J65:J66)+SUM(J73:J78)+SUM(J82:J88)+J96+J101+J109,5)</f>
        <v>29680.339169999999</v>
      </c>
      <c r="K110" s="55">
        <f t="shared" si="105"/>
        <v>42242.907550000004</v>
      </c>
      <c r="L110" s="55">
        <f t="shared" si="105"/>
        <v>29730.339169999999</v>
      </c>
      <c r="M110" s="55">
        <f t="shared" si="105"/>
        <v>29831.339169999999</v>
      </c>
      <c r="N110" s="55">
        <f t="shared" si="105"/>
        <v>29912.339169999999</v>
      </c>
      <c r="O110" s="55">
        <f t="shared" si="105"/>
        <v>31055.339169999999</v>
      </c>
      <c r="P110" s="55">
        <f t="shared" si="105"/>
        <v>29860.339169999999</v>
      </c>
      <c r="Q110" s="55">
        <f t="shared" si="105"/>
        <v>42031.907550000004</v>
      </c>
      <c r="R110" s="55">
        <f t="shared" si="105"/>
        <v>29860.339169999999</v>
      </c>
      <c r="S110" s="55">
        <f t="shared" si="105"/>
        <v>29868.339169999999</v>
      </c>
      <c r="T110" s="55">
        <f t="shared" si="105"/>
        <v>29838.339169999999</v>
      </c>
      <c r="U110" s="55">
        <f t="shared" si="81"/>
        <v>385831.20679999999</v>
      </c>
      <c r="V110" s="68">
        <f>ROUND(SUM(V57:V58)+SUM(V65:V66)+SUM(V73:V78)+SUM(V82:V88)+V96+V101+V109,5)</f>
        <v>210762.68150000001</v>
      </c>
      <c r="W110" s="96">
        <f>ROUND(SUM(W57:W58)+SUM(W65:W66)+SUM(W73:W78)+SUM(W82:W88)+W96+W101+W109,5)</f>
        <v>175068.52523</v>
      </c>
    </row>
    <row r="111" spans="1:23" x14ac:dyDescent="0.2">
      <c r="A111" s="51"/>
      <c r="B111" s="51"/>
      <c r="C111" s="51"/>
      <c r="D111" s="51"/>
      <c r="E111" s="51" t="s">
        <v>102</v>
      </c>
      <c r="F111" s="51"/>
      <c r="G111" s="51"/>
      <c r="H111" s="51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>
        <f t="shared" si="81"/>
        <v>0</v>
      </c>
      <c r="V111" s="68"/>
      <c r="W111" s="96">
        <f t="shared" si="69"/>
        <v>0</v>
      </c>
    </row>
    <row r="112" spans="1:23" x14ac:dyDescent="0.2">
      <c r="A112" s="51"/>
      <c r="B112" s="51"/>
      <c r="C112" s="51"/>
      <c r="D112" s="51"/>
      <c r="E112" s="51"/>
      <c r="F112" s="51" t="s">
        <v>103</v>
      </c>
      <c r="G112" s="51"/>
      <c r="H112" s="51"/>
      <c r="I112" s="55">
        <v>0</v>
      </c>
      <c r="J112" s="55">
        <v>0</v>
      </c>
      <c r="K112" s="55">
        <v>0</v>
      </c>
      <c r="L112" s="55">
        <v>1500</v>
      </c>
      <c r="M112" s="55">
        <v>0</v>
      </c>
      <c r="N112" s="55">
        <v>0</v>
      </c>
      <c r="O112" s="55">
        <v>0</v>
      </c>
      <c r="P112" s="55">
        <v>0</v>
      </c>
      <c r="Q112" s="55">
        <v>5000</v>
      </c>
      <c r="R112" s="55">
        <v>0</v>
      </c>
      <c r="S112" s="55">
        <v>0</v>
      </c>
      <c r="T112" s="55">
        <v>0</v>
      </c>
      <c r="U112" s="56">
        <f t="shared" si="81"/>
        <v>6500</v>
      </c>
      <c r="V112" s="68"/>
      <c r="W112" s="96">
        <f t="shared" si="69"/>
        <v>6500</v>
      </c>
    </row>
    <row r="113" spans="1:23" x14ac:dyDescent="0.2">
      <c r="A113" s="51"/>
      <c r="B113" s="51"/>
      <c r="C113" s="51"/>
      <c r="D113" s="51"/>
      <c r="E113" s="51"/>
      <c r="F113" s="51" t="s">
        <v>104</v>
      </c>
      <c r="G113" s="51"/>
      <c r="H113" s="51"/>
      <c r="I113" s="55">
        <v>0</v>
      </c>
      <c r="J113" s="55">
        <v>0</v>
      </c>
      <c r="K113" s="55">
        <v>0</v>
      </c>
      <c r="L113" s="55">
        <v>2000</v>
      </c>
      <c r="M113" s="55">
        <v>0</v>
      </c>
      <c r="N113" s="55">
        <v>0</v>
      </c>
      <c r="O113" s="55">
        <v>0</v>
      </c>
      <c r="P113" s="55">
        <v>0</v>
      </c>
      <c r="Q113" s="55">
        <f>2200+3000</f>
        <v>5200</v>
      </c>
      <c r="R113" s="55">
        <v>0</v>
      </c>
      <c r="S113" s="55">
        <v>0</v>
      </c>
      <c r="T113" s="55">
        <v>0</v>
      </c>
      <c r="U113" s="56">
        <f t="shared" si="81"/>
        <v>7200</v>
      </c>
      <c r="V113" s="68"/>
      <c r="W113" s="96">
        <f t="shared" si="69"/>
        <v>7200</v>
      </c>
    </row>
    <row r="114" spans="1:23" x14ac:dyDescent="0.2">
      <c r="A114" s="51"/>
      <c r="B114" s="51"/>
      <c r="C114" s="51"/>
      <c r="D114" s="51"/>
      <c r="E114" s="51"/>
      <c r="F114" s="51" t="s">
        <v>105</v>
      </c>
      <c r="G114" s="51"/>
      <c r="H114" s="51"/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600</v>
      </c>
      <c r="Q114" s="55">
        <v>700</v>
      </c>
      <c r="R114" s="55">
        <v>0</v>
      </c>
      <c r="S114" s="55">
        <v>0</v>
      </c>
      <c r="T114" s="55">
        <v>0</v>
      </c>
      <c r="U114" s="56">
        <f t="shared" si="81"/>
        <v>1300</v>
      </c>
      <c r="V114" s="68"/>
      <c r="W114" s="96">
        <f t="shared" si="69"/>
        <v>1300</v>
      </c>
    </row>
    <row r="115" spans="1:23" x14ac:dyDescent="0.2">
      <c r="A115" s="51"/>
      <c r="B115" s="51"/>
      <c r="C115" s="51"/>
      <c r="D115" s="51"/>
      <c r="E115" s="51"/>
      <c r="F115" s="51" t="s">
        <v>106</v>
      </c>
      <c r="G115" s="51"/>
      <c r="H115" s="51"/>
      <c r="I115" s="55">
        <v>0</v>
      </c>
      <c r="J115" s="55">
        <v>0</v>
      </c>
      <c r="K115" s="55">
        <v>0</v>
      </c>
      <c r="L115" s="55">
        <v>1000</v>
      </c>
      <c r="M115" s="55">
        <v>0</v>
      </c>
      <c r="N115" s="55">
        <v>0</v>
      </c>
      <c r="O115" s="55">
        <v>0</v>
      </c>
      <c r="P115" s="55">
        <v>0</v>
      </c>
      <c r="Q115" s="55">
        <v>3000</v>
      </c>
      <c r="R115" s="55">
        <v>0</v>
      </c>
      <c r="S115" s="55">
        <v>0</v>
      </c>
      <c r="T115" s="55">
        <v>0</v>
      </c>
      <c r="U115" s="56">
        <f t="shared" si="81"/>
        <v>4000</v>
      </c>
      <c r="V115" s="68"/>
      <c r="W115" s="96">
        <f t="shared" si="69"/>
        <v>4000</v>
      </c>
    </row>
    <row r="116" spans="1:23" x14ac:dyDescent="0.2">
      <c r="A116" s="51"/>
      <c r="B116" s="51"/>
      <c r="C116" s="51"/>
      <c r="D116" s="51"/>
      <c r="E116" s="51"/>
      <c r="F116" s="51" t="s">
        <v>107</v>
      </c>
      <c r="G116" s="51"/>
      <c r="H116" s="51"/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3800</v>
      </c>
      <c r="R116" s="55">
        <v>0</v>
      </c>
      <c r="S116" s="55">
        <v>0</v>
      </c>
      <c r="T116" s="55">
        <v>0</v>
      </c>
      <c r="U116" s="56">
        <f t="shared" si="81"/>
        <v>3800</v>
      </c>
      <c r="V116" s="68"/>
      <c r="W116" s="96">
        <f t="shared" si="69"/>
        <v>3800</v>
      </c>
    </row>
    <row r="117" spans="1:23" x14ac:dyDescent="0.2">
      <c r="A117" s="51"/>
      <c r="B117" s="51"/>
      <c r="C117" s="51"/>
      <c r="D117" s="51"/>
      <c r="E117" s="51"/>
      <c r="F117" s="51" t="s">
        <v>108</v>
      </c>
      <c r="G117" s="51"/>
      <c r="H117" s="51"/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300</v>
      </c>
      <c r="Q117" s="56">
        <f>200+100</f>
        <v>300</v>
      </c>
      <c r="R117" s="56">
        <v>0</v>
      </c>
      <c r="S117" s="56">
        <v>0</v>
      </c>
      <c r="T117" s="56">
        <v>0</v>
      </c>
      <c r="U117" s="56">
        <f t="shared" si="81"/>
        <v>600</v>
      </c>
      <c r="V117" s="68"/>
      <c r="W117" s="96">
        <f t="shared" si="69"/>
        <v>600</v>
      </c>
    </row>
    <row r="118" spans="1:23" x14ac:dyDescent="0.2">
      <c r="A118" s="51"/>
      <c r="B118" s="51"/>
      <c r="C118" s="51"/>
      <c r="D118" s="51"/>
      <c r="E118" s="51"/>
      <c r="F118" s="51" t="s">
        <v>171</v>
      </c>
      <c r="G118" s="51"/>
      <c r="H118" s="51"/>
      <c r="I118" s="56">
        <v>0</v>
      </c>
      <c r="J118" s="56">
        <v>0</v>
      </c>
      <c r="K118" s="56">
        <v>0</v>
      </c>
      <c r="L118" s="56">
        <v>750</v>
      </c>
      <c r="M118" s="56">
        <v>0</v>
      </c>
      <c r="N118" s="56">
        <v>0</v>
      </c>
      <c r="O118" s="56">
        <v>0</v>
      </c>
      <c r="P118" s="56">
        <v>0</v>
      </c>
      <c r="Q118" s="56">
        <v>850</v>
      </c>
      <c r="R118" s="56">
        <v>0</v>
      </c>
      <c r="S118" s="56">
        <v>0</v>
      </c>
      <c r="T118" s="56">
        <v>0</v>
      </c>
      <c r="U118" s="56">
        <f t="shared" si="81"/>
        <v>1600</v>
      </c>
      <c r="V118" s="68"/>
      <c r="W118" s="96">
        <f t="shared" si="69"/>
        <v>1600</v>
      </c>
    </row>
    <row r="119" spans="1:23" x14ac:dyDescent="0.2">
      <c r="A119" s="51"/>
      <c r="B119" s="51"/>
      <c r="C119" s="51"/>
      <c r="D119" s="51"/>
      <c r="E119" s="51" t="s">
        <v>109</v>
      </c>
      <c r="F119" s="51"/>
      <c r="G119" s="51"/>
      <c r="H119" s="51"/>
      <c r="I119" s="55">
        <f>ROUND(SUM(I111:I118),5)</f>
        <v>0</v>
      </c>
      <c r="J119" s="55">
        <f t="shared" ref="J119:W119" si="106">ROUND(SUM(J111:J118),5)</f>
        <v>0</v>
      </c>
      <c r="K119" s="55">
        <f t="shared" si="106"/>
        <v>0</v>
      </c>
      <c r="L119" s="55">
        <f t="shared" si="106"/>
        <v>5250</v>
      </c>
      <c r="M119" s="55">
        <f t="shared" si="106"/>
        <v>0</v>
      </c>
      <c r="N119" s="55">
        <f t="shared" si="106"/>
        <v>0</v>
      </c>
      <c r="O119" s="55">
        <f t="shared" si="106"/>
        <v>0</v>
      </c>
      <c r="P119" s="55">
        <f t="shared" si="106"/>
        <v>900</v>
      </c>
      <c r="Q119" s="55">
        <f t="shared" si="106"/>
        <v>18850</v>
      </c>
      <c r="R119" s="55">
        <f t="shared" si="106"/>
        <v>0</v>
      </c>
      <c r="S119" s="55">
        <f t="shared" si="106"/>
        <v>0</v>
      </c>
      <c r="T119" s="55">
        <f t="shared" si="106"/>
        <v>0</v>
      </c>
      <c r="U119" s="55">
        <f t="shared" si="81"/>
        <v>25000</v>
      </c>
      <c r="V119" s="68">
        <f t="shared" si="106"/>
        <v>0</v>
      </c>
      <c r="W119" s="96">
        <f t="shared" si="106"/>
        <v>25000</v>
      </c>
    </row>
    <row r="120" spans="1:23" x14ac:dyDescent="0.2">
      <c r="A120" s="51"/>
      <c r="B120" s="51"/>
      <c r="C120" s="51"/>
      <c r="D120" s="51"/>
      <c r="E120" s="51" t="s">
        <v>110</v>
      </c>
      <c r="F120" s="51"/>
      <c r="G120" s="51"/>
      <c r="H120" s="51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>
        <f t="shared" si="81"/>
        <v>0</v>
      </c>
      <c r="V120" s="68"/>
      <c r="W120" s="96">
        <f t="shared" si="69"/>
        <v>0</v>
      </c>
    </row>
    <row r="121" spans="1:23" x14ac:dyDescent="0.2">
      <c r="A121" s="51"/>
      <c r="B121" s="51"/>
      <c r="C121" s="51"/>
      <c r="D121" s="51"/>
      <c r="E121" s="51"/>
      <c r="F121" s="51" t="s">
        <v>111</v>
      </c>
      <c r="G121" s="51"/>
      <c r="H121" s="51"/>
      <c r="I121" s="55">
        <v>250</v>
      </c>
      <c r="J121" s="55">
        <v>250</v>
      </c>
      <c r="K121" s="55">
        <v>250</v>
      </c>
      <c r="L121" s="55">
        <v>250</v>
      </c>
      <c r="M121" s="55">
        <v>250</v>
      </c>
      <c r="N121" s="55">
        <v>250</v>
      </c>
      <c r="O121" s="55">
        <v>250</v>
      </c>
      <c r="P121" s="55">
        <v>250</v>
      </c>
      <c r="Q121" s="55">
        <v>250</v>
      </c>
      <c r="R121" s="55">
        <v>250</v>
      </c>
      <c r="S121" s="55">
        <v>250</v>
      </c>
      <c r="T121" s="55">
        <v>250</v>
      </c>
      <c r="U121" s="55">
        <f t="shared" si="81"/>
        <v>3000</v>
      </c>
      <c r="V121" s="68"/>
      <c r="W121" s="96">
        <f t="shared" si="69"/>
        <v>3000</v>
      </c>
    </row>
    <row r="122" spans="1:23" x14ac:dyDescent="0.2">
      <c r="A122" s="51"/>
      <c r="B122" s="51"/>
      <c r="C122" s="51"/>
      <c r="D122" s="51"/>
      <c r="E122" s="51"/>
      <c r="F122" s="51" t="s">
        <v>112</v>
      </c>
      <c r="G122" s="51"/>
      <c r="H122" s="51"/>
      <c r="I122" s="55">
        <v>500</v>
      </c>
      <c r="J122" s="55">
        <v>500</v>
      </c>
      <c r="K122" s="55">
        <v>500</v>
      </c>
      <c r="L122" s="55">
        <v>500</v>
      </c>
      <c r="M122" s="55">
        <v>500</v>
      </c>
      <c r="N122" s="55">
        <v>500</v>
      </c>
      <c r="O122" s="55">
        <v>500</v>
      </c>
      <c r="P122" s="55">
        <v>500</v>
      </c>
      <c r="Q122" s="55">
        <v>500</v>
      </c>
      <c r="R122" s="55">
        <v>500</v>
      </c>
      <c r="S122" s="55">
        <v>500</v>
      </c>
      <c r="T122" s="55">
        <v>500</v>
      </c>
      <c r="U122" s="55">
        <f t="shared" si="81"/>
        <v>6000</v>
      </c>
      <c r="V122" s="68"/>
      <c r="W122" s="96">
        <f t="shared" si="69"/>
        <v>6000</v>
      </c>
    </row>
    <row r="123" spans="1:23" x14ac:dyDescent="0.2">
      <c r="A123" s="51"/>
      <c r="B123" s="51"/>
      <c r="C123" s="51"/>
      <c r="D123" s="51"/>
      <c r="E123" s="51"/>
      <c r="F123" s="51" t="s">
        <v>113</v>
      </c>
      <c r="G123" s="51"/>
      <c r="H123" s="51"/>
      <c r="I123" s="55">
        <v>116.66666666666667</v>
      </c>
      <c r="J123" s="55">
        <v>116.66666666666667</v>
      </c>
      <c r="K123" s="55">
        <v>116.66666666666667</v>
      </c>
      <c r="L123" s="55">
        <v>116.66666666666667</v>
      </c>
      <c r="M123" s="55">
        <v>116.66666666666667</v>
      </c>
      <c r="N123" s="55">
        <v>116.66666666666667</v>
      </c>
      <c r="O123" s="55">
        <v>116.66666666666667</v>
      </c>
      <c r="P123" s="55">
        <v>116.66666666666667</v>
      </c>
      <c r="Q123" s="55">
        <v>116.66666666666667</v>
      </c>
      <c r="R123" s="55">
        <v>116.66666666666667</v>
      </c>
      <c r="S123" s="55">
        <v>116.66666666666667</v>
      </c>
      <c r="T123" s="55">
        <v>116.66666666666667</v>
      </c>
      <c r="U123" s="55">
        <f t="shared" si="81"/>
        <v>1400.0000000000002</v>
      </c>
      <c r="V123" s="68"/>
      <c r="W123" s="96">
        <f t="shared" si="69"/>
        <v>1400.0000000000002</v>
      </c>
    </row>
    <row r="124" spans="1:23" x14ac:dyDescent="0.2">
      <c r="A124" s="51"/>
      <c r="B124" s="51"/>
      <c r="C124" s="51"/>
      <c r="D124" s="51"/>
      <c r="E124" s="51"/>
      <c r="F124" s="51" t="s">
        <v>114</v>
      </c>
      <c r="G124" s="51"/>
      <c r="H124" s="51"/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f t="shared" si="81"/>
        <v>0</v>
      </c>
      <c r="V124" s="68"/>
      <c r="W124" s="96">
        <f t="shared" si="69"/>
        <v>0</v>
      </c>
    </row>
    <row r="125" spans="1:23" x14ac:dyDescent="0.2">
      <c r="A125" s="51"/>
      <c r="B125" s="51"/>
      <c r="C125" s="51"/>
      <c r="D125" s="51"/>
      <c r="E125" s="51"/>
      <c r="F125" s="51"/>
      <c r="G125" s="51" t="s">
        <v>115</v>
      </c>
      <c r="H125" s="51"/>
      <c r="I125" s="55">
        <v>83</v>
      </c>
      <c r="J125" s="55">
        <v>83</v>
      </c>
      <c r="K125" s="55">
        <v>83</v>
      </c>
      <c r="L125" s="55">
        <v>83</v>
      </c>
      <c r="M125" s="55">
        <v>83</v>
      </c>
      <c r="N125" s="55">
        <v>83</v>
      </c>
      <c r="O125" s="55">
        <v>83</v>
      </c>
      <c r="P125" s="55">
        <v>83</v>
      </c>
      <c r="Q125" s="55">
        <v>83</v>
      </c>
      <c r="R125" s="55">
        <v>83</v>
      </c>
      <c r="S125" s="55">
        <v>83</v>
      </c>
      <c r="T125" s="55">
        <v>83</v>
      </c>
      <c r="U125" s="55">
        <f t="shared" si="81"/>
        <v>996</v>
      </c>
      <c r="V125" s="68"/>
      <c r="W125" s="96">
        <f t="shared" si="69"/>
        <v>996</v>
      </c>
    </row>
    <row r="126" spans="1:23" x14ac:dyDescent="0.2">
      <c r="A126" s="51"/>
      <c r="B126" s="51"/>
      <c r="C126" s="51"/>
      <c r="D126" s="51"/>
      <c r="E126" s="51"/>
      <c r="F126" s="51" t="s">
        <v>117</v>
      </c>
      <c r="G126" s="51"/>
      <c r="H126" s="51"/>
      <c r="I126" s="55">
        <f t="shared" ref="I126:T126" si="107">ROUND(SUM(I124:I125),5)</f>
        <v>83</v>
      </c>
      <c r="J126" s="55">
        <f t="shared" si="107"/>
        <v>83</v>
      </c>
      <c r="K126" s="55">
        <f t="shared" si="107"/>
        <v>83</v>
      </c>
      <c r="L126" s="55">
        <f t="shared" si="107"/>
        <v>83</v>
      </c>
      <c r="M126" s="55">
        <f t="shared" si="107"/>
        <v>83</v>
      </c>
      <c r="N126" s="55">
        <f t="shared" si="107"/>
        <v>83</v>
      </c>
      <c r="O126" s="55">
        <f t="shared" si="107"/>
        <v>83</v>
      </c>
      <c r="P126" s="55">
        <f t="shared" si="107"/>
        <v>83</v>
      </c>
      <c r="Q126" s="55">
        <f t="shared" si="107"/>
        <v>83</v>
      </c>
      <c r="R126" s="55">
        <f t="shared" si="107"/>
        <v>83</v>
      </c>
      <c r="S126" s="55">
        <f t="shared" si="107"/>
        <v>83</v>
      </c>
      <c r="T126" s="55">
        <f t="shared" si="107"/>
        <v>83</v>
      </c>
      <c r="U126" s="55">
        <f t="shared" si="81"/>
        <v>996</v>
      </c>
      <c r="V126" s="68">
        <f>ROUND(SUM(V124:V125),5)</f>
        <v>0</v>
      </c>
      <c r="W126" s="96">
        <f>ROUND(SUM(W124:W125),5)</f>
        <v>996</v>
      </c>
    </row>
    <row r="127" spans="1:23" x14ac:dyDescent="0.2">
      <c r="A127" s="51"/>
      <c r="B127" s="51"/>
      <c r="C127" s="51"/>
      <c r="D127" s="51"/>
      <c r="E127" s="51"/>
      <c r="F127" s="51" t="s">
        <v>118</v>
      </c>
      <c r="G127" s="51"/>
      <c r="H127" s="51"/>
      <c r="I127" s="55">
        <v>208</v>
      </c>
      <c r="J127" s="55">
        <v>208</v>
      </c>
      <c r="K127" s="55">
        <v>209</v>
      </c>
      <c r="L127" s="55">
        <v>209</v>
      </c>
      <c r="M127" s="55">
        <v>208</v>
      </c>
      <c r="N127" s="55">
        <v>209</v>
      </c>
      <c r="O127" s="55">
        <v>208</v>
      </c>
      <c r="P127" s="55">
        <v>208</v>
      </c>
      <c r="Q127" s="55">
        <v>209</v>
      </c>
      <c r="R127" s="55">
        <v>208</v>
      </c>
      <c r="S127" s="55">
        <v>208</v>
      </c>
      <c r="T127" s="55">
        <v>208</v>
      </c>
      <c r="U127" s="55">
        <f t="shared" si="81"/>
        <v>2500</v>
      </c>
      <c r="V127" s="68"/>
      <c r="W127" s="96">
        <f t="shared" si="69"/>
        <v>2500</v>
      </c>
    </row>
    <row r="128" spans="1:23" x14ac:dyDescent="0.2">
      <c r="A128" s="51"/>
      <c r="B128" s="51"/>
      <c r="C128" s="51"/>
      <c r="D128" s="51"/>
      <c r="E128" s="51"/>
      <c r="F128" s="51" t="s">
        <v>119</v>
      </c>
      <c r="G128" s="51"/>
      <c r="H128" s="51"/>
      <c r="I128" s="55">
        <v>150</v>
      </c>
      <c r="J128" s="55">
        <v>150</v>
      </c>
      <c r="K128" s="55">
        <v>150</v>
      </c>
      <c r="L128" s="55">
        <v>150</v>
      </c>
      <c r="M128" s="55">
        <v>150</v>
      </c>
      <c r="N128" s="55">
        <v>150</v>
      </c>
      <c r="O128" s="55">
        <v>150</v>
      </c>
      <c r="P128" s="55">
        <v>150</v>
      </c>
      <c r="Q128" s="55">
        <v>150</v>
      </c>
      <c r="R128" s="55">
        <v>150</v>
      </c>
      <c r="S128" s="55">
        <v>150</v>
      </c>
      <c r="T128" s="55">
        <v>150</v>
      </c>
      <c r="U128" s="55">
        <f t="shared" si="81"/>
        <v>1800</v>
      </c>
      <c r="V128" s="68"/>
      <c r="W128" s="96">
        <f t="shared" si="69"/>
        <v>1800</v>
      </c>
    </row>
    <row r="129" spans="1:23" x14ac:dyDescent="0.2">
      <c r="A129" s="51"/>
      <c r="B129" s="51"/>
      <c r="C129" s="51"/>
      <c r="D129" s="51"/>
      <c r="E129" s="51"/>
      <c r="F129" s="51" t="s">
        <v>120</v>
      </c>
      <c r="G129" s="51"/>
      <c r="H129" s="51"/>
      <c r="I129" s="55">
        <v>0</v>
      </c>
      <c r="J129" s="55">
        <v>1180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f t="shared" si="81"/>
        <v>1180</v>
      </c>
      <c r="V129" s="68"/>
      <c r="W129" s="96">
        <f t="shared" si="69"/>
        <v>1180</v>
      </c>
    </row>
    <row r="130" spans="1:23" x14ac:dyDescent="0.2">
      <c r="A130" s="51"/>
      <c r="B130" s="51"/>
      <c r="C130" s="51"/>
      <c r="D130" s="51"/>
      <c r="E130" s="51"/>
      <c r="F130" s="51" t="s">
        <v>172</v>
      </c>
      <c r="G130" s="51"/>
      <c r="H130" s="51"/>
      <c r="I130" s="55">
        <v>16</v>
      </c>
      <c r="J130" s="55">
        <v>16</v>
      </c>
      <c r="K130" s="55">
        <v>17</v>
      </c>
      <c r="L130" s="55">
        <v>16</v>
      </c>
      <c r="M130" s="55">
        <v>17</v>
      </c>
      <c r="N130" s="55">
        <v>16</v>
      </c>
      <c r="O130" s="55">
        <v>17</v>
      </c>
      <c r="P130" s="55">
        <v>17</v>
      </c>
      <c r="Q130" s="55">
        <v>17</v>
      </c>
      <c r="R130" s="55">
        <v>17</v>
      </c>
      <c r="S130" s="55">
        <v>17</v>
      </c>
      <c r="T130" s="55">
        <v>17</v>
      </c>
      <c r="U130" s="55">
        <f t="shared" si="81"/>
        <v>200</v>
      </c>
      <c r="V130" s="68"/>
      <c r="W130" s="96">
        <f t="shared" si="69"/>
        <v>200</v>
      </c>
    </row>
    <row r="131" spans="1:23" x14ac:dyDescent="0.2">
      <c r="A131" s="51"/>
      <c r="B131" s="51"/>
      <c r="C131" s="51"/>
      <c r="D131" s="51"/>
      <c r="E131" s="51"/>
      <c r="F131" s="51"/>
      <c r="G131" s="51" t="s">
        <v>173</v>
      </c>
      <c r="H131" s="51"/>
      <c r="I131" s="55">
        <v>83.333333333333329</v>
      </c>
      <c r="J131" s="55">
        <v>83.333333333333329</v>
      </c>
      <c r="K131" s="55">
        <v>83.333333333333329</v>
      </c>
      <c r="L131" s="55">
        <v>83.333333333333329</v>
      </c>
      <c r="M131" s="55">
        <v>83.333333333333329</v>
      </c>
      <c r="N131" s="55">
        <v>83.333333333333329</v>
      </c>
      <c r="O131" s="55">
        <v>83.333333333333329</v>
      </c>
      <c r="P131" s="55">
        <v>83.333333333333329</v>
      </c>
      <c r="Q131" s="55">
        <v>83.333333333333329</v>
      </c>
      <c r="R131" s="55">
        <v>83.333333333333329</v>
      </c>
      <c r="S131" s="55">
        <v>83.333333333333329</v>
      </c>
      <c r="T131" s="55">
        <v>83.333333333333329</v>
      </c>
      <c r="U131" s="55">
        <f t="shared" si="81"/>
        <v>1000.0000000000001</v>
      </c>
      <c r="V131" s="68"/>
      <c r="W131" s="96">
        <f t="shared" si="69"/>
        <v>1000.0000000000001</v>
      </c>
    </row>
    <row r="132" spans="1:23" x14ac:dyDescent="0.2">
      <c r="A132" s="51"/>
      <c r="B132" s="51"/>
      <c r="C132" s="51"/>
      <c r="D132" s="51"/>
      <c r="E132" s="51"/>
      <c r="F132" s="51" t="s">
        <v>121</v>
      </c>
      <c r="G132" s="51"/>
      <c r="H132" s="51"/>
      <c r="I132" s="55">
        <v>0</v>
      </c>
      <c r="J132" s="55">
        <v>0</v>
      </c>
      <c r="K132" s="55">
        <v>0</v>
      </c>
      <c r="L132" s="55">
        <v>0</v>
      </c>
      <c r="M132" s="55">
        <v>5500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f t="shared" si="81"/>
        <v>5500</v>
      </c>
      <c r="V132" s="68"/>
      <c r="W132" s="96">
        <f t="shared" si="69"/>
        <v>5500</v>
      </c>
    </row>
    <row r="133" spans="1:23" x14ac:dyDescent="0.2">
      <c r="A133" s="51"/>
      <c r="B133" s="51"/>
      <c r="C133" s="51"/>
      <c r="D133" s="51"/>
      <c r="E133" s="51"/>
      <c r="F133" s="51" t="s">
        <v>122</v>
      </c>
      <c r="G133" s="51"/>
      <c r="H133" s="51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>
        <f t="shared" si="81"/>
        <v>0</v>
      </c>
      <c r="V133" s="68"/>
      <c r="W133" s="96">
        <f t="shared" si="69"/>
        <v>0</v>
      </c>
    </row>
    <row r="134" spans="1:23" x14ac:dyDescent="0.2">
      <c r="A134" s="51"/>
      <c r="B134" s="51"/>
      <c r="C134" s="51"/>
      <c r="D134" s="51"/>
      <c r="E134" s="51"/>
      <c r="F134" s="51"/>
      <c r="G134" s="51" t="s">
        <v>123</v>
      </c>
      <c r="H134" s="51"/>
      <c r="I134" s="55">
        <v>272</v>
      </c>
      <c r="J134" s="55">
        <v>272</v>
      </c>
      <c r="K134" s="55">
        <v>272</v>
      </c>
      <c r="L134" s="55">
        <v>272</v>
      </c>
      <c r="M134" s="55">
        <v>272</v>
      </c>
      <c r="N134" s="55">
        <v>272</v>
      </c>
      <c r="O134" s="55">
        <v>272</v>
      </c>
      <c r="P134" s="55">
        <v>272</v>
      </c>
      <c r="Q134" s="55">
        <v>1000</v>
      </c>
      <c r="R134" s="55">
        <v>272</v>
      </c>
      <c r="S134" s="55">
        <v>272</v>
      </c>
      <c r="T134" s="55">
        <v>272</v>
      </c>
      <c r="U134" s="55">
        <f t="shared" si="81"/>
        <v>3992</v>
      </c>
      <c r="V134" s="68"/>
      <c r="W134" s="96">
        <f t="shared" ref="W134:W194" si="108">U134-V134</f>
        <v>3992</v>
      </c>
    </row>
    <row r="135" spans="1:23" hidden="1" x14ac:dyDescent="0.2">
      <c r="A135" s="51"/>
      <c r="B135" s="51"/>
      <c r="C135" s="51"/>
      <c r="D135" s="51"/>
      <c r="E135" s="51"/>
      <c r="F135" s="51"/>
      <c r="G135" s="51" t="s">
        <v>174</v>
      </c>
      <c r="H135" s="51"/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f t="shared" ref="U135:U193" si="109">SUM(I135:T135)</f>
        <v>0</v>
      </c>
      <c r="V135" s="68"/>
      <c r="W135" s="96">
        <f t="shared" si="108"/>
        <v>0</v>
      </c>
    </row>
    <row r="136" spans="1:23" x14ac:dyDescent="0.2">
      <c r="A136" s="51"/>
      <c r="B136" s="51"/>
      <c r="C136" s="51"/>
      <c r="D136" s="51"/>
      <c r="E136" s="51"/>
      <c r="F136" s="51"/>
      <c r="G136" s="51" t="s">
        <v>124</v>
      </c>
      <c r="H136" s="51"/>
      <c r="I136" s="55">
        <v>250</v>
      </c>
      <c r="J136" s="55">
        <v>30</v>
      </c>
      <c r="K136" s="55">
        <v>30</v>
      </c>
      <c r="L136" s="55">
        <v>30</v>
      </c>
      <c r="M136" s="55">
        <v>30</v>
      </c>
      <c r="N136" s="55">
        <v>30</v>
      </c>
      <c r="O136" s="55">
        <v>30</v>
      </c>
      <c r="P136" s="55">
        <v>200</v>
      </c>
      <c r="Q136" s="55">
        <v>30</v>
      </c>
      <c r="R136" s="55">
        <v>30</v>
      </c>
      <c r="S136" s="55">
        <v>75</v>
      </c>
      <c r="T136" s="55">
        <v>135</v>
      </c>
      <c r="U136" s="55">
        <f t="shared" si="109"/>
        <v>900</v>
      </c>
      <c r="V136" s="68"/>
      <c r="W136" s="96">
        <f t="shared" si="108"/>
        <v>900</v>
      </c>
    </row>
    <row r="137" spans="1:23" hidden="1" x14ac:dyDescent="0.2">
      <c r="A137" s="51"/>
      <c r="B137" s="51"/>
      <c r="C137" s="51"/>
      <c r="D137" s="51"/>
      <c r="E137" s="51"/>
      <c r="F137" s="51"/>
      <c r="G137" s="51" t="s">
        <v>125</v>
      </c>
      <c r="H137" s="51"/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 t="s">
        <v>204</v>
      </c>
      <c r="R137" s="55">
        <v>0</v>
      </c>
      <c r="S137" s="55">
        <v>0</v>
      </c>
      <c r="T137" s="55">
        <v>0</v>
      </c>
      <c r="U137" s="55">
        <f t="shared" si="109"/>
        <v>0</v>
      </c>
      <c r="V137" s="68"/>
      <c r="W137" s="96">
        <f t="shared" si="108"/>
        <v>0</v>
      </c>
    </row>
    <row r="138" spans="1:23" hidden="1" x14ac:dyDescent="0.2">
      <c r="A138" s="51"/>
      <c r="B138" s="51"/>
      <c r="C138" s="51"/>
      <c r="D138" s="51"/>
      <c r="E138" s="51"/>
      <c r="F138" s="51"/>
      <c r="G138" s="51" t="s">
        <v>175</v>
      </c>
      <c r="H138" s="51"/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f t="shared" si="109"/>
        <v>0</v>
      </c>
      <c r="V138" s="68"/>
      <c r="W138" s="96">
        <f t="shared" si="108"/>
        <v>0</v>
      </c>
    </row>
    <row r="139" spans="1:23" hidden="1" x14ac:dyDescent="0.2">
      <c r="A139" s="51"/>
      <c r="B139" s="51"/>
      <c r="C139" s="51"/>
      <c r="D139" s="51"/>
      <c r="E139" s="51"/>
      <c r="F139" s="51"/>
      <c r="G139" s="51" t="s">
        <v>176</v>
      </c>
      <c r="H139" s="51"/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f t="shared" si="109"/>
        <v>0</v>
      </c>
      <c r="V139" s="68"/>
      <c r="W139" s="96">
        <f t="shared" si="108"/>
        <v>0</v>
      </c>
    </row>
    <row r="140" spans="1:23" x14ac:dyDescent="0.2">
      <c r="A140" s="51"/>
      <c r="B140" s="51"/>
      <c r="C140" s="51"/>
      <c r="D140" s="51"/>
      <c r="E140" s="51"/>
      <c r="F140" s="51"/>
      <c r="G140" s="51" t="s">
        <v>175</v>
      </c>
      <c r="H140" s="51"/>
      <c r="I140" s="55">
        <v>100</v>
      </c>
      <c r="J140" s="55">
        <v>100</v>
      </c>
      <c r="K140" s="55">
        <v>100</v>
      </c>
      <c r="L140" s="55">
        <v>100</v>
      </c>
      <c r="M140" s="55">
        <v>100</v>
      </c>
      <c r="N140" s="55">
        <v>100</v>
      </c>
      <c r="O140" s="55">
        <v>100</v>
      </c>
      <c r="P140" s="55">
        <v>100</v>
      </c>
      <c r="Q140" s="55">
        <v>100</v>
      </c>
      <c r="R140" s="55">
        <v>100</v>
      </c>
      <c r="S140" s="55">
        <v>100</v>
      </c>
      <c r="T140" s="55">
        <v>100</v>
      </c>
      <c r="U140" s="55">
        <f t="shared" ref="U140" si="110">SUM(I140:T140)</f>
        <v>1200</v>
      </c>
      <c r="V140" s="68"/>
      <c r="W140" s="96">
        <f t="shared" ref="W140" si="111">U140-V140</f>
        <v>1200</v>
      </c>
    </row>
    <row r="141" spans="1:23" x14ac:dyDescent="0.2">
      <c r="A141" s="51"/>
      <c r="B141" s="51"/>
      <c r="C141" s="51"/>
      <c r="D141" s="51"/>
      <c r="E141" s="51"/>
      <c r="F141" s="51"/>
      <c r="G141" s="51" t="s">
        <v>176</v>
      </c>
      <c r="H141" s="51"/>
      <c r="I141" s="55">
        <v>3000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f t="shared" ref="U141" si="112">SUM(I141:T141)</f>
        <v>3000</v>
      </c>
      <c r="V141" s="68"/>
      <c r="W141" s="96">
        <f t="shared" ref="W141" si="113">U141-V141</f>
        <v>3000</v>
      </c>
    </row>
    <row r="142" spans="1:23" x14ac:dyDescent="0.2">
      <c r="A142" s="51"/>
      <c r="B142" s="51"/>
      <c r="C142" s="51"/>
      <c r="D142" s="51"/>
      <c r="E142" s="51"/>
      <c r="F142" s="51"/>
      <c r="G142" s="51" t="s">
        <v>126</v>
      </c>
      <c r="H142" s="51"/>
      <c r="I142" s="55">
        <v>500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f t="shared" si="109"/>
        <v>500</v>
      </c>
      <c r="V142" s="68"/>
      <c r="W142" s="96">
        <f t="shared" si="108"/>
        <v>500</v>
      </c>
    </row>
    <row r="143" spans="1:23" x14ac:dyDescent="0.2">
      <c r="A143" s="51"/>
      <c r="B143" s="51"/>
      <c r="C143" s="51"/>
      <c r="D143" s="51"/>
      <c r="E143" s="51"/>
      <c r="F143" s="51"/>
      <c r="G143" s="51" t="s">
        <v>177</v>
      </c>
      <c r="H143" s="51"/>
      <c r="I143" s="55">
        <v>600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400</v>
      </c>
      <c r="Q143" s="55">
        <v>0</v>
      </c>
      <c r="R143" s="55">
        <v>0</v>
      </c>
      <c r="S143" s="55">
        <v>0</v>
      </c>
      <c r="T143" s="55">
        <v>0</v>
      </c>
      <c r="U143" s="55">
        <f t="shared" si="109"/>
        <v>1000</v>
      </c>
      <c r="V143" s="68"/>
      <c r="W143" s="96">
        <f t="shared" si="108"/>
        <v>1000</v>
      </c>
    </row>
    <row r="144" spans="1:23" hidden="1" x14ac:dyDescent="0.2">
      <c r="A144" s="51"/>
      <c r="B144" s="51"/>
      <c r="C144" s="51"/>
      <c r="D144" s="51"/>
      <c r="E144" s="51"/>
      <c r="F144" s="51"/>
      <c r="G144" s="51" t="s">
        <v>178</v>
      </c>
      <c r="H144" s="51"/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f t="shared" si="109"/>
        <v>0</v>
      </c>
      <c r="V144" s="68"/>
      <c r="W144" s="96">
        <f t="shared" si="108"/>
        <v>0</v>
      </c>
    </row>
    <row r="145" spans="1:23" x14ac:dyDescent="0.2">
      <c r="A145" s="51"/>
      <c r="B145" s="51"/>
      <c r="C145" s="51"/>
      <c r="D145" s="51"/>
      <c r="E145" s="51"/>
      <c r="F145" s="51"/>
      <c r="G145" s="51" t="s">
        <v>127</v>
      </c>
      <c r="H145" s="51"/>
      <c r="I145" s="55">
        <v>96</v>
      </c>
      <c r="J145" s="55">
        <v>4310</v>
      </c>
      <c r="K145" s="55">
        <v>166</v>
      </c>
      <c r="L145" s="55">
        <v>166</v>
      </c>
      <c r="M145" s="55">
        <v>100</v>
      </c>
      <c r="N145" s="55">
        <v>166</v>
      </c>
      <c r="O145" s="55">
        <v>166</v>
      </c>
      <c r="P145" s="55">
        <v>166</v>
      </c>
      <c r="Q145" s="55">
        <v>166</v>
      </c>
      <c r="R145" s="55">
        <v>166</v>
      </c>
      <c r="S145" s="55">
        <v>166</v>
      </c>
      <c r="T145" s="55">
        <v>166</v>
      </c>
      <c r="U145" s="55">
        <f t="shared" si="109"/>
        <v>6000</v>
      </c>
      <c r="V145" s="68">
        <f>3232+1890-0.15</f>
        <v>5121.8500000000004</v>
      </c>
      <c r="W145" s="96">
        <f t="shared" si="108"/>
        <v>878.14999999999964</v>
      </c>
    </row>
    <row r="146" spans="1:23" x14ac:dyDescent="0.2">
      <c r="A146" s="51"/>
      <c r="B146" s="51"/>
      <c r="C146" s="51"/>
      <c r="D146" s="51"/>
      <c r="E146" s="51"/>
      <c r="F146" s="51"/>
      <c r="G146" s="51" t="s">
        <v>128</v>
      </c>
      <c r="H146" s="51"/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f t="shared" si="109"/>
        <v>0</v>
      </c>
      <c r="V146" s="68"/>
      <c r="W146" s="96">
        <f t="shared" si="108"/>
        <v>0</v>
      </c>
    </row>
    <row r="147" spans="1:23" x14ac:dyDescent="0.2">
      <c r="A147" s="51"/>
      <c r="B147" s="51"/>
      <c r="C147" s="51"/>
      <c r="D147" s="51"/>
      <c r="E147" s="51"/>
      <c r="F147" s="51"/>
      <c r="G147" s="51"/>
      <c r="H147" s="51" t="s">
        <v>129</v>
      </c>
      <c r="I147" s="55">
        <v>0</v>
      </c>
      <c r="J147" s="55">
        <v>0</v>
      </c>
      <c r="K147" s="55">
        <v>0</v>
      </c>
      <c r="L147" s="55">
        <v>90</v>
      </c>
      <c r="M147" s="55">
        <v>90</v>
      </c>
      <c r="N147" s="55">
        <v>90</v>
      </c>
      <c r="O147" s="55">
        <v>90</v>
      </c>
      <c r="P147" s="55">
        <v>90</v>
      </c>
      <c r="Q147" s="55">
        <v>90</v>
      </c>
      <c r="R147" s="55">
        <v>90</v>
      </c>
      <c r="S147" s="55">
        <v>90</v>
      </c>
      <c r="T147" s="55">
        <v>90</v>
      </c>
      <c r="U147" s="55">
        <f t="shared" si="109"/>
        <v>810</v>
      </c>
      <c r="V147" s="68"/>
      <c r="W147" s="96">
        <f t="shared" si="108"/>
        <v>810</v>
      </c>
    </row>
    <row r="148" spans="1:23" ht="12" thickBot="1" x14ac:dyDescent="0.25">
      <c r="A148" s="51"/>
      <c r="B148" s="51"/>
      <c r="C148" s="51"/>
      <c r="D148" s="51"/>
      <c r="E148" s="51"/>
      <c r="F148" s="51"/>
      <c r="G148" s="51"/>
      <c r="H148" s="51" t="s">
        <v>130</v>
      </c>
      <c r="I148" s="57">
        <v>0</v>
      </c>
      <c r="J148" s="57">
        <v>0</v>
      </c>
      <c r="K148" s="57">
        <v>0</v>
      </c>
      <c r="L148" s="57">
        <v>134</v>
      </c>
      <c r="M148" s="57">
        <v>134</v>
      </c>
      <c r="N148" s="57">
        <v>134</v>
      </c>
      <c r="O148" s="57">
        <v>134</v>
      </c>
      <c r="P148" s="57">
        <v>134</v>
      </c>
      <c r="Q148" s="57">
        <v>134</v>
      </c>
      <c r="R148" s="57">
        <v>134</v>
      </c>
      <c r="S148" s="57">
        <v>134</v>
      </c>
      <c r="T148" s="57">
        <v>134</v>
      </c>
      <c r="U148" s="57">
        <f t="shared" si="109"/>
        <v>1206</v>
      </c>
      <c r="V148" s="69"/>
      <c r="W148" s="98">
        <f t="shared" si="108"/>
        <v>1206</v>
      </c>
    </row>
    <row r="149" spans="1:23" x14ac:dyDescent="0.2">
      <c r="A149" s="51"/>
      <c r="B149" s="51"/>
      <c r="C149" s="51"/>
      <c r="D149" s="51"/>
      <c r="E149" s="51"/>
      <c r="F149" s="51"/>
      <c r="G149" s="51" t="s">
        <v>131</v>
      </c>
      <c r="H149" s="51"/>
      <c r="I149" s="55">
        <f>ROUND(SUM(I146:I148),5)</f>
        <v>0</v>
      </c>
      <c r="J149" s="55">
        <f t="shared" ref="J149" si="114">ROUND(SUM(J146:J148),5)</f>
        <v>0</v>
      </c>
      <c r="K149" s="55">
        <f t="shared" ref="K149" si="115">ROUND(SUM(K146:K148),5)</f>
        <v>0</v>
      </c>
      <c r="L149" s="55">
        <f t="shared" ref="L149" si="116">ROUND(SUM(L146:L148),5)</f>
        <v>224</v>
      </c>
      <c r="M149" s="55">
        <f t="shared" ref="M149" si="117">ROUND(SUM(M146:M148),5)</f>
        <v>224</v>
      </c>
      <c r="N149" s="55">
        <f t="shared" ref="N149" si="118">ROUND(SUM(N146:N148),5)</f>
        <v>224</v>
      </c>
      <c r="O149" s="55">
        <f t="shared" ref="O149" si="119">ROUND(SUM(O146:O148),5)</f>
        <v>224</v>
      </c>
      <c r="P149" s="55">
        <f t="shared" ref="P149" si="120">ROUND(SUM(P146:P148),5)</f>
        <v>224</v>
      </c>
      <c r="Q149" s="55">
        <f t="shared" ref="Q149" si="121">ROUND(SUM(Q146:Q148),5)</f>
        <v>224</v>
      </c>
      <c r="R149" s="55">
        <f t="shared" ref="R149" si="122">ROUND(SUM(R146:R148),5)</f>
        <v>224</v>
      </c>
      <c r="S149" s="55">
        <f t="shared" ref="S149" si="123">ROUND(SUM(S146:S148),5)</f>
        <v>224</v>
      </c>
      <c r="T149" s="55">
        <f t="shared" ref="T149:W149" si="124">ROUND(SUM(T146:T148),5)</f>
        <v>224</v>
      </c>
      <c r="U149" s="55">
        <f t="shared" si="109"/>
        <v>2016</v>
      </c>
      <c r="V149" s="68">
        <f t="shared" si="124"/>
        <v>0</v>
      </c>
      <c r="W149" s="96">
        <f t="shared" si="124"/>
        <v>2016</v>
      </c>
    </row>
    <row r="150" spans="1:23" ht="12" thickBot="1" x14ac:dyDescent="0.25">
      <c r="A150" s="51"/>
      <c r="B150" s="51"/>
      <c r="C150" s="51"/>
      <c r="D150" s="51"/>
      <c r="E150" s="51"/>
      <c r="F150" s="51"/>
      <c r="G150" s="51" t="s">
        <v>132</v>
      </c>
      <c r="H150" s="51"/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f t="shared" si="109"/>
        <v>0</v>
      </c>
      <c r="V150" s="68"/>
      <c r="W150" s="97">
        <f t="shared" si="108"/>
        <v>0</v>
      </c>
    </row>
    <row r="151" spans="1:23" ht="12" thickBot="1" x14ac:dyDescent="0.25">
      <c r="A151" s="51"/>
      <c r="B151" s="51"/>
      <c r="C151" s="51"/>
      <c r="D151" s="51"/>
      <c r="E151" s="51"/>
      <c r="F151" s="51" t="s">
        <v>133</v>
      </c>
      <c r="G151" s="51"/>
      <c r="H151" s="51"/>
      <c r="I151" s="58">
        <f t="shared" ref="I151:T151" si="125">ROUND(SUM(I133:I145)+SUM(I149:I150),5)</f>
        <v>4818</v>
      </c>
      <c r="J151" s="58">
        <f t="shared" si="125"/>
        <v>4712</v>
      </c>
      <c r="K151" s="58">
        <f t="shared" si="125"/>
        <v>568</v>
      </c>
      <c r="L151" s="58">
        <f t="shared" si="125"/>
        <v>792</v>
      </c>
      <c r="M151" s="58">
        <f t="shared" si="125"/>
        <v>726</v>
      </c>
      <c r="N151" s="58">
        <f t="shared" si="125"/>
        <v>792</v>
      </c>
      <c r="O151" s="58">
        <f t="shared" si="125"/>
        <v>792</v>
      </c>
      <c r="P151" s="58">
        <f t="shared" si="125"/>
        <v>1362</v>
      </c>
      <c r="Q151" s="58">
        <f t="shared" si="125"/>
        <v>1520</v>
      </c>
      <c r="R151" s="58">
        <f t="shared" si="125"/>
        <v>792</v>
      </c>
      <c r="S151" s="58">
        <f t="shared" si="125"/>
        <v>837</v>
      </c>
      <c r="T151" s="58">
        <f t="shared" si="125"/>
        <v>897</v>
      </c>
      <c r="U151" s="58">
        <f t="shared" si="109"/>
        <v>18608</v>
      </c>
      <c r="V151" s="70">
        <f>ROUND(SUM(V133:V145)+SUM(V149:V150),5)</f>
        <v>5121.8500000000004</v>
      </c>
      <c r="W151" s="99">
        <f>ROUND(SUM(W133:W145)+SUM(W149:W150),5)</f>
        <v>13486.15</v>
      </c>
    </row>
    <row r="152" spans="1:23" x14ac:dyDescent="0.2">
      <c r="A152" s="51"/>
      <c r="B152" s="51"/>
      <c r="C152" s="51"/>
      <c r="D152" s="51"/>
      <c r="E152" s="51" t="s">
        <v>134</v>
      </c>
      <c r="F152" s="51"/>
      <c r="G152" s="51"/>
      <c r="H152" s="51"/>
      <c r="I152" s="55">
        <f t="shared" ref="I152:T152" si="126">ROUND(SUM(I120:I123)+SUM(I126:I132)+I151,5)</f>
        <v>6225</v>
      </c>
      <c r="J152" s="55">
        <f t="shared" si="126"/>
        <v>7299</v>
      </c>
      <c r="K152" s="55">
        <f t="shared" si="126"/>
        <v>1977</v>
      </c>
      <c r="L152" s="55">
        <f t="shared" si="126"/>
        <v>2200</v>
      </c>
      <c r="M152" s="55">
        <f t="shared" si="126"/>
        <v>7634</v>
      </c>
      <c r="N152" s="55">
        <f t="shared" si="126"/>
        <v>2200</v>
      </c>
      <c r="O152" s="55">
        <f t="shared" si="126"/>
        <v>2200</v>
      </c>
      <c r="P152" s="55">
        <f t="shared" si="126"/>
        <v>2770</v>
      </c>
      <c r="Q152" s="55">
        <f t="shared" si="126"/>
        <v>2929</v>
      </c>
      <c r="R152" s="55">
        <f t="shared" si="126"/>
        <v>2200</v>
      </c>
      <c r="S152" s="55">
        <f t="shared" si="126"/>
        <v>2245</v>
      </c>
      <c r="T152" s="55">
        <f t="shared" si="126"/>
        <v>2305</v>
      </c>
      <c r="U152" s="55">
        <f t="shared" si="109"/>
        <v>42184</v>
      </c>
      <c r="V152" s="68">
        <f>ROUND(SUM(V120:V123)+SUM(V126:V132)+V151,5)</f>
        <v>5121.8500000000004</v>
      </c>
      <c r="W152" s="96">
        <f>ROUND(SUM(W120:W123)+SUM(W126:W132)+W151,5)</f>
        <v>37062.15</v>
      </c>
    </row>
    <row r="153" spans="1:23" x14ac:dyDescent="0.2">
      <c r="A153" s="51"/>
      <c r="B153" s="51"/>
      <c r="C153" s="51"/>
      <c r="D153" s="51"/>
      <c r="E153" s="51" t="s">
        <v>135</v>
      </c>
      <c r="F153" s="51"/>
      <c r="G153" s="51"/>
      <c r="H153" s="51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>
        <f t="shared" si="109"/>
        <v>0</v>
      </c>
      <c r="V153" s="68"/>
      <c r="W153" s="96">
        <f t="shared" si="108"/>
        <v>0</v>
      </c>
    </row>
    <row r="154" spans="1:23" hidden="1" x14ac:dyDescent="0.2">
      <c r="A154" s="51"/>
      <c r="B154" s="51"/>
      <c r="C154" s="51"/>
      <c r="D154" s="51"/>
      <c r="E154" s="51"/>
      <c r="F154" s="51" t="s">
        <v>179</v>
      </c>
      <c r="G154" s="51"/>
      <c r="H154" s="51"/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5">
        <f t="shared" si="109"/>
        <v>0</v>
      </c>
      <c r="V154" s="68"/>
      <c r="W154" s="96">
        <f t="shared" si="108"/>
        <v>0</v>
      </c>
    </row>
    <row r="155" spans="1:23" x14ac:dyDescent="0.2">
      <c r="A155" s="51"/>
      <c r="B155" s="51"/>
      <c r="C155" s="51"/>
      <c r="D155" s="51"/>
      <c r="E155" s="51"/>
      <c r="F155" s="51" t="s">
        <v>136</v>
      </c>
      <c r="G155" s="51"/>
      <c r="H155" s="51"/>
      <c r="I155" s="56">
        <v>200</v>
      </c>
      <c r="J155" s="56">
        <v>0</v>
      </c>
      <c r="K155" s="56">
        <v>0</v>
      </c>
      <c r="L155" s="56">
        <v>300</v>
      </c>
      <c r="M155" s="56">
        <v>0</v>
      </c>
      <c r="N155" s="56">
        <v>0</v>
      </c>
      <c r="O155" s="56">
        <v>200</v>
      </c>
      <c r="P155" s="56">
        <v>0</v>
      </c>
      <c r="Q155" s="56">
        <v>300</v>
      </c>
      <c r="R155" s="56">
        <v>0</v>
      </c>
      <c r="S155" s="56">
        <v>200</v>
      </c>
      <c r="T155" s="56">
        <v>0</v>
      </c>
      <c r="U155" s="56">
        <f t="shared" si="109"/>
        <v>1200</v>
      </c>
      <c r="V155" s="68"/>
      <c r="W155" s="97">
        <f t="shared" si="108"/>
        <v>1200</v>
      </c>
    </row>
    <row r="156" spans="1:23" hidden="1" x14ac:dyDescent="0.2">
      <c r="A156" s="51"/>
      <c r="B156" s="51"/>
      <c r="C156" s="51"/>
      <c r="D156" s="51"/>
      <c r="E156" s="51"/>
      <c r="F156" s="51" t="s">
        <v>180</v>
      </c>
      <c r="G156" s="51"/>
      <c r="H156" s="51"/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f t="shared" si="109"/>
        <v>0</v>
      </c>
      <c r="V156" s="68"/>
      <c r="W156" s="97">
        <f t="shared" si="108"/>
        <v>0</v>
      </c>
    </row>
    <row r="157" spans="1:23" x14ac:dyDescent="0.2">
      <c r="A157" s="51"/>
      <c r="B157" s="51"/>
      <c r="C157" s="51"/>
      <c r="D157" s="51"/>
      <c r="E157" s="51"/>
      <c r="F157" s="51" t="s">
        <v>181</v>
      </c>
      <c r="G157" s="51"/>
      <c r="H157" s="51"/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50</v>
      </c>
      <c r="R157" s="56">
        <v>0</v>
      </c>
      <c r="S157" s="56">
        <v>0</v>
      </c>
      <c r="T157" s="56">
        <v>0</v>
      </c>
      <c r="U157" s="56">
        <f t="shared" si="109"/>
        <v>50</v>
      </c>
      <c r="V157" s="68"/>
      <c r="W157" s="97">
        <f t="shared" si="108"/>
        <v>50</v>
      </c>
    </row>
    <row r="158" spans="1:23" x14ac:dyDescent="0.2">
      <c r="A158" s="51"/>
      <c r="B158" s="51"/>
      <c r="C158" s="51"/>
      <c r="D158" s="51"/>
      <c r="E158" s="51" t="s">
        <v>137</v>
      </c>
      <c r="F158" s="51"/>
      <c r="G158" s="51"/>
      <c r="H158" s="51"/>
      <c r="I158" s="55">
        <f>ROUND(SUM(I153:I157),5)</f>
        <v>200</v>
      </c>
      <c r="J158" s="55">
        <f t="shared" ref="J158:W158" si="127">ROUND(SUM(J153:J157),5)</f>
        <v>0</v>
      </c>
      <c r="K158" s="55">
        <f t="shared" si="127"/>
        <v>0</v>
      </c>
      <c r="L158" s="55">
        <f t="shared" si="127"/>
        <v>300</v>
      </c>
      <c r="M158" s="55">
        <f t="shared" si="127"/>
        <v>0</v>
      </c>
      <c r="N158" s="55">
        <f t="shared" si="127"/>
        <v>0</v>
      </c>
      <c r="O158" s="55">
        <f t="shared" si="127"/>
        <v>200</v>
      </c>
      <c r="P158" s="55">
        <f t="shared" si="127"/>
        <v>0</v>
      </c>
      <c r="Q158" s="55">
        <f t="shared" si="127"/>
        <v>350</v>
      </c>
      <c r="R158" s="55">
        <f t="shared" si="127"/>
        <v>0</v>
      </c>
      <c r="S158" s="55">
        <f t="shared" si="127"/>
        <v>200</v>
      </c>
      <c r="T158" s="55">
        <f t="shared" si="127"/>
        <v>0</v>
      </c>
      <c r="U158" s="55">
        <f t="shared" si="109"/>
        <v>1250</v>
      </c>
      <c r="V158" s="68">
        <f t="shared" si="127"/>
        <v>0</v>
      </c>
      <c r="W158" s="96">
        <f t="shared" si="127"/>
        <v>1250</v>
      </c>
    </row>
    <row r="159" spans="1:23" hidden="1" x14ac:dyDescent="0.2">
      <c r="A159" s="51"/>
      <c r="B159" s="51"/>
      <c r="C159" s="51"/>
      <c r="D159" s="51"/>
      <c r="E159" s="51" t="s">
        <v>182</v>
      </c>
      <c r="F159" s="51"/>
      <c r="G159" s="51"/>
      <c r="H159" s="51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>
        <f t="shared" si="109"/>
        <v>0</v>
      </c>
      <c r="V159" s="68"/>
      <c r="W159" s="96">
        <f t="shared" si="108"/>
        <v>0</v>
      </c>
    </row>
    <row r="160" spans="1:23" hidden="1" x14ac:dyDescent="0.2">
      <c r="A160" s="51"/>
      <c r="B160" s="51"/>
      <c r="C160" s="51"/>
      <c r="D160" s="51"/>
      <c r="E160" s="51"/>
      <c r="F160" s="51" t="s">
        <v>183</v>
      </c>
      <c r="G160" s="51"/>
      <c r="H160" s="51"/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5">
        <f t="shared" si="109"/>
        <v>0</v>
      </c>
      <c r="V160" s="68"/>
      <c r="W160" s="96">
        <f t="shared" si="108"/>
        <v>0</v>
      </c>
    </row>
    <row r="161" spans="1:23" hidden="1" x14ac:dyDescent="0.2">
      <c r="A161" s="51"/>
      <c r="B161" s="51"/>
      <c r="C161" s="51"/>
      <c r="D161" s="51"/>
      <c r="E161" s="51"/>
      <c r="F161" s="51" t="s">
        <v>184</v>
      </c>
      <c r="G161" s="51"/>
      <c r="H161" s="51"/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5">
        <f t="shared" si="109"/>
        <v>0</v>
      </c>
      <c r="V161" s="68"/>
      <c r="W161" s="96">
        <f t="shared" si="108"/>
        <v>0</v>
      </c>
    </row>
    <row r="162" spans="1:23" hidden="1" x14ac:dyDescent="0.2">
      <c r="A162" s="51"/>
      <c r="B162" s="51"/>
      <c r="C162" s="51"/>
      <c r="D162" s="51"/>
      <c r="E162" s="51"/>
      <c r="F162" s="51" t="s">
        <v>185</v>
      </c>
      <c r="G162" s="51"/>
      <c r="H162" s="51"/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5">
        <f t="shared" si="109"/>
        <v>0</v>
      </c>
      <c r="V162" s="68"/>
      <c r="W162" s="96">
        <f t="shared" si="108"/>
        <v>0</v>
      </c>
    </row>
    <row r="163" spans="1:23" hidden="1" x14ac:dyDescent="0.2">
      <c r="A163" s="51"/>
      <c r="B163" s="51"/>
      <c r="C163" s="51"/>
      <c r="D163" s="51"/>
      <c r="E163" s="51" t="s">
        <v>203</v>
      </c>
      <c r="F163" s="51"/>
      <c r="G163" s="51"/>
      <c r="H163" s="51"/>
      <c r="I163" s="55">
        <f>ROUND(SUM(I160:I162),5)</f>
        <v>0</v>
      </c>
      <c r="J163" s="55">
        <f t="shared" ref="J163:W163" si="128">ROUND(SUM(J160:J162),5)</f>
        <v>0</v>
      </c>
      <c r="K163" s="55">
        <f t="shared" si="128"/>
        <v>0</v>
      </c>
      <c r="L163" s="55">
        <f t="shared" si="128"/>
        <v>0</v>
      </c>
      <c r="M163" s="55">
        <f t="shared" si="128"/>
        <v>0</v>
      </c>
      <c r="N163" s="55">
        <f>ROUND(SUM(N160:N162),5)</f>
        <v>0</v>
      </c>
      <c r="O163" s="55">
        <f t="shared" si="128"/>
        <v>0</v>
      </c>
      <c r="P163" s="55">
        <f t="shared" si="128"/>
        <v>0</v>
      </c>
      <c r="Q163" s="55">
        <f t="shared" si="128"/>
        <v>0</v>
      </c>
      <c r="R163" s="55">
        <f t="shared" si="128"/>
        <v>0</v>
      </c>
      <c r="S163" s="55">
        <f t="shared" si="128"/>
        <v>0</v>
      </c>
      <c r="T163" s="55">
        <f t="shared" si="128"/>
        <v>0</v>
      </c>
      <c r="U163" s="55">
        <f t="shared" si="109"/>
        <v>0</v>
      </c>
      <c r="V163" s="68">
        <f t="shared" si="128"/>
        <v>0</v>
      </c>
      <c r="W163" s="96">
        <f t="shared" si="128"/>
        <v>0</v>
      </c>
    </row>
    <row r="164" spans="1:23" x14ac:dyDescent="0.2">
      <c r="A164" s="51"/>
      <c r="B164" s="51"/>
      <c r="C164" s="51"/>
      <c r="D164" s="51"/>
      <c r="E164" s="51" t="s">
        <v>186</v>
      </c>
      <c r="F164" s="51"/>
      <c r="G164" s="51"/>
      <c r="H164" s="51"/>
      <c r="I164" s="55">
        <v>0</v>
      </c>
      <c r="J164" s="55">
        <v>400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400</v>
      </c>
      <c r="Q164" s="55">
        <v>0</v>
      </c>
      <c r="R164" s="55">
        <v>0</v>
      </c>
      <c r="S164" s="55">
        <v>0</v>
      </c>
      <c r="T164" s="55">
        <v>0</v>
      </c>
      <c r="U164" s="55">
        <f t="shared" si="109"/>
        <v>800</v>
      </c>
      <c r="V164" s="68"/>
      <c r="W164" s="96">
        <f t="shared" si="108"/>
        <v>800</v>
      </c>
    </row>
    <row r="165" spans="1:23" x14ac:dyDescent="0.2">
      <c r="A165" s="51"/>
      <c r="B165" s="51"/>
      <c r="C165" s="51"/>
      <c r="D165" s="51"/>
      <c r="E165" s="51" t="s">
        <v>187</v>
      </c>
      <c r="F165" s="51"/>
      <c r="G165" s="51"/>
      <c r="H165" s="51"/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200</v>
      </c>
      <c r="Q165" s="55">
        <v>0</v>
      </c>
      <c r="R165" s="55">
        <v>0</v>
      </c>
      <c r="S165" s="55">
        <v>0</v>
      </c>
      <c r="T165" s="55">
        <v>0</v>
      </c>
      <c r="U165" s="55">
        <f t="shared" si="109"/>
        <v>200</v>
      </c>
      <c r="V165" s="68"/>
      <c r="W165" s="96">
        <f t="shared" si="108"/>
        <v>200</v>
      </c>
    </row>
    <row r="166" spans="1:23" x14ac:dyDescent="0.2">
      <c r="A166" s="51"/>
      <c r="B166" s="51"/>
      <c r="C166" s="51"/>
      <c r="D166" s="51"/>
      <c r="E166" s="51" t="s">
        <v>139</v>
      </c>
      <c r="F166" s="51"/>
      <c r="G166" s="51"/>
      <c r="H166" s="51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>
        <f t="shared" si="109"/>
        <v>0</v>
      </c>
      <c r="V166" s="68"/>
      <c r="W166" s="96">
        <f t="shared" si="108"/>
        <v>0</v>
      </c>
    </row>
    <row r="167" spans="1:23" x14ac:dyDescent="0.2">
      <c r="A167" s="51"/>
      <c r="B167" s="51"/>
      <c r="C167" s="51"/>
      <c r="D167" s="51"/>
      <c r="E167" s="51"/>
      <c r="F167" s="51" t="s">
        <v>188</v>
      </c>
      <c r="G167" s="51"/>
      <c r="H167" s="51"/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f t="shared" si="109"/>
        <v>0</v>
      </c>
      <c r="V167" s="68"/>
      <c r="W167" s="96">
        <f t="shared" si="108"/>
        <v>0</v>
      </c>
    </row>
    <row r="168" spans="1:23" x14ac:dyDescent="0.2">
      <c r="A168" s="51"/>
      <c r="B168" s="51"/>
      <c r="C168" s="51"/>
      <c r="D168" s="51"/>
      <c r="E168" s="51"/>
      <c r="F168" s="51" t="s">
        <v>140</v>
      </c>
      <c r="G168" s="51"/>
      <c r="H168" s="51"/>
      <c r="I168" s="55">
        <v>4200</v>
      </c>
      <c r="J168" s="55">
        <v>0</v>
      </c>
      <c r="K168" s="55">
        <v>0</v>
      </c>
      <c r="L168" s="55">
        <v>4200</v>
      </c>
      <c r="M168" s="55">
        <v>0</v>
      </c>
      <c r="N168" s="55">
        <v>0</v>
      </c>
      <c r="O168" s="55">
        <v>4200</v>
      </c>
      <c r="P168" s="55">
        <v>0</v>
      </c>
      <c r="Q168" s="55">
        <v>0</v>
      </c>
      <c r="R168" s="55">
        <v>4200</v>
      </c>
      <c r="S168" s="55">
        <v>0</v>
      </c>
      <c r="T168" s="55">
        <v>0</v>
      </c>
      <c r="U168" s="55">
        <f t="shared" si="109"/>
        <v>16800</v>
      </c>
      <c r="V168" s="68"/>
      <c r="W168" s="96">
        <f t="shared" si="108"/>
        <v>16800</v>
      </c>
    </row>
    <row r="169" spans="1:23" hidden="1" x14ac:dyDescent="0.2">
      <c r="A169" s="51"/>
      <c r="B169" s="51"/>
      <c r="C169" s="51"/>
      <c r="D169" s="51"/>
      <c r="E169" s="51"/>
      <c r="F169" s="51" t="s">
        <v>189</v>
      </c>
      <c r="G169" s="51"/>
      <c r="H169" s="51"/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f t="shared" si="109"/>
        <v>0</v>
      </c>
      <c r="V169" s="68"/>
      <c r="W169" s="96">
        <f t="shared" si="108"/>
        <v>0</v>
      </c>
    </row>
    <row r="170" spans="1:23" hidden="1" x14ac:dyDescent="0.2">
      <c r="A170" s="51"/>
      <c r="B170" s="51"/>
      <c r="C170" s="51"/>
      <c r="D170" s="51"/>
      <c r="E170" s="51"/>
      <c r="F170" s="51" t="s">
        <v>190</v>
      </c>
      <c r="G170" s="51"/>
      <c r="H170" s="51"/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f t="shared" si="109"/>
        <v>0</v>
      </c>
      <c r="V170" s="68"/>
      <c r="W170" s="96">
        <f t="shared" si="108"/>
        <v>0</v>
      </c>
    </row>
    <row r="171" spans="1:23" x14ac:dyDescent="0.2">
      <c r="A171" s="51"/>
      <c r="B171" s="51"/>
      <c r="C171" s="51"/>
      <c r="D171" s="51"/>
      <c r="E171" s="51"/>
      <c r="F171" s="51" t="s">
        <v>141</v>
      </c>
      <c r="G171" s="51"/>
      <c r="H171" s="51"/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f t="shared" si="109"/>
        <v>0</v>
      </c>
      <c r="V171" s="68"/>
      <c r="W171" s="96">
        <f t="shared" si="108"/>
        <v>0</v>
      </c>
    </row>
    <row r="172" spans="1:23" x14ac:dyDescent="0.2">
      <c r="A172" s="51"/>
      <c r="B172" s="51"/>
      <c r="C172" s="51"/>
      <c r="D172" s="51"/>
      <c r="E172" s="51"/>
      <c r="F172" s="51"/>
      <c r="G172" s="51" t="s">
        <v>142</v>
      </c>
      <c r="H172" s="51"/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f t="shared" si="109"/>
        <v>0</v>
      </c>
      <c r="V172" s="68"/>
      <c r="W172" s="96">
        <f t="shared" si="108"/>
        <v>0</v>
      </c>
    </row>
    <row r="173" spans="1:23" ht="12" thickBot="1" x14ac:dyDescent="0.25">
      <c r="A173" s="51"/>
      <c r="B173" s="51"/>
      <c r="C173" s="51"/>
      <c r="D173" s="51"/>
      <c r="E173" s="51"/>
      <c r="F173" s="51"/>
      <c r="G173" s="51" t="s">
        <v>143</v>
      </c>
      <c r="H173" s="51"/>
      <c r="I173" s="57">
        <f>834+208</f>
        <v>1042</v>
      </c>
      <c r="J173" s="57">
        <f t="shared" ref="J173:T173" si="129">834+208</f>
        <v>1042</v>
      </c>
      <c r="K173" s="57">
        <f t="shared" si="129"/>
        <v>1042</v>
      </c>
      <c r="L173" s="57">
        <f t="shared" si="129"/>
        <v>1042</v>
      </c>
      <c r="M173" s="57">
        <f t="shared" si="129"/>
        <v>1042</v>
      </c>
      <c r="N173" s="57">
        <f t="shared" si="129"/>
        <v>1042</v>
      </c>
      <c r="O173" s="57">
        <f t="shared" si="129"/>
        <v>1042</v>
      </c>
      <c r="P173" s="57">
        <f t="shared" si="129"/>
        <v>1042</v>
      </c>
      <c r="Q173" s="57">
        <f t="shared" si="129"/>
        <v>1042</v>
      </c>
      <c r="R173" s="57">
        <f t="shared" si="129"/>
        <v>1042</v>
      </c>
      <c r="S173" s="57">
        <f t="shared" si="129"/>
        <v>1042</v>
      </c>
      <c r="T173" s="57">
        <f t="shared" si="129"/>
        <v>1042</v>
      </c>
      <c r="U173" s="57">
        <f t="shared" si="109"/>
        <v>12504</v>
      </c>
      <c r="V173" s="69"/>
      <c r="W173" s="98">
        <f t="shared" si="108"/>
        <v>12504</v>
      </c>
    </row>
    <row r="174" spans="1:23" x14ac:dyDescent="0.2">
      <c r="A174" s="51"/>
      <c r="B174" s="51"/>
      <c r="C174" s="51"/>
      <c r="D174" s="51"/>
      <c r="E174" s="51"/>
      <c r="F174" s="51" t="s">
        <v>144</v>
      </c>
      <c r="G174" s="51"/>
      <c r="H174" s="51"/>
      <c r="I174" s="55">
        <f t="shared" ref="I174" si="130">ROUND(SUM(I171:I173),5)</f>
        <v>1042</v>
      </c>
      <c r="J174" s="55">
        <f t="shared" ref="J174" si="131">ROUND(SUM(J171:J173),5)</f>
        <v>1042</v>
      </c>
      <c r="K174" s="55">
        <f t="shared" ref="K174" si="132">ROUND(SUM(K171:K173),5)</f>
        <v>1042</v>
      </c>
      <c r="L174" s="55">
        <f t="shared" ref="L174" si="133">ROUND(SUM(L171:L173),5)</f>
        <v>1042</v>
      </c>
      <c r="M174" s="55">
        <f t="shared" ref="M174" si="134">ROUND(SUM(M171:M173),5)</f>
        <v>1042</v>
      </c>
      <c r="N174" s="55">
        <f>ROUND(SUM(N171:N173),5)</f>
        <v>1042</v>
      </c>
      <c r="O174" s="55">
        <f t="shared" ref="O174" si="135">ROUND(SUM(O171:O173),5)</f>
        <v>1042</v>
      </c>
      <c r="P174" s="55">
        <f t="shared" ref="P174" si="136">ROUND(SUM(P171:P173),5)</f>
        <v>1042</v>
      </c>
      <c r="Q174" s="55">
        <f t="shared" ref="Q174" si="137">ROUND(SUM(Q171:Q173),5)</f>
        <v>1042</v>
      </c>
      <c r="R174" s="55">
        <f t="shared" ref="R174" si="138">ROUND(SUM(R171:R173),5)</f>
        <v>1042</v>
      </c>
      <c r="S174" s="55">
        <f t="shared" ref="S174" si="139">ROUND(SUM(S171:S173),5)</f>
        <v>1042</v>
      </c>
      <c r="T174" s="55">
        <f t="shared" ref="T174:W174" si="140">ROUND(SUM(T171:T173),5)</f>
        <v>1042</v>
      </c>
      <c r="U174" s="55">
        <f t="shared" si="109"/>
        <v>12504</v>
      </c>
      <c r="V174" s="68">
        <f t="shared" si="140"/>
        <v>0</v>
      </c>
      <c r="W174" s="96">
        <f t="shared" si="140"/>
        <v>12504</v>
      </c>
    </row>
    <row r="175" spans="1:23" x14ac:dyDescent="0.2">
      <c r="A175" s="51"/>
      <c r="B175" s="51"/>
      <c r="C175" s="51"/>
      <c r="D175" s="51"/>
      <c r="E175" s="51"/>
      <c r="F175" s="51" t="s">
        <v>145</v>
      </c>
      <c r="G175" s="51"/>
      <c r="H175" s="51"/>
      <c r="I175" s="55">
        <v>38</v>
      </c>
      <c r="J175" s="55">
        <v>42</v>
      </c>
      <c r="K175" s="55">
        <v>42</v>
      </c>
      <c r="L175" s="55">
        <v>42</v>
      </c>
      <c r="M175" s="55">
        <v>42</v>
      </c>
      <c r="N175" s="55">
        <v>42</v>
      </c>
      <c r="O175" s="55">
        <v>42</v>
      </c>
      <c r="P175" s="55">
        <v>42</v>
      </c>
      <c r="Q175" s="55">
        <v>42</v>
      </c>
      <c r="R175" s="55">
        <v>42</v>
      </c>
      <c r="S175" s="55">
        <v>42</v>
      </c>
      <c r="T175" s="55">
        <v>42</v>
      </c>
      <c r="U175" s="55">
        <f t="shared" si="109"/>
        <v>500</v>
      </c>
      <c r="V175" s="68"/>
      <c r="W175" s="96">
        <f t="shared" si="108"/>
        <v>500</v>
      </c>
    </row>
    <row r="176" spans="1:23" x14ac:dyDescent="0.2">
      <c r="A176" s="51"/>
      <c r="B176" s="51"/>
      <c r="C176" s="51"/>
      <c r="D176" s="51"/>
      <c r="E176" s="51"/>
      <c r="F176" s="51" t="s">
        <v>146</v>
      </c>
      <c r="G176" s="51"/>
      <c r="H176" s="51"/>
      <c r="I176" s="55">
        <v>1750</v>
      </c>
      <c r="J176" s="55">
        <v>1750</v>
      </c>
      <c r="K176" s="55">
        <v>1900</v>
      </c>
      <c r="L176" s="55">
        <v>1900</v>
      </c>
      <c r="M176" s="55">
        <v>1900</v>
      </c>
      <c r="N176" s="55">
        <v>1900</v>
      </c>
      <c r="O176" s="55">
        <v>1750</v>
      </c>
      <c r="P176" s="55">
        <v>1750</v>
      </c>
      <c r="Q176" s="55">
        <v>1750</v>
      </c>
      <c r="R176" s="55">
        <v>1900</v>
      </c>
      <c r="S176" s="55">
        <v>1900</v>
      </c>
      <c r="T176" s="55">
        <v>1900</v>
      </c>
      <c r="U176" s="55">
        <f t="shared" si="109"/>
        <v>22050</v>
      </c>
      <c r="V176" s="68"/>
      <c r="W176" s="96">
        <f t="shared" si="108"/>
        <v>22050</v>
      </c>
    </row>
    <row r="177" spans="1:23" x14ac:dyDescent="0.2">
      <c r="A177" s="51"/>
      <c r="B177" s="51"/>
      <c r="C177" s="51"/>
      <c r="D177" s="51"/>
      <c r="E177" s="51"/>
      <c r="F177" s="51" t="s">
        <v>234</v>
      </c>
      <c r="G177" s="51"/>
      <c r="H177" s="51"/>
      <c r="I177" s="55">
        <v>86</v>
      </c>
      <c r="J177" s="55">
        <v>86</v>
      </c>
      <c r="K177" s="55">
        <v>86</v>
      </c>
      <c r="L177" s="55">
        <v>86</v>
      </c>
      <c r="M177" s="55">
        <v>86</v>
      </c>
      <c r="N177" s="55">
        <v>86</v>
      </c>
      <c r="O177" s="55">
        <v>86</v>
      </c>
      <c r="P177" s="55">
        <v>86</v>
      </c>
      <c r="Q177" s="55">
        <v>86</v>
      </c>
      <c r="R177" s="55">
        <v>86</v>
      </c>
      <c r="S177" s="55">
        <v>86</v>
      </c>
      <c r="T177" s="55">
        <v>86</v>
      </c>
      <c r="U177" s="55">
        <f t="shared" si="109"/>
        <v>1032</v>
      </c>
      <c r="V177" s="68"/>
      <c r="W177" s="96">
        <f t="shared" si="108"/>
        <v>1032</v>
      </c>
    </row>
    <row r="178" spans="1:23" x14ac:dyDescent="0.2">
      <c r="A178" s="51"/>
      <c r="B178" s="51"/>
      <c r="C178" s="51"/>
      <c r="D178" s="51"/>
      <c r="E178" s="51"/>
      <c r="F178" s="51" t="s">
        <v>148</v>
      </c>
      <c r="G178" s="51"/>
      <c r="H178" s="51"/>
      <c r="I178" s="55">
        <v>200</v>
      </c>
      <c r="J178" s="55">
        <v>200</v>
      </c>
      <c r="K178" s="55">
        <v>200</v>
      </c>
      <c r="L178" s="55">
        <v>200</v>
      </c>
      <c r="M178" s="55">
        <v>200</v>
      </c>
      <c r="N178" s="55">
        <v>200</v>
      </c>
      <c r="O178" s="55">
        <v>200</v>
      </c>
      <c r="P178" s="55">
        <v>200</v>
      </c>
      <c r="Q178" s="55">
        <v>200</v>
      </c>
      <c r="R178" s="55">
        <v>200</v>
      </c>
      <c r="S178" s="55">
        <v>200</v>
      </c>
      <c r="T178" s="55">
        <v>200</v>
      </c>
      <c r="U178" s="55">
        <f t="shared" si="109"/>
        <v>2400</v>
      </c>
      <c r="V178" s="68"/>
      <c r="W178" s="96">
        <f t="shared" si="108"/>
        <v>2400</v>
      </c>
    </row>
    <row r="179" spans="1:23" x14ac:dyDescent="0.2">
      <c r="A179" s="51"/>
      <c r="B179" s="51"/>
      <c r="C179" s="51"/>
      <c r="D179" s="51"/>
      <c r="E179" s="51"/>
      <c r="F179" s="51" t="s">
        <v>149</v>
      </c>
      <c r="G179" s="51"/>
      <c r="H179" s="51"/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f t="shared" si="109"/>
        <v>0</v>
      </c>
      <c r="V179" s="68"/>
      <c r="W179" s="96">
        <f t="shared" si="108"/>
        <v>0</v>
      </c>
    </row>
    <row r="180" spans="1:23" x14ac:dyDescent="0.2">
      <c r="A180" s="51"/>
      <c r="B180" s="51"/>
      <c r="C180" s="51"/>
      <c r="D180" s="51"/>
      <c r="E180" s="51"/>
      <c r="F180" s="51"/>
      <c r="G180" s="51" t="s">
        <v>150</v>
      </c>
      <c r="H180" s="51"/>
      <c r="I180" s="56">
        <v>660</v>
      </c>
      <c r="J180" s="56">
        <v>820</v>
      </c>
      <c r="K180" s="56">
        <v>540</v>
      </c>
      <c r="L180" s="56">
        <v>440</v>
      </c>
      <c r="M180" s="56">
        <v>400</v>
      </c>
      <c r="N180" s="56">
        <v>420</v>
      </c>
      <c r="O180" s="56">
        <v>550</v>
      </c>
      <c r="P180" s="56">
        <v>1150</v>
      </c>
      <c r="Q180" s="56">
        <v>600</v>
      </c>
      <c r="R180" s="56">
        <v>400</v>
      </c>
      <c r="S180" s="56">
        <v>400</v>
      </c>
      <c r="T180" s="56">
        <v>620</v>
      </c>
      <c r="U180" s="56">
        <f t="shared" si="109"/>
        <v>7000</v>
      </c>
      <c r="V180" s="68"/>
      <c r="W180" s="97">
        <f t="shared" si="108"/>
        <v>7000</v>
      </c>
    </row>
    <row r="181" spans="1:23" x14ac:dyDescent="0.2">
      <c r="A181" s="51"/>
      <c r="B181" s="51"/>
      <c r="C181" s="51"/>
      <c r="D181" s="51"/>
      <c r="E181" s="51"/>
      <c r="F181" s="51"/>
      <c r="G181" s="51" t="s">
        <v>191</v>
      </c>
      <c r="H181" s="51"/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f t="shared" si="109"/>
        <v>0</v>
      </c>
      <c r="V181" s="68"/>
      <c r="W181" s="97">
        <f t="shared" si="108"/>
        <v>0</v>
      </c>
    </row>
    <row r="182" spans="1:23" x14ac:dyDescent="0.2">
      <c r="A182" s="51"/>
      <c r="B182" s="51"/>
      <c r="C182" s="51"/>
      <c r="D182" s="51"/>
      <c r="E182" s="51"/>
      <c r="F182" s="51" t="s">
        <v>151</v>
      </c>
      <c r="G182" s="51"/>
      <c r="H182" s="51"/>
      <c r="I182" s="55">
        <f t="shared" ref="I182" si="141">ROUND(SUM(I179:I180),5)</f>
        <v>660</v>
      </c>
      <c r="J182" s="55">
        <f t="shared" ref="J182" si="142">ROUND(SUM(J179:J180),5)</f>
        <v>820</v>
      </c>
      <c r="K182" s="55">
        <f t="shared" ref="K182" si="143">ROUND(SUM(K179:K180),5)</f>
        <v>540</v>
      </c>
      <c r="L182" s="55">
        <f t="shared" ref="L182" si="144">ROUND(SUM(L179:L180),5)</f>
        <v>440</v>
      </c>
      <c r="M182" s="55">
        <f t="shared" ref="M182" si="145">ROUND(SUM(M179:M180),5)</f>
        <v>400</v>
      </c>
      <c r="N182" s="55">
        <f t="shared" ref="N182" si="146">ROUND(SUM(N179:N180),5)</f>
        <v>420</v>
      </c>
      <c r="O182" s="55">
        <f t="shared" ref="O182" si="147">ROUND(SUM(O179:O180),5)</f>
        <v>550</v>
      </c>
      <c r="P182" s="55">
        <f t="shared" ref="P182" si="148">ROUND(SUM(P179:P180),5)</f>
        <v>1150</v>
      </c>
      <c r="Q182" s="55">
        <f t="shared" ref="Q182" si="149">ROUND(SUM(Q179:Q180),5)</f>
        <v>600</v>
      </c>
      <c r="R182" s="55">
        <f t="shared" ref="R182" si="150">ROUND(SUM(R179:R180),5)</f>
        <v>400</v>
      </c>
      <c r="S182" s="55">
        <f t="shared" ref="S182" si="151">ROUND(SUM(S179:S180),5)</f>
        <v>400</v>
      </c>
      <c r="T182" s="55">
        <f t="shared" ref="T182:W182" si="152">ROUND(SUM(T179:T180),5)</f>
        <v>620</v>
      </c>
      <c r="U182" s="55">
        <f t="shared" si="109"/>
        <v>7000</v>
      </c>
      <c r="V182" s="68">
        <f t="shared" si="152"/>
        <v>0</v>
      </c>
      <c r="W182" s="96">
        <f t="shared" si="152"/>
        <v>7000</v>
      </c>
    </row>
    <row r="183" spans="1:23" hidden="1" x14ac:dyDescent="0.2">
      <c r="A183" s="51"/>
      <c r="B183" s="51"/>
      <c r="C183" s="51"/>
      <c r="D183" s="51"/>
      <c r="E183" s="51"/>
      <c r="F183" s="51" t="s">
        <v>192</v>
      </c>
      <c r="G183" s="51"/>
      <c r="H183" s="51"/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f t="shared" si="109"/>
        <v>0</v>
      </c>
      <c r="V183" s="68"/>
      <c r="W183" s="96">
        <f t="shared" si="108"/>
        <v>0</v>
      </c>
    </row>
    <row r="184" spans="1:23" x14ac:dyDescent="0.2">
      <c r="A184" s="51" t="s">
        <v>164</v>
      </c>
      <c r="B184" s="51"/>
      <c r="C184" s="51"/>
      <c r="D184" s="51"/>
      <c r="E184" s="51"/>
      <c r="F184" s="51" t="s">
        <v>152</v>
      </c>
      <c r="G184" s="51"/>
      <c r="H184" s="51"/>
      <c r="I184" s="55">
        <v>69</v>
      </c>
      <c r="J184" s="55">
        <v>0</v>
      </c>
      <c r="K184" s="55">
        <v>0</v>
      </c>
      <c r="L184" s="55">
        <v>69</v>
      </c>
      <c r="M184" s="55">
        <v>0</v>
      </c>
      <c r="N184" s="55">
        <v>0</v>
      </c>
      <c r="O184" s="55">
        <v>69</v>
      </c>
      <c r="P184" s="55">
        <v>0</v>
      </c>
      <c r="Q184" s="55">
        <v>0</v>
      </c>
      <c r="R184" s="55">
        <v>69</v>
      </c>
      <c r="S184" s="55">
        <v>0</v>
      </c>
      <c r="T184" s="55">
        <v>0</v>
      </c>
      <c r="U184" s="55">
        <f t="shared" si="109"/>
        <v>276</v>
      </c>
      <c r="V184" s="68"/>
      <c r="W184" s="96">
        <f t="shared" si="108"/>
        <v>276</v>
      </c>
    </row>
    <row r="185" spans="1:23" x14ac:dyDescent="0.2">
      <c r="A185" s="51"/>
      <c r="B185" s="51"/>
      <c r="C185" s="51"/>
      <c r="D185" s="51"/>
      <c r="E185" s="51"/>
      <c r="F185" s="51" t="s">
        <v>153</v>
      </c>
      <c r="G185" s="51"/>
      <c r="H185" s="51"/>
      <c r="I185" s="55">
        <v>200</v>
      </c>
      <c r="J185" s="55">
        <v>170</v>
      </c>
      <c r="K185" s="55">
        <v>165</v>
      </c>
      <c r="L185" s="55">
        <v>180</v>
      </c>
      <c r="M185" s="55">
        <v>210</v>
      </c>
      <c r="N185" s="55">
        <v>230</v>
      </c>
      <c r="O185" s="55">
        <v>220</v>
      </c>
      <c r="P185" s="55">
        <v>230</v>
      </c>
      <c r="Q185" s="55">
        <v>280</v>
      </c>
      <c r="R185" s="55">
        <v>220</v>
      </c>
      <c r="S185" s="55">
        <v>220</v>
      </c>
      <c r="T185" s="55">
        <v>275</v>
      </c>
      <c r="U185" s="55">
        <f t="shared" si="109"/>
        <v>2600</v>
      </c>
      <c r="V185" s="68"/>
      <c r="W185" s="96">
        <f t="shared" si="108"/>
        <v>2600</v>
      </c>
    </row>
    <row r="186" spans="1:23" s="93" customFormat="1" x14ac:dyDescent="0.2">
      <c r="A186" s="89"/>
      <c r="B186" s="89"/>
      <c r="C186" s="89"/>
      <c r="D186" s="89"/>
      <c r="E186" s="89"/>
      <c r="F186" s="89" t="s">
        <v>154</v>
      </c>
      <c r="G186" s="89"/>
      <c r="H186" s="89"/>
      <c r="I186" s="90">
        <v>85</v>
      </c>
      <c r="J186" s="90">
        <v>85</v>
      </c>
      <c r="K186" s="90">
        <v>85</v>
      </c>
      <c r="L186" s="90">
        <v>85</v>
      </c>
      <c r="M186" s="90">
        <v>85</v>
      </c>
      <c r="N186" s="90">
        <v>85</v>
      </c>
      <c r="O186" s="90">
        <v>85</v>
      </c>
      <c r="P186" s="90">
        <v>85</v>
      </c>
      <c r="Q186" s="90">
        <v>85</v>
      </c>
      <c r="R186" s="90">
        <v>85</v>
      </c>
      <c r="S186" s="90">
        <v>85</v>
      </c>
      <c r="T186" s="90">
        <v>85</v>
      </c>
      <c r="U186" s="90">
        <f t="shared" si="109"/>
        <v>1020</v>
      </c>
      <c r="V186" s="91"/>
      <c r="W186" s="101">
        <f t="shared" si="108"/>
        <v>1020</v>
      </c>
    </row>
    <row r="187" spans="1:23" x14ac:dyDescent="0.2">
      <c r="A187" s="51"/>
      <c r="B187" s="51"/>
      <c r="C187" s="51"/>
      <c r="D187" s="51"/>
      <c r="E187" s="51"/>
      <c r="F187" s="51" t="s">
        <v>155</v>
      </c>
      <c r="G187" s="51"/>
      <c r="H187" s="51"/>
      <c r="I187" s="55">
        <v>110</v>
      </c>
      <c r="J187" s="55">
        <v>110</v>
      </c>
      <c r="K187" s="55">
        <v>110</v>
      </c>
      <c r="L187" s="55">
        <v>110</v>
      </c>
      <c r="M187" s="55">
        <v>110</v>
      </c>
      <c r="N187" s="55">
        <v>110</v>
      </c>
      <c r="O187" s="55">
        <v>110</v>
      </c>
      <c r="P187" s="55">
        <v>110</v>
      </c>
      <c r="Q187" s="55">
        <v>110</v>
      </c>
      <c r="R187" s="55">
        <v>110</v>
      </c>
      <c r="S187" s="55">
        <v>110</v>
      </c>
      <c r="T187" s="55">
        <v>110</v>
      </c>
      <c r="U187" s="55">
        <v>1320</v>
      </c>
      <c r="V187" s="68"/>
      <c r="W187" s="96">
        <f t="shared" si="108"/>
        <v>1320</v>
      </c>
    </row>
    <row r="188" spans="1:23" ht="12" thickBot="1" x14ac:dyDescent="0.25">
      <c r="A188" s="51"/>
      <c r="B188" s="51"/>
      <c r="C188" s="51"/>
      <c r="D188" s="51"/>
      <c r="E188" s="51"/>
      <c r="F188" s="51" t="s">
        <v>156</v>
      </c>
      <c r="G188" s="51"/>
      <c r="H188" s="51"/>
      <c r="I188" s="57">
        <v>65</v>
      </c>
      <c r="J188" s="57">
        <v>60</v>
      </c>
      <c r="K188" s="57">
        <v>60</v>
      </c>
      <c r="L188" s="57">
        <v>65</v>
      </c>
      <c r="M188" s="57">
        <v>60</v>
      </c>
      <c r="N188" s="57">
        <v>65</v>
      </c>
      <c r="O188" s="57">
        <v>60</v>
      </c>
      <c r="P188" s="57">
        <v>65</v>
      </c>
      <c r="Q188" s="57">
        <v>60</v>
      </c>
      <c r="R188" s="57">
        <v>65</v>
      </c>
      <c r="S188" s="57">
        <v>60</v>
      </c>
      <c r="T188" s="57">
        <v>65</v>
      </c>
      <c r="U188" s="57">
        <f t="shared" si="109"/>
        <v>750</v>
      </c>
      <c r="V188" s="69"/>
      <c r="W188" s="98">
        <f t="shared" si="108"/>
        <v>750</v>
      </c>
    </row>
    <row r="189" spans="1:23" x14ac:dyDescent="0.2">
      <c r="A189" s="51"/>
      <c r="B189" s="51"/>
      <c r="C189" s="51"/>
      <c r="D189" s="51"/>
      <c r="E189" s="51" t="s">
        <v>157</v>
      </c>
      <c r="F189" s="51"/>
      <c r="G189" s="51"/>
      <c r="H189" s="51"/>
      <c r="I189" s="55">
        <f>ROUND(SUM(I166:I168)+SUM(I174:I178)+SUM(I182:I188),5)</f>
        <v>8505</v>
      </c>
      <c r="J189" s="55">
        <f t="shared" ref="J189" si="153">ROUND(SUM(J166:J168)+SUM(J174:J178)+SUM(J182:J188),5)</f>
        <v>4365</v>
      </c>
      <c r="K189" s="55">
        <f t="shared" ref="K189" si="154">ROUND(SUM(K166:K168)+SUM(K174:K178)+SUM(K182:K188),5)</f>
        <v>4230</v>
      </c>
      <c r="L189" s="55">
        <f t="shared" ref="L189" si="155">ROUND(SUM(L166:L168)+SUM(L174:L178)+SUM(L182:L188),5)</f>
        <v>8419</v>
      </c>
      <c r="M189" s="55">
        <f t="shared" ref="M189" si="156">ROUND(SUM(M166:M168)+SUM(M174:M178)+SUM(M182:M188),5)</f>
        <v>4135</v>
      </c>
      <c r="N189" s="55">
        <f>ROUND(SUM(N166:N168)+SUM(N174:N178)+SUM(N182:N188),5)</f>
        <v>4180</v>
      </c>
      <c r="O189" s="55">
        <f t="shared" ref="O189" si="157">ROUND(SUM(O166:O168)+SUM(O174:O178)+SUM(O182:O188),5)</f>
        <v>8414</v>
      </c>
      <c r="P189" s="55">
        <f t="shared" ref="P189" si="158">ROUND(SUM(P166:P168)+SUM(P174:P178)+SUM(P182:P188),5)</f>
        <v>4760</v>
      </c>
      <c r="Q189" s="55">
        <f t="shared" ref="Q189" si="159">ROUND(SUM(Q166:Q168)+SUM(Q174:Q178)+SUM(Q182:Q188),5)</f>
        <v>4255</v>
      </c>
      <c r="R189" s="55">
        <f t="shared" ref="R189" si="160">ROUND(SUM(R166:R168)+SUM(R174:R178)+SUM(R182:R188),5)</f>
        <v>8419</v>
      </c>
      <c r="S189" s="55">
        <f t="shared" ref="S189" si="161">ROUND(SUM(S166:S168)+SUM(S174:S178)+SUM(S182:S188),5)</f>
        <v>4145</v>
      </c>
      <c r="T189" s="55">
        <f t="shared" ref="T189:W189" si="162">ROUND(SUM(T166:T168)+SUM(T174:T178)+SUM(T182:T188),5)</f>
        <v>4425</v>
      </c>
      <c r="U189" s="55">
        <f t="shared" si="109"/>
        <v>68252</v>
      </c>
      <c r="V189" s="68">
        <f t="shared" si="162"/>
        <v>0</v>
      </c>
      <c r="W189" s="96">
        <f t="shared" si="162"/>
        <v>68252</v>
      </c>
    </row>
    <row r="190" spans="1:23" x14ac:dyDescent="0.2">
      <c r="A190" s="51"/>
      <c r="B190" s="51"/>
      <c r="C190" s="51"/>
      <c r="D190" s="51"/>
      <c r="E190" s="51" t="s">
        <v>158</v>
      </c>
      <c r="F190" s="51"/>
      <c r="G190" s="51"/>
      <c r="H190" s="51"/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f t="shared" si="109"/>
        <v>0</v>
      </c>
      <c r="V190" s="82"/>
      <c r="W190" s="95">
        <f t="shared" si="108"/>
        <v>0</v>
      </c>
    </row>
    <row r="191" spans="1:23" x14ac:dyDescent="0.2">
      <c r="A191" s="51"/>
      <c r="B191" s="51"/>
      <c r="C191" s="51"/>
      <c r="D191" s="51"/>
      <c r="E191" s="51" t="s">
        <v>193</v>
      </c>
      <c r="F191" s="51"/>
      <c r="G191" s="51"/>
      <c r="H191" s="51"/>
      <c r="I191" s="56">
        <v>2209.1666666666665</v>
      </c>
      <c r="J191" s="56">
        <v>2209.1666666666665</v>
      </c>
      <c r="K191" s="56">
        <v>2209.1666666666665</v>
      </c>
      <c r="L191" s="56">
        <v>2209.1666666666665</v>
      </c>
      <c r="M191" s="56">
        <v>2209.1666666666665</v>
      </c>
      <c r="N191" s="56">
        <v>2209.1666666666665</v>
      </c>
      <c r="O191" s="56">
        <v>2209.1666666666665</v>
      </c>
      <c r="P191" s="56">
        <v>2209.1666666666665</v>
      </c>
      <c r="Q191" s="56">
        <v>2209.1666666666665</v>
      </c>
      <c r="R191" s="56">
        <v>2209.1666666666665</v>
      </c>
      <c r="S191" s="56">
        <v>2209.1666666666665</v>
      </c>
      <c r="T191" s="56">
        <f>2209.16666666667+0.3</f>
        <v>2209.4666666666703</v>
      </c>
      <c r="U191" s="56">
        <f t="shared" si="109"/>
        <v>26510.300000000007</v>
      </c>
      <c r="V191" s="68"/>
      <c r="W191" s="95">
        <f t="shared" si="108"/>
        <v>26510.300000000007</v>
      </c>
    </row>
    <row r="192" spans="1:23" ht="12" thickBot="1" x14ac:dyDescent="0.25">
      <c r="A192" s="51"/>
      <c r="B192" s="51"/>
      <c r="C192" s="51"/>
      <c r="D192" s="51"/>
      <c r="E192" s="51" t="s">
        <v>194</v>
      </c>
      <c r="F192" s="51"/>
      <c r="G192" s="51"/>
      <c r="H192" s="51"/>
      <c r="I192" s="57">
        <v>163.33333333333334</v>
      </c>
      <c r="J192" s="57">
        <v>163.33333333333334</v>
      </c>
      <c r="K192" s="57">
        <v>163.33333333333334</v>
      </c>
      <c r="L192" s="57">
        <v>163.33333333333334</v>
      </c>
      <c r="M192" s="57">
        <v>163.33333333333334</v>
      </c>
      <c r="N192" s="57">
        <v>163.33333333333334</v>
      </c>
      <c r="O192" s="57">
        <v>163.33333333333334</v>
      </c>
      <c r="P192" s="57">
        <v>163.33333333333334</v>
      </c>
      <c r="Q192" s="57">
        <v>163.33333333333334</v>
      </c>
      <c r="R192" s="57">
        <v>163.33333333333334</v>
      </c>
      <c r="S192" s="57">
        <v>163.33333333333334</v>
      </c>
      <c r="T192" s="57">
        <v>163.33333333333334</v>
      </c>
      <c r="U192" s="56">
        <f t="shared" si="109"/>
        <v>1959.9999999999998</v>
      </c>
      <c r="V192" s="68"/>
      <c r="W192" s="95">
        <f t="shared" si="108"/>
        <v>1959.9999999999998</v>
      </c>
    </row>
    <row r="193" spans="1:24" ht="12" thickBot="1" x14ac:dyDescent="0.25">
      <c r="A193" s="51"/>
      <c r="B193" s="51"/>
      <c r="C193" s="51"/>
      <c r="D193" s="51" t="s">
        <v>159</v>
      </c>
      <c r="E193" s="51"/>
      <c r="F193" s="51"/>
      <c r="G193" s="51"/>
      <c r="H193" s="51"/>
      <c r="I193" s="56">
        <f t="shared" ref="I193:T193" si="163">ROUND(I56+I110+I119+I152+SUM(I158:I165)+SUM(I189:I192),5)</f>
        <v>49221.839169999999</v>
      </c>
      <c r="J193" s="56">
        <f t="shared" si="163"/>
        <v>44116.839169999999</v>
      </c>
      <c r="K193" s="56">
        <f t="shared" si="163"/>
        <v>50822.407550000004</v>
      </c>
      <c r="L193" s="56">
        <f t="shared" si="163"/>
        <v>48271.839169999999</v>
      </c>
      <c r="M193" s="56">
        <f t="shared" si="163"/>
        <v>43972.839169999999</v>
      </c>
      <c r="N193" s="56">
        <f t="shared" si="163"/>
        <v>38664.839169999999</v>
      </c>
      <c r="O193" s="56">
        <f t="shared" si="163"/>
        <v>44241.839169999999</v>
      </c>
      <c r="P193" s="56">
        <f t="shared" si="163"/>
        <v>41262.839169999999</v>
      </c>
      <c r="Q193" s="56">
        <f t="shared" si="163"/>
        <v>70788.407550000004</v>
      </c>
      <c r="R193" s="56">
        <f t="shared" si="163"/>
        <v>42851.839169999999</v>
      </c>
      <c r="S193" s="56">
        <f t="shared" si="163"/>
        <v>38830.839169999999</v>
      </c>
      <c r="T193" s="56">
        <f t="shared" si="163"/>
        <v>38941.139170000002</v>
      </c>
      <c r="U193" s="66">
        <f t="shared" si="109"/>
        <v>551987.50679999997</v>
      </c>
      <c r="V193" s="72">
        <f>ROUND(V56+V110+V119+V152+SUM(V158:V165)+SUM(V189:V192),5)</f>
        <v>215884.53150000001</v>
      </c>
      <c r="W193" s="102">
        <f t="shared" si="108"/>
        <v>336102.97529999993</v>
      </c>
      <c r="X193" s="74"/>
    </row>
    <row r="194" spans="1:24" ht="12" thickBot="1" x14ac:dyDescent="0.25">
      <c r="A194" s="51"/>
      <c r="B194" s="51" t="s">
        <v>160</v>
      </c>
      <c r="C194" s="51"/>
      <c r="D194" s="51"/>
      <c r="E194" s="51"/>
      <c r="F194" s="51"/>
      <c r="G194" s="51"/>
      <c r="H194" s="51"/>
      <c r="I194" s="59">
        <f t="shared" ref="I194:T194" si="164">ROUND(I2+I51-I193,5)</f>
        <v>-21372.052500000002</v>
      </c>
      <c r="J194" s="59">
        <f t="shared" si="164"/>
        <v>-14165.782499999999</v>
      </c>
      <c r="K194" s="59">
        <f t="shared" si="164"/>
        <v>-16757.45088</v>
      </c>
      <c r="L194" s="59">
        <f t="shared" si="164"/>
        <v>-21681.912499999999</v>
      </c>
      <c r="M194" s="59">
        <f t="shared" si="164"/>
        <v>-16927.732499999998</v>
      </c>
      <c r="N194" s="59">
        <f t="shared" si="164"/>
        <v>12725.7775</v>
      </c>
      <c r="O194" s="59">
        <f t="shared" si="164"/>
        <v>-19696.4025</v>
      </c>
      <c r="P194" s="59">
        <f t="shared" si="164"/>
        <v>-5361.2524999999996</v>
      </c>
      <c r="Q194" s="59">
        <f t="shared" si="164"/>
        <v>57918.059119999998</v>
      </c>
      <c r="R194" s="59">
        <f t="shared" si="164"/>
        <v>18790.797500000001</v>
      </c>
      <c r="S194" s="59">
        <f t="shared" si="164"/>
        <v>5719.1274999999996</v>
      </c>
      <c r="T194" s="59">
        <f t="shared" si="164"/>
        <v>21161.197499999998</v>
      </c>
      <c r="U194" s="59">
        <f>U193-U51</f>
        <v>-0.40320000005885959</v>
      </c>
      <c r="V194" s="71">
        <f>V193-V45</f>
        <v>-0.46849999998812564</v>
      </c>
      <c r="W194" s="100">
        <f t="shared" si="108"/>
        <v>6.529999992926605E-2</v>
      </c>
    </row>
    <row r="195" spans="1:24" s="84" customFormat="1" ht="12" thickBot="1" x14ac:dyDescent="0.25">
      <c r="A195" s="51" t="s">
        <v>161</v>
      </c>
      <c r="B195" s="51"/>
      <c r="C195" s="51"/>
      <c r="D195" s="51"/>
      <c r="E195" s="51"/>
      <c r="F195" s="51"/>
      <c r="G195" s="51"/>
      <c r="H195" s="51"/>
      <c r="I195" s="60">
        <f t="shared" ref="I195:R195" si="165">I194</f>
        <v>-21372.052500000002</v>
      </c>
      <c r="J195" s="60">
        <f t="shared" si="165"/>
        <v>-14165.782499999999</v>
      </c>
      <c r="K195" s="60">
        <f t="shared" si="165"/>
        <v>-16757.45088</v>
      </c>
      <c r="L195" s="60">
        <f t="shared" si="165"/>
        <v>-21681.912499999999</v>
      </c>
      <c r="M195" s="60">
        <f t="shared" si="165"/>
        <v>-16927.732499999998</v>
      </c>
      <c r="N195" s="60">
        <f t="shared" si="165"/>
        <v>12725.7775</v>
      </c>
      <c r="O195" s="60">
        <f t="shared" si="165"/>
        <v>-19696.4025</v>
      </c>
      <c r="P195" s="60">
        <f t="shared" si="165"/>
        <v>-5361.2524999999996</v>
      </c>
      <c r="Q195" s="60">
        <f t="shared" si="165"/>
        <v>57918.059119999998</v>
      </c>
      <c r="R195" s="60">
        <f t="shared" si="165"/>
        <v>18790.797500000001</v>
      </c>
      <c r="S195" s="60">
        <f t="shared" ref="S195:T195" si="166">S194</f>
        <v>5719.1274999999996</v>
      </c>
      <c r="T195" s="60">
        <f t="shared" si="166"/>
        <v>21161.197499999998</v>
      </c>
      <c r="U195" s="60">
        <f>U194</f>
        <v>-0.40320000005885959</v>
      </c>
      <c r="V195" s="73">
        <f t="shared" ref="V195:W195" si="167">V194</f>
        <v>-0.46849999998812564</v>
      </c>
      <c r="W195" s="103">
        <f t="shared" si="167"/>
        <v>6.529999992926605E-2</v>
      </c>
    </row>
    <row r="196" spans="1:24" ht="12" thickTop="1" x14ac:dyDescent="0.2">
      <c r="U196" s="61"/>
    </row>
    <row r="197" spans="1:24" x14ac:dyDescent="0.2">
      <c r="U197" s="65"/>
    </row>
  </sheetData>
  <pageMargins left="0.2" right="0.2" top="0.75" bottom="0.25" header="0.1" footer="0"/>
  <pageSetup scale="55" fitToHeight="8" orientation="landscape" r:id="rId1"/>
  <headerFooter>
    <oddHeader>&amp;L&amp;"Arial,Bold"&amp;8 &amp;C&amp;"Arial,Bold"&amp;12 Rest Stop Ministries, Inc.
&amp;14 2021 Budget Final</oddHeader>
    <oddFooter>&amp;R&amp;"Arial,Bold"&amp;8 Page &amp;P of &amp;N</oddFooter>
  </headerFooter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142875</xdr:colOff>
                <xdr:row>0</xdr:row>
                <xdr:rowOff>285750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142875</xdr:colOff>
                <xdr:row>0</xdr:row>
                <xdr:rowOff>285750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4" sqref="G14"/>
    </sheetView>
  </sheetViews>
  <sheetFormatPr defaultRowHeight="15" x14ac:dyDescent="0.25"/>
  <cols>
    <col min="2" max="2" width="11.5703125" style="75" bestFit="1" customWidth="1"/>
    <col min="3" max="3" width="10.5703125" style="75" bestFit="1" customWidth="1"/>
    <col min="4" max="4" width="11.5703125" style="75" bestFit="1" customWidth="1"/>
    <col min="5" max="5" width="15.28515625" style="75" bestFit="1" customWidth="1"/>
    <col min="6" max="6" width="8.28515625" style="75" bestFit="1" customWidth="1"/>
    <col min="7" max="7" width="9.7109375" style="75" customWidth="1"/>
  </cols>
  <sheetData>
    <row r="1" spans="1:8" s="77" customFormat="1" x14ac:dyDescent="0.25">
      <c r="B1" s="79" t="s">
        <v>228</v>
      </c>
      <c r="C1" s="79" t="s">
        <v>229</v>
      </c>
      <c r="D1" s="79" t="s">
        <v>230</v>
      </c>
      <c r="E1" s="79" t="s">
        <v>231</v>
      </c>
      <c r="F1" s="79" t="s">
        <v>232</v>
      </c>
      <c r="G1" s="79" t="s">
        <v>233</v>
      </c>
      <c r="H1" s="81" t="s">
        <v>230</v>
      </c>
    </row>
    <row r="2" spans="1:8" x14ac:dyDescent="0.25">
      <c r="A2" t="s">
        <v>216</v>
      </c>
      <c r="B2" s="75">
        <v>0</v>
      </c>
      <c r="E2" s="75">
        <f>24224/12</f>
        <v>2018.6666666666667</v>
      </c>
      <c r="F2" s="75">
        <f>'12 Mth Budget Spread'!$V$145/12</f>
        <v>426.82083333333338</v>
      </c>
      <c r="G2" s="75">
        <f>4851/12</f>
        <v>404.25</v>
      </c>
      <c r="H2" s="76">
        <f>SUM(D2:G2)</f>
        <v>2849.7375000000002</v>
      </c>
    </row>
    <row r="3" spans="1:8" x14ac:dyDescent="0.25">
      <c r="A3" t="s">
        <v>217</v>
      </c>
      <c r="B3" s="75">
        <v>12946</v>
      </c>
      <c r="C3" s="75">
        <f>B3*(0.062+0.0145)</f>
        <v>990.36900000000003</v>
      </c>
      <c r="D3" s="75">
        <f>SUM(B3:C3)</f>
        <v>13936.369000000001</v>
      </c>
      <c r="E3" s="75">
        <f>24224/12</f>
        <v>2018.6666666666667</v>
      </c>
      <c r="F3" s="75">
        <f>'12 Mth Budget Spread'!$V$145/12</f>
        <v>426.82083333333338</v>
      </c>
      <c r="G3" s="75">
        <f t="shared" ref="G3:G13" si="0">4851/12</f>
        <v>404.25</v>
      </c>
      <c r="H3" s="76">
        <f>SUM(D3:G3)</f>
        <v>16786.106500000002</v>
      </c>
    </row>
    <row r="4" spans="1:8" x14ac:dyDescent="0.25">
      <c r="A4" t="s">
        <v>218</v>
      </c>
      <c r="B4" s="75">
        <v>12946</v>
      </c>
      <c r="C4" s="75">
        <f t="shared" ref="C4:C13" si="1">B4*(0.062+0.0145)</f>
        <v>990.36900000000003</v>
      </c>
      <c r="D4" s="75">
        <f t="shared" ref="D4:D13" si="2">SUM(B4:C4)</f>
        <v>13936.369000000001</v>
      </c>
      <c r="E4" s="75">
        <f t="shared" ref="E4:E13" si="3">24224/12</f>
        <v>2018.6666666666667</v>
      </c>
      <c r="F4" s="75">
        <f>'12 Mth Budget Spread'!$V$145/12</f>
        <v>426.82083333333338</v>
      </c>
      <c r="G4" s="75">
        <f t="shared" si="0"/>
        <v>404.25</v>
      </c>
      <c r="H4" s="76">
        <f t="shared" ref="H4:H13" si="4">SUM(D4:G4)</f>
        <v>16786.106500000002</v>
      </c>
    </row>
    <row r="5" spans="1:8" x14ac:dyDescent="0.25">
      <c r="A5" t="s">
        <v>219</v>
      </c>
      <c r="B5" s="75">
        <v>19419</v>
      </c>
      <c r="C5" s="75">
        <f t="shared" si="1"/>
        <v>1485.5535</v>
      </c>
      <c r="D5" s="75">
        <f t="shared" si="2"/>
        <v>20904.553500000002</v>
      </c>
      <c r="E5" s="75">
        <f t="shared" si="3"/>
        <v>2018.6666666666667</v>
      </c>
      <c r="F5" s="75">
        <f>'12 Mth Budget Spread'!$V$145/12</f>
        <v>426.82083333333338</v>
      </c>
      <c r="G5" s="75">
        <f t="shared" si="0"/>
        <v>404.25</v>
      </c>
      <c r="H5" s="76">
        <f t="shared" si="4"/>
        <v>23754.291000000005</v>
      </c>
    </row>
    <row r="6" spans="1:8" x14ac:dyDescent="0.25">
      <c r="A6" t="s">
        <v>220</v>
      </c>
      <c r="B6" s="75">
        <v>13896</v>
      </c>
      <c r="C6" s="75">
        <f t="shared" si="1"/>
        <v>1063.0439999999999</v>
      </c>
      <c r="D6" s="75">
        <f t="shared" si="2"/>
        <v>14959.044</v>
      </c>
      <c r="E6" s="75">
        <f t="shared" si="3"/>
        <v>2018.6666666666667</v>
      </c>
      <c r="F6" s="75">
        <f>'12 Mth Budget Spread'!$V$145/12</f>
        <v>426.82083333333338</v>
      </c>
      <c r="G6" s="75">
        <f t="shared" si="0"/>
        <v>404.25</v>
      </c>
      <c r="H6" s="76">
        <f t="shared" si="4"/>
        <v>17808.781500000001</v>
      </c>
    </row>
    <row r="7" spans="1:8" x14ac:dyDescent="0.25">
      <c r="A7" t="s">
        <v>221</v>
      </c>
      <c r="B7" s="75">
        <v>13896</v>
      </c>
      <c r="C7" s="75">
        <f t="shared" si="1"/>
        <v>1063.0439999999999</v>
      </c>
      <c r="D7" s="75">
        <f t="shared" si="2"/>
        <v>14959.044</v>
      </c>
      <c r="E7" s="75">
        <f t="shared" si="3"/>
        <v>2018.6666666666667</v>
      </c>
      <c r="F7" s="75">
        <f>'12 Mth Budget Spread'!$V$145/12</f>
        <v>426.82083333333338</v>
      </c>
      <c r="G7" s="75">
        <f t="shared" si="0"/>
        <v>404.25</v>
      </c>
      <c r="H7" s="76">
        <f t="shared" si="4"/>
        <v>17808.781500000001</v>
      </c>
    </row>
    <row r="8" spans="1:8" x14ac:dyDescent="0.25">
      <c r="A8" t="s">
        <v>222</v>
      </c>
      <c r="B8" s="75">
        <v>13896</v>
      </c>
      <c r="C8" s="75">
        <f t="shared" si="1"/>
        <v>1063.0439999999999</v>
      </c>
      <c r="D8" s="75">
        <f t="shared" si="2"/>
        <v>14959.044</v>
      </c>
      <c r="E8" s="75">
        <f t="shared" si="3"/>
        <v>2018.6666666666667</v>
      </c>
      <c r="F8" s="75">
        <f>'12 Mth Budget Spread'!$V$145/12</f>
        <v>426.82083333333338</v>
      </c>
      <c r="G8" s="75">
        <f t="shared" si="0"/>
        <v>404.25</v>
      </c>
      <c r="H8" s="76">
        <f t="shared" si="4"/>
        <v>17808.781500000001</v>
      </c>
    </row>
    <row r="9" spans="1:8" x14ac:dyDescent="0.25">
      <c r="A9" t="s">
        <v>223</v>
      </c>
      <c r="B9" s="75">
        <v>13146</v>
      </c>
      <c r="C9" s="75">
        <f t="shared" si="1"/>
        <v>1005.669</v>
      </c>
      <c r="D9" s="75">
        <f t="shared" si="2"/>
        <v>14151.669</v>
      </c>
      <c r="E9" s="75">
        <f t="shared" si="3"/>
        <v>2018.6666666666667</v>
      </c>
      <c r="F9" s="75">
        <f>'12 Mth Budget Spread'!$V$145/12</f>
        <v>426.82083333333338</v>
      </c>
      <c r="G9" s="75">
        <f t="shared" si="0"/>
        <v>404.25</v>
      </c>
      <c r="H9" s="76">
        <f t="shared" si="4"/>
        <v>17001.406500000001</v>
      </c>
    </row>
    <row r="10" spans="1:8" x14ac:dyDescent="0.25">
      <c r="A10" t="s">
        <v>224</v>
      </c>
      <c r="B10" s="75">
        <v>19719</v>
      </c>
      <c r="C10" s="75">
        <f t="shared" si="1"/>
        <v>1508.5035</v>
      </c>
      <c r="D10" s="75">
        <f t="shared" si="2"/>
        <v>21227.503499999999</v>
      </c>
      <c r="E10" s="75">
        <f t="shared" si="3"/>
        <v>2018.6666666666667</v>
      </c>
      <c r="F10" s="75">
        <f>'12 Mth Budget Spread'!$V$145/12</f>
        <v>426.82083333333338</v>
      </c>
      <c r="G10" s="75">
        <f t="shared" si="0"/>
        <v>404.25</v>
      </c>
      <c r="H10" s="76">
        <f t="shared" si="4"/>
        <v>24077.241000000002</v>
      </c>
    </row>
    <row r="11" spans="1:8" x14ac:dyDescent="0.25">
      <c r="A11" t="s">
        <v>225</v>
      </c>
      <c r="B11" s="75">
        <v>13146</v>
      </c>
      <c r="C11" s="75">
        <f t="shared" si="1"/>
        <v>1005.669</v>
      </c>
      <c r="D11" s="75">
        <f t="shared" si="2"/>
        <v>14151.669</v>
      </c>
      <c r="E11" s="75">
        <f t="shared" si="3"/>
        <v>2018.6666666666667</v>
      </c>
      <c r="F11" s="75">
        <f>'12 Mth Budget Spread'!$V$145/12</f>
        <v>426.82083333333338</v>
      </c>
      <c r="G11" s="75">
        <f t="shared" si="0"/>
        <v>404.25</v>
      </c>
      <c r="H11" s="76">
        <f t="shared" si="4"/>
        <v>17001.406500000001</v>
      </c>
    </row>
    <row r="12" spans="1:8" x14ac:dyDescent="0.25">
      <c r="A12" t="s">
        <v>226</v>
      </c>
      <c r="B12" s="75">
        <v>13146</v>
      </c>
      <c r="C12" s="75">
        <f t="shared" si="1"/>
        <v>1005.669</v>
      </c>
      <c r="D12" s="75">
        <f t="shared" si="2"/>
        <v>14151.669</v>
      </c>
      <c r="E12" s="75">
        <f t="shared" si="3"/>
        <v>2018.6666666666667</v>
      </c>
      <c r="F12" s="75">
        <f>'12 Mth Budget Spread'!$V$145/12</f>
        <v>426.82083333333338</v>
      </c>
      <c r="G12" s="75">
        <f t="shared" si="0"/>
        <v>404.25</v>
      </c>
      <c r="H12" s="76">
        <f t="shared" si="4"/>
        <v>17001.406500000001</v>
      </c>
    </row>
    <row r="13" spans="1:8" x14ac:dyDescent="0.25">
      <c r="A13" t="s">
        <v>227</v>
      </c>
      <c r="B13" s="75">
        <v>13146</v>
      </c>
      <c r="C13" s="75">
        <f t="shared" si="1"/>
        <v>1005.669</v>
      </c>
      <c r="D13" s="75">
        <f t="shared" si="2"/>
        <v>14151.669</v>
      </c>
      <c r="E13" s="75">
        <f t="shared" si="3"/>
        <v>2018.6666666666667</v>
      </c>
      <c r="F13" s="75">
        <f>'12 Mth Budget Spread'!$V$145/12</f>
        <v>426.82083333333338</v>
      </c>
      <c r="G13" s="75">
        <f t="shared" si="0"/>
        <v>404.25</v>
      </c>
      <c r="H13" s="76">
        <f t="shared" si="4"/>
        <v>17001.406500000001</v>
      </c>
    </row>
    <row r="14" spans="1:8" x14ac:dyDescent="0.25">
      <c r="B14" s="78">
        <f>SUM(B1:B13)</f>
        <v>159302</v>
      </c>
      <c r="C14" s="78">
        <f t="shared" ref="C14" si="5">SUM(C1:C13)</f>
        <v>12186.602999999999</v>
      </c>
      <c r="D14" s="80">
        <f t="shared" ref="D14:G14" si="6">SUM(D2:D13)</f>
        <v>171488.60299999997</v>
      </c>
      <c r="E14" s="80">
        <f t="shared" si="6"/>
        <v>24224.000000000004</v>
      </c>
      <c r="F14" s="80">
        <f t="shared" si="6"/>
        <v>5121.8499999999995</v>
      </c>
      <c r="G14" s="80">
        <f t="shared" si="6"/>
        <v>4851</v>
      </c>
      <c r="H14" s="80">
        <f>SUM(H2:H13)</f>
        <v>205685.45300000004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0.140625" style="52" bestFit="1" customWidth="1"/>
  </cols>
  <sheetData>
    <row r="1" spans="1:1" x14ac:dyDescent="0.25">
      <c r="A1" s="52">
        <v>35000</v>
      </c>
    </row>
    <row r="2" spans="1:1" x14ac:dyDescent="0.25">
      <c r="A2" s="5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QuickBooks Export Tips</vt:lpstr>
      <vt:lpstr>Actual</vt:lpstr>
      <vt:lpstr>Proposed</vt:lpstr>
      <vt:lpstr>12 Mth Budget Spread</vt:lpstr>
      <vt:lpstr>OVC Grant Monthly Det</vt:lpstr>
      <vt:lpstr>Sheet3</vt:lpstr>
      <vt:lpstr>'12 Mth Budget Spread'!Print_Area</vt:lpstr>
      <vt:lpstr>'12 Mth Budget Spread'!Print_Titles</vt:lpstr>
      <vt:lpstr>Actual!Print_Titles</vt:lpstr>
      <vt:lpstr>Proposed!Print_Titles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RondySmith</cp:lastModifiedBy>
  <cp:lastPrinted>2021-01-21T19:29:08Z</cp:lastPrinted>
  <dcterms:created xsi:type="dcterms:W3CDTF">2017-11-17T19:35:09Z</dcterms:created>
  <dcterms:modified xsi:type="dcterms:W3CDTF">2021-01-21T23:43:43Z</dcterms:modified>
</cp:coreProperties>
</file>