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ummary" sheetId="1" r:id="rId1"/>
    <sheet name="monthly" sheetId="2" r:id="rId2"/>
    <sheet name="wage allocation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"/>
  <c r="L18" i="3"/>
  <c r="K18"/>
  <c r="J18"/>
  <c r="G18"/>
  <c r="L8"/>
  <c r="I4"/>
  <c r="D4"/>
  <c r="F2"/>
  <c r="F18" s="1"/>
  <c r="M6" l="1"/>
  <c r="I14" i="1"/>
  <c r="I63" l="1"/>
  <c r="I59"/>
  <c r="I58"/>
  <c r="I57"/>
  <c r="I56"/>
  <c r="I55"/>
  <c r="I54"/>
  <c r="I53"/>
  <c r="I52"/>
  <c r="I51"/>
  <c r="I50"/>
  <c r="I49"/>
  <c r="I47"/>
  <c r="I46"/>
  <c r="I45"/>
  <c r="I36"/>
  <c r="I35" l="1"/>
  <c r="I31"/>
  <c r="I30"/>
  <c r="I29"/>
  <c r="I28"/>
  <c r="I27"/>
  <c r="I24"/>
  <c r="I21"/>
  <c r="I19"/>
  <c r="I16"/>
  <c r="I12"/>
  <c r="I10"/>
  <c r="K61"/>
  <c r="K56"/>
  <c r="K66"/>
  <c r="K38"/>
  <c r="I3" i="3"/>
  <c r="I18" s="1"/>
  <c r="H3"/>
  <c r="M14"/>
  <c r="K11"/>
  <c r="J11"/>
  <c r="C11"/>
  <c r="L11"/>
  <c r="G11"/>
  <c r="D5"/>
  <c r="E5"/>
  <c r="M7"/>
  <c r="G42" i="1"/>
  <c r="E2" i="3"/>
  <c r="E18" s="1"/>
  <c r="D2"/>
  <c r="D18" s="1"/>
  <c r="H18" l="1"/>
  <c r="D42" i="1" s="1"/>
  <c r="C42"/>
  <c r="E11" i="3"/>
  <c r="F41" i="1" s="1"/>
  <c r="E42"/>
  <c r="K68"/>
  <c r="D11" i="3"/>
  <c r="C41" i="1" s="1"/>
  <c r="F11" i="3"/>
  <c r="G41" i="1" s="1"/>
  <c r="I11" i="3"/>
  <c r="E41" i="1" s="1"/>
  <c r="M3" i="3"/>
  <c r="H11"/>
  <c r="M8"/>
  <c r="M5"/>
  <c r="M4"/>
  <c r="M2"/>
  <c r="F42" i="1" l="1"/>
  <c r="I42" s="1"/>
  <c r="M18" i="3"/>
  <c r="D41" i="1"/>
  <c r="M11" i="3"/>
  <c r="G38" i="1"/>
  <c r="F38"/>
  <c r="E38"/>
  <c r="D38"/>
  <c r="C38"/>
  <c r="G66"/>
  <c r="E66"/>
  <c r="C44"/>
  <c r="I44" s="1"/>
  <c r="I67"/>
  <c r="F66" l="1"/>
  <c r="F68" s="1"/>
  <c r="D66"/>
  <c r="D68" s="1"/>
  <c r="I66"/>
  <c r="G68"/>
  <c r="E68"/>
  <c r="C66"/>
  <c r="C68" l="1"/>
  <c r="I38"/>
  <c r="I68" s="1"/>
</calcChain>
</file>

<file path=xl/comments1.xml><?xml version="1.0" encoding="utf-8"?>
<comments xmlns="http://schemas.openxmlformats.org/spreadsheetml/2006/main">
  <authors>
    <author>tkeller</author>
  </authors>
  <commentList>
    <comment ref="F47" authorId="0">
      <text>
        <r>
          <rPr>
            <b/>
            <sz val="9"/>
            <color indexed="81"/>
            <rFont val="Tahoma"/>
            <family val="2"/>
          </rPr>
          <t>tkeller:</t>
        </r>
        <r>
          <rPr>
            <sz val="9"/>
            <color indexed="81"/>
            <rFont val="Tahoma"/>
            <family val="2"/>
          </rPr>
          <t xml:space="preserve">
SJ &amp; VSI</t>
        </r>
      </text>
    </comment>
  </commentList>
</comments>
</file>

<file path=xl/comments2.xml><?xml version="1.0" encoding="utf-8"?>
<comments xmlns="http://schemas.openxmlformats.org/spreadsheetml/2006/main">
  <authors>
    <author>tkeller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tkeller:</t>
        </r>
        <r>
          <rPr>
            <sz val="9"/>
            <color indexed="81"/>
            <rFont val="Tahoma"/>
            <family val="2"/>
          </rPr>
          <t xml:space="preserve">
20 MOW / 10 FRC</t>
        </r>
      </text>
    </comment>
  </commentList>
</comments>
</file>

<file path=xl/sharedStrings.xml><?xml version="1.0" encoding="utf-8"?>
<sst xmlns="http://schemas.openxmlformats.org/spreadsheetml/2006/main" count="98" uniqueCount="98">
  <si>
    <t>Bethlehem Centers of Nashville</t>
  </si>
  <si>
    <t>TOTAL</t>
  </si>
  <si>
    <t>Actual</t>
  </si>
  <si>
    <t>Administration</t>
  </si>
  <si>
    <t>Hot Lunch</t>
  </si>
  <si>
    <t>Sr. Club</t>
  </si>
  <si>
    <t>Youth</t>
  </si>
  <si>
    <t>Fam Resource Ctr</t>
  </si>
  <si>
    <t>2018-19</t>
  </si>
  <si>
    <t>Revenue:</t>
  </si>
  <si>
    <t>United Way</t>
  </si>
  <si>
    <t>TN Youth support grants (TDMHSAS)</t>
  </si>
  <si>
    <t>MDHA summer program</t>
  </si>
  <si>
    <t>Summer program fees</t>
  </si>
  <si>
    <t>Family Collective</t>
  </si>
  <si>
    <t>Emerg Food Shelter program</t>
  </si>
  <si>
    <t>HCA Foundation</t>
  </si>
  <si>
    <t>West End Home Foundation</t>
  </si>
  <si>
    <t>Nashville Predators</t>
  </si>
  <si>
    <t>Community Foundation</t>
  </si>
  <si>
    <t>Keith Urban Foundation</t>
  </si>
  <si>
    <t>Cal Turner Foundation</t>
  </si>
  <si>
    <t>Nashville Rotary Trust</t>
  </si>
  <si>
    <t>Memorial Foundation</t>
  </si>
  <si>
    <t>Maddox Foundation</t>
  </si>
  <si>
    <t>Joe C. Davis Foundation</t>
  </si>
  <si>
    <t>Other Foundations</t>
  </si>
  <si>
    <t>Other Corporate</t>
  </si>
  <si>
    <t>GBGM support</t>
  </si>
  <si>
    <t>Churches</t>
  </si>
  <si>
    <t>UM Women</t>
  </si>
  <si>
    <t>Individuals</t>
  </si>
  <si>
    <t>Fundraisers - Big Payback</t>
  </si>
  <si>
    <t>Rent 15 th Ave.</t>
  </si>
  <si>
    <t>Rent Other building use</t>
  </si>
  <si>
    <t>Interest revenue</t>
  </si>
  <si>
    <t>Total Revenue</t>
  </si>
  <si>
    <t>Expenses:</t>
  </si>
  <si>
    <t>Salary &amp; wages</t>
  </si>
  <si>
    <t>Benefits</t>
  </si>
  <si>
    <t>Food</t>
  </si>
  <si>
    <t xml:space="preserve">Accounting </t>
  </si>
  <si>
    <t>Audit fees</t>
  </si>
  <si>
    <t>Bank fees &amp; charges</t>
  </si>
  <si>
    <t>Contract labor</t>
  </si>
  <si>
    <t>Payroll fees</t>
  </si>
  <si>
    <t>Utilities</t>
  </si>
  <si>
    <t>Janitorial service</t>
  </si>
  <si>
    <t>Janitorial supplies</t>
  </si>
  <si>
    <t>IT service, security &amp; fees</t>
  </si>
  <si>
    <t>Copier/office supplies</t>
  </si>
  <si>
    <t>Postage &amp; printing</t>
  </si>
  <si>
    <t>Telephone/internet</t>
  </si>
  <si>
    <t>Grounds</t>
  </si>
  <si>
    <t>Dues &amp; memberships</t>
  </si>
  <si>
    <t>Conferences &amp; travel</t>
  </si>
  <si>
    <t>Insurance</t>
  </si>
  <si>
    <t>Travel &amp; transportation</t>
  </si>
  <si>
    <t>Program supplies &amp; expense</t>
  </si>
  <si>
    <t>Building repair</t>
  </si>
  <si>
    <t>Equipment repair</t>
  </si>
  <si>
    <t>Depreciation</t>
  </si>
  <si>
    <t>Other</t>
  </si>
  <si>
    <t>Total expense:</t>
  </si>
  <si>
    <t>Net revenue</t>
  </si>
  <si>
    <t>Staff</t>
  </si>
  <si>
    <t>adm</t>
  </si>
  <si>
    <t>syst</t>
  </si>
  <si>
    <t>frc</t>
  </si>
  <si>
    <t>FRC-Spark</t>
  </si>
  <si>
    <t>MOW</t>
  </si>
  <si>
    <t>SR</t>
  </si>
  <si>
    <t>SJ</t>
  </si>
  <si>
    <t>VSI</t>
  </si>
  <si>
    <t>NAZA</t>
  </si>
  <si>
    <t>ed</t>
  </si>
  <si>
    <t>sr</t>
  </si>
  <si>
    <t>sneed</t>
  </si>
  <si>
    <t>front desk</t>
  </si>
  <si>
    <t>full time case manager</t>
  </si>
  <si>
    <t>MOW - connie</t>
  </si>
  <si>
    <t>13 hrs per week @ 10</t>
  </si>
  <si>
    <t>Contract</t>
  </si>
  <si>
    <t>MOW assist/Spark</t>
  </si>
  <si>
    <t>MOw assist</t>
  </si>
  <si>
    <t>6 hrs per week @ 10</t>
  </si>
  <si>
    <t>Benefits @10%</t>
  </si>
  <si>
    <t>reg + 9900 FC</t>
  </si>
  <si>
    <t>37.5 hrs per week @ 11</t>
  </si>
  <si>
    <t>37.5 hrs per week @ 15</t>
  </si>
  <si>
    <t>90 hrs / week @ 10</t>
  </si>
  <si>
    <t>youth-NAZA/ (3)</t>
  </si>
  <si>
    <t>33.5 hrs per week @ 10</t>
  </si>
  <si>
    <t>Family &amp; Children's Services</t>
  </si>
  <si>
    <t>Cigna</t>
  </si>
  <si>
    <t>NAZA /NPL</t>
  </si>
  <si>
    <t>Approved</t>
  </si>
  <si>
    <t xml:space="preserve">Budget 2023-2024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</si>
</sst>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1" xfId="1" applyNumberFormat="1" applyFont="1" applyBorder="1"/>
    <xf numFmtId="164" fontId="2" fillId="0" borderId="0" xfId="1" applyNumberFormat="1" applyFont="1" applyFill="1" applyBorder="1"/>
    <xf numFmtId="0" fontId="0" fillId="2" borderId="0" xfId="0" applyFill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0" fontId="7" fillId="0" borderId="0" xfId="0" applyFont="1" applyAlignment="1">
      <alignment horizontal="center"/>
    </xf>
    <xf numFmtId="164" fontId="6" fillId="0" borderId="0" xfId="1" applyNumberFormat="1" applyFont="1"/>
    <xf numFmtId="164" fontId="6" fillId="0" borderId="0" xfId="1" applyNumberFormat="1" applyFont="1" applyFill="1"/>
    <xf numFmtId="0" fontId="6" fillId="0" borderId="0" xfId="0" applyFont="1" applyFill="1"/>
    <xf numFmtId="164" fontId="6" fillId="0" borderId="1" xfId="1" applyNumberFormat="1" applyFont="1" applyBorder="1"/>
    <xf numFmtId="164" fontId="6" fillId="0" borderId="0" xfId="1" applyNumberFormat="1" applyFont="1" applyFill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workbookViewId="0">
      <pane xSplit="1" topLeftCell="B1" activePane="topRight" state="frozen"/>
      <selection pane="topRight" activeCell="P13" sqref="P13"/>
    </sheetView>
  </sheetViews>
  <sheetFormatPr defaultRowHeight="15.75"/>
  <cols>
    <col min="1" max="1" width="42.28515625" style="7" customWidth="1"/>
    <col min="2" max="2" width="13.7109375" style="7" hidden="1" customWidth="1"/>
    <col min="3" max="3" width="17.140625" style="7" hidden="1" customWidth="1"/>
    <col min="4" max="4" width="17.7109375" style="7" hidden="1" customWidth="1"/>
    <col min="5" max="5" width="15.7109375" style="7" hidden="1" customWidth="1"/>
    <col min="6" max="6" width="17.140625" style="7" hidden="1" customWidth="1"/>
    <col min="7" max="7" width="17.28515625" style="7" hidden="1" customWidth="1"/>
    <col min="8" max="8" width="4.28515625" style="7" hidden="1" customWidth="1"/>
    <col min="9" max="9" width="21.28515625" style="7" customWidth="1"/>
    <col min="10" max="10" width="20.42578125" style="1" customWidth="1"/>
    <col min="11" max="11" width="14" style="2" hidden="1" customWidth="1"/>
    <col min="12" max="13" width="0" style="1" hidden="1" customWidth="1"/>
    <col min="14" max="16384" width="9.140625" style="1"/>
  </cols>
  <sheetData>
    <row r="1" spans="1:13" ht="21">
      <c r="A1" s="6" t="s">
        <v>0</v>
      </c>
      <c r="B1" s="6"/>
      <c r="I1" s="8" t="s">
        <v>96</v>
      </c>
    </row>
    <row r="2" spans="1:13">
      <c r="A2" s="7" t="s">
        <v>97</v>
      </c>
    </row>
    <row r="4" spans="1:13">
      <c r="I4" s="16" t="s">
        <v>1</v>
      </c>
      <c r="J4" s="15"/>
      <c r="K4" s="2" t="s">
        <v>2</v>
      </c>
    </row>
    <row r="5" spans="1:13"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J5" s="15"/>
      <c r="K5" s="2" t="s">
        <v>8</v>
      </c>
    </row>
    <row r="6" spans="1:13">
      <c r="A6" s="7" t="s">
        <v>9</v>
      </c>
    </row>
    <row r="7" spans="1:13">
      <c r="A7" s="12" t="s">
        <v>10</v>
      </c>
      <c r="C7" s="10">
        <v>7500</v>
      </c>
      <c r="D7" s="11"/>
      <c r="E7" s="11"/>
      <c r="G7" s="11">
        <v>84000</v>
      </c>
      <c r="H7" s="10"/>
      <c r="I7" s="10">
        <v>88500</v>
      </c>
      <c r="J7" s="17"/>
      <c r="K7" s="2">
        <v>88548.25</v>
      </c>
      <c r="M7" s="1">
        <v>90000</v>
      </c>
    </row>
    <row r="8" spans="1:13">
      <c r="A8" s="12"/>
      <c r="C8" s="10"/>
      <c r="D8" s="11"/>
      <c r="E8" s="11"/>
      <c r="F8" s="11"/>
      <c r="G8" s="11"/>
      <c r="H8" s="10"/>
      <c r="I8" s="10"/>
      <c r="J8" s="17"/>
      <c r="M8" s="1">
        <v>0</v>
      </c>
    </row>
    <row r="9" spans="1:13">
      <c r="A9" s="12" t="s">
        <v>93</v>
      </c>
      <c r="C9" s="10"/>
      <c r="D9" s="11"/>
      <c r="E9" s="11"/>
      <c r="F9" s="11"/>
      <c r="G9" s="11"/>
      <c r="H9" s="10"/>
      <c r="I9" s="10"/>
      <c r="J9" s="17"/>
      <c r="M9" s="1">
        <v>0</v>
      </c>
    </row>
    <row r="10" spans="1:13">
      <c r="A10" s="12" t="s">
        <v>11</v>
      </c>
      <c r="C10" s="10"/>
      <c r="D10" s="11"/>
      <c r="E10" s="11"/>
      <c r="F10" s="11">
        <v>78000</v>
      </c>
      <c r="G10" s="11"/>
      <c r="H10" s="10"/>
      <c r="I10" s="10">
        <f t="shared" ref="I10:I36" si="0">SUM(C10:G10)</f>
        <v>78000</v>
      </c>
      <c r="J10" s="17"/>
      <c r="K10" s="2">
        <v>79050</v>
      </c>
      <c r="M10" s="1">
        <v>78000</v>
      </c>
    </row>
    <row r="11" spans="1:13">
      <c r="A11" s="12" t="s">
        <v>12</v>
      </c>
      <c r="C11" s="10"/>
      <c r="D11" s="11"/>
      <c r="E11" s="11"/>
      <c r="F11" s="11">
        <v>31092</v>
      </c>
      <c r="G11" s="11"/>
      <c r="H11" s="10"/>
      <c r="I11" s="10">
        <v>32500</v>
      </c>
      <c r="J11" s="17"/>
      <c r="K11" s="2">
        <v>21583</v>
      </c>
      <c r="M11" s="1">
        <v>27500</v>
      </c>
    </row>
    <row r="12" spans="1:13">
      <c r="A12" s="12" t="s">
        <v>13</v>
      </c>
      <c r="C12" s="10"/>
      <c r="D12" s="11"/>
      <c r="E12" s="11"/>
      <c r="F12" s="11">
        <v>500</v>
      </c>
      <c r="G12" s="11"/>
      <c r="H12" s="10"/>
      <c r="I12" s="10">
        <f t="shared" si="0"/>
        <v>500</v>
      </c>
      <c r="J12" s="17"/>
      <c r="K12" s="2">
        <v>1050</v>
      </c>
      <c r="M12" s="1">
        <v>4000</v>
      </c>
    </row>
    <row r="13" spans="1:13">
      <c r="A13" s="12" t="s">
        <v>94</v>
      </c>
      <c r="C13" s="10"/>
      <c r="D13" s="11">
        <v>5000</v>
      </c>
      <c r="E13" s="11"/>
      <c r="F13" s="11"/>
      <c r="G13" s="11"/>
      <c r="H13" s="10"/>
      <c r="I13" s="10">
        <v>15000</v>
      </c>
      <c r="J13" s="17"/>
    </row>
    <row r="14" spans="1:13">
      <c r="A14" s="12" t="s">
        <v>14</v>
      </c>
      <c r="C14" s="10"/>
      <c r="D14" s="11">
        <v>0</v>
      </c>
      <c r="E14" s="11"/>
      <c r="F14" s="11"/>
      <c r="G14" s="11">
        <v>136000</v>
      </c>
      <c r="H14" s="10"/>
      <c r="I14" s="10">
        <f t="shared" si="0"/>
        <v>136000</v>
      </c>
      <c r="J14" s="17"/>
    </row>
    <row r="15" spans="1:13">
      <c r="A15" s="12" t="s">
        <v>15</v>
      </c>
      <c r="C15" s="10"/>
      <c r="D15" s="11">
        <v>6586</v>
      </c>
      <c r="E15" s="11"/>
      <c r="F15" s="11"/>
      <c r="G15" s="11"/>
      <c r="H15" s="10"/>
      <c r="I15" s="10">
        <v>11224</v>
      </c>
      <c r="J15" s="17"/>
    </row>
    <row r="16" spans="1:13">
      <c r="A16" s="7" t="s">
        <v>16</v>
      </c>
      <c r="C16" s="10"/>
      <c r="D16" s="11">
        <v>25000</v>
      </c>
      <c r="E16" s="11"/>
      <c r="F16" s="11"/>
      <c r="G16" s="11"/>
      <c r="H16" s="10"/>
      <c r="I16" s="10">
        <f t="shared" si="0"/>
        <v>25000</v>
      </c>
      <c r="J16" s="2"/>
      <c r="K16" s="2">
        <v>25500</v>
      </c>
      <c r="M16" s="1">
        <v>25000</v>
      </c>
    </row>
    <row r="17" spans="1:13">
      <c r="A17" s="7" t="s">
        <v>17</v>
      </c>
      <c r="C17" s="10"/>
      <c r="D17" s="11">
        <v>69700</v>
      </c>
      <c r="E17" s="11">
        <v>15000</v>
      </c>
      <c r="F17" s="11"/>
      <c r="G17" s="11"/>
      <c r="H17" s="10"/>
      <c r="I17" s="10">
        <v>80000</v>
      </c>
      <c r="J17" s="2"/>
      <c r="K17" s="2">
        <v>65000</v>
      </c>
      <c r="M17" s="1">
        <v>70000</v>
      </c>
    </row>
    <row r="18" spans="1:13">
      <c r="A18" s="7" t="s">
        <v>95</v>
      </c>
      <c r="C18" s="10"/>
      <c r="D18" s="11"/>
      <c r="E18" s="11"/>
      <c r="F18" s="11">
        <v>30000</v>
      </c>
      <c r="G18" s="11"/>
      <c r="H18" s="10"/>
      <c r="I18" s="10">
        <v>106510</v>
      </c>
      <c r="J18" s="2"/>
      <c r="K18" s="2">
        <v>20728</v>
      </c>
      <c r="M18" s="1">
        <v>21450</v>
      </c>
    </row>
    <row r="19" spans="1:13">
      <c r="A19" s="7" t="s">
        <v>18</v>
      </c>
      <c r="C19" s="10"/>
      <c r="D19" s="11"/>
      <c r="E19" s="11"/>
      <c r="F19" s="11"/>
      <c r="G19" s="11">
        <v>2400</v>
      </c>
      <c r="H19" s="10"/>
      <c r="I19" s="10">
        <f t="shared" si="0"/>
        <v>2400</v>
      </c>
      <c r="J19" s="2"/>
      <c r="K19" s="2">
        <v>2400</v>
      </c>
      <c r="M19" s="1">
        <v>2400</v>
      </c>
    </row>
    <row r="20" spans="1:13">
      <c r="A20" s="7" t="s">
        <v>19</v>
      </c>
      <c r="C20" s="10"/>
      <c r="D20" s="11"/>
      <c r="E20" s="11">
        <v>11700</v>
      </c>
      <c r="F20" s="11"/>
      <c r="G20" s="11"/>
      <c r="H20" s="10"/>
      <c r="I20" s="10">
        <v>12000</v>
      </c>
      <c r="J20" s="2"/>
      <c r="K20" s="2">
        <v>9750</v>
      </c>
      <c r="M20" s="1">
        <v>9450</v>
      </c>
    </row>
    <row r="21" spans="1:13">
      <c r="A21" s="7" t="s">
        <v>20</v>
      </c>
      <c r="C21" s="10"/>
      <c r="D21" s="11">
        <v>7500</v>
      </c>
      <c r="E21" s="11"/>
      <c r="F21" s="11"/>
      <c r="G21" s="11"/>
      <c r="H21" s="10"/>
      <c r="I21" s="10">
        <f t="shared" si="0"/>
        <v>7500</v>
      </c>
      <c r="J21" s="2"/>
      <c r="K21" s="2">
        <v>10000</v>
      </c>
      <c r="M21" s="1">
        <v>5000</v>
      </c>
    </row>
    <row r="22" spans="1:13">
      <c r="A22" s="12" t="s">
        <v>21</v>
      </c>
      <c r="B22" s="12"/>
      <c r="C22" s="10"/>
      <c r="D22" s="11"/>
      <c r="E22" s="11"/>
      <c r="F22" s="11"/>
      <c r="G22" s="11"/>
      <c r="H22" s="10"/>
      <c r="I22" s="10">
        <v>2400</v>
      </c>
      <c r="J22" s="2"/>
      <c r="K22" s="2">
        <v>29140</v>
      </c>
      <c r="M22" s="1">
        <v>0</v>
      </c>
    </row>
    <row r="23" spans="1:13">
      <c r="A23" s="7" t="s">
        <v>22</v>
      </c>
      <c r="C23" s="10"/>
      <c r="D23" s="11">
        <v>22500</v>
      </c>
      <c r="E23" s="11"/>
      <c r="F23" s="11"/>
      <c r="G23" s="11"/>
      <c r="H23" s="10"/>
      <c r="I23" s="10">
        <v>0</v>
      </c>
      <c r="J23" s="2"/>
      <c r="K23" s="2">
        <v>22500</v>
      </c>
      <c r="M23" s="1">
        <v>22500</v>
      </c>
    </row>
    <row r="24" spans="1:13">
      <c r="A24" s="7" t="s">
        <v>23</v>
      </c>
      <c r="C24" s="10">
        <v>2500</v>
      </c>
      <c r="D24" s="11">
        <v>5000</v>
      </c>
      <c r="E24" s="11">
        <v>5000</v>
      </c>
      <c r="F24" s="11">
        <v>17500</v>
      </c>
      <c r="G24" s="11"/>
      <c r="H24" s="10"/>
      <c r="I24" s="10">
        <f t="shared" si="0"/>
        <v>30000</v>
      </c>
      <c r="J24" s="2"/>
      <c r="K24" s="2">
        <v>30000</v>
      </c>
      <c r="M24" s="1">
        <v>25000</v>
      </c>
    </row>
    <row r="25" spans="1:13">
      <c r="A25" s="12" t="s">
        <v>24</v>
      </c>
      <c r="B25" s="12"/>
      <c r="C25" s="10"/>
      <c r="D25" s="11"/>
      <c r="E25" s="11"/>
      <c r="F25" s="11">
        <v>10000</v>
      </c>
      <c r="G25" s="11"/>
      <c r="H25" s="10"/>
      <c r="I25" s="10">
        <v>15000</v>
      </c>
      <c r="J25" s="2"/>
      <c r="K25" s="2">
        <v>10000</v>
      </c>
      <c r="M25" s="1">
        <v>10000</v>
      </c>
    </row>
    <row r="26" spans="1:13">
      <c r="A26" s="12" t="s">
        <v>25</v>
      </c>
      <c r="B26" s="12"/>
      <c r="C26" s="10">
        <v>2500</v>
      </c>
      <c r="D26" s="11"/>
      <c r="E26" s="11"/>
      <c r="F26" s="11"/>
      <c r="G26" s="11"/>
      <c r="H26" s="10"/>
      <c r="I26" s="10">
        <v>10000</v>
      </c>
      <c r="J26" s="2"/>
      <c r="K26" s="2">
        <v>2500</v>
      </c>
      <c r="M26" s="1">
        <v>2500</v>
      </c>
    </row>
    <row r="27" spans="1:13">
      <c r="A27" s="7" t="s">
        <v>26</v>
      </c>
      <c r="C27" s="10">
        <v>5000</v>
      </c>
      <c r="D27" s="11"/>
      <c r="E27" s="11"/>
      <c r="F27" s="11"/>
      <c r="G27" s="11"/>
      <c r="H27" s="10"/>
      <c r="I27" s="10">
        <f t="shared" si="0"/>
        <v>5000</v>
      </c>
      <c r="J27" s="2"/>
      <c r="K27" s="2">
        <v>7070.73</v>
      </c>
      <c r="M27" s="1">
        <v>0</v>
      </c>
    </row>
    <row r="28" spans="1:13">
      <c r="A28" s="7" t="s">
        <v>27</v>
      </c>
      <c r="C28" s="10">
        <v>2000</v>
      </c>
      <c r="D28" s="11"/>
      <c r="E28" s="11"/>
      <c r="F28" s="11"/>
      <c r="G28" s="11"/>
      <c r="H28" s="10"/>
      <c r="I28" s="10">
        <f t="shared" si="0"/>
        <v>2000</v>
      </c>
      <c r="J28" s="2"/>
      <c r="K28" s="2">
        <v>2615</v>
      </c>
      <c r="M28" s="1">
        <v>0</v>
      </c>
    </row>
    <row r="29" spans="1:13">
      <c r="A29" s="7" t="s">
        <v>28</v>
      </c>
      <c r="C29" s="10">
        <v>20000</v>
      </c>
      <c r="D29" s="11"/>
      <c r="E29" s="11"/>
      <c r="F29" s="11"/>
      <c r="G29" s="11"/>
      <c r="H29" s="10"/>
      <c r="I29" s="10">
        <f t="shared" si="0"/>
        <v>20000</v>
      </c>
      <c r="J29" s="2"/>
      <c r="K29" s="2">
        <v>26354</v>
      </c>
      <c r="M29" s="1">
        <v>32708</v>
      </c>
    </row>
    <row r="30" spans="1:13">
      <c r="A30" s="7" t="s">
        <v>29</v>
      </c>
      <c r="C30" s="11">
        <v>8000</v>
      </c>
      <c r="D30" s="11"/>
      <c r="E30" s="11"/>
      <c r="F30" s="10"/>
      <c r="G30" s="10"/>
      <c r="H30" s="10"/>
      <c r="I30" s="10">
        <f t="shared" si="0"/>
        <v>8000</v>
      </c>
      <c r="J30" s="2"/>
      <c r="K30" s="2">
        <v>16001.5</v>
      </c>
      <c r="M30" s="1">
        <v>28000</v>
      </c>
    </row>
    <row r="31" spans="1:13">
      <c r="A31" s="7" t="s">
        <v>30</v>
      </c>
      <c r="C31" s="11">
        <v>15000</v>
      </c>
      <c r="D31" s="11"/>
      <c r="E31" s="10"/>
      <c r="F31" s="10"/>
      <c r="G31" s="10"/>
      <c r="H31" s="10"/>
      <c r="I31" s="10">
        <f t="shared" si="0"/>
        <v>15000</v>
      </c>
      <c r="J31" s="2"/>
      <c r="K31" s="2">
        <v>13859.4</v>
      </c>
      <c r="M31" s="1">
        <v>20000</v>
      </c>
    </row>
    <row r="32" spans="1:13">
      <c r="A32" s="7" t="s">
        <v>31</v>
      </c>
      <c r="C32" s="11">
        <v>15000</v>
      </c>
      <c r="D32" s="11"/>
      <c r="E32" s="10"/>
      <c r="F32" s="10"/>
      <c r="G32" s="10"/>
      <c r="H32" s="10"/>
      <c r="I32" s="10">
        <v>15000</v>
      </c>
      <c r="J32" s="2"/>
      <c r="K32" s="2">
        <v>18945</v>
      </c>
      <c r="M32" s="1">
        <v>35000</v>
      </c>
    </row>
    <row r="33" spans="1:13">
      <c r="A33" s="7" t="s">
        <v>32</v>
      </c>
      <c r="C33" s="10">
        <v>5000</v>
      </c>
      <c r="D33" s="10"/>
      <c r="E33" s="10"/>
      <c r="F33" s="10"/>
      <c r="G33" s="10"/>
      <c r="H33" s="10"/>
      <c r="I33" s="10">
        <v>0</v>
      </c>
      <c r="J33" s="2"/>
      <c r="K33" s="2">
        <v>2263.39</v>
      </c>
      <c r="M33" s="1">
        <v>3000</v>
      </c>
    </row>
    <row r="34" spans="1:13">
      <c r="A34" s="7" t="s">
        <v>33</v>
      </c>
      <c r="C34" s="10">
        <v>33456</v>
      </c>
      <c r="D34" s="10"/>
      <c r="E34" s="10"/>
      <c r="F34" s="10"/>
      <c r="G34" s="10"/>
      <c r="H34" s="10"/>
      <c r="I34" s="10">
        <v>60000</v>
      </c>
      <c r="J34" s="2"/>
      <c r="K34" s="2">
        <v>33856</v>
      </c>
      <c r="M34" s="1">
        <v>33456</v>
      </c>
    </row>
    <row r="35" spans="1:13">
      <c r="A35" s="7" t="s">
        <v>34</v>
      </c>
      <c r="C35" s="10">
        <v>3000</v>
      </c>
      <c r="D35" s="10"/>
      <c r="E35" s="10"/>
      <c r="F35" s="10"/>
      <c r="G35" s="10"/>
      <c r="H35" s="10"/>
      <c r="I35" s="10">
        <f t="shared" si="0"/>
        <v>3000</v>
      </c>
      <c r="J35" s="2"/>
      <c r="K35" s="2">
        <v>2050</v>
      </c>
      <c r="M35" s="1">
        <v>4500</v>
      </c>
    </row>
    <row r="36" spans="1:13">
      <c r="A36" s="7" t="s">
        <v>35</v>
      </c>
      <c r="C36" s="10">
        <v>2500</v>
      </c>
      <c r="D36" s="10"/>
      <c r="E36" s="10"/>
      <c r="F36" s="10"/>
      <c r="G36" s="10"/>
      <c r="H36" s="10"/>
      <c r="I36" s="10">
        <f t="shared" si="0"/>
        <v>2500</v>
      </c>
      <c r="J36" s="2"/>
      <c r="K36" s="2">
        <v>811.1</v>
      </c>
    </row>
    <row r="37" spans="1:13">
      <c r="C37" s="13"/>
      <c r="D37" s="13"/>
      <c r="E37" s="13"/>
      <c r="F37" s="13"/>
      <c r="G37" s="13"/>
      <c r="H37" s="13"/>
      <c r="I37" s="13"/>
      <c r="J37" s="2"/>
      <c r="K37" s="3"/>
    </row>
    <row r="38" spans="1:13">
      <c r="A38" s="7" t="s">
        <v>36</v>
      </c>
      <c r="C38" s="10">
        <f t="shared" ref="C38:F38" si="1">SUM(C7:C37)</f>
        <v>121456</v>
      </c>
      <c r="D38" s="10">
        <f t="shared" si="1"/>
        <v>141286</v>
      </c>
      <c r="E38" s="10">
        <f t="shared" si="1"/>
        <v>31700</v>
      </c>
      <c r="F38" s="10">
        <f t="shared" si="1"/>
        <v>167092</v>
      </c>
      <c r="G38" s="10">
        <f>SUM(G7:G37)</f>
        <v>222400</v>
      </c>
      <c r="H38" s="10"/>
      <c r="I38" s="14">
        <f>SUM(I7:I37)</f>
        <v>783034</v>
      </c>
      <c r="J38" s="14"/>
      <c r="K38" s="4">
        <f>SUM(K7:K37)</f>
        <v>541575.37</v>
      </c>
      <c r="M38" s="1">
        <v>549464</v>
      </c>
    </row>
    <row r="39" spans="1:13">
      <c r="C39" s="10"/>
      <c r="D39" s="10"/>
      <c r="E39" s="10"/>
      <c r="F39" s="10"/>
      <c r="G39" s="10"/>
      <c r="H39" s="10"/>
      <c r="I39" s="10"/>
      <c r="J39" s="2"/>
    </row>
    <row r="40" spans="1:13">
      <c r="A40" s="7" t="s">
        <v>37</v>
      </c>
      <c r="C40" s="10"/>
      <c r="D40" s="10"/>
      <c r="E40" s="10"/>
      <c r="F40" s="10"/>
      <c r="G40" s="10"/>
      <c r="H40" s="10"/>
      <c r="I40" s="10"/>
      <c r="J40" s="2"/>
    </row>
    <row r="41" spans="1:13">
      <c r="A41" s="7" t="s">
        <v>38</v>
      </c>
      <c r="C41" s="10">
        <f>+'wage allocation'!D11</f>
        <v>43950</v>
      </c>
      <c r="D41" s="10">
        <f>+'wage allocation'!H11</f>
        <v>29510</v>
      </c>
      <c r="E41" s="10">
        <f>+'wage allocation'!I11</f>
        <v>26875.5</v>
      </c>
      <c r="F41" s="10">
        <f>+'wage allocation'!E11+'wage allocation'!L11</f>
        <v>88525</v>
      </c>
      <c r="G41" s="10">
        <f>+'wage allocation'!F11+'wage allocation'!G11</f>
        <v>64299.5</v>
      </c>
      <c r="H41" s="10"/>
      <c r="I41" s="10">
        <v>288160</v>
      </c>
      <c r="J41" s="2"/>
      <c r="K41" s="2">
        <v>183190.47</v>
      </c>
      <c r="M41" s="1">
        <v>183760</v>
      </c>
    </row>
    <row r="42" spans="1:13">
      <c r="A42" s="7" t="s">
        <v>39</v>
      </c>
      <c r="C42" s="10">
        <f>+'wage allocation'!D18+5800</f>
        <v>9122.5</v>
      </c>
      <c r="D42" s="10">
        <f>+'wage allocation'!H18</f>
        <v>2951</v>
      </c>
      <c r="E42" s="10">
        <f>+'wage allocation'!I18</f>
        <v>2687.5</v>
      </c>
      <c r="F42" s="10">
        <f>+'wage allocation'!E18</f>
        <v>3100</v>
      </c>
      <c r="G42" s="10">
        <f>+'wage allocation'!F18</f>
        <v>6430</v>
      </c>
      <c r="H42" s="10"/>
      <c r="I42" s="10">
        <f t="shared" ref="I42:I64" si="2">SUM(C42:G42)</f>
        <v>24291</v>
      </c>
      <c r="J42" s="2"/>
      <c r="K42" s="2">
        <v>18680.36</v>
      </c>
      <c r="M42" s="1">
        <v>15626</v>
      </c>
    </row>
    <row r="43" spans="1:13">
      <c r="A43" s="7" t="s">
        <v>40</v>
      </c>
      <c r="C43" s="10"/>
      <c r="D43" s="10">
        <v>65400</v>
      </c>
      <c r="E43" s="10"/>
      <c r="F43" s="10"/>
      <c r="G43" s="10"/>
      <c r="H43" s="10"/>
      <c r="I43" s="10">
        <v>95440</v>
      </c>
      <c r="J43" s="2"/>
      <c r="K43" s="2">
        <v>50146.63</v>
      </c>
      <c r="M43" s="1">
        <v>50000</v>
      </c>
    </row>
    <row r="44" spans="1:13">
      <c r="A44" s="7" t="s">
        <v>41</v>
      </c>
      <c r="C44" s="10">
        <f>1600*12</f>
        <v>19200</v>
      </c>
      <c r="D44" s="10"/>
      <c r="E44" s="10"/>
      <c r="F44" s="10"/>
      <c r="G44" s="10"/>
      <c r="H44" s="10"/>
      <c r="I44" s="10">
        <f t="shared" si="2"/>
        <v>19200</v>
      </c>
      <c r="J44" s="2"/>
      <c r="K44" s="2">
        <v>19200</v>
      </c>
      <c r="M44" s="1">
        <v>19200</v>
      </c>
    </row>
    <row r="45" spans="1:13">
      <c r="A45" s="7" t="s">
        <v>42</v>
      </c>
      <c r="C45" s="10">
        <v>12500</v>
      </c>
      <c r="D45" s="10"/>
      <c r="E45" s="10"/>
      <c r="F45" s="10"/>
      <c r="G45" s="10"/>
      <c r="H45" s="10"/>
      <c r="I45" s="10">
        <f t="shared" si="2"/>
        <v>12500</v>
      </c>
      <c r="J45" s="2"/>
      <c r="K45" s="2">
        <v>11700</v>
      </c>
      <c r="M45" s="1">
        <v>12000</v>
      </c>
    </row>
    <row r="46" spans="1:13">
      <c r="A46" s="7" t="s">
        <v>43</v>
      </c>
      <c r="C46" s="10">
        <v>1100</v>
      </c>
      <c r="D46" s="10"/>
      <c r="E46" s="10"/>
      <c r="F46" s="10"/>
      <c r="G46" s="10"/>
      <c r="H46" s="10"/>
      <c r="I46" s="10">
        <f t="shared" si="2"/>
        <v>1100</v>
      </c>
      <c r="J46" s="2"/>
      <c r="K46" s="2">
        <v>1215</v>
      </c>
      <c r="M46" s="1">
        <v>1200</v>
      </c>
    </row>
    <row r="47" spans="1:13">
      <c r="A47" s="7" t="s">
        <v>44</v>
      </c>
      <c r="C47" s="10">
        <v>1000</v>
      </c>
      <c r="D47" s="10">
        <v>11000</v>
      </c>
      <c r="E47" s="10">
        <v>5000</v>
      </c>
      <c r="F47" s="10">
        <f>1000+27500</f>
        <v>28500</v>
      </c>
      <c r="G47" s="10">
        <v>2000</v>
      </c>
      <c r="H47" s="10"/>
      <c r="I47" s="10">
        <f t="shared" si="2"/>
        <v>47500</v>
      </c>
      <c r="J47" s="2"/>
      <c r="K47" s="2">
        <v>28446.26</v>
      </c>
      <c r="M47" s="1">
        <v>24000</v>
      </c>
    </row>
    <row r="48" spans="1:13">
      <c r="A48" s="7" t="s">
        <v>45</v>
      </c>
      <c r="C48" s="10">
        <v>3400</v>
      </c>
      <c r="D48" s="10"/>
      <c r="E48" s="10"/>
      <c r="F48" s="10"/>
      <c r="G48" s="10"/>
      <c r="H48" s="10"/>
      <c r="I48" s="10">
        <v>4500</v>
      </c>
      <c r="J48" s="2"/>
      <c r="K48" s="2">
        <v>3268.71</v>
      </c>
      <c r="M48" s="1">
        <v>3500</v>
      </c>
    </row>
    <row r="49" spans="1:13">
      <c r="A49" s="7" t="s">
        <v>46</v>
      </c>
      <c r="C49" s="10">
        <v>12500</v>
      </c>
      <c r="D49" s="10"/>
      <c r="E49" s="10">
        <v>12500</v>
      </c>
      <c r="F49" s="10">
        <v>12500</v>
      </c>
      <c r="G49" s="10">
        <v>12500</v>
      </c>
      <c r="H49" s="10"/>
      <c r="I49" s="10">
        <f t="shared" si="2"/>
        <v>50000</v>
      </c>
      <c r="J49" s="2"/>
      <c r="K49" s="2">
        <v>50777.01</v>
      </c>
      <c r="M49" s="1">
        <v>50000</v>
      </c>
    </row>
    <row r="50" spans="1:13">
      <c r="A50" s="7" t="s">
        <v>47</v>
      </c>
      <c r="C50" s="10">
        <v>3500</v>
      </c>
      <c r="D50" s="10"/>
      <c r="E50" s="10"/>
      <c r="F50" s="10">
        <v>3500</v>
      </c>
      <c r="G50" s="10">
        <v>3500</v>
      </c>
      <c r="H50" s="10"/>
      <c r="I50" s="10">
        <f t="shared" si="2"/>
        <v>10500</v>
      </c>
      <c r="J50" s="2"/>
      <c r="K50" s="2">
        <v>13765</v>
      </c>
      <c r="M50" s="1">
        <v>11750</v>
      </c>
    </row>
    <row r="51" spans="1:13">
      <c r="A51" s="7" t="s">
        <v>48</v>
      </c>
      <c r="C51" s="10">
        <v>2500</v>
      </c>
      <c r="D51" s="10"/>
      <c r="E51" s="10"/>
      <c r="F51" s="10"/>
      <c r="G51" s="10"/>
      <c r="H51" s="10"/>
      <c r="I51" s="10">
        <f t="shared" si="2"/>
        <v>2500</v>
      </c>
      <c r="J51" s="2"/>
      <c r="K51" s="2">
        <v>2950.64</v>
      </c>
      <c r="M51" s="1">
        <v>3000</v>
      </c>
    </row>
    <row r="52" spans="1:13">
      <c r="A52" s="7" t="s">
        <v>49</v>
      </c>
      <c r="C52" s="10">
        <v>4000</v>
      </c>
      <c r="D52" s="10"/>
      <c r="E52" s="10"/>
      <c r="F52" s="10"/>
      <c r="G52" s="10"/>
      <c r="H52" s="10"/>
      <c r="I52" s="10">
        <f t="shared" si="2"/>
        <v>4000</v>
      </c>
      <c r="J52" s="2"/>
      <c r="K52" s="2">
        <v>2549.21</v>
      </c>
      <c r="M52" s="1">
        <v>9000</v>
      </c>
    </row>
    <row r="53" spans="1:13">
      <c r="A53" s="7" t="s">
        <v>50</v>
      </c>
      <c r="C53" s="10">
        <v>1500</v>
      </c>
      <c r="D53" s="10">
        <v>500</v>
      </c>
      <c r="E53" s="10"/>
      <c r="F53" s="10">
        <v>500</v>
      </c>
      <c r="G53" s="10">
        <v>1500</v>
      </c>
      <c r="H53" s="10"/>
      <c r="I53" s="10">
        <f t="shared" si="2"/>
        <v>4000</v>
      </c>
      <c r="J53" s="2"/>
      <c r="K53" s="2">
        <v>3306.4</v>
      </c>
      <c r="M53" s="1">
        <v>3000</v>
      </c>
    </row>
    <row r="54" spans="1:13">
      <c r="A54" s="7" t="s">
        <v>51</v>
      </c>
      <c r="C54" s="10">
        <v>3000</v>
      </c>
      <c r="D54" s="10"/>
      <c r="E54" s="10"/>
      <c r="F54" s="10"/>
      <c r="G54" s="10"/>
      <c r="H54" s="10"/>
      <c r="I54" s="10">
        <f t="shared" si="2"/>
        <v>3000</v>
      </c>
      <c r="J54" s="2"/>
      <c r="K54" s="2">
        <v>2599.0100000000002</v>
      </c>
      <c r="M54" s="1">
        <v>4000</v>
      </c>
    </row>
    <row r="55" spans="1:13">
      <c r="A55" s="7" t="s">
        <v>52</v>
      </c>
      <c r="C55" s="10">
        <v>2500</v>
      </c>
      <c r="D55" s="10"/>
      <c r="E55" s="10">
        <v>2000</v>
      </c>
      <c r="F55" s="10">
        <v>3500</v>
      </c>
      <c r="G55" s="10">
        <v>2000</v>
      </c>
      <c r="H55" s="10"/>
      <c r="I55" s="10">
        <f t="shared" si="2"/>
        <v>10000</v>
      </c>
      <c r="J55" s="2"/>
      <c r="K55" s="2">
        <v>7393.63</v>
      </c>
      <c r="M55" s="1">
        <v>6000</v>
      </c>
    </row>
    <row r="56" spans="1:13">
      <c r="A56" s="7" t="s">
        <v>53</v>
      </c>
      <c r="C56" s="10">
        <v>5000</v>
      </c>
      <c r="D56" s="10"/>
      <c r="E56" s="10"/>
      <c r="F56" s="10"/>
      <c r="G56" s="10"/>
      <c r="H56" s="10"/>
      <c r="I56" s="10">
        <f t="shared" si="2"/>
        <v>5000</v>
      </c>
      <c r="J56" s="2"/>
      <c r="K56" s="2">
        <f>6429.09+819</f>
        <v>7248.09</v>
      </c>
      <c r="M56" s="1">
        <v>6000</v>
      </c>
    </row>
    <row r="57" spans="1:13">
      <c r="A57" s="7" t="s">
        <v>54</v>
      </c>
      <c r="C57" s="10">
        <v>3000</v>
      </c>
      <c r="D57" s="10"/>
      <c r="E57" s="10"/>
      <c r="F57" s="10"/>
      <c r="G57" s="10"/>
      <c r="H57" s="10"/>
      <c r="I57" s="10">
        <f t="shared" si="2"/>
        <v>3000</v>
      </c>
      <c r="J57" s="2"/>
      <c r="K57" s="2">
        <v>1671.84</v>
      </c>
      <c r="M57" s="1">
        <v>2500</v>
      </c>
    </row>
    <row r="58" spans="1:13">
      <c r="A58" s="7" t="s">
        <v>55</v>
      </c>
      <c r="C58" s="10"/>
      <c r="D58" s="10"/>
      <c r="E58" s="10"/>
      <c r="F58" s="10"/>
      <c r="G58" s="10"/>
      <c r="H58" s="10"/>
      <c r="I58" s="10">
        <f t="shared" si="2"/>
        <v>0</v>
      </c>
      <c r="J58" s="2"/>
      <c r="K58" s="2">
        <v>2667.22</v>
      </c>
      <c r="M58" s="1">
        <v>0</v>
      </c>
    </row>
    <row r="59" spans="1:13">
      <c r="A59" s="7" t="s">
        <v>56</v>
      </c>
      <c r="C59" s="10">
        <v>14000</v>
      </c>
      <c r="D59" s="10"/>
      <c r="E59" s="10"/>
      <c r="F59" s="10"/>
      <c r="G59" s="10"/>
      <c r="H59" s="10"/>
      <c r="I59" s="10">
        <f t="shared" si="2"/>
        <v>14000</v>
      </c>
      <c r="J59" s="2"/>
      <c r="K59" s="2">
        <v>14017</v>
      </c>
      <c r="M59" s="1">
        <v>14000</v>
      </c>
    </row>
    <row r="60" spans="1:13">
      <c r="A60" s="7" t="s">
        <v>57</v>
      </c>
      <c r="C60" s="10"/>
      <c r="D60" s="10">
        <v>2500</v>
      </c>
      <c r="E60" s="10">
        <v>3500</v>
      </c>
      <c r="F60" s="10">
        <v>4000</v>
      </c>
      <c r="G60" s="10"/>
      <c r="H60" s="10"/>
      <c r="I60" s="10">
        <v>20000</v>
      </c>
      <c r="J60" s="2"/>
      <c r="K60" s="2">
        <v>8703.81</v>
      </c>
      <c r="M60" s="1">
        <v>11000</v>
      </c>
    </row>
    <row r="61" spans="1:13">
      <c r="A61" s="7" t="s">
        <v>58</v>
      </c>
      <c r="C61" s="10">
        <v>4000</v>
      </c>
      <c r="D61" s="10">
        <v>20000</v>
      </c>
      <c r="E61" s="10">
        <v>7000</v>
      </c>
      <c r="F61" s="10">
        <v>10000</v>
      </c>
      <c r="G61" s="10">
        <v>9000</v>
      </c>
      <c r="H61" s="10"/>
      <c r="I61" s="10">
        <v>94110</v>
      </c>
      <c r="J61" s="2"/>
      <c r="K61" s="2">
        <f>22247.57+30853.87</f>
        <v>53101.440000000002</v>
      </c>
      <c r="M61" s="1">
        <v>41000</v>
      </c>
    </row>
    <row r="62" spans="1:13">
      <c r="A62" s="7" t="s">
        <v>59</v>
      </c>
      <c r="C62" s="10">
        <v>15000</v>
      </c>
      <c r="D62" s="10"/>
      <c r="E62" s="10"/>
      <c r="F62" s="10"/>
      <c r="G62" s="10"/>
      <c r="H62" s="10"/>
      <c r="I62" s="10">
        <v>17250</v>
      </c>
      <c r="J62" s="2"/>
      <c r="K62" s="2">
        <v>10008.83</v>
      </c>
      <c r="M62" s="1">
        <v>15000</v>
      </c>
    </row>
    <row r="63" spans="1:13">
      <c r="A63" s="7" t="s">
        <v>60</v>
      </c>
      <c r="C63" s="10">
        <v>10000</v>
      </c>
      <c r="D63" s="10"/>
      <c r="E63" s="10"/>
      <c r="F63" s="10"/>
      <c r="G63" s="10"/>
      <c r="H63" s="10"/>
      <c r="I63" s="10">
        <f t="shared" si="2"/>
        <v>10000</v>
      </c>
      <c r="J63" s="2"/>
      <c r="K63" s="2">
        <v>11471.5</v>
      </c>
      <c r="M63" s="1">
        <v>6000</v>
      </c>
    </row>
    <row r="64" spans="1:13">
      <c r="A64" s="7" t="s">
        <v>61</v>
      </c>
      <c r="C64" s="10">
        <v>30815</v>
      </c>
      <c r="D64" s="10"/>
      <c r="E64" s="10"/>
      <c r="F64" s="10"/>
      <c r="G64" s="10"/>
      <c r="H64" s="10"/>
      <c r="I64" s="10">
        <v>34850</v>
      </c>
      <c r="J64" s="2"/>
      <c r="K64" s="2">
        <v>56003.81</v>
      </c>
      <c r="M64" s="1">
        <v>55847</v>
      </c>
    </row>
    <row r="65" spans="1:13">
      <c r="A65" s="7" t="s">
        <v>62</v>
      </c>
      <c r="C65" s="13"/>
      <c r="D65" s="13"/>
      <c r="E65" s="13"/>
      <c r="F65" s="13"/>
      <c r="G65" s="13"/>
      <c r="H65" s="13"/>
      <c r="I65" s="13"/>
      <c r="J65" s="2"/>
      <c r="K65" s="3">
        <v>3592.18</v>
      </c>
    </row>
    <row r="66" spans="1:13">
      <c r="A66" s="7" t="s">
        <v>63</v>
      </c>
      <c r="C66" s="10">
        <f>SUM(C41:C65)</f>
        <v>201587.5</v>
      </c>
      <c r="D66" s="10">
        <f>SUM(D41:D65)</f>
        <v>131861</v>
      </c>
      <c r="E66" s="10">
        <f>SUM(E41:E65)</f>
        <v>59563</v>
      </c>
      <c r="F66" s="10">
        <f>SUM(F41:F65)</f>
        <v>154125</v>
      </c>
      <c r="G66" s="10">
        <f>SUM(G41:G65)</f>
        <v>101229.5</v>
      </c>
      <c r="H66" s="10"/>
      <c r="I66" s="10">
        <f>SUM(I41:I65)</f>
        <v>774901</v>
      </c>
      <c r="J66" s="10"/>
      <c r="K66" s="2">
        <f>SUM(K41:K65)</f>
        <v>567674.05000000016</v>
      </c>
      <c r="M66" s="1">
        <v>547383</v>
      </c>
    </row>
    <row r="67" spans="1:13">
      <c r="C67" s="10"/>
      <c r="D67" s="10"/>
      <c r="E67" s="10"/>
      <c r="F67" s="10"/>
      <c r="G67" s="10"/>
      <c r="H67" s="10"/>
      <c r="I67" s="10">
        <f t="shared" ref="I67" si="3">SUM(C67:H67)</f>
        <v>0</v>
      </c>
      <c r="J67" s="10"/>
      <c r="M67" s="1">
        <v>0</v>
      </c>
    </row>
    <row r="68" spans="1:13">
      <c r="A68" s="7" t="s">
        <v>64</v>
      </c>
      <c r="C68" s="10">
        <f>+C38-C66</f>
        <v>-80131.5</v>
      </c>
      <c r="D68" s="10">
        <f>+D38-D66</f>
        <v>9425</v>
      </c>
      <c r="E68" s="10">
        <f>+E38-E66</f>
        <v>-27863</v>
      </c>
      <c r="F68" s="10">
        <f>+F38-F66</f>
        <v>12967</v>
      </c>
      <c r="G68" s="10">
        <f>+G38-G66</f>
        <v>121170.5</v>
      </c>
      <c r="H68" s="10"/>
      <c r="I68" s="10">
        <f>+I38-I66</f>
        <v>8133</v>
      </c>
      <c r="J68" s="10"/>
      <c r="K68" s="2">
        <f>+K38-K66</f>
        <v>-26098.680000000168</v>
      </c>
      <c r="M68" s="1">
        <v>2081</v>
      </c>
    </row>
    <row r="69" spans="1:13">
      <c r="C69" s="10"/>
      <c r="D69" s="10"/>
      <c r="E69" s="10"/>
      <c r="F69" s="10"/>
      <c r="G69" s="10"/>
      <c r="H69" s="10"/>
      <c r="I69" s="10"/>
      <c r="J69" s="2"/>
    </row>
    <row r="70" spans="1:13">
      <c r="C70" s="10"/>
      <c r="D70" s="10"/>
      <c r="E70" s="10"/>
      <c r="F70" s="10"/>
      <c r="G70" s="10"/>
      <c r="H70" s="10"/>
      <c r="I70" s="10"/>
      <c r="J70" s="2"/>
    </row>
    <row r="71" spans="1:13">
      <c r="C71" s="10"/>
      <c r="D71" s="10"/>
      <c r="E71" s="10"/>
      <c r="F71" s="10"/>
      <c r="G71" s="10"/>
      <c r="H71" s="10"/>
      <c r="I71" s="10"/>
    </row>
    <row r="72" spans="1:13">
      <c r="C72" s="10"/>
      <c r="D72" s="10"/>
      <c r="E72" s="10"/>
      <c r="F72" s="10"/>
      <c r="G72" s="10"/>
      <c r="H72" s="10"/>
      <c r="I72" s="10"/>
    </row>
  </sheetData>
  <printOptions gridLines="1"/>
  <pageMargins left="0.7" right="0.7" top="0.75" bottom="0.75" header="0.3" footer="0.3"/>
  <pageSetup scale="6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activeCell="C38" sqref="C38"/>
    </sheetView>
  </sheetViews>
  <sheetFormatPr defaultRowHeight="15"/>
  <sheetData/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D18" sqref="D18:I18"/>
    </sheetView>
  </sheetViews>
  <sheetFormatPr defaultRowHeight="15"/>
  <cols>
    <col min="1" max="1" width="20.85546875" customWidth="1"/>
    <col min="2" max="2" width="22.42578125" customWidth="1"/>
  </cols>
  <sheetData>
    <row r="1" spans="1:13">
      <c r="A1" t="s">
        <v>65</v>
      </c>
      <c r="D1" t="s">
        <v>66</v>
      </c>
      <c r="E1" t="s">
        <v>67</v>
      </c>
      <c r="F1" t="s">
        <v>68</v>
      </c>
      <c r="G1" t="s">
        <v>69</v>
      </c>
      <c r="H1" t="s">
        <v>70</v>
      </c>
      <c r="I1" t="s">
        <v>71</v>
      </c>
      <c r="J1" t="s">
        <v>72</v>
      </c>
      <c r="K1" t="s">
        <v>73</v>
      </c>
      <c r="L1" t="s">
        <v>74</v>
      </c>
    </row>
    <row r="2" spans="1:13">
      <c r="A2" s="5" t="s">
        <v>75</v>
      </c>
      <c r="B2" t="s">
        <v>87</v>
      </c>
      <c r="C2">
        <v>62000</v>
      </c>
      <c r="D2">
        <f>+C2*0.3</f>
        <v>18600</v>
      </c>
      <c r="E2">
        <f>+C2*0.5</f>
        <v>31000</v>
      </c>
      <c r="F2">
        <f>+C2*0.2+9900</f>
        <v>22300</v>
      </c>
      <c r="M2">
        <f t="shared" ref="M2:M8" si="0">SUM(D2:L2)</f>
        <v>71900</v>
      </c>
    </row>
    <row r="3" spans="1:13">
      <c r="A3" s="5" t="s">
        <v>76</v>
      </c>
      <c r="C3">
        <v>35000</v>
      </c>
      <c r="H3">
        <f>+C3*0.65</f>
        <v>22750</v>
      </c>
      <c r="I3">
        <f>+C3*0.35</f>
        <v>12250</v>
      </c>
      <c r="M3">
        <f t="shared" si="0"/>
        <v>35000</v>
      </c>
    </row>
    <row r="4" spans="1:13">
      <c r="A4" s="5" t="s">
        <v>77</v>
      </c>
      <c r="B4" t="s">
        <v>89</v>
      </c>
      <c r="C4">
        <v>29250</v>
      </c>
      <c r="D4">
        <f>+$C$4*0.5</f>
        <v>14625</v>
      </c>
      <c r="I4">
        <f>+$C$4*0.5</f>
        <v>14625</v>
      </c>
      <c r="M4">
        <f t="shared" si="0"/>
        <v>29250</v>
      </c>
    </row>
    <row r="5" spans="1:13">
      <c r="A5" s="5" t="s">
        <v>78</v>
      </c>
      <c r="B5" t="s">
        <v>88</v>
      </c>
      <c r="C5">
        <v>21450</v>
      </c>
      <c r="D5">
        <f>+$C$5*0.5</f>
        <v>10725</v>
      </c>
      <c r="E5">
        <f>+$C$5*0.5</f>
        <v>10725</v>
      </c>
      <c r="M5">
        <f t="shared" si="0"/>
        <v>21450</v>
      </c>
    </row>
    <row r="6" spans="1:13">
      <c r="A6" s="5" t="s">
        <v>79</v>
      </c>
      <c r="F6">
        <v>42000</v>
      </c>
      <c r="M6">
        <f t="shared" si="0"/>
        <v>42000</v>
      </c>
    </row>
    <row r="7" spans="1:13">
      <c r="A7" s="5" t="s">
        <v>80</v>
      </c>
      <c r="B7" t="s">
        <v>81</v>
      </c>
      <c r="C7">
        <v>6760</v>
      </c>
      <c r="H7">
        <v>6760</v>
      </c>
      <c r="M7">
        <f t="shared" si="0"/>
        <v>6760</v>
      </c>
    </row>
    <row r="8" spans="1:13">
      <c r="A8" t="s">
        <v>91</v>
      </c>
      <c r="B8" t="s">
        <v>90</v>
      </c>
      <c r="C8">
        <v>46800</v>
      </c>
      <c r="L8">
        <f>+$C$8*1</f>
        <v>46800</v>
      </c>
      <c r="M8">
        <f t="shared" si="0"/>
        <v>46800</v>
      </c>
    </row>
    <row r="11" spans="1:13">
      <c r="C11">
        <f>SUM(C2:C10)</f>
        <v>201260</v>
      </c>
      <c r="D11">
        <f>SUM(D2:D10)</f>
        <v>43950</v>
      </c>
      <c r="E11">
        <f>SUM(E2:E10)</f>
        <v>41725</v>
      </c>
      <c r="F11">
        <f>SUM(F2:F10)-0.5</f>
        <v>64299.5</v>
      </c>
      <c r="G11">
        <f>SUM(G2:G10)</f>
        <v>0</v>
      </c>
      <c r="H11">
        <f>SUM(H2:H10)</f>
        <v>29510</v>
      </c>
      <c r="I11">
        <f>SUM(I2:I10)+0.5</f>
        <v>26875.5</v>
      </c>
      <c r="J11">
        <f>SUM(J2:J10)</f>
        <v>0</v>
      </c>
      <c r="K11">
        <f>SUM(K2:K10)</f>
        <v>0</v>
      </c>
      <c r="L11">
        <f>SUM(L2:L10)</f>
        <v>46800</v>
      </c>
      <c r="M11">
        <f>SUM(M2:M10)</f>
        <v>253160</v>
      </c>
    </row>
    <row r="13" spans="1:13">
      <c r="A13" t="s">
        <v>82</v>
      </c>
    </row>
    <row r="14" spans="1:13">
      <c r="A14" t="s">
        <v>83</v>
      </c>
      <c r="B14" t="s">
        <v>92</v>
      </c>
      <c r="C14">
        <v>17420</v>
      </c>
      <c r="F14">
        <v>2080</v>
      </c>
      <c r="H14">
        <v>10400</v>
      </c>
      <c r="I14">
        <v>4940</v>
      </c>
      <c r="M14">
        <f>SUM(D14:L14)</f>
        <v>17420</v>
      </c>
    </row>
    <row r="15" spans="1:13">
      <c r="A15" s="5" t="s">
        <v>84</v>
      </c>
      <c r="B15" t="s">
        <v>85</v>
      </c>
    </row>
    <row r="18" spans="1:13">
      <c r="A18" t="s">
        <v>86</v>
      </c>
      <c r="D18">
        <f t="shared" ref="D18:L18" si="1">(+D2+D3+D4+D6+D7)*0.1</f>
        <v>3322.5</v>
      </c>
      <c r="E18">
        <f t="shared" si="1"/>
        <v>3100</v>
      </c>
      <c r="F18">
        <f t="shared" si="1"/>
        <v>6430</v>
      </c>
      <c r="G18">
        <f t="shared" si="1"/>
        <v>0</v>
      </c>
      <c r="H18">
        <f t="shared" si="1"/>
        <v>2951</v>
      </c>
      <c r="I18">
        <f t="shared" si="1"/>
        <v>2687.5</v>
      </c>
      <c r="J18">
        <f t="shared" si="1"/>
        <v>0</v>
      </c>
      <c r="K18">
        <f t="shared" si="1"/>
        <v>0</v>
      </c>
      <c r="L18">
        <f t="shared" si="1"/>
        <v>0</v>
      </c>
      <c r="M18">
        <f>SUM(D18:L18)</f>
        <v>18491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monthly</vt:lpstr>
      <vt:lpstr>wage allocation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tkeller</dc:creator>
  <cp:lastModifiedBy>sfleming</cp:lastModifiedBy>
  <cp:revision/>
  <cp:lastPrinted>2022-02-08T16:14:27Z</cp:lastPrinted>
  <dcterms:created xsi:type="dcterms:W3CDTF">2013-08-12T13:58:33Z</dcterms:created>
  <dcterms:modified xsi:type="dcterms:W3CDTF">2023-08-24T18:48:54Z</dcterms:modified>
</cp:coreProperties>
</file>