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Taste Quest\TQ Official documentation\"/>
    </mc:Choice>
  </mc:AlternateContent>
  <xr:revisionPtr revIDLastSave="0" documentId="13_ncr:1_{91E55B15-C17C-4E51-AB0F-F242D8FE093D}" xr6:coauthVersionLast="47" xr6:coauthVersionMax="47" xr10:uidLastSave="{00000000-0000-0000-0000-000000000000}"/>
  <bookViews>
    <workbookView xWindow="-103" yWindow="-103" windowWidth="22149" windowHeight="11949" firstSheet="1" activeTab="1" xr2:uid="{A42B7337-7ED4-4BD1-B07F-3A3461376D0F}"/>
  </bookViews>
  <sheets>
    <sheet name="Chart1" sheetId="2" r:id="rId1"/>
    <sheet name="2022 TQ Budget" sheetId="1" r:id="rId2"/>
    <sheet name="Curriculum Operational Costs" sheetId="3" r:id="rId3"/>
    <sheet name="Sheet3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H36" i="1"/>
  <c r="H35" i="1"/>
  <c r="H34" i="1"/>
  <c r="C60" i="1"/>
  <c r="J52" i="1"/>
  <c r="G61" i="1"/>
  <c r="F42" i="1"/>
  <c r="E26" i="1"/>
  <c r="E42" i="1"/>
  <c r="E31" i="1"/>
  <c r="G58" i="1"/>
  <c r="G59" i="1" s="1"/>
  <c r="G62" i="1"/>
  <c r="G63" i="1"/>
  <c r="G64" i="1"/>
  <c r="G65" i="1"/>
  <c r="F12" i="1"/>
  <c r="F11" i="1"/>
  <c r="F10" i="1"/>
  <c r="F9" i="1"/>
  <c r="F8" i="1"/>
  <c r="E36" i="1" l="1"/>
  <c r="J50" i="1"/>
  <c r="J49" i="1"/>
  <c r="J48" i="1"/>
  <c r="G54" i="1"/>
  <c r="G52" i="1"/>
  <c r="G50" i="1"/>
  <c r="G48" i="1"/>
  <c r="E12" i="1"/>
  <c r="E27" i="3"/>
  <c r="E26" i="3"/>
  <c r="E25" i="3"/>
  <c r="E9" i="3"/>
  <c r="E22" i="3" s="1"/>
  <c r="E23" i="3" s="1"/>
  <c r="E24" i="3" s="1"/>
  <c r="E35" i="1"/>
  <c r="D35" i="1"/>
  <c r="C11" i="1"/>
  <c r="E9" i="1"/>
  <c r="E8" i="1"/>
  <c r="W6" i="3"/>
  <c r="M20" i="3"/>
  <c r="M12" i="3"/>
  <c r="M11" i="3"/>
  <c r="M7" i="3"/>
  <c r="R6" i="3"/>
  <c r="R10" i="3"/>
  <c r="R24" i="3"/>
  <c r="R20" i="3"/>
  <c r="R16" i="3"/>
  <c r="M28" i="3"/>
  <c r="M24" i="3"/>
  <c r="M16" i="3"/>
  <c r="F22" i="3"/>
  <c r="M10" i="3"/>
  <c r="M6" i="3"/>
  <c r="D60" i="1"/>
  <c r="B60" i="1"/>
  <c r="D36" i="1"/>
  <c r="E39" i="1" l="1"/>
  <c r="F39" i="1"/>
</calcChain>
</file>

<file path=xl/sharedStrings.xml><?xml version="1.0" encoding="utf-8"?>
<sst xmlns="http://schemas.openxmlformats.org/spreadsheetml/2006/main" count="177" uniqueCount="129">
  <si>
    <t xml:space="preserve">One time cost </t>
  </si>
  <si>
    <t xml:space="preserve">EXPENSES </t>
  </si>
  <si>
    <t xml:space="preserve">DESIGN </t>
  </si>
  <si>
    <t xml:space="preserve">WEB </t>
  </si>
  <si>
    <t xml:space="preserve">quarterly cost </t>
  </si>
  <si>
    <t xml:space="preserve">Taste Quest Estimated Budget </t>
  </si>
  <si>
    <t xml:space="preserve">MISC EXPENSES </t>
  </si>
  <si>
    <t xml:space="preserve">meals/coffee </t>
  </si>
  <si>
    <t xml:space="preserve">supplies </t>
  </si>
  <si>
    <t xml:space="preserve">TOTALS </t>
  </si>
  <si>
    <t xml:space="preserve">DONATIONS </t>
  </si>
  <si>
    <t xml:space="preserve">SPONSORSHIPS </t>
  </si>
  <si>
    <t xml:space="preserve">GRANTS </t>
  </si>
  <si>
    <t xml:space="preserve">printing </t>
  </si>
  <si>
    <t xml:space="preserve">Postage </t>
  </si>
  <si>
    <t xml:space="preserve"> STAFF </t>
  </si>
  <si>
    <t>FUNDRAISING EXPENSES</t>
  </si>
  <si>
    <t xml:space="preserve">ALL EXPENSES TOTALS </t>
  </si>
  <si>
    <t xml:space="preserve">MARKETING </t>
  </si>
  <si>
    <t xml:space="preserve">Social Media ads </t>
  </si>
  <si>
    <t xml:space="preserve"> staff TOTALS </t>
  </si>
  <si>
    <t xml:space="preserve">Wordpress business page and domain </t>
  </si>
  <si>
    <t xml:space="preserve">Estimated 2022 </t>
  </si>
  <si>
    <t xml:space="preserve">Assistant Design Editor: part time @ 15 hours/week, $25/hr  </t>
  </si>
  <si>
    <t>OPERATING EXPENSES</t>
  </si>
  <si>
    <t xml:space="preserve">Group Curriculum Kit: Snack Around the World </t>
  </si>
  <si>
    <t xml:space="preserve">Printed Facilitator guides </t>
  </si>
  <si>
    <t>Total Costs</t>
  </si>
  <si>
    <t>Activity Components</t>
  </si>
  <si>
    <t xml:space="preserve">Printed Game Plan (Kid Activity Book) </t>
  </si>
  <si>
    <t>Aprons</t>
  </si>
  <si>
    <t xml:space="preserve">Quanitity </t>
  </si>
  <si>
    <t xml:space="preserve">Kit Storage bin </t>
  </si>
  <si>
    <t xml:space="preserve">spice kit </t>
  </si>
  <si>
    <t xml:space="preserve">Other possible Add-ins </t>
  </si>
  <si>
    <t>Kitchen Equipment</t>
  </si>
  <si>
    <t xml:space="preserve">social media </t>
  </si>
  <si>
    <t>(10,000 grant awarded 2021)</t>
  </si>
  <si>
    <t xml:space="preserve">Printed Facilitator Guides </t>
  </si>
  <si>
    <t xml:space="preserve">quanity </t>
  </si>
  <si>
    <t xml:space="preserve">est. cost </t>
  </si>
  <si>
    <t xml:space="preserve">Printed Kid journals </t>
  </si>
  <si>
    <t xml:space="preserve">Printing Estimates </t>
  </si>
  <si>
    <t>cost per unit</t>
  </si>
  <si>
    <t xml:space="preserve">TOTAL </t>
  </si>
  <si>
    <t xml:space="preserve">TQ Overhead </t>
  </si>
  <si>
    <t xml:space="preserve">Cost per unit </t>
  </si>
  <si>
    <t xml:space="preserve">Cost (Approx. Per 12 students) </t>
  </si>
  <si>
    <t>Adjusted for Feeding Nashville contribution</t>
  </si>
  <si>
    <t>~6*</t>
  </si>
  <si>
    <t xml:space="preserve">* Average cost of aprons across several sites  </t>
  </si>
  <si>
    <t>?</t>
  </si>
  <si>
    <t>Per student</t>
  </si>
  <si>
    <t xml:space="preserve">Per student/activity </t>
  </si>
  <si>
    <t xml:space="preserve">cost er unit </t>
  </si>
  <si>
    <t xml:space="preserve">cost per unit </t>
  </si>
  <si>
    <t xml:space="preserve">SPECS </t>
  </si>
  <si>
    <t xml:space="preserve">Pixart </t>
  </si>
  <si>
    <t xml:space="preserve">Ingram Spark 7x9 </t>
  </si>
  <si>
    <t xml:space="preserve">a5 hardcover </t>
  </si>
  <si>
    <t xml:space="preserve">pixart </t>
  </si>
  <si>
    <t xml:space="preserve">16.5x24 sewn with flap </t>
  </si>
  <si>
    <t xml:space="preserve">quantity </t>
  </si>
  <si>
    <t xml:space="preserve">est cost </t>
  </si>
  <si>
    <t>kid printed</t>
  </si>
  <si>
    <t xml:space="preserve">pizart </t>
  </si>
  <si>
    <t xml:space="preserve">21cmx21cm </t>
  </si>
  <si>
    <t xml:space="preserve">sewn with flap </t>
  </si>
  <si>
    <t xml:space="preserve">kid journals </t>
  </si>
  <si>
    <t xml:space="preserve">paperback 21cmx21cm  paperback </t>
  </si>
  <si>
    <t>pixar t</t>
  </si>
  <si>
    <t xml:space="preserve">paperback 16.5x21 cm </t>
  </si>
  <si>
    <t>PRINTIVITY wirebound 8x8</t>
  </si>
  <si>
    <t>PRINTPPS wirebound 6x9</t>
  </si>
  <si>
    <t>8x8</t>
  </si>
  <si>
    <t xml:space="preserve">Pixart 8x8 wirebound </t>
  </si>
  <si>
    <t xml:space="preserve">Pixart : 7x9 wirebound </t>
  </si>
  <si>
    <t>Stickers</t>
  </si>
  <si>
    <t xml:space="preserve">Faciltiator Guides </t>
  </si>
  <si>
    <t xml:space="preserve">quanitty </t>
  </si>
  <si>
    <t xml:space="preserve">A4 (~8.5x11) wirebound </t>
  </si>
  <si>
    <t>PRINTING</t>
  </si>
  <si>
    <t xml:space="preserve">Playbooks (600 total, 3 printings 200) </t>
  </si>
  <si>
    <t xml:space="preserve">Stickers (1000) </t>
  </si>
  <si>
    <t xml:space="preserve">Facilitator Guides (75 total, 3 printings of 25) </t>
  </si>
  <si>
    <t xml:space="preserve">Aprons (500 total) </t>
  </si>
  <si>
    <t>Director Stipend (starting in May (7 months for 2022)</t>
  </si>
  <si>
    <t>ANTICIPATED REVENUE</t>
  </si>
  <si>
    <t xml:space="preserve">kid playbook: </t>
  </si>
  <si>
    <t xml:space="preserve">dimensions </t>
  </si>
  <si>
    <t xml:space="preserve">facilitator </t>
  </si>
  <si>
    <t>plastic binding would be cheaper</t>
  </si>
  <si>
    <t xml:space="preserve">stickers </t>
  </si>
  <si>
    <t xml:space="preserve">dynamark </t>
  </si>
  <si>
    <t>Ingredients</t>
  </si>
  <si>
    <t xml:space="preserve">Total basics (no ingredients or equipment) </t>
  </si>
  <si>
    <t xml:space="preserve">basics per/student </t>
  </si>
  <si>
    <t xml:space="preserve">basics/student/activity </t>
  </si>
  <si>
    <t xml:space="preserve">PRODUCT TOTAL </t>
  </si>
  <si>
    <t xml:space="preserve">CURRICULUM KIT (PRODUCT) EXPENSES </t>
  </si>
  <si>
    <t>If 20 groups do 2 series in 2022 @200 each</t>
  </si>
  <si>
    <t xml:space="preserve">If 10 groups do 3 series @200 each </t>
  </si>
  <si>
    <t xml:space="preserve">If 30 Groups do 2 series in 2022 @200 each </t>
  </si>
  <si>
    <t xml:space="preserve">If 20 groups do 2 series @150 each </t>
  </si>
  <si>
    <t xml:space="preserve">Overhead/20 groups </t>
  </si>
  <si>
    <t xml:space="preserve">Overhead/30 groups </t>
  </si>
  <si>
    <t xml:space="preserve">Overhead/50 groups </t>
  </si>
  <si>
    <t xml:space="preserve">5-10 students = $100 </t>
  </si>
  <si>
    <t xml:space="preserve">10-20=- $200 </t>
  </si>
  <si>
    <t xml:space="preserve">20-50 = $300 </t>
  </si>
  <si>
    <t>Idea 1: Price kit at $100 +$5/student</t>
  </si>
  <si>
    <t xml:space="preserve">Idea 2: tiered pricing based on numbers of students </t>
  </si>
  <si>
    <t xml:space="preserve">Estimated 75 Groups </t>
  </si>
  <si>
    <t xml:space="preserve">Estimated 150 groups </t>
  </si>
  <si>
    <t>photography/Illustration (stock)</t>
  </si>
  <si>
    <t xml:space="preserve">photography/Illustration (custom) </t>
  </si>
  <si>
    <t xml:space="preserve">CURRICULUM REVENUE </t>
  </si>
  <si>
    <t xml:space="preserve"> updated: 04/28/2022</t>
  </si>
  <si>
    <t xml:space="preserve">20 kits </t>
  </si>
  <si>
    <t xml:space="preserve">15 kits </t>
  </si>
  <si>
    <t xml:space="preserve">8 kits </t>
  </si>
  <si>
    <t xml:space="preserve">1 kit </t>
  </si>
  <si>
    <t xml:space="preserve">Cost to produce kits - 75 revenue </t>
  </si>
  <si>
    <t>Per kit/75</t>
  </si>
  <si>
    <t xml:space="preserve">55kits </t>
  </si>
  <si>
    <t xml:space="preserve">OPERATIONS TOTAL </t>
  </si>
  <si>
    <t xml:space="preserve">FUNDRAISING TOTAL </t>
  </si>
  <si>
    <t xml:space="preserve">Overhead/75 Groups </t>
  </si>
  <si>
    <t xml:space="preserve">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</si>
</sst>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30">
    <xf numFmtId="0" fontId="0" fillId="0" borderId="0" xfId="0"/>
    <xf numFmtId="0" fontId="1" fillId="0" borderId="0" xfId="0" applyFont="1"/>
    <xf numFmtId="6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wrapText="1"/>
    </xf>
    <xf numFmtId="3" fontId="0" fillId="0" borderId="0" xfId="0" applyNumberFormat="1"/>
    <xf numFmtId="0" fontId="0" fillId="0" borderId="0" xfId="0"/>
    <xf numFmtId="0" fontId="2" fillId="0" borderId="0" xfId="0" applyFont="1" applyAlignme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6" fontId="0" fillId="2" borderId="0" xfId="0" applyNumberFormat="1" applyFill="1"/>
    <xf numFmtId="6" fontId="1" fillId="0" borderId="0" xfId="0" applyNumberFormat="1" applyFont="1"/>
    <xf numFmtId="0" fontId="0" fillId="3" borderId="0" xfId="0" applyFill="1"/>
    <xf numFmtId="0" fontId="0" fillId="3" borderId="0" xfId="0" applyFill="1" applyAlignment="1">
      <alignment wrapText="1"/>
    </xf>
    <xf numFmtId="6" fontId="0" fillId="0" borderId="0" xfId="0" applyNumberFormat="1" applyFill="1"/>
    <xf numFmtId="16" fontId="0" fillId="0" borderId="0" xfId="0" applyNumberFormat="1"/>
    <xf numFmtId="0" fontId="1" fillId="0" borderId="0" xfId="0" applyFont="1" applyFill="1" applyAlignment="1">
      <alignment wrapText="1"/>
    </xf>
    <xf numFmtId="6" fontId="0" fillId="0" borderId="0" xfId="0" applyNumberFormat="1" applyAlignment="1">
      <alignment wrapText="1"/>
    </xf>
    <xf numFmtId="6" fontId="1" fillId="0" borderId="0" xfId="0" applyNumberFormat="1" applyFont="1" applyAlignment="1">
      <alignment wrapText="1"/>
    </xf>
    <xf numFmtId="8" fontId="1" fillId="0" borderId="0" xfId="0" applyNumberFormat="1" applyFont="1"/>
    <xf numFmtId="8" fontId="0" fillId="0" borderId="0" xfId="0" applyNumberFormat="1"/>
    <xf numFmtId="0" fontId="0" fillId="0" borderId="0" xfId="0" applyFont="1"/>
    <xf numFmtId="0" fontId="0" fillId="4" borderId="0" xfId="0" applyFill="1"/>
  </cellXfs>
  <cellStyles count="4">
    <cellStyle name="Comma 2" xfId="2" xr:uid="{00000000-0005-0000-0000-000001000000}"/>
    <cellStyle name="Currency 2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898016"/>
        <c:axId val="306898344"/>
      </c:barChart>
      <c:catAx>
        <c:axId val="30689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98344"/>
        <c:crosses val="autoZero"/>
        <c:auto val="1"/>
        <c:lblAlgn val="ctr"/>
        <c:lblOffset val="100"/>
        <c:noMultiLvlLbl val="0"/>
      </c:catAx>
      <c:valAx>
        <c:axId val="3068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689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C502241-1B34-4DB4-B51D-5C4A8BF212D0}">
  <sheetPr/>
  <sheetViews>
    <sheetView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160" cy="62910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1F6799-3549-4609-BB49-0C7E8A1412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ste%20Quest%20Budget%20May%202022%20-%20pub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2022 TQ Budget"/>
      <sheetName val="Curriculum Operational Costs"/>
      <sheetName val="Sheet3"/>
    </sheetNames>
    <sheetDataSet>
      <sheetData sheetId="0" refreshError="1"/>
      <sheetData sheetId="1">
        <row r="12">
          <cell r="E12">
            <v>6733</v>
          </cell>
        </row>
        <row r="19">
          <cell r="E19">
            <v>328</v>
          </cell>
        </row>
        <row r="39">
          <cell r="E39">
            <v>32000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9F9D-C194-41AA-A596-ECE4EA10DBB3}">
  <sheetPr>
    <pageSetUpPr fitToPage="1"/>
  </sheetPr>
  <dimension ref="A2:J66"/>
  <sheetViews>
    <sheetView tabSelected="1" workbookViewId="0">
      <pane ySplit="5" topLeftCell="A22" activePane="bottomLeft" state="frozen"/>
      <selection pane="bottomLeft" activeCell="D60" sqref="A51:D60"/>
    </sheetView>
  </sheetViews>
  <sheetFormatPr defaultRowHeight="14.6" x14ac:dyDescent="0.4"/>
  <cols>
    <col min="1" max="1" width="23.61328125" bestFit="1" customWidth="1"/>
    <col min="2" max="2" width="31.15234375" style="4" customWidth="1"/>
    <col min="3" max="3" width="15.69140625" customWidth="1"/>
    <col min="4" max="4" width="16.921875" customWidth="1"/>
    <col min="5" max="5" width="18" customWidth="1"/>
    <col min="6" max="6" width="13.53515625" customWidth="1"/>
    <col min="9" max="9" width="14.07421875" style="4" customWidth="1"/>
  </cols>
  <sheetData>
    <row r="2" spans="1:9" ht="18.45" x14ac:dyDescent="0.5">
      <c r="A2" s="9" t="s">
        <v>5</v>
      </c>
    </row>
    <row r="3" spans="1:9" x14ac:dyDescent="0.4">
      <c r="A3" s="6" t="s">
        <v>117</v>
      </c>
    </row>
    <row r="4" spans="1:9" x14ac:dyDescent="0.4">
      <c r="B4"/>
    </row>
    <row r="5" spans="1:9" s="1" customFormat="1" x14ac:dyDescent="0.4">
      <c r="B5" s="3"/>
      <c r="C5" s="1" t="s">
        <v>0</v>
      </c>
      <c r="D5" s="1" t="s">
        <v>4</v>
      </c>
      <c r="E5" s="1">
        <v>2022</v>
      </c>
      <c r="F5" s="1">
        <v>2023</v>
      </c>
      <c r="I5" s="3"/>
    </row>
    <row r="6" spans="1:9" ht="18.45" x14ac:dyDescent="0.5">
      <c r="A6" s="10" t="s">
        <v>1</v>
      </c>
    </row>
    <row r="7" spans="1:9" s="8" customFormat="1" x14ac:dyDescent="0.4">
      <c r="A7" s="1" t="s">
        <v>99</v>
      </c>
      <c r="B7" s="4"/>
      <c r="E7" s="8" t="s">
        <v>112</v>
      </c>
      <c r="F7" s="8" t="s">
        <v>113</v>
      </c>
      <c r="I7" s="4"/>
    </row>
    <row r="8" spans="1:9" s="8" customFormat="1" ht="29.15" x14ac:dyDescent="0.4">
      <c r="A8" s="28" t="s">
        <v>81</v>
      </c>
      <c r="B8" s="4" t="s">
        <v>84</v>
      </c>
      <c r="D8" s="8">
        <v>118</v>
      </c>
      <c r="E8" s="8">
        <f>D8*3</f>
        <v>354</v>
      </c>
      <c r="F8" s="8">
        <f>2*(E8)</f>
        <v>708</v>
      </c>
      <c r="I8" s="4"/>
    </row>
    <row r="9" spans="1:9" s="8" customFormat="1" ht="29.15" x14ac:dyDescent="0.4">
      <c r="A9" s="1"/>
      <c r="B9" s="4" t="s">
        <v>82</v>
      </c>
      <c r="D9" s="8">
        <v>1093</v>
      </c>
      <c r="E9" s="8">
        <f>D9*3</f>
        <v>3279</v>
      </c>
      <c r="F9" s="8">
        <f>2*(E9)</f>
        <v>6558</v>
      </c>
      <c r="I9" s="4"/>
    </row>
    <row r="10" spans="1:9" s="8" customFormat="1" x14ac:dyDescent="0.4">
      <c r="A10" s="1"/>
      <c r="B10" s="4" t="s">
        <v>83</v>
      </c>
      <c r="C10" s="8">
        <v>100</v>
      </c>
      <c r="E10" s="8">
        <v>100</v>
      </c>
      <c r="F10" s="8">
        <f>2*(E10)</f>
        <v>200</v>
      </c>
      <c r="I10" s="4"/>
    </row>
    <row r="11" spans="1:9" s="8" customFormat="1" x14ac:dyDescent="0.4">
      <c r="A11" s="1"/>
      <c r="B11" s="4" t="s">
        <v>85</v>
      </c>
      <c r="C11" s="8">
        <f>6*500</f>
        <v>3000</v>
      </c>
      <c r="E11" s="8">
        <v>3000</v>
      </c>
      <c r="F11" s="8">
        <f>2*(E11)</f>
        <v>6000</v>
      </c>
      <c r="I11" s="4"/>
    </row>
    <row r="12" spans="1:9" s="8" customFormat="1" x14ac:dyDescent="0.4">
      <c r="A12" s="1" t="s">
        <v>98</v>
      </c>
      <c r="B12" s="4"/>
      <c r="E12" s="1">
        <f>SUM(E8:E11)</f>
        <v>6733</v>
      </c>
      <c r="F12" s="8">
        <f>2*(E12)</f>
        <v>13466</v>
      </c>
      <c r="I12" s="4"/>
    </row>
    <row r="13" spans="1:9" x14ac:dyDescent="0.4">
      <c r="A13" s="28"/>
    </row>
    <row r="14" spans="1:9" x14ac:dyDescent="0.4">
      <c r="A14" s="28"/>
    </row>
    <row r="15" spans="1:9" x14ac:dyDescent="0.4">
      <c r="A15" s="1" t="s">
        <v>24</v>
      </c>
    </row>
    <row r="16" spans="1:9" x14ac:dyDescent="0.4">
      <c r="A16" t="s">
        <v>2</v>
      </c>
      <c r="B16" s="5" t="s">
        <v>114</v>
      </c>
      <c r="E16">
        <v>500</v>
      </c>
      <c r="F16">
        <v>500</v>
      </c>
    </row>
    <row r="17" spans="1:9" x14ac:dyDescent="0.4">
      <c r="B17" s="4" t="s">
        <v>115</v>
      </c>
      <c r="E17">
        <v>500</v>
      </c>
      <c r="F17">
        <v>1000</v>
      </c>
    </row>
    <row r="19" spans="1:9" ht="29.15" x14ac:dyDescent="0.4">
      <c r="A19" t="s">
        <v>3</v>
      </c>
      <c r="B19" s="5" t="s">
        <v>21</v>
      </c>
      <c r="C19" s="2">
        <v>327.75</v>
      </c>
      <c r="E19">
        <v>328</v>
      </c>
      <c r="F19">
        <v>328</v>
      </c>
    </row>
    <row r="21" spans="1:9" x14ac:dyDescent="0.4">
      <c r="B21" s="5"/>
      <c r="C21" s="2"/>
      <c r="E21" s="2"/>
      <c r="F21" s="2"/>
    </row>
    <row r="22" spans="1:9" x14ac:dyDescent="0.4">
      <c r="A22" t="s">
        <v>18</v>
      </c>
      <c r="B22" s="4" t="s">
        <v>19</v>
      </c>
      <c r="F22">
        <v>200</v>
      </c>
    </row>
    <row r="23" spans="1:9" x14ac:dyDescent="0.4">
      <c r="A23" s="8"/>
      <c r="B23" s="8"/>
      <c r="C23" s="8"/>
      <c r="D23" s="8"/>
      <c r="E23" s="8"/>
      <c r="F23" s="8"/>
    </row>
    <row r="24" spans="1:9" x14ac:dyDescent="0.4">
      <c r="A24" t="s">
        <v>6</v>
      </c>
      <c r="B24" s="4" t="s">
        <v>7</v>
      </c>
      <c r="E24">
        <v>100</v>
      </c>
      <c r="F24">
        <v>200</v>
      </c>
    </row>
    <row r="25" spans="1:9" x14ac:dyDescent="0.4">
      <c r="A25" s="8"/>
      <c r="B25" s="4" t="s">
        <v>8</v>
      </c>
      <c r="E25">
        <v>100</v>
      </c>
      <c r="F25">
        <v>100</v>
      </c>
    </row>
    <row r="26" spans="1:9" s="14" customFormat="1" x14ac:dyDescent="0.4">
      <c r="A26" s="14" t="s">
        <v>125</v>
      </c>
      <c r="B26" s="23"/>
      <c r="E26" s="14">
        <f>SUM(E16:E25)</f>
        <v>1528</v>
      </c>
      <c r="I26" s="23"/>
    </row>
    <row r="28" spans="1:9" x14ac:dyDescent="0.4">
      <c r="A28" s="1" t="s">
        <v>16</v>
      </c>
      <c r="B28" s="5" t="s">
        <v>13</v>
      </c>
      <c r="E28">
        <v>200</v>
      </c>
      <c r="F28">
        <v>200</v>
      </c>
    </row>
    <row r="29" spans="1:9" x14ac:dyDescent="0.4">
      <c r="B29" s="5" t="s">
        <v>14</v>
      </c>
      <c r="E29">
        <v>50</v>
      </c>
      <c r="F29">
        <v>50</v>
      </c>
    </row>
    <row r="30" spans="1:9" x14ac:dyDescent="0.4">
      <c r="B30" s="4" t="s">
        <v>36</v>
      </c>
      <c r="E30">
        <v>100</v>
      </c>
      <c r="F30">
        <v>200</v>
      </c>
    </row>
    <row r="31" spans="1:9" x14ac:dyDescent="0.4">
      <c r="A31" t="s">
        <v>126</v>
      </c>
      <c r="E31" s="1">
        <f>SUM(E28:E30)</f>
        <v>350</v>
      </c>
      <c r="F31" s="1"/>
    </row>
    <row r="33" spans="1:10" x14ac:dyDescent="0.4">
      <c r="D33" s="1"/>
      <c r="E33" s="1"/>
      <c r="F33" s="1"/>
    </row>
    <row r="34" spans="1:10" x14ac:dyDescent="0.4">
      <c r="A34" s="1" t="s">
        <v>15</v>
      </c>
      <c r="H34">
        <f>32000/40611</f>
        <v>0.78796385215828224</v>
      </c>
    </row>
    <row r="35" spans="1:10" ht="29.15" x14ac:dyDescent="0.4">
      <c r="B35" s="3" t="s">
        <v>86</v>
      </c>
      <c r="C35" s="1"/>
      <c r="D35" s="1">
        <f>PRODUCT(50,10,12)</f>
        <v>6000</v>
      </c>
      <c r="E35" s="18">
        <f>7*4*10*50</f>
        <v>14000</v>
      </c>
      <c r="F35" s="11">
        <v>36000</v>
      </c>
      <c r="H35">
        <f>1528/40611</f>
        <v>3.7625273940557979E-2</v>
      </c>
    </row>
    <row r="36" spans="1:10" ht="29.15" x14ac:dyDescent="0.4">
      <c r="B36" s="5" t="s">
        <v>23</v>
      </c>
      <c r="D36" s="21">
        <f>PRODUCT(15,25, 3, 4)</f>
        <v>4500</v>
      </c>
      <c r="E36">
        <f>PRODUCT(15,25,48)</f>
        <v>18000</v>
      </c>
      <c r="F36">
        <v>18000</v>
      </c>
      <c r="H36">
        <f>6733/40611</f>
        <v>0.16579251926817856</v>
      </c>
    </row>
    <row r="37" spans="1:10" x14ac:dyDescent="0.4">
      <c r="B37" s="5"/>
      <c r="D37" s="2"/>
      <c r="E37" s="2"/>
      <c r="F37" s="2"/>
      <c r="H37">
        <f>350/40611</f>
        <v>8.6183546329812125E-3</v>
      </c>
    </row>
    <row r="39" spans="1:10" x14ac:dyDescent="0.4">
      <c r="B39" s="1" t="s">
        <v>20</v>
      </c>
      <c r="E39" s="18">
        <f>SUM(E35:E37)</f>
        <v>32000</v>
      </c>
      <c r="F39" s="1">
        <f>SUM(F35:F38)</f>
        <v>54000</v>
      </c>
    </row>
    <row r="40" spans="1:10" s="14" customFormat="1" x14ac:dyDescent="0.4">
      <c r="I40" s="23"/>
    </row>
    <row r="42" spans="1:10" s="16" customFormat="1" ht="36.9" x14ac:dyDescent="0.5">
      <c r="A42" s="13" t="s">
        <v>17</v>
      </c>
      <c r="B42" s="15"/>
      <c r="E42" s="17">
        <f>SUM(E39,E31,E26,E12)</f>
        <v>40611</v>
      </c>
      <c r="F42" s="17">
        <f>SUM(F39,F30,F29,F28,F25,F24,F22,F19,F17,F16,F12)</f>
        <v>70244</v>
      </c>
      <c r="I42" s="15"/>
    </row>
    <row r="43" spans="1:10" s="16" customFormat="1" ht="18.45" x14ac:dyDescent="0.5">
      <c r="A43" s="13"/>
      <c r="B43" s="15"/>
      <c r="E43" s="17"/>
      <c r="F43" s="17"/>
      <c r="I43" s="15"/>
    </row>
    <row r="45" spans="1:10" s="19" customFormat="1" x14ac:dyDescent="0.4">
      <c r="B45" s="20"/>
      <c r="I45" s="20"/>
    </row>
    <row r="48" spans="1:10" ht="44.6" x14ac:dyDescent="0.5">
      <c r="A48" s="12" t="s">
        <v>87</v>
      </c>
      <c r="F48" s="4" t="s">
        <v>100</v>
      </c>
      <c r="G48">
        <f>20*2*400</f>
        <v>16000</v>
      </c>
      <c r="I48" s="4" t="s">
        <v>104</v>
      </c>
      <c r="J48">
        <f>33878/20</f>
        <v>1693.9</v>
      </c>
    </row>
    <row r="49" spans="1:10" ht="29.15" x14ac:dyDescent="0.4">
      <c r="B49" s="1" t="s">
        <v>22</v>
      </c>
      <c r="C49" t="s">
        <v>128</v>
      </c>
      <c r="D49" s="1">
        <v>2023</v>
      </c>
      <c r="I49" s="4" t="s">
        <v>105</v>
      </c>
      <c r="J49">
        <f>33878/30</f>
        <v>1129.2666666666667</v>
      </c>
    </row>
    <row r="50" spans="1:10" ht="43.75" x14ac:dyDescent="0.4">
      <c r="B50"/>
      <c r="E50" s="8"/>
      <c r="F50" s="4" t="s">
        <v>101</v>
      </c>
      <c r="G50">
        <f>10*3*600</f>
        <v>18000</v>
      </c>
      <c r="I50" s="4" t="s">
        <v>106</v>
      </c>
      <c r="J50">
        <f>33878/50</f>
        <v>677.56</v>
      </c>
    </row>
    <row r="51" spans="1:10" x14ac:dyDescent="0.4">
      <c r="A51" t="s">
        <v>10</v>
      </c>
      <c r="B51" s="7">
        <v>5000</v>
      </c>
      <c r="C51">
        <v>10.6</v>
      </c>
      <c r="D51" s="7">
        <v>10000</v>
      </c>
    </row>
    <row r="52" spans="1:10" ht="43.75" x14ac:dyDescent="0.4">
      <c r="B52"/>
      <c r="F52" s="4" t="s">
        <v>102</v>
      </c>
      <c r="G52">
        <f>30*2*400</f>
        <v>24000</v>
      </c>
      <c r="I52" s="4" t="s">
        <v>127</v>
      </c>
      <c r="J52">
        <f>75*160</f>
        <v>12000</v>
      </c>
    </row>
    <row r="53" spans="1:10" x14ac:dyDescent="0.4">
      <c r="A53" t="s">
        <v>11</v>
      </c>
      <c r="B53" s="7">
        <v>15000</v>
      </c>
      <c r="C53">
        <v>31.9</v>
      </c>
      <c r="D53" s="7">
        <v>20000</v>
      </c>
    </row>
    <row r="54" spans="1:10" ht="43.75" x14ac:dyDescent="0.4">
      <c r="B54"/>
      <c r="F54" s="4" t="s">
        <v>103</v>
      </c>
      <c r="G54">
        <f>20*2*300</f>
        <v>12000</v>
      </c>
    </row>
    <row r="55" spans="1:10" x14ac:dyDescent="0.4">
      <c r="A55" t="s">
        <v>12</v>
      </c>
      <c r="B55" s="7">
        <v>15000</v>
      </c>
      <c r="C55">
        <v>31.9</v>
      </c>
      <c r="D55" s="7">
        <v>30000</v>
      </c>
    </row>
    <row r="56" spans="1:10" x14ac:dyDescent="0.4">
      <c r="B56" t="s">
        <v>37</v>
      </c>
    </row>
    <row r="57" spans="1:10" x14ac:dyDescent="0.4">
      <c r="A57" t="s">
        <v>116</v>
      </c>
      <c r="B57" s="4">
        <v>12000</v>
      </c>
      <c r="C57">
        <v>25.5</v>
      </c>
      <c r="D57" s="7">
        <v>20000</v>
      </c>
    </row>
    <row r="58" spans="1:10" x14ac:dyDescent="0.4">
      <c r="B58"/>
      <c r="F58" s="8" t="s">
        <v>122</v>
      </c>
      <c r="G58" s="2">
        <f>SUM('[1]2022 TQ Budget'!E39,'[1]2022 TQ Budget'!E19,'[1]2022 TQ Budget'!E12)</f>
        <v>39061</v>
      </c>
      <c r="H58" s="8"/>
    </row>
    <row r="59" spans="1:10" x14ac:dyDescent="0.4">
      <c r="F59" s="8" t="s">
        <v>123</v>
      </c>
      <c r="G59" s="27">
        <f>G58/75</f>
        <v>520.81333333333339</v>
      </c>
      <c r="H59" s="27">
        <v>631</v>
      </c>
    </row>
    <row r="60" spans="1:10" x14ac:dyDescent="0.4">
      <c r="A60" s="1" t="s">
        <v>9</v>
      </c>
      <c r="B60" s="11">
        <f>SUM(B51:B58)</f>
        <v>47000</v>
      </c>
      <c r="C60">
        <f>SUM(C51:C58)</f>
        <v>99.9</v>
      </c>
      <c r="D60" s="11">
        <f>SUM(D51:D59)</f>
        <v>80000</v>
      </c>
      <c r="F60" s="8"/>
      <c r="G60" s="8"/>
      <c r="H60" s="8"/>
    </row>
    <row r="61" spans="1:10" x14ac:dyDescent="0.4">
      <c r="B61"/>
      <c r="F61" s="8" t="s">
        <v>121</v>
      </c>
      <c r="G61" s="8">
        <f>520-150</f>
        <v>370</v>
      </c>
      <c r="H61" s="4"/>
    </row>
    <row r="62" spans="1:10" x14ac:dyDescent="0.4">
      <c r="B62"/>
      <c r="F62" s="7" t="s">
        <v>120</v>
      </c>
      <c r="G62" s="8">
        <f>370*8</f>
        <v>2960</v>
      </c>
      <c r="H62" s="8"/>
    </row>
    <row r="63" spans="1:10" x14ac:dyDescent="0.4">
      <c r="F63" s="8" t="s">
        <v>119</v>
      </c>
      <c r="G63" s="8">
        <f>370*15</f>
        <v>5550</v>
      </c>
      <c r="H63" s="4"/>
    </row>
    <row r="64" spans="1:10" x14ac:dyDescent="0.4">
      <c r="F64" s="7" t="s">
        <v>118</v>
      </c>
      <c r="G64" s="8">
        <f>370*20</f>
        <v>7400</v>
      </c>
      <c r="H64" s="8"/>
    </row>
    <row r="65" spans="6:8" x14ac:dyDescent="0.4">
      <c r="F65" s="8" t="s">
        <v>124</v>
      </c>
      <c r="G65" s="8">
        <f>270*55</f>
        <v>14850</v>
      </c>
      <c r="H65" s="4"/>
    </row>
    <row r="66" spans="6:8" x14ac:dyDescent="0.4">
      <c r="F66" s="7"/>
      <c r="G66" s="8"/>
      <c r="H66" s="8"/>
    </row>
  </sheetData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346E-CFFF-4672-B431-0097E9BC754F}">
  <dimension ref="B2:X33"/>
  <sheetViews>
    <sheetView workbookViewId="0">
      <selection activeCell="E31" sqref="E31:E33"/>
    </sheetView>
  </sheetViews>
  <sheetFormatPr defaultRowHeight="14.6" x14ac:dyDescent="0.4"/>
  <cols>
    <col min="2" max="2" width="35.53515625" customWidth="1"/>
    <col min="4" max="4" width="16.23046875" style="4" customWidth="1"/>
    <col min="5" max="5" width="18.3046875" customWidth="1"/>
    <col min="6" max="6" width="21.15234375" customWidth="1"/>
    <col min="10" max="10" width="23.765625" customWidth="1"/>
  </cols>
  <sheetData>
    <row r="2" spans="2:24" x14ac:dyDescent="0.4">
      <c r="B2" s="1" t="s">
        <v>25</v>
      </c>
      <c r="J2" t="s">
        <v>42</v>
      </c>
    </row>
    <row r="3" spans="2:24" x14ac:dyDescent="0.4">
      <c r="B3" t="s">
        <v>27</v>
      </c>
      <c r="J3" t="s">
        <v>56</v>
      </c>
    </row>
    <row r="4" spans="2:24" x14ac:dyDescent="0.4">
      <c r="O4" s="1" t="s">
        <v>57</v>
      </c>
      <c r="P4" s="1" t="s">
        <v>69</v>
      </c>
      <c r="Q4" s="8"/>
      <c r="R4" s="8"/>
      <c r="T4" t="s">
        <v>57</v>
      </c>
      <c r="U4" t="s">
        <v>80</v>
      </c>
    </row>
    <row r="5" spans="2:24" x14ac:dyDescent="0.4">
      <c r="J5" s="1" t="s">
        <v>72</v>
      </c>
      <c r="K5" t="s">
        <v>39</v>
      </c>
      <c r="L5" t="s">
        <v>40</v>
      </c>
      <c r="M5" t="s">
        <v>43</v>
      </c>
      <c r="O5" s="28"/>
      <c r="P5" s="8" t="s">
        <v>39</v>
      </c>
      <c r="Q5" s="8" t="s">
        <v>40</v>
      </c>
      <c r="R5" s="8" t="s">
        <v>55</v>
      </c>
      <c r="T5" t="s">
        <v>78</v>
      </c>
      <c r="U5" t="s">
        <v>79</v>
      </c>
      <c r="V5" t="s">
        <v>63</v>
      </c>
      <c r="W5" t="s">
        <v>55</v>
      </c>
    </row>
    <row r="6" spans="2:24" ht="29.15" x14ac:dyDescent="0.4">
      <c r="B6" s="1" t="s">
        <v>28</v>
      </c>
      <c r="C6" s="1" t="s">
        <v>31</v>
      </c>
      <c r="D6" s="3" t="s">
        <v>46</v>
      </c>
      <c r="E6" s="3" t="s">
        <v>47</v>
      </c>
      <c r="F6" s="3" t="s">
        <v>48</v>
      </c>
      <c r="G6" s="1"/>
      <c r="J6" t="s">
        <v>38</v>
      </c>
      <c r="K6">
        <v>25</v>
      </c>
      <c r="L6">
        <v>109</v>
      </c>
      <c r="M6">
        <f>109/25</f>
        <v>4.3600000000000003</v>
      </c>
      <c r="O6" s="8" t="s">
        <v>41</v>
      </c>
      <c r="P6" s="8">
        <v>200</v>
      </c>
      <c r="Q6" s="8">
        <v>1127</v>
      </c>
      <c r="R6" s="8">
        <f>1127/200</f>
        <v>5.6349999999999998</v>
      </c>
      <c r="U6">
        <v>25</v>
      </c>
      <c r="V6">
        <v>118</v>
      </c>
      <c r="W6">
        <f>118/25</f>
        <v>4.72</v>
      </c>
    </row>
    <row r="7" spans="2:24" x14ac:dyDescent="0.4">
      <c r="B7" t="s">
        <v>94</v>
      </c>
      <c r="C7">
        <v>1</v>
      </c>
      <c r="D7" s="4">
        <v>150</v>
      </c>
      <c r="E7" s="24">
        <v>150</v>
      </c>
      <c r="F7">
        <v>150</v>
      </c>
      <c r="J7" t="s">
        <v>41</v>
      </c>
      <c r="K7">
        <v>200</v>
      </c>
      <c r="L7">
        <v>1156</v>
      </c>
      <c r="M7">
        <f>1156/200</f>
        <v>5.78</v>
      </c>
    </row>
    <row r="8" spans="2:24" x14ac:dyDescent="0.4">
      <c r="B8" t="s">
        <v>26</v>
      </c>
      <c r="C8">
        <v>1</v>
      </c>
      <c r="D8" s="4">
        <v>5.2</v>
      </c>
      <c r="E8" s="4">
        <v>5</v>
      </c>
      <c r="F8">
        <v>5</v>
      </c>
      <c r="O8" s="8"/>
      <c r="P8" s="1" t="s">
        <v>71</v>
      </c>
      <c r="Q8" s="8"/>
      <c r="R8" s="8"/>
      <c r="T8" t="s">
        <v>93</v>
      </c>
    </row>
    <row r="9" spans="2:24" x14ac:dyDescent="0.4">
      <c r="B9" t="s">
        <v>29</v>
      </c>
      <c r="C9">
        <v>12</v>
      </c>
      <c r="D9" s="4">
        <v>5.5</v>
      </c>
      <c r="E9" s="4">
        <f>5.5*12</f>
        <v>66</v>
      </c>
      <c r="F9">
        <v>66</v>
      </c>
      <c r="J9" s="1" t="s">
        <v>73</v>
      </c>
      <c r="K9" s="8" t="s">
        <v>39</v>
      </c>
      <c r="L9" s="8" t="s">
        <v>40</v>
      </c>
      <c r="O9" s="1" t="s">
        <v>70</v>
      </c>
      <c r="P9" s="8" t="s">
        <v>39</v>
      </c>
      <c r="Q9" s="8" t="s">
        <v>40</v>
      </c>
      <c r="R9" s="8" t="s">
        <v>55</v>
      </c>
      <c r="T9" t="s">
        <v>88</v>
      </c>
      <c r="U9" t="s">
        <v>89</v>
      </c>
      <c r="V9" t="s">
        <v>62</v>
      </c>
      <c r="W9" t="s">
        <v>40</v>
      </c>
      <c r="X9" t="s">
        <v>55</v>
      </c>
    </row>
    <row r="10" spans="2:24" x14ac:dyDescent="0.4">
      <c r="B10" t="s">
        <v>30</v>
      </c>
      <c r="C10">
        <v>12</v>
      </c>
      <c r="D10" s="4" t="s">
        <v>49</v>
      </c>
      <c r="E10">
        <v>72</v>
      </c>
      <c r="F10" s="4">
        <v>72</v>
      </c>
      <c r="J10" s="8" t="s">
        <v>38</v>
      </c>
      <c r="K10" s="8">
        <v>25</v>
      </c>
      <c r="L10" s="8">
        <v>151</v>
      </c>
      <c r="M10">
        <f>151/25</f>
        <v>6.04</v>
      </c>
      <c r="O10" s="8" t="s">
        <v>41</v>
      </c>
      <c r="P10" s="8">
        <v>200</v>
      </c>
      <c r="Q10" s="8">
        <v>1093</v>
      </c>
      <c r="R10" s="29">
        <f>1093/200</f>
        <v>5.4649999999999999</v>
      </c>
      <c r="U10" t="s">
        <v>91</v>
      </c>
    </row>
    <row r="11" spans="2:24" x14ac:dyDescent="0.4">
      <c r="B11" t="s">
        <v>35</v>
      </c>
      <c r="D11" s="4">
        <v>50</v>
      </c>
      <c r="E11" s="24">
        <v>50</v>
      </c>
      <c r="F11">
        <v>0</v>
      </c>
      <c r="J11" s="8" t="s">
        <v>41</v>
      </c>
      <c r="K11" s="8">
        <v>200</v>
      </c>
      <c r="L11" s="8">
        <v>837</v>
      </c>
      <c r="M11" s="29">
        <f>837/200</f>
        <v>4.1849999999999996</v>
      </c>
    </row>
    <row r="12" spans="2:24" x14ac:dyDescent="0.4">
      <c r="B12" t="s">
        <v>32</v>
      </c>
      <c r="C12" s="22"/>
      <c r="D12" s="4">
        <v>15</v>
      </c>
      <c r="E12" s="24">
        <v>15</v>
      </c>
      <c r="F12">
        <v>0</v>
      </c>
      <c r="J12" t="s">
        <v>74</v>
      </c>
      <c r="L12">
        <v>1192</v>
      </c>
      <c r="M12">
        <f>1192/200</f>
        <v>5.96</v>
      </c>
      <c r="T12" t="s">
        <v>90</v>
      </c>
    </row>
    <row r="13" spans="2:24" x14ac:dyDescent="0.4">
      <c r="B13" t="s">
        <v>33</v>
      </c>
      <c r="C13">
        <v>1</v>
      </c>
      <c r="D13" s="4">
        <v>20</v>
      </c>
      <c r="E13" s="24">
        <v>20</v>
      </c>
      <c r="F13">
        <v>0</v>
      </c>
      <c r="K13" s="1"/>
      <c r="O13" s="1" t="s">
        <v>57</v>
      </c>
      <c r="P13" s="1" t="s">
        <v>59</v>
      </c>
      <c r="Q13" s="8"/>
      <c r="R13" s="8"/>
    </row>
    <row r="14" spans="2:24" x14ac:dyDescent="0.4">
      <c r="E14" s="4"/>
      <c r="J14" s="1" t="s">
        <v>75</v>
      </c>
      <c r="K14" s="8" t="s">
        <v>39</v>
      </c>
      <c r="L14" s="8" t="s">
        <v>40</v>
      </c>
      <c r="M14" t="s">
        <v>54</v>
      </c>
      <c r="O14" s="28"/>
      <c r="P14" s="8" t="s">
        <v>39</v>
      </c>
      <c r="Q14" s="8" t="s">
        <v>40</v>
      </c>
      <c r="R14" s="8" t="s">
        <v>55</v>
      </c>
      <c r="T14" t="s">
        <v>92</v>
      </c>
    </row>
    <row r="15" spans="2:24" x14ac:dyDescent="0.4">
      <c r="B15" t="s">
        <v>45</v>
      </c>
      <c r="D15" s="4" t="s">
        <v>51</v>
      </c>
      <c r="E15" s="24">
        <v>25</v>
      </c>
      <c r="F15">
        <v>25</v>
      </c>
      <c r="J15" s="8" t="s">
        <v>38</v>
      </c>
      <c r="K15" s="8"/>
      <c r="L15" s="8"/>
      <c r="O15" s="8" t="s">
        <v>38</v>
      </c>
      <c r="P15" s="8"/>
      <c r="Q15" s="8"/>
      <c r="R15" s="8"/>
    </row>
    <row r="16" spans="2:24" x14ac:dyDescent="0.4">
      <c r="B16" t="s">
        <v>77</v>
      </c>
      <c r="C16">
        <v>100</v>
      </c>
      <c r="D16" s="24">
        <v>10</v>
      </c>
      <c r="E16" s="4">
        <v>10</v>
      </c>
      <c r="F16">
        <v>10</v>
      </c>
      <c r="J16" s="8" t="s">
        <v>41</v>
      </c>
      <c r="K16" s="8">
        <v>200</v>
      </c>
      <c r="L16" s="8">
        <v>1093</v>
      </c>
      <c r="M16" s="29">
        <f>1093/200</f>
        <v>5.4649999999999999</v>
      </c>
      <c r="O16" s="8" t="s">
        <v>41</v>
      </c>
      <c r="P16" s="8">
        <v>200</v>
      </c>
      <c r="Q16" s="8">
        <v>684</v>
      </c>
      <c r="R16" s="8">
        <f>684/200</f>
        <v>3.42</v>
      </c>
    </row>
    <row r="17" spans="2:18" x14ac:dyDescent="0.4">
      <c r="E17" s="4"/>
    </row>
    <row r="18" spans="2:18" x14ac:dyDescent="0.4">
      <c r="E18" s="4"/>
      <c r="J18" s="1" t="s">
        <v>76</v>
      </c>
      <c r="K18" s="8" t="s">
        <v>39</v>
      </c>
      <c r="L18" s="8" t="s">
        <v>40</v>
      </c>
      <c r="M18" t="s">
        <v>55</v>
      </c>
      <c r="O18" s="1" t="s">
        <v>60</v>
      </c>
      <c r="P18" s="1" t="s">
        <v>61</v>
      </c>
    </row>
    <row r="19" spans="2:18" x14ac:dyDescent="0.4">
      <c r="B19" t="s">
        <v>34</v>
      </c>
      <c r="E19" s="4"/>
      <c r="J19" s="8" t="s">
        <v>38</v>
      </c>
      <c r="K19" s="8"/>
      <c r="L19" s="8"/>
      <c r="P19" t="s">
        <v>62</v>
      </c>
      <c r="Q19" t="s">
        <v>63</v>
      </c>
      <c r="R19" t="s">
        <v>55</v>
      </c>
    </row>
    <row r="20" spans="2:18" x14ac:dyDescent="0.4">
      <c r="E20" s="4"/>
      <c r="J20" s="8" t="s">
        <v>41</v>
      </c>
      <c r="K20" s="8">
        <v>200</v>
      </c>
      <c r="L20" s="8">
        <v>1091</v>
      </c>
      <c r="M20" s="29">
        <f>1091/200</f>
        <v>5.4550000000000001</v>
      </c>
      <c r="O20" t="s">
        <v>64</v>
      </c>
      <c r="P20">
        <v>200</v>
      </c>
      <c r="Q20">
        <v>1196</v>
      </c>
      <c r="R20">
        <f>1196/200</f>
        <v>5.98</v>
      </c>
    </row>
    <row r="21" spans="2:18" x14ac:dyDescent="0.4">
      <c r="E21" s="4"/>
    </row>
    <row r="22" spans="2:18" x14ac:dyDescent="0.4">
      <c r="B22" s="1" t="s">
        <v>44</v>
      </c>
      <c r="C22" s="1"/>
      <c r="D22" s="3"/>
      <c r="E22" s="25">
        <f>SUM(E7:E20)</f>
        <v>413</v>
      </c>
      <c r="F22" s="1">
        <f>SUM(F7:F21)</f>
        <v>328</v>
      </c>
      <c r="J22" s="1" t="s">
        <v>58</v>
      </c>
      <c r="K22" s="8" t="s">
        <v>39</v>
      </c>
      <c r="L22" s="8" t="s">
        <v>40</v>
      </c>
      <c r="M22" s="8" t="s">
        <v>55</v>
      </c>
      <c r="O22" t="s">
        <v>65</v>
      </c>
      <c r="P22" t="s">
        <v>66</v>
      </c>
      <c r="Q22" t="s">
        <v>67</v>
      </c>
    </row>
    <row r="23" spans="2:18" x14ac:dyDescent="0.4">
      <c r="B23" s="1"/>
      <c r="C23" s="1"/>
      <c r="D23" s="3" t="s">
        <v>52</v>
      </c>
      <c r="E23" s="26">
        <f>E22/12</f>
        <v>34.416666666666664</v>
      </c>
      <c r="F23" s="1"/>
      <c r="J23" s="8" t="s">
        <v>38</v>
      </c>
      <c r="K23" s="8"/>
      <c r="L23" s="8"/>
      <c r="M23" s="8"/>
      <c r="O23" t="s">
        <v>68</v>
      </c>
      <c r="P23" t="s">
        <v>62</v>
      </c>
      <c r="Q23" t="s">
        <v>63</v>
      </c>
      <c r="R23" t="s">
        <v>55</v>
      </c>
    </row>
    <row r="24" spans="2:18" ht="43.75" x14ac:dyDescent="0.4">
      <c r="B24" s="1"/>
      <c r="C24" s="1"/>
      <c r="D24" s="4" t="s">
        <v>53</v>
      </c>
      <c r="E24" s="27">
        <f>E23/6</f>
        <v>5.7361111111111107</v>
      </c>
      <c r="F24" s="1"/>
      <c r="J24" s="8" t="s">
        <v>41</v>
      </c>
      <c r="K24" s="8">
        <v>200</v>
      </c>
      <c r="L24" s="8">
        <v>1734</v>
      </c>
      <c r="M24" s="8">
        <f>1734/200</f>
        <v>8.67</v>
      </c>
      <c r="P24">
        <v>200</v>
      </c>
      <c r="Q24">
        <v>1224</v>
      </c>
      <c r="R24">
        <f>1224/200</f>
        <v>6.12</v>
      </c>
    </row>
    <row r="25" spans="2:18" ht="43.75" x14ac:dyDescent="0.4">
      <c r="D25" s="3" t="s">
        <v>95</v>
      </c>
      <c r="E25" s="18">
        <f>SUM(E8,E9,E10,E16,)</f>
        <v>153</v>
      </c>
      <c r="O25" t="s">
        <v>60</v>
      </c>
    </row>
    <row r="26" spans="2:18" x14ac:dyDescent="0.4">
      <c r="D26" s="4" t="s">
        <v>96</v>
      </c>
      <c r="E26" s="2">
        <f>E25/12</f>
        <v>12.75</v>
      </c>
      <c r="J26" s="1" t="s">
        <v>58</v>
      </c>
      <c r="K26" s="8" t="s">
        <v>39</v>
      </c>
      <c r="L26" s="8" t="s">
        <v>40</v>
      </c>
      <c r="M26" s="8" t="s">
        <v>55</v>
      </c>
    </row>
    <row r="27" spans="2:18" ht="29.15" x14ac:dyDescent="0.4">
      <c r="D27" s="4" t="s">
        <v>97</v>
      </c>
      <c r="E27" s="27">
        <f>E26/6</f>
        <v>2.125</v>
      </c>
      <c r="J27" s="8" t="s">
        <v>38</v>
      </c>
      <c r="K27" s="8"/>
      <c r="L27" s="8"/>
      <c r="M27" s="8"/>
    </row>
    <row r="28" spans="2:18" x14ac:dyDescent="0.4">
      <c r="J28" s="8" t="s">
        <v>41</v>
      </c>
      <c r="K28" s="8">
        <v>200</v>
      </c>
      <c r="L28" s="8">
        <v>1866</v>
      </c>
      <c r="M28" s="8">
        <f>1866/200</f>
        <v>9.33</v>
      </c>
    </row>
    <row r="29" spans="2:18" x14ac:dyDescent="0.4">
      <c r="B29" t="s">
        <v>50</v>
      </c>
      <c r="E29" t="s">
        <v>110</v>
      </c>
    </row>
    <row r="30" spans="2:18" x14ac:dyDescent="0.4">
      <c r="E30" t="s">
        <v>111</v>
      </c>
    </row>
    <row r="31" spans="2:18" x14ac:dyDescent="0.4">
      <c r="E31" t="s">
        <v>107</v>
      </c>
    </row>
    <row r="32" spans="2:18" x14ac:dyDescent="0.4">
      <c r="E32" t="s">
        <v>108</v>
      </c>
    </row>
    <row r="33" spans="5:5" x14ac:dyDescent="0.4">
      <c r="E3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0BBD2-8888-4215-919A-CFDF055D8C38}">
  <dimension ref="A1"/>
  <sheetViews>
    <sheetView topLeftCell="A40"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2022 TQ Budget</vt:lpstr>
      <vt:lpstr>Curriculum Operational Costs</vt:lpstr>
      <vt:lpstr>Sheet3</vt:lpstr>
      <vt:lpstr>Chart1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Capo Sauerman </dc:creator>
  <cp:lastModifiedBy>Emily Capo Sauerman </cp:lastModifiedBy>
  <cp:lastPrinted>2018-11-28T00:52:00Z</cp:lastPrinted>
  <dcterms:created xsi:type="dcterms:W3CDTF">2018-05-01T14:01:53Z</dcterms:created>
  <dcterms:modified xsi:type="dcterms:W3CDTF">2022-05-31T22:21:32Z</dcterms:modified>
</cp:coreProperties>
</file>