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ricejamescpa.sharepoint.com/sites/TaxServices/Clients/N/Nashville Youth Sports Club Inc/2023 FYE/"/>
    </mc:Choice>
  </mc:AlternateContent>
  <xr:revisionPtr revIDLastSave="120" documentId="11_F235AD90B1F31CF92B79FCB54086423D7ABFFFF3" xr6:coauthVersionLast="47" xr6:coauthVersionMax="47" xr10:uidLastSave="{782D117E-C8AA-488E-B146-CF000CE11BFB}"/>
  <bookViews>
    <workbookView xWindow="-108" yWindow="-108" windowWidth="23256" windowHeight="12456" tabRatio="561" xr2:uid="{00000000-000D-0000-FFFF-FFFF00000000}"/>
  </bookViews>
  <sheets>
    <sheet name="Profit and Loss by Mont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D106" i="1"/>
  <c r="L101" i="1"/>
  <c r="J101" i="1"/>
  <c r="E101" i="1"/>
  <c r="K101" i="1"/>
  <c r="J107" i="1" l="1"/>
  <c r="N107" i="1" s="1"/>
  <c r="M106" i="1"/>
  <c r="L106" i="1"/>
  <c r="K106" i="1"/>
  <c r="I106" i="1"/>
  <c r="H106" i="1"/>
  <c r="G106" i="1"/>
  <c r="F106" i="1"/>
  <c r="E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D102" i="1"/>
  <c r="C102" i="1"/>
  <c r="B102" i="1"/>
  <c r="M99" i="1"/>
  <c r="L99" i="1"/>
  <c r="K99" i="1"/>
  <c r="J99" i="1"/>
  <c r="I99" i="1"/>
  <c r="H99" i="1"/>
  <c r="G99" i="1"/>
  <c r="F99" i="1"/>
  <c r="E99" i="1"/>
  <c r="B99" i="1"/>
  <c r="D100" i="1"/>
  <c r="C100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E94" i="1"/>
  <c r="D94" i="1"/>
  <c r="C94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6" i="1"/>
  <c r="L86" i="1"/>
  <c r="K86" i="1"/>
  <c r="J86" i="1"/>
  <c r="I86" i="1"/>
  <c r="H86" i="1"/>
  <c r="G86" i="1"/>
  <c r="F86" i="1"/>
  <c r="E86" i="1"/>
  <c r="M85" i="1"/>
  <c r="L85" i="1"/>
  <c r="K85" i="1"/>
  <c r="J85" i="1"/>
  <c r="I85" i="1"/>
  <c r="H85" i="1"/>
  <c r="G85" i="1"/>
  <c r="G88" i="1" s="1"/>
  <c r="F85" i="1"/>
  <c r="E85" i="1"/>
  <c r="D85" i="1"/>
  <c r="D88" i="1" s="1"/>
  <c r="C85" i="1"/>
  <c r="B85" i="1"/>
  <c r="B88" i="1" s="1"/>
  <c r="L84" i="1"/>
  <c r="K84" i="1"/>
  <c r="J84" i="1"/>
  <c r="I84" i="1"/>
  <c r="H84" i="1"/>
  <c r="G84" i="1"/>
  <c r="F84" i="1"/>
  <c r="E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K80" i="1"/>
  <c r="G80" i="1"/>
  <c r="M78" i="1"/>
  <c r="L78" i="1"/>
  <c r="M76" i="1"/>
  <c r="J76" i="1"/>
  <c r="I76" i="1"/>
  <c r="H76" i="1"/>
  <c r="G76" i="1"/>
  <c r="D76" i="1"/>
  <c r="B76" i="1"/>
  <c r="K75" i="1"/>
  <c r="J75" i="1"/>
  <c r="I75" i="1"/>
  <c r="H75" i="1"/>
  <c r="G75" i="1"/>
  <c r="M74" i="1"/>
  <c r="L74" i="1"/>
  <c r="L77" i="1" s="1"/>
  <c r="K74" i="1"/>
  <c r="J74" i="1"/>
  <c r="I74" i="1"/>
  <c r="H74" i="1"/>
  <c r="G74" i="1"/>
  <c r="F74" i="1"/>
  <c r="F77" i="1" s="1"/>
  <c r="E74" i="1"/>
  <c r="E77" i="1" s="1"/>
  <c r="D74" i="1"/>
  <c r="D77" i="1" s="1"/>
  <c r="C74" i="1"/>
  <c r="C77" i="1" s="1"/>
  <c r="B74" i="1"/>
  <c r="M72" i="1"/>
  <c r="K72" i="1"/>
  <c r="J72" i="1"/>
  <c r="I72" i="1"/>
  <c r="H72" i="1"/>
  <c r="G72" i="1"/>
  <c r="F72" i="1"/>
  <c r="D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8" i="1"/>
  <c r="L69" i="1" s="1"/>
  <c r="K68" i="1"/>
  <c r="K69" i="1" s="1"/>
  <c r="J68" i="1"/>
  <c r="J69" i="1" s="1"/>
  <c r="I68" i="1"/>
  <c r="H68" i="1"/>
  <c r="G68" i="1"/>
  <c r="B68" i="1"/>
  <c r="I67" i="1"/>
  <c r="H67" i="1"/>
  <c r="G67" i="1"/>
  <c r="F67" i="1"/>
  <c r="F69" i="1" s="1"/>
  <c r="E67" i="1"/>
  <c r="E69" i="1" s="1"/>
  <c r="C67" i="1"/>
  <c r="C69" i="1" s="1"/>
  <c r="B67" i="1"/>
  <c r="M66" i="1"/>
  <c r="K66" i="1"/>
  <c r="J66" i="1"/>
  <c r="H66" i="1"/>
  <c r="G66" i="1"/>
  <c r="F66" i="1"/>
  <c r="E66" i="1"/>
  <c r="D66" i="1"/>
  <c r="C66" i="1"/>
  <c r="B66" i="1"/>
  <c r="L65" i="1"/>
  <c r="K65" i="1"/>
  <c r="N65" i="1" s="1"/>
  <c r="D64" i="1"/>
  <c r="C64" i="1"/>
  <c r="M62" i="1"/>
  <c r="N62" i="1" s="1"/>
  <c r="M61" i="1"/>
  <c r="L61" i="1"/>
  <c r="K61" i="1"/>
  <c r="J61" i="1"/>
  <c r="I61" i="1"/>
  <c r="H61" i="1"/>
  <c r="G61" i="1"/>
  <c r="F61" i="1"/>
  <c r="E61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B56" i="1"/>
  <c r="H55" i="1"/>
  <c r="B55" i="1"/>
  <c r="F51" i="1"/>
  <c r="F52" i="1" s="1"/>
  <c r="B51" i="1"/>
  <c r="B52" i="1" s="1"/>
  <c r="M50" i="1"/>
  <c r="I50" i="1"/>
  <c r="H50" i="1"/>
  <c r="D50" i="1"/>
  <c r="C50" i="1"/>
  <c r="L49" i="1"/>
  <c r="K49" i="1"/>
  <c r="J49" i="1"/>
  <c r="I49" i="1"/>
  <c r="H49" i="1"/>
  <c r="G49" i="1"/>
  <c r="C49" i="1"/>
  <c r="G48" i="1"/>
  <c r="N48" i="1" s="1"/>
  <c r="D47" i="1"/>
  <c r="N47" i="1" s="1"/>
  <c r="M46" i="1"/>
  <c r="L46" i="1"/>
  <c r="C46" i="1"/>
  <c r="M45" i="1"/>
  <c r="L45" i="1"/>
  <c r="E45" i="1"/>
  <c r="E51" i="1" s="1"/>
  <c r="E52" i="1" s="1"/>
  <c r="D45" i="1"/>
  <c r="C45" i="1"/>
  <c r="K44" i="1"/>
  <c r="C44" i="1"/>
  <c r="L43" i="1"/>
  <c r="K43" i="1"/>
  <c r="J43" i="1"/>
  <c r="I43" i="1"/>
  <c r="H43" i="1"/>
  <c r="G43" i="1"/>
  <c r="C43" i="1"/>
  <c r="L42" i="1"/>
  <c r="N42" i="1" s="1"/>
  <c r="L41" i="1"/>
  <c r="K41" i="1"/>
  <c r="J41" i="1"/>
  <c r="H41" i="1"/>
  <c r="M36" i="1"/>
  <c r="B36" i="1"/>
  <c r="M35" i="1"/>
  <c r="L35" i="1"/>
  <c r="K35" i="1"/>
  <c r="J35" i="1"/>
  <c r="I35" i="1"/>
  <c r="H35" i="1"/>
  <c r="G35" i="1"/>
  <c r="F35" i="1"/>
  <c r="I34" i="1"/>
  <c r="H34" i="1"/>
  <c r="M33" i="1"/>
  <c r="L33" i="1"/>
  <c r="K33" i="1"/>
  <c r="J33" i="1"/>
  <c r="H33" i="1"/>
  <c r="G33" i="1"/>
  <c r="F33" i="1"/>
  <c r="D33" i="1"/>
  <c r="M32" i="1"/>
  <c r="L32" i="1"/>
  <c r="L37" i="1" s="1"/>
  <c r="K32" i="1"/>
  <c r="J32" i="1"/>
  <c r="I32" i="1"/>
  <c r="H32" i="1"/>
  <c r="G32" i="1"/>
  <c r="F32" i="1"/>
  <c r="E32" i="1"/>
  <c r="E37" i="1" s="1"/>
  <c r="D32" i="1"/>
  <c r="D37" i="1" s="1"/>
  <c r="C32" i="1"/>
  <c r="C37" i="1" s="1"/>
  <c r="B32" i="1"/>
  <c r="N31" i="1"/>
  <c r="M29" i="1"/>
  <c r="L29" i="1"/>
  <c r="K29" i="1"/>
  <c r="M28" i="1"/>
  <c r="J28" i="1"/>
  <c r="G28" i="1"/>
  <c r="F28" i="1"/>
  <c r="D28" i="1"/>
  <c r="M27" i="1"/>
  <c r="L27" i="1"/>
  <c r="K27" i="1"/>
  <c r="J27" i="1"/>
  <c r="I27" i="1"/>
  <c r="H27" i="1"/>
  <c r="G27" i="1"/>
  <c r="F27" i="1"/>
  <c r="M26" i="1"/>
  <c r="L26" i="1"/>
  <c r="K26" i="1"/>
  <c r="J26" i="1"/>
  <c r="I26" i="1"/>
  <c r="H26" i="1"/>
  <c r="G26" i="1"/>
  <c r="E26" i="1"/>
  <c r="D26" i="1"/>
  <c r="C26" i="1"/>
  <c r="M25" i="1"/>
  <c r="L25" i="1"/>
  <c r="K25" i="1"/>
  <c r="K30" i="1" s="1"/>
  <c r="J25" i="1"/>
  <c r="J30" i="1" s="1"/>
  <c r="I25" i="1"/>
  <c r="I30" i="1" s="1"/>
  <c r="H25" i="1"/>
  <c r="G25" i="1"/>
  <c r="F25" i="1"/>
  <c r="E25" i="1"/>
  <c r="E30" i="1" s="1"/>
  <c r="D25" i="1"/>
  <c r="C25" i="1"/>
  <c r="B25" i="1"/>
  <c r="B30" i="1" s="1"/>
  <c r="N24" i="1"/>
  <c r="M22" i="1"/>
  <c r="L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L20" i="1"/>
  <c r="E20" i="1"/>
  <c r="D20" i="1"/>
  <c r="C20" i="1"/>
  <c r="M19" i="1"/>
  <c r="L19" i="1"/>
  <c r="K19" i="1"/>
  <c r="J19" i="1"/>
  <c r="I19" i="1"/>
  <c r="H19" i="1"/>
  <c r="G19" i="1"/>
  <c r="F19" i="1"/>
  <c r="M18" i="1"/>
  <c r="L18" i="1"/>
  <c r="K18" i="1"/>
  <c r="J18" i="1"/>
  <c r="I18" i="1"/>
  <c r="H18" i="1"/>
  <c r="G18" i="1"/>
  <c r="F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B15" i="1"/>
  <c r="K13" i="1"/>
  <c r="J13" i="1"/>
  <c r="M12" i="1"/>
  <c r="L12" i="1"/>
  <c r="K12" i="1"/>
  <c r="J12" i="1"/>
  <c r="I12" i="1"/>
  <c r="H12" i="1"/>
  <c r="G12" i="1"/>
  <c r="D12" i="1"/>
  <c r="J11" i="1"/>
  <c r="H11" i="1"/>
  <c r="D11" i="1"/>
  <c r="L10" i="1"/>
  <c r="K10" i="1"/>
  <c r="J10" i="1"/>
  <c r="H10" i="1"/>
  <c r="G10" i="1"/>
  <c r="K9" i="1"/>
  <c r="J9" i="1"/>
  <c r="I9" i="1"/>
  <c r="F9" i="1"/>
  <c r="C9" i="1"/>
  <c r="M8" i="1"/>
  <c r="L8" i="1"/>
  <c r="K8" i="1"/>
  <c r="J8" i="1"/>
  <c r="I8" i="1"/>
  <c r="H8" i="1"/>
  <c r="G8" i="1"/>
  <c r="F8" i="1"/>
  <c r="E8" i="1"/>
  <c r="D8" i="1"/>
  <c r="C8" i="1"/>
  <c r="B8" i="1"/>
  <c r="F93" i="1" l="1"/>
  <c r="G51" i="1"/>
  <c r="G52" i="1" s="1"/>
  <c r="H30" i="1"/>
  <c r="G30" i="1"/>
  <c r="C30" i="1"/>
  <c r="I77" i="1"/>
  <c r="H88" i="1"/>
  <c r="L97" i="1"/>
  <c r="D30" i="1"/>
  <c r="L30" i="1"/>
  <c r="M30" i="1"/>
  <c r="J63" i="1"/>
  <c r="F30" i="1"/>
  <c r="N10" i="1"/>
  <c r="B69" i="1"/>
  <c r="B93" i="1"/>
  <c r="G97" i="1"/>
  <c r="N35" i="1"/>
  <c r="N64" i="1"/>
  <c r="G93" i="1"/>
  <c r="E100" i="1"/>
  <c r="M100" i="1"/>
  <c r="H77" i="1"/>
  <c r="N92" i="1"/>
  <c r="F100" i="1"/>
  <c r="N55" i="1"/>
  <c r="K88" i="1"/>
  <c r="K93" i="1"/>
  <c r="N13" i="1"/>
  <c r="B37" i="1"/>
  <c r="K77" i="1"/>
  <c r="K23" i="1"/>
  <c r="N28" i="1"/>
  <c r="H51" i="1"/>
  <c r="H52" i="1" s="1"/>
  <c r="L88" i="1"/>
  <c r="H93" i="1"/>
  <c r="N85" i="1"/>
  <c r="F14" i="1"/>
  <c r="D23" i="1"/>
  <c r="L23" i="1"/>
  <c r="H23" i="1"/>
  <c r="J37" i="1"/>
  <c r="M77" i="1"/>
  <c r="I93" i="1"/>
  <c r="I97" i="1"/>
  <c r="G63" i="1"/>
  <c r="D51" i="1"/>
  <c r="D52" i="1" s="1"/>
  <c r="J88" i="1"/>
  <c r="B14" i="1"/>
  <c r="N11" i="1"/>
  <c r="I23" i="1"/>
  <c r="K37" i="1"/>
  <c r="K51" i="1"/>
  <c r="K52" i="1" s="1"/>
  <c r="M51" i="1"/>
  <c r="M52" i="1" s="1"/>
  <c r="I69" i="1"/>
  <c r="J93" i="1"/>
  <c r="J97" i="1"/>
  <c r="F97" i="1"/>
  <c r="I100" i="1"/>
  <c r="N34" i="1"/>
  <c r="L51" i="1"/>
  <c r="L52" i="1" s="1"/>
  <c r="N46" i="1"/>
  <c r="G77" i="1"/>
  <c r="K97" i="1"/>
  <c r="B100" i="1"/>
  <c r="J100" i="1"/>
  <c r="I88" i="1"/>
  <c r="J14" i="1"/>
  <c r="I14" i="1"/>
  <c r="N21" i="1"/>
  <c r="N12" i="1"/>
  <c r="M14" i="1"/>
  <c r="C23" i="1"/>
  <c r="G23" i="1"/>
  <c r="N18" i="1"/>
  <c r="G37" i="1"/>
  <c r="N43" i="1"/>
  <c r="B63" i="1"/>
  <c r="N68" i="1"/>
  <c r="N78" i="1"/>
  <c r="N80" i="1"/>
  <c r="N95" i="1"/>
  <c r="H100" i="1"/>
  <c r="N99" i="1"/>
  <c r="N103" i="1"/>
  <c r="N9" i="1"/>
  <c r="E23" i="1"/>
  <c r="N50" i="1"/>
  <c r="N72" i="1"/>
  <c r="N91" i="1"/>
  <c r="N101" i="1"/>
  <c r="N104" i="1"/>
  <c r="C14" i="1"/>
  <c r="K14" i="1"/>
  <c r="G14" i="1"/>
  <c r="N15" i="1"/>
  <c r="B23" i="1"/>
  <c r="J23" i="1"/>
  <c r="N22" i="1"/>
  <c r="N29" i="1"/>
  <c r="H37" i="1"/>
  <c r="N44" i="1"/>
  <c r="I51" i="1"/>
  <c r="I52" i="1" s="1"/>
  <c r="H63" i="1"/>
  <c r="H108" i="1" s="1"/>
  <c r="N59" i="1"/>
  <c r="N60" i="1"/>
  <c r="N75" i="1"/>
  <c r="N83" i="1"/>
  <c r="E88" i="1"/>
  <c r="M88" i="1"/>
  <c r="D93" i="1"/>
  <c r="L93" i="1"/>
  <c r="K100" i="1"/>
  <c r="N49" i="1"/>
  <c r="N76" i="1"/>
  <c r="D14" i="1"/>
  <c r="L14" i="1"/>
  <c r="H14" i="1"/>
  <c r="N26" i="1"/>
  <c r="I37" i="1"/>
  <c r="C51" i="1"/>
  <c r="C52" i="1" s="1"/>
  <c r="N58" i="1"/>
  <c r="K63" i="1"/>
  <c r="N74" i="1"/>
  <c r="J77" i="1"/>
  <c r="F88" i="1"/>
  <c r="N86" i="1"/>
  <c r="E93" i="1"/>
  <c r="M93" i="1"/>
  <c r="L100" i="1"/>
  <c r="N102" i="1"/>
  <c r="N20" i="1"/>
  <c r="N45" i="1"/>
  <c r="D63" i="1"/>
  <c r="L63" i="1"/>
  <c r="N61" i="1"/>
  <c r="G69" i="1"/>
  <c r="N81" i="1"/>
  <c r="N90" i="1"/>
  <c r="C97" i="1"/>
  <c r="N96" i="1"/>
  <c r="N106" i="1"/>
  <c r="N70" i="1"/>
  <c r="N19" i="1"/>
  <c r="M37" i="1"/>
  <c r="N56" i="1"/>
  <c r="M63" i="1"/>
  <c r="I63" i="1"/>
  <c r="H69" i="1"/>
  <c r="N71" i="1"/>
  <c r="N82" i="1"/>
  <c r="N84" i="1"/>
  <c r="D97" i="1"/>
  <c r="H97" i="1"/>
  <c r="N105" i="1"/>
  <c r="M23" i="1"/>
  <c r="N36" i="1"/>
  <c r="F23" i="1"/>
  <c r="N17" i="1"/>
  <c r="N25" i="1"/>
  <c r="N30" i="1" s="1"/>
  <c r="F37" i="1"/>
  <c r="N33" i="1"/>
  <c r="F63" i="1"/>
  <c r="N57" i="1"/>
  <c r="N66" i="1"/>
  <c r="N79" i="1"/>
  <c r="N87" i="1"/>
  <c r="N94" i="1"/>
  <c r="M97" i="1"/>
  <c r="G100" i="1"/>
  <c r="N27" i="1"/>
  <c r="C93" i="1"/>
  <c r="J51" i="1"/>
  <c r="J52" i="1" s="1"/>
  <c r="E63" i="1"/>
  <c r="B77" i="1"/>
  <c r="C88" i="1"/>
  <c r="E97" i="1"/>
  <c r="N41" i="1"/>
  <c r="N8" i="1"/>
  <c r="B97" i="1"/>
  <c r="N32" i="1"/>
  <c r="C63" i="1"/>
  <c r="N67" i="1"/>
  <c r="N98" i="1"/>
  <c r="E14" i="1"/>
  <c r="B108" i="1" l="1"/>
  <c r="I108" i="1"/>
  <c r="J108" i="1"/>
  <c r="E108" i="1"/>
  <c r="M108" i="1"/>
  <c r="K108" i="1"/>
  <c r="D108" i="1"/>
  <c r="G108" i="1"/>
  <c r="L108" i="1"/>
  <c r="C108" i="1"/>
  <c r="F108" i="1"/>
  <c r="D38" i="1"/>
  <c r="C38" i="1"/>
  <c r="C53" i="1" s="1"/>
  <c r="N69" i="1"/>
  <c r="K38" i="1"/>
  <c r="K53" i="1" s="1"/>
  <c r="N93" i="1"/>
  <c r="L38" i="1"/>
  <c r="L53" i="1" s="1"/>
  <c r="I38" i="1"/>
  <c r="I53" i="1" s="1"/>
  <c r="B38" i="1"/>
  <c r="B53" i="1" s="1"/>
  <c r="D53" i="1"/>
  <c r="N23" i="1"/>
  <c r="N88" i="1"/>
  <c r="N108" i="1" s="1"/>
  <c r="N100" i="1"/>
  <c r="H38" i="1"/>
  <c r="H53" i="1" s="1"/>
  <c r="N37" i="1"/>
  <c r="G38" i="1"/>
  <c r="G53" i="1" s="1"/>
  <c r="M38" i="1"/>
  <c r="M53" i="1" s="1"/>
  <c r="F38" i="1"/>
  <c r="F53" i="1" s="1"/>
  <c r="N77" i="1"/>
  <c r="N14" i="1"/>
  <c r="J38" i="1"/>
  <c r="J53" i="1" s="1"/>
  <c r="E38" i="1"/>
  <c r="E53" i="1" s="1"/>
  <c r="N52" i="1"/>
  <c r="N97" i="1"/>
  <c r="N63" i="1"/>
  <c r="N51" i="1"/>
  <c r="K109" i="1" l="1"/>
  <c r="L109" i="1"/>
  <c r="H109" i="1"/>
  <c r="D109" i="1"/>
  <c r="I109" i="1"/>
  <c r="B109" i="1"/>
  <c r="G109" i="1"/>
  <c r="E109" i="1"/>
  <c r="J109" i="1"/>
  <c r="F109" i="1"/>
  <c r="M109" i="1"/>
  <c r="N38" i="1"/>
  <c r="N53" i="1"/>
  <c r="C109" i="1"/>
  <c r="N109" i="1" l="1"/>
</calcChain>
</file>

<file path=xl/sharedStrings.xml><?xml version="1.0" encoding="utf-8"?>
<sst xmlns="http://schemas.openxmlformats.org/spreadsheetml/2006/main" count="108" uniqueCount="108">
  <si>
    <t>Total</t>
  </si>
  <si>
    <t>Income</t>
  </si>
  <si>
    <t xml:space="preserve">   40500 Other Income</t>
  </si>
  <si>
    <t xml:space="preserve">      40500 A Other Income - Donations</t>
  </si>
  <si>
    <t xml:space="preserve">      40500 B Other Income - Sponsorship Income</t>
  </si>
  <si>
    <t xml:space="preserve">      40500 C Other Income - Facility Rentals</t>
  </si>
  <si>
    <t xml:space="preserve">      40500 E Other Income - Fundraising</t>
  </si>
  <si>
    <t xml:space="preserve">      40500 F Other Income - Trainer Court Time Rental</t>
  </si>
  <si>
    <t xml:space="preserve">      40500 G Other Income</t>
  </si>
  <si>
    <t xml:space="preserve">   Total 40500 Other Income</t>
  </si>
  <si>
    <t xml:space="preserve">   40600 Interest Earned</t>
  </si>
  <si>
    <t xml:space="preserve">   43400 Revenue</t>
  </si>
  <si>
    <t xml:space="preserve">      43420 Programming</t>
  </si>
  <si>
    <t xml:space="preserve">      43430 Travel Teams</t>
  </si>
  <si>
    <t xml:space="preserve">      43440 Tryouts</t>
  </si>
  <si>
    <t xml:space="preserve">      43470 Tournament Host</t>
  </si>
  <si>
    <t xml:space="preserve">      43480 Shooting Lab</t>
  </si>
  <si>
    <t xml:space="preserve">      43490 Internal Leagues</t>
  </si>
  <si>
    <t xml:space="preserve">   Total 43400 Revenue</t>
  </si>
  <si>
    <t xml:space="preserve">   44000 Sales Discounts</t>
  </si>
  <si>
    <t xml:space="preserve">      44120 Programming</t>
  </si>
  <si>
    <t xml:space="preserve">      44130 Travel Teams</t>
  </si>
  <si>
    <t xml:space="preserve">      44140 Tryouts</t>
  </si>
  <si>
    <t xml:space="preserve">      44180 Shooting Lab</t>
  </si>
  <si>
    <t xml:space="preserve">      44190 Internal Leagues</t>
  </si>
  <si>
    <t xml:space="preserve">   Total 44000 Sales Discounts</t>
  </si>
  <si>
    <t xml:space="preserve">   45000 Refunds</t>
  </si>
  <si>
    <t xml:space="preserve">      45120 Programming</t>
  </si>
  <si>
    <t xml:space="preserve">      45130 Travel Teams</t>
  </si>
  <si>
    <t xml:space="preserve">      45180 Shooting Lab</t>
  </si>
  <si>
    <t xml:space="preserve">      45440 Tryouts</t>
  </si>
  <si>
    <t xml:space="preserve">      45490 Internal Leagues</t>
  </si>
  <si>
    <t xml:space="preserve">   Total 45000 Refunds</t>
  </si>
  <si>
    <t>Total Income</t>
  </si>
  <si>
    <t>Cost of Goods Sold</t>
  </si>
  <si>
    <t xml:space="preserve">   50000 Cost of Goods Sold</t>
  </si>
  <si>
    <t xml:space="preserve">      50001 Camps/Clinics</t>
  </si>
  <si>
    <t xml:space="preserve">      50002 Programming</t>
  </si>
  <si>
    <t xml:space="preserve">      50003 Travel Teams</t>
  </si>
  <si>
    <t xml:space="preserve">      50006 Merchandise</t>
  </si>
  <si>
    <t xml:space="preserve">      50007 Tournament Host</t>
  </si>
  <si>
    <t xml:space="preserve">      50008 Internal Leagues</t>
  </si>
  <si>
    <t xml:space="preserve">      50009 Shooting Lab</t>
  </si>
  <si>
    <t xml:space="preserve">      50010 Programming - Inner City</t>
  </si>
  <si>
    <t xml:space="preserve">      50041 Tournament Entry Expense</t>
  </si>
  <si>
    <t xml:space="preserve">      50044 League Entry Expense</t>
  </si>
  <si>
    <t xml:space="preserve">   Total 50000 Cost of Goods Sold</t>
  </si>
  <si>
    <t>Total Cost of Goods Sold</t>
  </si>
  <si>
    <t>Gross Profit</t>
  </si>
  <si>
    <t>Expenses</t>
  </si>
  <si>
    <t xml:space="preserve">   60004 Bank Charges</t>
  </si>
  <si>
    <t xml:space="preserve">      60004 A PayPal Fees</t>
  </si>
  <si>
    <t xml:space="preserve">      60004 B QuickBooks Payments Fees</t>
  </si>
  <si>
    <t xml:space="preserve">      60004 D Venmo Fees</t>
  </si>
  <si>
    <t xml:space="preserve">      60004 E Mindbody Merchant Fees</t>
  </si>
  <si>
    <t xml:space="preserve">      60004 F Tourney Machine Merchant Fees</t>
  </si>
  <si>
    <t xml:space="preserve">      60004 G Playbook Merchant Fees</t>
  </si>
  <si>
    <t xml:space="preserve">      60004 H GiveSmart Fees</t>
  </si>
  <si>
    <t xml:space="preserve">   Total 60004 Bank Charges</t>
  </si>
  <si>
    <t xml:space="preserve">   60006 Board Appreciation</t>
  </si>
  <si>
    <t xml:space="preserve">   60007 Camps/Clinics Expense</t>
  </si>
  <si>
    <t xml:space="preserve">   60009 Background Checks</t>
  </si>
  <si>
    <t xml:space="preserve">   60010 Coach Expense</t>
  </si>
  <si>
    <t xml:space="preserve">      60010 A Coach Travel</t>
  </si>
  <si>
    <t xml:space="preserve">   Total 60010 Coach Expense</t>
  </si>
  <si>
    <t xml:space="preserve">   60011 Contract Labor</t>
  </si>
  <si>
    <t xml:space="preserve">   60012 Depreciation</t>
  </si>
  <si>
    <t xml:space="preserve">   60014 Equipment</t>
  </si>
  <si>
    <t xml:space="preserve">   60015 Facility Rentals</t>
  </si>
  <si>
    <t xml:space="preserve">      60015 A Facility Rentals - TOA</t>
  </si>
  <si>
    <t xml:space="preserve">      60015 B Facility Rentals - North Facility Rentals</t>
  </si>
  <si>
    <t xml:space="preserve">      60015 C Facility Rentals - WILCO Facility Rentals</t>
  </si>
  <si>
    <t xml:space="preserve">   Total 60015 Facility Rentals</t>
  </si>
  <si>
    <t xml:space="preserve">   60016 Fundraising</t>
  </si>
  <si>
    <t xml:space="preserve">   60017 Workers' Comp Insurance</t>
  </si>
  <si>
    <t xml:space="preserve">   60020 Licenses and Taxes</t>
  </si>
  <si>
    <t xml:space="preserve">   60021 Marketing</t>
  </si>
  <si>
    <t xml:space="preserve">   60022 Meetings</t>
  </si>
  <si>
    <t xml:space="preserve">   60023 Subscriptions</t>
  </si>
  <si>
    <t xml:space="preserve">   60024 Ministry</t>
  </si>
  <si>
    <t xml:space="preserve">   60026 Employee Payroll</t>
  </si>
  <si>
    <t xml:space="preserve">      60026 A Employee 401K Match</t>
  </si>
  <si>
    <t xml:space="preserve">      60026 B Employee Benefits - Internet</t>
  </si>
  <si>
    <t xml:space="preserve">   Total 60026 Employee Payroll</t>
  </si>
  <si>
    <t xml:space="preserve">   60027 Benefits &amp; Related - President</t>
  </si>
  <si>
    <t xml:space="preserve">      60027 A Insurance Package - Medical/Dental/Vision</t>
  </si>
  <si>
    <t xml:space="preserve">      60027 B Internet</t>
  </si>
  <si>
    <t xml:space="preserve">      60027 C Mobile Phone</t>
  </si>
  <si>
    <t xml:space="preserve">   Total 60027 Benefits &amp; Related - President</t>
  </si>
  <si>
    <t xml:space="preserve">   60028 Payroll Taxes</t>
  </si>
  <si>
    <t xml:space="preserve">      60028 A FICA</t>
  </si>
  <si>
    <t xml:space="preserve">      60028 B TN SUI</t>
  </si>
  <si>
    <t xml:space="preserve">   Total 60028 Payroll Taxes</t>
  </si>
  <si>
    <t xml:space="preserve">   60029 Salaries - President</t>
  </si>
  <si>
    <t xml:space="preserve">      60029 A President - Court Time Pay</t>
  </si>
  <si>
    <t xml:space="preserve">   Total 60029 Salaries - President</t>
  </si>
  <si>
    <t xml:space="preserve">   60030 Professional Fees-Accounting</t>
  </si>
  <si>
    <t xml:space="preserve">   60031 Coach Appreciation</t>
  </si>
  <si>
    <t xml:space="preserve">   60033 Supplies</t>
  </si>
  <si>
    <t xml:space="preserve">   60036 Travel Expense</t>
  </si>
  <si>
    <t xml:space="preserve">   60038 Insurance</t>
  </si>
  <si>
    <t xml:space="preserve">   60046 Payroll Admin Fees</t>
  </si>
  <si>
    <t xml:space="preserve">   60051 Charitable Contributions</t>
  </si>
  <si>
    <t>Total Expenses</t>
  </si>
  <si>
    <t>Net Operating Income</t>
  </si>
  <si>
    <t>Nashville Youth Sports Club dba Stars Basketball Club</t>
  </si>
  <si>
    <t>FYE 2023 Budget</t>
  </si>
  <si>
    <t>October 2022 -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</si>
</sst>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center" wrapText="1"/>
    </xf>
    <xf numFmtId="43" fontId="3" fillId="0" borderId="0" xfId="1" applyFont="1" applyAlignment="1">
      <alignment wrapText="1"/>
    </xf>
    <xf numFmtId="43" fontId="3" fillId="0" borderId="0" xfId="1" applyFont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43" fontId="0" fillId="0" borderId="0" xfId="0" applyNumberFormat="1"/>
    <xf numFmtId="43" fontId="2" fillId="0" borderId="0" xfId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zoomScale="120" zoomScaleNormal="12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RowHeight="14.4" x14ac:dyDescent="0.3"/>
  <cols>
    <col min="1" max="1" width="40.109375" bestFit="1" customWidth="1"/>
    <col min="2" max="2" width="8.77734375" bestFit="1" customWidth="1"/>
    <col min="3" max="3" width="9" bestFit="1" customWidth="1"/>
    <col min="4" max="4" width="8.21875" bestFit="1" customWidth="1"/>
    <col min="5" max="6" width="8.77734375" bestFit="1" customWidth="1"/>
    <col min="7" max="7" width="9" bestFit="1" customWidth="1"/>
    <col min="8" max="8" width="9.5546875" bestFit="1" customWidth="1"/>
    <col min="9" max="9" width="9" bestFit="1" customWidth="1"/>
    <col min="10" max="10" width="8.77734375" bestFit="1" customWidth="1"/>
    <col min="11" max="13" width="9" bestFit="1" customWidth="1"/>
    <col min="14" max="14" width="10.21875" bestFit="1" customWidth="1"/>
    <col min="16" max="16" width="11.33203125" bestFit="1" customWidth="1"/>
  </cols>
  <sheetData>
    <row r="1" spans="1:14" ht="17.399999999999999" x14ac:dyDescent="0.3">
      <c r="A1" s="5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7.399999999999999" x14ac:dyDescent="0.3">
      <c r="A2" s="5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6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x14ac:dyDescent="0.3">
      <c r="A5" s="1"/>
      <c r="B5" s="7">
        <v>44835</v>
      </c>
      <c r="C5" s="7">
        <v>44866</v>
      </c>
      <c r="D5" s="7">
        <v>44896</v>
      </c>
      <c r="E5" s="7">
        <v>44927</v>
      </c>
      <c r="F5" s="7">
        <v>44958</v>
      </c>
      <c r="G5" s="7">
        <v>44986</v>
      </c>
      <c r="H5" s="7">
        <v>45017</v>
      </c>
      <c r="I5" s="7">
        <v>45047</v>
      </c>
      <c r="J5" s="7">
        <v>45078</v>
      </c>
      <c r="K5" s="7">
        <v>45108</v>
      </c>
      <c r="L5" s="7">
        <v>45139</v>
      </c>
      <c r="M5" s="7">
        <v>45170</v>
      </c>
      <c r="N5" s="2" t="s">
        <v>0</v>
      </c>
    </row>
    <row r="6" spans="1:14" x14ac:dyDescent="0.3">
      <c r="A6" s="3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3">
      <c r="A7" s="3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x14ac:dyDescent="0.3">
      <c r="A8" s="3" t="s">
        <v>3</v>
      </c>
      <c r="B8" s="9">
        <f>590</f>
        <v>590</v>
      </c>
      <c r="C8" s="9">
        <f>1225</f>
        <v>1225</v>
      </c>
      <c r="D8" s="9">
        <f>12347.27</f>
        <v>12347.27</v>
      </c>
      <c r="E8" s="9">
        <f>15955</f>
        <v>15955</v>
      </c>
      <c r="F8" s="9">
        <f>1255</f>
        <v>1255</v>
      </c>
      <c r="G8" s="9">
        <f>4815</f>
        <v>4815</v>
      </c>
      <c r="H8" s="9">
        <f>14005</f>
        <v>14005</v>
      </c>
      <c r="I8" s="9">
        <f>4930</f>
        <v>4930</v>
      </c>
      <c r="J8" s="9">
        <f>2010.98</f>
        <v>2010.98</v>
      </c>
      <c r="K8" s="9">
        <f>755</f>
        <v>755</v>
      </c>
      <c r="L8" s="9">
        <f>205</f>
        <v>205</v>
      </c>
      <c r="M8" s="9">
        <f>23260</f>
        <v>23260</v>
      </c>
      <c r="N8" s="9">
        <f t="shared" ref="N8:N38" si="0">(((((((((((B8)+(C8))+(D8))+(E8))+(F8))+(G8))+(H8))+(I8))+(J8))+(K8))+(L8))+(M8)</f>
        <v>81353.25</v>
      </c>
    </row>
    <row r="9" spans="1:14" x14ac:dyDescent="0.3">
      <c r="A9" s="3" t="s">
        <v>4</v>
      </c>
      <c r="B9" s="8"/>
      <c r="C9" s="9">
        <f>3450</f>
        <v>3450</v>
      </c>
      <c r="D9" s="8"/>
      <c r="E9" s="8"/>
      <c r="F9" s="9">
        <f>500</f>
        <v>500</v>
      </c>
      <c r="G9" s="8"/>
      <c r="H9" s="8"/>
      <c r="I9" s="9">
        <f>1500</f>
        <v>1500</v>
      </c>
      <c r="J9" s="9">
        <f>500</f>
        <v>500</v>
      </c>
      <c r="K9" s="9">
        <f>250</f>
        <v>250</v>
      </c>
      <c r="L9" s="8"/>
      <c r="M9" s="8"/>
      <c r="N9" s="9">
        <f t="shared" si="0"/>
        <v>6200</v>
      </c>
    </row>
    <row r="10" spans="1:14" x14ac:dyDescent="0.3">
      <c r="A10" s="3" t="s">
        <v>5</v>
      </c>
      <c r="B10" s="8"/>
      <c r="C10" s="8"/>
      <c r="D10" s="8"/>
      <c r="E10" s="8"/>
      <c r="F10" s="8"/>
      <c r="G10" s="9">
        <f>22300</f>
        <v>22300</v>
      </c>
      <c r="H10" s="9">
        <f>32700</f>
        <v>32700</v>
      </c>
      <c r="I10" s="9">
        <v>21200</v>
      </c>
      <c r="J10" s="9">
        <f>0</f>
        <v>0</v>
      </c>
      <c r="K10" s="9">
        <f>14000</f>
        <v>14000</v>
      </c>
      <c r="L10" s="9">
        <f>30</f>
        <v>30</v>
      </c>
      <c r="M10" s="8"/>
      <c r="N10" s="9">
        <f t="shared" si="0"/>
        <v>90230</v>
      </c>
    </row>
    <row r="11" spans="1:14" x14ac:dyDescent="0.3">
      <c r="A11" s="3" t="s">
        <v>6</v>
      </c>
      <c r="B11" s="8"/>
      <c r="C11" s="8"/>
      <c r="D11" s="9">
        <f>675.72</f>
        <v>675.72</v>
      </c>
      <c r="E11" s="8"/>
      <c r="F11" s="8"/>
      <c r="G11" s="8"/>
      <c r="H11" s="9">
        <f>207.1</f>
        <v>207.1</v>
      </c>
      <c r="I11" s="8"/>
      <c r="J11" s="9">
        <f>186.7</f>
        <v>186.7</v>
      </c>
      <c r="K11" s="8"/>
      <c r="L11" s="8"/>
      <c r="M11" s="8"/>
      <c r="N11" s="9">
        <f t="shared" si="0"/>
        <v>1069.52</v>
      </c>
    </row>
    <row r="12" spans="1:14" x14ac:dyDescent="0.3">
      <c r="A12" s="3" t="s">
        <v>7</v>
      </c>
      <c r="B12" s="9">
        <v>2000</v>
      </c>
      <c r="C12" s="9">
        <v>2000</v>
      </c>
      <c r="D12" s="9">
        <f>2720</f>
        <v>2720</v>
      </c>
      <c r="E12" s="9">
        <v>2000</v>
      </c>
      <c r="F12" s="9">
        <v>2000</v>
      </c>
      <c r="G12" s="9">
        <f>1670</f>
        <v>1670</v>
      </c>
      <c r="H12" s="9">
        <f>1470</f>
        <v>1470</v>
      </c>
      <c r="I12" s="9">
        <f>1540</f>
        <v>1540</v>
      </c>
      <c r="J12" s="9">
        <f>2120</f>
        <v>2120</v>
      </c>
      <c r="K12" s="9">
        <f>2660</f>
        <v>2660</v>
      </c>
      <c r="L12" s="9">
        <f>4740</f>
        <v>4740</v>
      </c>
      <c r="M12" s="9">
        <f>3735</f>
        <v>3735</v>
      </c>
      <c r="N12" s="9">
        <f t="shared" si="0"/>
        <v>28655</v>
      </c>
    </row>
    <row r="13" spans="1:14" x14ac:dyDescent="0.3">
      <c r="A13" s="3" t="s">
        <v>8</v>
      </c>
      <c r="B13" s="8"/>
      <c r="C13" s="8"/>
      <c r="D13" s="8"/>
      <c r="E13" s="8"/>
      <c r="F13" s="8"/>
      <c r="G13" s="8"/>
      <c r="H13" s="8"/>
      <c r="I13" s="8"/>
      <c r="J13" s="9">
        <f>1225.79</f>
        <v>1225.79</v>
      </c>
      <c r="K13" s="9">
        <f>400</f>
        <v>400</v>
      </c>
      <c r="L13" s="8"/>
      <c r="M13" s="8"/>
      <c r="N13" s="9">
        <f t="shared" si="0"/>
        <v>1625.79</v>
      </c>
    </row>
    <row r="14" spans="1:14" x14ac:dyDescent="0.3">
      <c r="A14" s="3" t="s">
        <v>9</v>
      </c>
      <c r="B14" s="10">
        <f t="shared" ref="B14:M14" si="1">((((((B7)+(B8))+(B9))+(B10))+(B11))+(B12))+(B13)</f>
        <v>2590</v>
      </c>
      <c r="C14" s="10">
        <f t="shared" si="1"/>
        <v>6675</v>
      </c>
      <c r="D14" s="10">
        <f t="shared" si="1"/>
        <v>15742.99</v>
      </c>
      <c r="E14" s="10">
        <f t="shared" si="1"/>
        <v>17955</v>
      </c>
      <c r="F14" s="10">
        <f t="shared" si="1"/>
        <v>3755</v>
      </c>
      <c r="G14" s="10">
        <f t="shared" si="1"/>
        <v>28785</v>
      </c>
      <c r="H14" s="10">
        <f t="shared" si="1"/>
        <v>48382.1</v>
      </c>
      <c r="I14" s="10">
        <f t="shared" si="1"/>
        <v>29170</v>
      </c>
      <c r="J14" s="10">
        <f t="shared" si="1"/>
        <v>6043.47</v>
      </c>
      <c r="K14" s="10">
        <f t="shared" si="1"/>
        <v>18065</v>
      </c>
      <c r="L14" s="10">
        <f t="shared" si="1"/>
        <v>4975</v>
      </c>
      <c r="M14" s="10">
        <f t="shared" si="1"/>
        <v>26995</v>
      </c>
      <c r="N14" s="10">
        <f t="shared" si="0"/>
        <v>209133.56</v>
      </c>
    </row>
    <row r="15" spans="1:14" x14ac:dyDescent="0.3">
      <c r="A15" s="3" t="s">
        <v>10</v>
      </c>
      <c r="B15" s="9">
        <f>40.66</f>
        <v>40.659999999999997</v>
      </c>
      <c r="C15" s="9">
        <f>35.93</f>
        <v>35.93</v>
      </c>
      <c r="D15" s="9">
        <f>35.86</f>
        <v>35.86</v>
      </c>
      <c r="E15" s="9">
        <f>38.44</f>
        <v>38.44</v>
      </c>
      <c r="F15" s="9">
        <f>35.58</f>
        <v>35.58</v>
      </c>
      <c r="G15" s="9">
        <f>46.67</f>
        <v>46.67</v>
      </c>
      <c r="H15" s="9">
        <f>41.48</f>
        <v>41.48</v>
      </c>
      <c r="I15" s="9">
        <f>40.25</f>
        <v>40.25</v>
      </c>
      <c r="J15" s="9">
        <f>36.42</f>
        <v>36.42</v>
      </c>
      <c r="K15" s="9">
        <f>48.91</f>
        <v>48.91</v>
      </c>
      <c r="L15" s="9">
        <f>110.6</f>
        <v>110.6</v>
      </c>
      <c r="M15" s="9">
        <f>107.64</f>
        <v>107.64</v>
      </c>
      <c r="N15" s="9">
        <f t="shared" si="0"/>
        <v>618.44000000000005</v>
      </c>
    </row>
    <row r="16" spans="1:14" x14ac:dyDescent="0.3">
      <c r="A16" s="3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3">
      <c r="A17" s="3" t="s">
        <v>12</v>
      </c>
      <c r="B17" s="9">
        <f>10995</f>
        <v>10995</v>
      </c>
      <c r="C17" s="9">
        <f>18450</f>
        <v>18450</v>
      </c>
      <c r="D17" s="9">
        <f>30044</f>
        <v>30044</v>
      </c>
      <c r="E17" s="9">
        <f>16954.2</f>
        <v>16954.2</v>
      </c>
      <c r="F17" s="9">
        <f>15988</f>
        <v>15988</v>
      </c>
      <c r="G17" s="9">
        <f>5930</f>
        <v>5930</v>
      </c>
      <c r="H17" s="9">
        <f>1356</f>
        <v>1356</v>
      </c>
      <c r="I17" s="9">
        <f>1370</f>
        <v>1370</v>
      </c>
      <c r="J17" s="9">
        <f>43689</f>
        <v>43689</v>
      </c>
      <c r="K17" s="9">
        <f>57993.25</f>
        <v>57993.25</v>
      </c>
      <c r="L17" s="9">
        <f>63801.25</f>
        <v>63801.25</v>
      </c>
      <c r="M17" s="9">
        <f>20836</f>
        <v>20836</v>
      </c>
      <c r="N17" s="9">
        <f t="shared" si="0"/>
        <v>287406.7</v>
      </c>
    </row>
    <row r="18" spans="1:14" x14ac:dyDescent="0.3">
      <c r="A18" s="3" t="s">
        <v>13</v>
      </c>
      <c r="B18" s="8"/>
      <c r="C18" s="9">
        <f>87061</f>
        <v>87061</v>
      </c>
      <c r="D18" s="9">
        <f>1559</f>
        <v>1559</v>
      </c>
      <c r="E18" s="8"/>
      <c r="F18" s="9">
        <f>1000</f>
        <v>1000</v>
      </c>
      <c r="G18" s="9">
        <f>476660</f>
        <v>476660</v>
      </c>
      <c r="H18" s="9">
        <f>8165</f>
        <v>8165</v>
      </c>
      <c r="I18" s="9">
        <f>41583.5</f>
        <v>41583.5</v>
      </c>
      <c r="J18" s="9">
        <f>4309.5</f>
        <v>4309.5</v>
      </c>
      <c r="K18" s="9">
        <f>562.5</f>
        <v>562.5</v>
      </c>
      <c r="L18" s="9">
        <f>1636.25</f>
        <v>1636.25</v>
      </c>
      <c r="M18" s="9">
        <f>193.75</f>
        <v>193.75</v>
      </c>
      <c r="N18" s="9">
        <f t="shared" si="0"/>
        <v>622730.5</v>
      </c>
    </row>
    <row r="19" spans="1:14" x14ac:dyDescent="0.3">
      <c r="A19" s="3" t="s">
        <v>14</v>
      </c>
      <c r="B19" s="8"/>
      <c r="C19" s="8"/>
      <c r="D19" s="8"/>
      <c r="E19" s="8"/>
      <c r="F19" s="9">
        <f>25632.5</f>
        <v>25632.5</v>
      </c>
      <c r="G19" s="9">
        <f>2141</f>
        <v>2141</v>
      </c>
      <c r="H19" s="9">
        <f>1925</f>
        <v>1925</v>
      </c>
      <c r="I19" s="9">
        <f>3945</f>
        <v>3945</v>
      </c>
      <c r="J19" s="9">
        <f>0</f>
        <v>0</v>
      </c>
      <c r="K19" s="9">
        <f>0</f>
        <v>0</v>
      </c>
      <c r="L19" s="9">
        <f>1911</f>
        <v>1911</v>
      </c>
      <c r="M19" s="9">
        <f>4758</f>
        <v>4758</v>
      </c>
      <c r="N19" s="9">
        <f t="shared" si="0"/>
        <v>40312.5</v>
      </c>
    </row>
    <row r="20" spans="1:14" x14ac:dyDescent="0.3">
      <c r="A20" s="3" t="s">
        <v>15</v>
      </c>
      <c r="B20" s="8"/>
      <c r="C20" s="9">
        <f>19917.73</f>
        <v>19917.73</v>
      </c>
      <c r="D20" s="9">
        <f>21170.02</f>
        <v>21170.02</v>
      </c>
      <c r="E20" s="9">
        <f>175</f>
        <v>175</v>
      </c>
      <c r="F20" s="8"/>
      <c r="G20" s="8"/>
      <c r="H20" s="8"/>
      <c r="I20" s="8"/>
      <c r="J20" s="8"/>
      <c r="K20" s="8"/>
      <c r="L20" s="9">
        <f>21661</f>
        <v>21661</v>
      </c>
      <c r="M20" s="8"/>
      <c r="N20" s="9">
        <f t="shared" si="0"/>
        <v>62923.75</v>
      </c>
    </row>
    <row r="21" spans="1:14" x14ac:dyDescent="0.3">
      <c r="A21" s="3" t="s">
        <v>16</v>
      </c>
      <c r="B21" s="9">
        <f>9933.5</f>
        <v>9933.5</v>
      </c>
      <c r="C21" s="9">
        <f>6974</f>
        <v>6974</v>
      </c>
      <c r="D21" s="9">
        <f>6264.2</f>
        <v>6264.2</v>
      </c>
      <c r="E21" s="9">
        <f>13422.4</f>
        <v>13422.4</v>
      </c>
      <c r="F21" s="9">
        <f>9537.7</f>
        <v>9537.7000000000007</v>
      </c>
      <c r="G21" s="9">
        <f>5401.2</f>
        <v>5401.2</v>
      </c>
      <c r="H21" s="9">
        <f>2702.2</f>
        <v>2702.2</v>
      </c>
      <c r="I21" s="9">
        <f>4401.6</f>
        <v>4401.6000000000004</v>
      </c>
      <c r="J21" s="9">
        <f>6495.9</f>
        <v>6495.9</v>
      </c>
      <c r="K21" s="9">
        <f>4910</f>
        <v>4910</v>
      </c>
      <c r="L21" s="9">
        <f>5747.6</f>
        <v>5747.6</v>
      </c>
      <c r="M21" s="9">
        <f>6384.3</f>
        <v>6384.3</v>
      </c>
      <c r="N21" s="9">
        <f t="shared" si="0"/>
        <v>82174.600000000006</v>
      </c>
    </row>
    <row r="22" spans="1:14" x14ac:dyDescent="0.3">
      <c r="A22" s="3" t="s">
        <v>17</v>
      </c>
      <c r="B22" s="9">
        <f>80</f>
        <v>80</v>
      </c>
      <c r="C22" s="8"/>
      <c r="D22" s="8"/>
      <c r="E22" s="8"/>
      <c r="F22" s="8"/>
      <c r="G22" s="8"/>
      <c r="H22" s="8"/>
      <c r="I22" s="8"/>
      <c r="J22" s="8">
        <v>15000</v>
      </c>
      <c r="K22" s="9">
        <v>15000</v>
      </c>
      <c r="L22" s="9">
        <f>35479</f>
        <v>35479</v>
      </c>
      <c r="M22" s="9">
        <f>17778</f>
        <v>17778</v>
      </c>
      <c r="N22" s="9">
        <f t="shared" si="0"/>
        <v>83337</v>
      </c>
    </row>
    <row r="23" spans="1:14" x14ac:dyDescent="0.3">
      <c r="A23" s="3" t="s">
        <v>18</v>
      </c>
      <c r="B23" s="10">
        <f t="shared" ref="B23:M23" si="2">((((((B16)+(B17))+(B18))+(B19))+(B20))+(B21))+(B22)</f>
        <v>21008.5</v>
      </c>
      <c r="C23" s="10">
        <f t="shared" si="2"/>
        <v>132402.72999999998</v>
      </c>
      <c r="D23" s="10">
        <f t="shared" si="2"/>
        <v>59037.22</v>
      </c>
      <c r="E23" s="10">
        <f t="shared" si="2"/>
        <v>30551.599999999999</v>
      </c>
      <c r="F23" s="10">
        <f t="shared" si="2"/>
        <v>52158.2</v>
      </c>
      <c r="G23" s="10">
        <f t="shared" si="2"/>
        <v>490132.2</v>
      </c>
      <c r="H23" s="10">
        <f t="shared" si="2"/>
        <v>14148.2</v>
      </c>
      <c r="I23" s="10">
        <f t="shared" si="2"/>
        <v>51300.1</v>
      </c>
      <c r="J23" s="10">
        <f t="shared" si="2"/>
        <v>69494.399999999994</v>
      </c>
      <c r="K23" s="10">
        <f t="shared" si="2"/>
        <v>78465.75</v>
      </c>
      <c r="L23" s="10">
        <f t="shared" si="2"/>
        <v>130236.1</v>
      </c>
      <c r="M23" s="10">
        <f t="shared" si="2"/>
        <v>49950.05</v>
      </c>
      <c r="N23" s="10">
        <f t="shared" si="0"/>
        <v>1178885.05</v>
      </c>
    </row>
    <row r="24" spans="1:14" x14ac:dyDescent="0.3">
      <c r="A24" s="3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f t="shared" si="0"/>
        <v>0</v>
      </c>
    </row>
    <row r="25" spans="1:14" x14ac:dyDescent="0.3">
      <c r="A25" s="3" t="s">
        <v>20</v>
      </c>
      <c r="B25" s="9">
        <f>-73.3</f>
        <v>-73.3</v>
      </c>
      <c r="C25" s="9">
        <f>-348.6</f>
        <v>-348.6</v>
      </c>
      <c r="D25" s="9">
        <f>-2554.5</f>
        <v>-2554.5</v>
      </c>
      <c r="E25" s="9">
        <f>-1603.5</f>
        <v>-1603.5</v>
      </c>
      <c r="F25" s="9">
        <f>-1011.75</f>
        <v>-1011.75</v>
      </c>
      <c r="G25" s="9">
        <f>-162</f>
        <v>-162</v>
      </c>
      <c r="H25" s="9">
        <f>0</f>
        <v>0</v>
      </c>
      <c r="I25" s="9">
        <f>-97</f>
        <v>-97</v>
      </c>
      <c r="J25" s="9">
        <f>-370</f>
        <v>-370</v>
      </c>
      <c r="K25" s="9">
        <f>-2658</f>
        <v>-2658</v>
      </c>
      <c r="L25" s="9">
        <f>-3213</f>
        <v>-3213</v>
      </c>
      <c r="M25" s="9">
        <f>-1633.5</f>
        <v>-1633.5</v>
      </c>
      <c r="N25" s="9">
        <f t="shared" si="0"/>
        <v>-13725.15</v>
      </c>
    </row>
    <row r="26" spans="1:14" x14ac:dyDescent="0.3">
      <c r="A26" s="3" t="s">
        <v>21</v>
      </c>
      <c r="B26" s="8"/>
      <c r="C26" s="9">
        <f>-2909.5</f>
        <v>-2909.5</v>
      </c>
      <c r="D26" s="9">
        <f>-739</f>
        <v>-739</v>
      </c>
      <c r="E26" s="9">
        <f>-640</f>
        <v>-640</v>
      </c>
      <c r="F26" s="8"/>
      <c r="G26" s="9">
        <f>-36356.75</f>
        <v>-36356.75</v>
      </c>
      <c r="H26" s="9">
        <f>-1470</f>
        <v>-1470</v>
      </c>
      <c r="I26" s="9">
        <f>0</f>
        <v>0</v>
      </c>
      <c r="J26" s="9">
        <f>-1000</f>
        <v>-1000</v>
      </c>
      <c r="K26" s="9">
        <f>-1906.25</f>
        <v>-1906.25</v>
      </c>
      <c r="L26" s="9">
        <f>-7293.5</f>
        <v>-7293.5</v>
      </c>
      <c r="M26" s="9">
        <f>0</f>
        <v>0</v>
      </c>
      <c r="N26" s="9">
        <f t="shared" si="0"/>
        <v>-52315</v>
      </c>
    </row>
    <row r="27" spans="1:14" x14ac:dyDescent="0.3">
      <c r="A27" s="3" t="s">
        <v>22</v>
      </c>
      <c r="B27" s="8"/>
      <c r="C27" s="8"/>
      <c r="D27" s="8"/>
      <c r="E27" s="8"/>
      <c r="F27" s="9">
        <f>0</f>
        <v>0</v>
      </c>
      <c r="G27" s="9">
        <f>-555</f>
        <v>-555</v>
      </c>
      <c r="H27" s="9">
        <f>0</f>
        <v>0</v>
      </c>
      <c r="I27" s="9">
        <f>0</f>
        <v>0</v>
      </c>
      <c r="J27" s="9">
        <f>0</f>
        <v>0</v>
      </c>
      <c r="K27" s="9">
        <f>0</f>
        <v>0</v>
      </c>
      <c r="L27" s="9">
        <f>0</f>
        <v>0</v>
      </c>
      <c r="M27" s="9">
        <f>0</f>
        <v>0</v>
      </c>
      <c r="N27" s="9">
        <f t="shared" si="0"/>
        <v>-555</v>
      </c>
    </row>
    <row r="28" spans="1:14" x14ac:dyDescent="0.3">
      <c r="A28" s="3" t="s">
        <v>23</v>
      </c>
      <c r="B28" s="8"/>
      <c r="C28" s="8"/>
      <c r="D28" s="9">
        <f>-837</f>
        <v>-837</v>
      </c>
      <c r="E28" s="8"/>
      <c r="F28" s="9">
        <f>-159</f>
        <v>-159</v>
      </c>
      <c r="G28" s="9">
        <f>-563</f>
        <v>-563</v>
      </c>
      <c r="H28" s="8"/>
      <c r="I28" s="8"/>
      <c r="J28" s="9">
        <f>-398</f>
        <v>-398</v>
      </c>
      <c r="K28" s="8"/>
      <c r="L28" s="8"/>
      <c r="M28" s="9">
        <f>-214.9</f>
        <v>-214.9</v>
      </c>
      <c r="N28" s="9">
        <f t="shared" si="0"/>
        <v>-2171.9</v>
      </c>
    </row>
    <row r="29" spans="1:14" x14ac:dyDescent="0.3">
      <c r="A29" s="3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9">
        <f>-169</f>
        <v>-169</v>
      </c>
      <c r="L29" s="9">
        <f>-518</f>
        <v>-518</v>
      </c>
      <c r="M29" s="9">
        <f>0</f>
        <v>0</v>
      </c>
      <c r="N29" s="9">
        <f t="shared" si="0"/>
        <v>-687</v>
      </c>
    </row>
    <row r="30" spans="1:14" x14ac:dyDescent="0.3">
      <c r="A30" s="3" t="s">
        <v>25</v>
      </c>
      <c r="B30" s="10">
        <f>SUM(B25:B29)</f>
        <v>-73.3</v>
      </c>
      <c r="C30" s="10">
        <f>SUM(C25:C29)</f>
        <v>-3258.1</v>
      </c>
      <c r="D30" s="10">
        <f>SUM(D25:D29)</f>
        <v>-4130.5</v>
      </c>
      <c r="E30" s="10">
        <f>SUM(E25:E29)</f>
        <v>-2243.5</v>
      </c>
      <c r="F30" s="10">
        <f>SUM(F25:F29)</f>
        <v>-1170.75</v>
      </c>
      <c r="G30" s="10">
        <f>SUM(G25:G29)</f>
        <v>-37636.75</v>
      </c>
      <c r="H30" s="10">
        <f>SUM(H25:H29)</f>
        <v>-1470</v>
      </c>
      <c r="I30" s="10">
        <f>SUM(I25:I29)</f>
        <v>-97</v>
      </c>
      <c r="J30" s="10">
        <f>SUM(J25:J29)</f>
        <v>-1768</v>
      </c>
      <c r="K30" s="10">
        <f>SUM(K25:K29)</f>
        <v>-4733.25</v>
      </c>
      <c r="L30" s="10">
        <f>SUM(L25:L29)</f>
        <v>-11024.5</v>
      </c>
      <c r="M30" s="10">
        <f>SUM(M25:M29)</f>
        <v>-1848.4</v>
      </c>
      <c r="N30" s="10">
        <f>SUM(N25:N29)</f>
        <v>-69454.049999999988</v>
      </c>
    </row>
    <row r="31" spans="1:14" x14ac:dyDescent="0.3">
      <c r="A31" s="3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0"/>
        <v>0</v>
      </c>
    </row>
    <row r="32" spans="1:14" x14ac:dyDescent="0.3">
      <c r="A32" s="3" t="s">
        <v>27</v>
      </c>
      <c r="B32" s="9">
        <f>-413</f>
        <v>-413</v>
      </c>
      <c r="C32" s="9">
        <f>-182.5</f>
        <v>-182.5</v>
      </c>
      <c r="D32" s="9">
        <f>-333.33</f>
        <v>-333.33</v>
      </c>
      <c r="E32" s="9">
        <f>-448.33</f>
        <v>-448.33</v>
      </c>
      <c r="F32" s="9">
        <f>-694.95</f>
        <v>-694.95</v>
      </c>
      <c r="G32" s="9">
        <f>0</f>
        <v>0</v>
      </c>
      <c r="H32" s="9">
        <f>0</f>
        <v>0</v>
      </c>
      <c r="I32" s="9">
        <f>-204.5</f>
        <v>-204.5</v>
      </c>
      <c r="J32" s="9">
        <f>-1926.88</f>
        <v>-1926.88</v>
      </c>
      <c r="K32" s="9">
        <f>-2065</f>
        <v>-2065</v>
      </c>
      <c r="L32" s="9">
        <f>-2026</f>
        <v>-2026</v>
      </c>
      <c r="M32" s="9">
        <f>-1068.8</f>
        <v>-1068.8</v>
      </c>
      <c r="N32" s="9">
        <f t="shared" si="0"/>
        <v>-9363.2899999999991</v>
      </c>
    </row>
    <row r="33" spans="1:14" x14ac:dyDescent="0.3">
      <c r="A33" s="3" t="s">
        <v>28</v>
      </c>
      <c r="B33" s="8"/>
      <c r="C33" s="8"/>
      <c r="D33" s="9">
        <f>-549</f>
        <v>-549</v>
      </c>
      <c r="E33" s="8"/>
      <c r="F33" s="9">
        <f>-2722</f>
        <v>-2722</v>
      </c>
      <c r="G33" s="9">
        <f>-8978.8</f>
        <v>-8978.7999999999993</v>
      </c>
      <c r="H33" s="9">
        <f>-200</f>
        <v>-200</v>
      </c>
      <c r="I33" s="8"/>
      <c r="J33" s="9">
        <f>-8488.5</f>
        <v>-8488.5</v>
      </c>
      <c r="K33" s="9">
        <f>-1578.5</f>
        <v>-1578.5</v>
      </c>
      <c r="L33" s="9">
        <f>-3069</f>
        <v>-3069</v>
      </c>
      <c r="M33" s="9">
        <f>0</f>
        <v>0</v>
      </c>
      <c r="N33" s="9">
        <f t="shared" si="0"/>
        <v>-25585.8</v>
      </c>
    </row>
    <row r="34" spans="1:14" x14ac:dyDescent="0.3">
      <c r="A34" s="3" t="s">
        <v>29</v>
      </c>
      <c r="B34" s="8"/>
      <c r="C34" s="8"/>
      <c r="D34" s="8"/>
      <c r="E34" s="8"/>
      <c r="F34" s="8"/>
      <c r="G34" s="8"/>
      <c r="H34" s="9">
        <f>-517</f>
        <v>-517</v>
      </c>
      <c r="I34" s="9">
        <f>-250</f>
        <v>-250</v>
      </c>
      <c r="J34" s="8"/>
      <c r="K34" s="8"/>
      <c r="L34" s="8"/>
      <c r="M34" s="8"/>
      <c r="N34" s="9">
        <f t="shared" si="0"/>
        <v>-767</v>
      </c>
    </row>
    <row r="35" spans="1:14" x14ac:dyDescent="0.3">
      <c r="A35" s="3" t="s">
        <v>30</v>
      </c>
      <c r="B35" s="8"/>
      <c r="C35" s="8"/>
      <c r="D35" s="8"/>
      <c r="E35" s="8"/>
      <c r="F35" s="9">
        <f>-153.75</f>
        <v>-153.75</v>
      </c>
      <c r="G35" s="9">
        <f>0</f>
        <v>0</v>
      </c>
      <c r="H35" s="9">
        <f>-93</f>
        <v>-93</v>
      </c>
      <c r="I35" s="9">
        <f>-133</f>
        <v>-133</v>
      </c>
      <c r="J35" s="9">
        <f>0</f>
        <v>0</v>
      </c>
      <c r="K35" s="9">
        <f>0</f>
        <v>0</v>
      </c>
      <c r="L35" s="9">
        <f>0</f>
        <v>0</v>
      </c>
      <c r="M35" s="9">
        <f>-39</f>
        <v>-39</v>
      </c>
      <c r="N35" s="9">
        <f t="shared" si="0"/>
        <v>-418.75</v>
      </c>
    </row>
    <row r="36" spans="1:14" x14ac:dyDescent="0.3">
      <c r="A36" s="3" t="s">
        <v>31</v>
      </c>
      <c r="B36" s="9">
        <f>-50</f>
        <v>-50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9">
        <f>-3063</f>
        <v>-3063</v>
      </c>
      <c r="N36" s="9">
        <f t="shared" si="0"/>
        <v>-3113</v>
      </c>
    </row>
    <row r="37" spans="1:14" x14ac:dyDescent="0.3">
      <c r="A37" s="3" t="s">
        <v>32</v>
      </c>
      <c r="B37" s="10">
        <f t="shared" ref="B37:M37" si="3">(((((B31)+(B32))+(B33))+(B34))+(B35))+(B36)</f>
        <v>-463</v>
      </c>
      <c r="C37" s="10">
        <f t="shared" si="3"/>
        <v>-182.5</v>
      </c>
      <c r="D37" s="10">
        <f t="shared" si="3"/>
        <v>-882.32999999999993</v>
      </c>
      <c r="E37" s="10">
        <f t="shared" si="3"/>
        <v>-448.33</v>
      </c>
      <c r="F37" s="10">
        <f t="shared" si="3"/>
        <v>-3570.7</v>
      </c>
      <c r="G37" s="10">
        <f t="shared" si="3"/>
        <v>-8978.7999999999993</v>
      </c>
      <c r="H37" s="10">
        <f t="shared" si="3"/>
        <v>-810</v>
      </c>
      <c r="I37" s="10">
        <f t="shared" si="3"/>
        <v>-587.5</v>
      </c>
      <c r="J37" s="10">
        <f t="shared" si="3"/>
        <v>-10415.380000000001</v>
      </c>
      <c r="K37" s="10">
        <f t="shared" si="3"/>
        <v>-3643.5</v>
      </c>
      <c r="L37" s="10">
        <f t="shared" si="3"/>
        <v>-5095</v>
      </c>
      <c r="M37" s="10">
        <f t="shared" si="3"/>
        <v>-4170.8</v>
      </c>
      <c r="N37" s="10">
        <f t="shared" si="0"/>
        <v>-39247.840000000004</v>
      </c>
    </row>
    <row r="38" spans="1:14" x14ac:dyDescent="0.3">
      <c r="A38" s="3" t="s">
        <v>33</v>
      </c>
      <c r="B38" s="10">
        <f>((((B14)+(B15))+(B23))+(B30))+(B37)</f>
        <v>23102.86</v>
      </c>
      <c r="C38" s="10">
        <f>((((C14)+(C15))+(C23))+(C30))+(C37)</f>
        <v>135673.05999999997</v>
      </c>
      <c r="D38" s="10">
        <f>((((D14)+(D15))+(D23))+(D30))+(D37)</f>
        <v>69803.240000000005</v>
      </c>
      <c r="E38" s="10">
        <f>((((E14)+(E15))+(E23))+(E30))+(E37)</f>
        <v>45853.209999999992</v>
      </c>
      <c r="F38" s="10">
        <f>((((F14)+(F15))+(F23))+(F30))+(F37)</f>
        <v>51207.33</v>
      </c>
      <c r="G38" s="10">
        <f>((((G14)+(G15))+(G23))+(G30))+(G37)</f>
        <v>472348.32</v>
      </c>
      <c r="H38" s="10">
        <f>((((H14)+(H15))+(H23))+(H30))+(H37)</f>
        <v>60291.78</v>
      </c>
      <c r="I38" s="10">
        <f>((((I14)+(I15))+(I23))+(I30))+(I37)</f>
        <v>79825.850000000006</v>
      </c>
      <c r="J38" s="10">
        <f>((((J14)+(J15))+(J23))+(J30))+(J37)</f>
        <v>63390.909999999989</v>
      </c>
      <c r="K38" s="10">
        <f>((((K14)+(K15))+(K23))+(K30))+(K37)</f>
        <v>88202.91</v>
      </c>
      <c r="L38" s="10">
        <f>((((L14)+(L15))+(L23))+(L30))+(L37)</f>
        <v>119202.20000000001</v>
      </c>
      <c r="M38" s="10">
        <f>((((M14)+(M15))+(M23))+(M30))+(M37)</f>
        <v>71033.490000000005</v>
      </c>
      <c r="N38" s="10">
        <f t="shared" si="0"/>
        <v>1279935.1599999999</v>
      </c>
    </row>
    <row r="39" spans="1:14" x14ac:dyDescent="0.3">
      <c r="A39" s="3" t="s">
        <v>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3">
      <c r="A40" s="3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x14ac:dyDescent="0.3">
      <c r="A41" s="3" t="s">
        <v>36</v>
      </c>
      <c r="B41" s="8"/>
      <c r="C41" s="8"/>
      <c r="D41" s="8"/>
      <c r="E41" s="8"/>
      <c r="F41" s="8"/>
      <c r="G41" s="8"/>
      <c r="H41" s="9">
        <f>250</f>
        <v>250</v>
      </c>
      <c r="I41" s="8"/>
      <c r="J41" s="9">
        <f>6001.78</f>
        <v>6001.78</v>
      </c>
      <c r="K41" s="9">
        <f>1557.34</f>
        <v>1557.34</v>
      </c>
      <c r="L41" s="9">
        <f>224.79</f>
        <v>224.79</v>
      </c>
      <c r="M41" s="8"/>
      <c r="N41" s="9">
        <f t="shared" ref="N41:N53" si="4">(((((((((((B41)+(C41))+(D41))+(E41))+(F41))+(G41))+(H41))+(I41))+(J41))+(K41))+(L41))+(M41)</f>
        <v>8033.91</v>
      </c>
    </row>
    <row r="42" spans="1:14" x14ac:dyDescent="0.3">
      <c r="A42" s="3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9">
        <f>695.07</f>
        <v>695.07</v>
      </c>
      <c r="M42" s="8"/>
      <c r="N42" s="9">
        <f t="shared" si="4"/>
        <v>695.07</v>
      </c>
    </row>
    <row r="43" spans="1:14" x14ac:dyDescent="0.3">
      <c r="A43" s="3" t="s">
        <v>38</v>
      </c>
      <c r="B43" s="8"/>
      <c r="C43" s="9">
        <f>7644.97</f>
        <v>7644.97</v>
      </c>
      <c r="D43" s="8"/>
      <c r="E43" s="8"/>
      <c r="F43" s="8"/>
      <c r="G43" s="9">
        <f>137946.27</f>
        <v>137946.26999999999</v>
      </c>
      <c r="H43" s="9">
        <f>2336.07</f>
        <v>2336.0700000000002</v>
      </c>
      <c r="I43" s="9">
        <f>2821.14</f>
        <v>2821.14</v>
      </c>
      <c r="J43" s="9">
        <f>-21.5</f>
        <v>-21.5</v>
      </c>
      <c r="K43" s="9">
        <f>386.55</f>
        <v>386.55</v>
      </c>
      <c r="L43" s="9">
        <f>564.15</f>
        <v>564.15</v>
      </c>
      <c r="M43" s="8"/>
      <c r="N43" s="9">
        <f t="shared" si="4"/>
        <v>151677.65</v>
      </c>
    </row>
    <row r="44" spans="1:14" x14ac:dyDescent="0.3">
      <c r="A44" s="3" t="s">
        <v>39</v>
      </c>
      <c r="B44" s="8"/>
      <c r="C44" s="9">
        <f>175.5</f>
        <v>175.5</v>
      </c>
      <c r="D44" s="8"/>
      <c r="E44" s="8"/>
      <c r="F44" s="8"/>
      <c r="G44" s="8"/>
      <c r="H44" s="8"/>
      <c r="I44" s="8"/>
      <c r="J44" s="8"/>
      <c r="K44" s="9">
        <f>325</f>
        <v>325</v>
      </c>
      <c r="L44" s="8"/>
      <c r="M44" s="8"/>
      <c r="N44" s="9">
        <f t="shared" si="4"/>
        <v>500.5</v>
      </c>
    </row>
    <row r="45" spans="1:14" x14ac:dyDescent="0.3">
      <c r="A45" s="3" t="s">
        <v>40</v>
      </c>
      <c r="B45" s="8"/>
      <c r="C45" s="9">
        <f>7496.06</f>
        <v>7496.06</v>
      </c>
      <c r="D45" s="9">
        <f>8497.27</f>
        <v>8497.27</v>
      </c>
      <c r="E45" s="9">
        <f>167.76</f>
        <v>167.76</v>
      </c>
      <c r="F45" s="8"/>
      <c r="G45" s="8"/>
      <c r="H45" s="8"/>
      <c r="I45" s="8"/>
      <c r="J45" s="8"/>
      <c r="K45" s="8"/>
      <c r="L45" s="9">
        <f>4840.79</f>
        <v>4840.79</v>
      </c>
      <c r="M45" s="9">
        <f>76.15</f>
        <v>76.150000000000006</v>
      </c>
      <c r="N45" s="9">
        <f t="shared" si="4"/>
        <v>21078.030000000002</v>
      </c>
    </row>
    <row r="46" spans="1:14" x14ac:dyDescent="0.3">
      <c r="A46" s="3" t="s">
        <v>41</v>
      </c>
      <c r="B46" s="8"/>
      <c r="C46" s="9">
        <f>250</f>
        <v>250</v>
      </c>
      <c r="D46" s="8"/>
      <c r="E46" s="8"/>
      <c r="F46" s="8"/>
      <c r="G46" s="8"/>
      <c r="H46" s="8"/>
      <c r="I46" s="8"/>
      <c r="J46" s="8"/>
      <c r="K46" s="8"/>
      <c r="L46" s="9">
        <f>7594.05</f>
        <v>7594.05</v>
      </c>
      <c r="M46" s="9">
        <f>120</f>
        <v>120</v>
      </c>
      <c r="N46" s="9">
        <f t="shared" si="4"/>
        <v>7964.05</v>
      </c>
    </row>
    <row r="47" spans="1:14" x14ac:dyDescent="0.3">
      <c r="A47" s="3" t="s">
        <v>42</v>
      </c>
      <c r="B47" s="8"/>
      <c r="C47" s="8"/>
      <c r="D47" s="9">
        <f>91.05</f>
        <v>91.05</v>
      </c>
      <c r="E47" s="8"/>
      <c r="F47" s="8"/>
      <c r="G47" s="8"/>
      <c r="H47" s="8"/>
      <c r="I47" s="8"/>
      <c r="J47" s="8"/>
      <c r="K47" s="8"/>
      <c r="L47" s="8"/>
      <c r="M47" s="8"/>
      <c r="N47" s="9">
        <f t="shared" si="4"/>
        <v>91.05</v>
      </c>
    </row>
    <row r="48" spans="1:14" x14ac:dyDescent="0.3">
      <c r="A48" s="3" t="s">
        <v>43</v>
      </c>
      <c r="B48" s="8"/>
      <c r="C48" s="8"/>
      <c r="D48" s="8"/>
      <c r="E48" s="8"/>
      <c r="F48" s="8"/>
      <c r="G48" s="9">
        <f>187</f>
        <v>187</v>
      </c>
      <c r="H48" s="8"/>
      <c r="I48" s="8"/>
      <c r="J48" s="8"/>
      <c r="K48" s="8"/>
      <c r="L48" s="8"/>
      <c r="M48" s="8"/>
      <c r="N48" s="9">
        <f t="shared" si="4"/>
        <v>187</v>
      </c>
    </row>
    <row r="49" spans="1:14" x14ac:dyDescent="0.3">
      <c r="A49" s="3" t="s">
        <v>44</v>
      </c>
      <c r="B49" s="8"/>
      <c r="C49" s="9">
        <f>99.99</f>
        <v>99.99</v>
      </c>
      <c r="D49" s="8"/>
      <c r="E49" s="8"/>
      <c r="F49" s="8"/>
      <c r="G49" s="9">
        <f>40892.1</f>
        <v>40892.1</v>
      </c>
      <c r="H49" s="9">
        <f>19997.68</f>
        <v>19997.68</v>
      </c>
      <c r="I49" s="9">
        <f>15025.89</f>
        <v>15025.89</v>
      </c>
      <c r="J49" s="9">
        <f>7821.04</f>
        <v>7821.04</v>
      </c>
      <c r="K49" s="9">
        <f>478.75</f>
        <v>478.75</v>
      </c>
      <c r="L49" s="9">
        <f>110</f>
        <v>110</v>
      </c>
      <c r="M49" s="8"/>
      <c r="N49" s="9">
        <f t="shared" si="4"/>
        <v>84425.45</v>
      </c>
    </row>
    <row r="50" spans="1:14" x14ac:dyDescent="0.3">
      <c r="A50" s="3" t="s">
        <v>45</v>
      </c>
      <c r="B50" s="8"/>
      <c r="C50" s="9">
        <f>16650</f>
        <v>16650</v>
      </c>
      <c r="D50" s="9">
        <f>-3000</f>
        <v>-3000</v>
      </c>
      <c r="E50" s="8"/>
      <c r="F50" s="8"/>
      <c r="G50" s="8"/>
      <c r="H50" s="9">
        <f>5700</f>
        <v>5700</v>
      </c>
      <c r="I50" s="9">
        <f>7750</f>
        <v>7750</v>
      </c>
      <c r="J50" s="8"/>
      <c r="K50" s="8"/>
      <c r="L50" s="8"/>
      <c r="M50" s="9">
        <f>16727</f>
        <v>16727</v>
      </c>
      <c r="N50" s="9">
        <f t="shared" si="4"/>
        <v>43827</v>
      </c>
    </row>
    <row r="51" spans="1:14" x14ac:dyDescent="0.3">
      <c r="A51" s="3" t="s">
        <v>46</v>
      </c>
      <c r="B51" s="10">
        <f t="shared" ref="B51:M51" si="5">((((((((((B40)+(B41))+(B42))+(B43))+(B44))+(B45))+(B46))+(B47))+(B48))+(B49))+(B50)</f>
        <v>0</v>
      </c>
      <c r="C51" s="10">
        <f t="shared" si="5"/>
        <v>32316.52</v>
      </c>
      <c r="D51" s="10">
        <f t="shared" si="5"/>
        <v>5588.32</v>
      </c>
      <c r="E51" s="10">
        <f t="shared" si="5"/>
        <v>167.76</v>
      </c>
      <c r="F51" s="10">
        <f t="shared" si="5"/>
        <v>0</v>
      </c>
      <c r="G51" s="10">
        <f t="shared" si="5"/>
        <v>179025.37</v>
      </c>
      <c r="H51" s="10">
        <f t="shared" si="5"/>
        <v>28283.75</v>
      </c>
      <c r="I51" s="10">
        <f t="shared" si="5"/>
        <v>25597.03</v>
      </c>
      <c r="J51" s="10">
        <f t="shared" si="5"/>
        <v>13801.32</v>
      </c>
      <c r="K51" s="10">
        <f t="shared" si="5"/>
        <v>2747.64</v>
      </c>
      <c r="L51" s="10">
        <f t="shared" si="5"/>
        <v>14028.85</v>
      </c>
      <c r="M51" s="10">
        <f t="shared" si="5"/>
        <v>16923.150000000001</v>
      </c>
      <c r="N51" s="10">
        <f t="shared" si="4"/>
        <v>318479.71000000002</v>
      </c>
    </row>
    <row r="52" spans="1:14" x14ac:dyDescent="0.3">
      <c r="A52" s="3" t="s">
        <v>47</v>
      </c>
      <c r="B52" s="10">
        <f t="shared" ref="B52:M52" si="6">B51</f>
        <v>0</v>
      </c>
      <c r="C52" s="10">
        <f t="shared" si="6"/>
        <v>32316.52</v>
      </c>
      <c r="D52" s="10">
        <f t="shared" si="6"/>
        <v>5588.32</v>
      </c>
      <c r="E52" s="10">
        <f t="shared" si="6"/>
        <v>167.76</v>
      </c>
      <c r="F52" s="10">
        <f t="shared" si="6"/>
        <v>0</v>
      </c>
      <c r="G52" s="10">
        <f t="shared" si="6"/>
        <v>179025.37</v>
      </c>
      <c r="H52" s="10">
        <f t="shared" si="6"/>
        <v>28283.75</v>
      </c>
      <c r="I52" s="10">
        <f t="shared" si="6"/>
        <v>25597.03</v>
      </c>
      <c r="J52" s="10">
        <f t="shared" si="6"/>
        <v>13801.32</v>
      </c>
      <c r="K52" s="10">
        <f t="shared" si="6"/>
        <v>2747.64</v>
      </c>
      <c r="L52" s="10">
        <f t="shared" si="6"/>
        <v>14028.85</v>
      </c>
      <c r="M52" s="10">
        <f t="shared" si="6"/>
        <v>16923.150000000001</v>
      </c>
      <c r="N52" s="10">
        <f t="shared" si="4"/>
        <v>318479.71000000002</v>
      </c>
    </row>
    <row r="53" spans="1:14" x14ac:dyDescent="0.3">
      <c r="A53" s="3" t="s">
        <v>48</v>
      </c>
      <c r="B53" s="10">
        <f t="shared" ref="B53:M53" si="7">(B38)-(B52)</f>
        <v>23102.86</v>
      </c>
      <c r="C53" s="10">
        <f t="shared" si="7"/>
        <v>103356.53999999996</v>
      </c>
      <c r="D53" s="10">
        <f t="shared" si="7"/>
        <v>64214.920000000006</v>
      </c>
      <c r="E53" s="10">
        <f t="shared" si="7"/>
        <v>45685.44999999999</v>
      </c>
      <c r="F53" s="10">
        <f t="shared" si="7"/>
        <v>51207.33</v>
      </c>
      <c r="G53" s="10">
        <f t="shared" si="7"/>
        <v>293322.95</v>
      </c>
      <c r="H53" s="10">
        <f t="shared" si="7"/>
        <v>32008.03</v>
      </c>
      <c r="I53" s="10">
        <f t="shared" si="7"/>
        <v>54228.820000000007</v>
      </c>
      <c r="J53" s="10">
        <f t="shared" si="7"/>
        <v>49589.589999999989</v>
      </c>
      <c r="K53" s="10">
        <f t="shared" si="7"/>
        <v>85455.27</v>
      </c>
      <c r="L53" s="10">
        <f t="shared" si="7"/>
        <v>105173.35</v>
      </c>
      <c r="M53" s="10">
        <f t="shared" si="7"/>
        <v>54110.340000000004</v>
      </c>
      <c r="N53" s="10">
        <f t="shared" si="4"/>
        <v>961455.45000000007</v>
      </c>
    </row>
    <row r="54" spans="1:14" x14ac:dyDescent="0.3">
      <c r="A54" s="3" t="s">
        <v>49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3">
      <c r="A55" s="3" t="s">
        <v>50</v>
      </c>
      <c r="B55" s="9">
        <f>36</f>
        <v>36</v>
      </c>
      <c r="C55" s="8"/>
      <c r="D55" s="9">
        <v>0</v>
      </c>
      <c r="E55" s="8"/>
      <c r="F55" s="8"/>
      <c r="G55" s="8"/>
      <c r="H55" s="9">
        <f>36</f>
        <v>36</v>
      </c>
      <c r="I55" s="8"/>
      <c r="J55" s="8"/>
      <c r="K55" s="8"/>
      <c r="L55" s="8"/>
      <c r="M55" s="8"/>
      <c r="N55" s="9">
        <f t="shared" ref="N55:N86" si="8">(((((((((((B55)+(C55))+(D55))+(E55))+(F55))+(G55))+(H55))+(I55))+(J55))+(K55))+(L55))+(M55)</f>
        <v>72</v>
      </c>
    </row>
    <row r="56" spans="1:14" x14ac:dyDescent="0.3">
      <c r="A56" s="3" t="s">
        <v>51</v>
      </c>
      <c r="B56" s="9">
        <f>11.2</f>
        <v>11.2</v>
      </c>
      <c r="C56" s="8"/>
      <c r="D56" s="9">
        <f>153.71</f>
        <v>153.71</v>
      </c>
      <c r="E56" s="9">
        <f>259.16</f>
        <v>259.16000000000003</v>
      </c>
      <c r="F56" s="9">
        <f>8.52</f>
        <v>8.52</v>
      </c>
      <c r="G56" s="9">
        <f>8.52</f>
        <v>8.52</v>
      </c>
      <c r="H56" s="9">
        <f>40.35</f>
        <v>40.35</v>
      </c>
      <c r="I56" s="9">
        <f>46.82</f>
        <v>46.82</v>
      </c>
      <c r="J56" s="9">
        <f>6.04</f>
        <v>6.04</v>
      </c>
      <c r="K56" s="9">
        <f>8.52</f>
        <v>8.52</v>
      </c>
      <c r="L56" s="9">
        <f>6.04</f>
        <v>6.04</v>
      </c>
      <c r="M56" s="9">
        <f>14.49</f>
        <v>14.49</v>
      </c>
      <c r="N56" s="9">
        <f t="shared" si="8"/>
        <v>563.37</v>
      </c>
    </row>
    <row r="57" spans="1:14" x14ac:dyDescent="0.3">
      <c r="A57" s="3" t="s">
        <v>52</v>
      </c>
      <c r="B57" s="9">
        <f>40.95</f>
        <v>40.950000000000003</v>
      </c>
      <c r="C57" s="9">
        <f>49.14</f>
        <v>49.14</v>
      </c>
      <c r="D57" s="9">
        <f>43.34</f>
        <v>43.34</v>
      </c>
      <c r="E57" s="9">
        <f>31.78</f>
        <v>31.78</v>
      </c>
      <c r="F57" s="9">
        <f>39.57</f>
        <v>39.57</v>
      </c>
      <c r="G57" s="9">
        <f>32.57</f>
        <v>32.57</v>
      </c>
      <c r="H57" s="9">
        <f>43.09</f>
        <v>43.09</v>
      </c>
      <c r="I57" s="9">
        <f>38.37</f>
        <v>38.369999999999997</v>
      </c>
      <c r="J57" s="9">
        <f>37.87</f>
        <v>37.869999999999997</v>
      </c>
      <c r="K57" s="9">
        <f>31.66</f>
        <v>31.66</v>
      </c>
      <c r="L57" s="9">
        <f>69.11</f>
        <v>69.11</v>
      </c>
      <c r="M57" s="9">
        <f>100.04</f>
        <v>100.04</v>
      </c>
      <c r="N57" s="9">
        <f t="shared" si="8"/>
        <v>557.49</v>
      </c>
    </row>
    <row r="58" spans="1:14" x14ac:dyDescent="0.3">
      <c r="A58" s="3" t="s">
        <v>53</v>
      </c>
      <c r="B58" s="9">
        <f>7.79</f>
        <v>7.79</v>
      </c>
      <c r="C58" s="9">
        <f>62.1</f>
        <v>62.1</v>
      </c>
      <c r="D58" s="9">
        <f>81.8</f>
        <v>81.8</v>
      </c>
      <c r="E58" s="9">
        <f>32.24</f>
        <v>32.24</v>
      </c>
      <c r="F58" s="9">
        <f>20.98</f>
        <v>20.98</v>
      </c>
      <c r="G58" s="9">
        <f>117.3</f>
        <v>117.3</v>
      </c>
      <c r="H58" s="9">
        <f>48.47</f>
        <v>48.47</v>
      </c>
      <c r="I58" s="9">
        <f>20.88</f>
        <v>20.88</v>
      </c>
      <c r="J58" s="9">
        <f>40.39</f>
        <v>40.39</v>
      </c>
      <c r="K58" s="9">
        <f>47.59</f>
        <v>47.59</v>
      </c>
      <c r="L58" s="9">
        <f>50.67</f>
        <v>50.67</v>
      </c>
      <c r="M58" s="9">
        <f>66.93</f>
        <v>66.930000000000007</v>
      </c>
      <c r="N58" s="9">
        <f t="shared" si="8"/>
        <v>597.13999999999987</v>
      </c>
    </row>
    <row r="59" spans="1:14" x14ac:dyDescent="0.3">
      <c r="A59" s="3" t="s">
        <v>54</v>
      </c>
      <c r="B59" s="9">
        <f>535.66</f>
        <v>535.66</v>
      </c>
      <c r="C59" s="9">
        <f>427.69</f>
        <v>427.69</v>
      </c>
      <c r="D59" s="9">
        <f>527</f>
        <v>527</v>
      </c>
      <c r="E59" s="9">
        <f>528.33</f>
        <v>528.33000000000004</v>
      </c>
      <c r="F59" s="9">
        <f>365.61</f>
        <v>365.61</v>
      </c>
      <c r="G59" s="9">
        <f>219.42</f>
        <v>219.42</v>
      </c>
      <c r="H59" s="9">
        <f>156.08</f>
        <v>156.08000000000001</v>
      </c>
      <c r="I59" s="9">
        <f>210.11</f>
        <v>210.11</v>
      </c>
      <c r="J59" s="9">
        <f>241.38</f>
        <v>241.38</v>
      </c>
      <c r="K59" s="9">
        <f>240.09</f>
        <v>240.09</v>
      </c>
      <c r="L59" s="9">
        <f>251.99</f>
        <v>251.99</v>
      </c>
      <c r="M59" s="9">
        <f>268.09</f>
        <v>268.08999999999997</v>
      </c>
      <c r="N59" s="9">
        <f t="shared" si="8"/>
        <v>3971.4500000000007</v>
      </c>
    </row>
    <row r="60" spans="1:14" x14ac:dyDescent="0.3">
      <c r="A60" s="3" t="s">
        <v>55</v>
      </c>
      <c r="B60" s="8"/>
      <c r="C60" s="9">
        <f>808.72</f>
        <v>808.72</v>
      </c>
      <c r="D60" s="9">
        <f>407.69</f>
        <v>407.69</v>
      </c>
      <c r="E60" s="8"/>
      <c r="F60" s="8"/>
      <c r="G60" s="8"/>
      <c r="H60" s="8"/>
      <c r="I60" s="8"/>
      <c r="J60" s="8"/>
      <c r="K60" s="8"/>
      <c r="L60" s="8"/>
      <c r="M60" s="8"/>
      <c r="N60" s="9">
        <f t="shared" si="8"/>
        <v>1216.4100000000001</v>
      </c>
    </row>
    <row r="61" spans="1:14" x14ac:dyDescent="0.3">
      <c r="A61" s="3" t="s">
        <v>56</v>
      </c>
      <c r="B61" s="8">
        <v>600</v>
      </c>
      <c r="C61" s="8">
        <v>600</v>
      </c>
      <c r="D61" s="8">
        <v>600</v>
      </c>
      <c r="E61" s="9">
        <f>1280.9</f>
        <v>1280.9000000000001</v>
      </c>
      <c r="F61" s="9">
        <f>8140.5</f>
        <v>8140.5</v>
      </c>
      <c r="G61" s="9">
        <f>6881.19</f>
        <v>6881.19</v>
      </c>
      <c r="H61" s="9">
        <f>3247.95</f>
        <v>3247.95</v>
      </c>
      <c r="I61" s="9">
        <f>2341.86</f>
        <v>2341.86</v>
      </c>
      <c r="J61" s="9">
        <f>709.6</f>
        <v>709.6</v>
      </c>
      <c r="K61" s="9">
        <f>436.76</f>
        <v>436.76</v>
      </c>
      <c r="L61" s="9">
        <f>985.98</f>
        <v>985.98</v>
      </c>
      <c r="M61" s="9">
        <f>335.2</f>
        <v>335.2</v>
      </c>
      <c r="N61" s="9">
        <f t="shared" si="8"/>
        <v>26159.94</v>
      </c>
    </row>
    <row r="62" spans="1:14" x14ac:dyDescent="0.3">
      <c r="A62" s="3" t="s">
        <v>57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>
        <f>275.06</f>
        <v>275.06</v>
      </c>
      <c r="N62" s="9">
        <f t="shared" si="8"/>
        <v>275.06</v>
      </c>
    </row>
    <row r="63" spans="1:14" x14ac:dyDescent="0.3">
      <c r="A63" s="3" t="s">
        <v>58</v>
      </c>
      <c r="B63" s="10">
        <f t="shared" ref="B63:M63" si="9">(((((((B55)+(B56))+(B57))+(B58))+(B59))+(B60))+(B61))+(B62)</f>
        <v>1231.5999999999999</v>
      </c>
      <c r="C63" s="10">
        <f t="shared" si="9"/>
        <v>1947.65</v>
      </c>
      <c r="D63" s="10">
        <f t="shared" si="9"/>
        <v>1813.54</v>
      </c>
      <c r="E63" s="10">
        <f t="shared" si="9"/>
        <v>2132.4100000000003</v>
      </c>
      <c r="F63" s="10">
        <f t="shared" si="9"/>
        <v>8575.18</v>
      </c>
      <c r="G63" s="10">
        <f t="shared" si="9"/>
        <v>7259</v>
      </c>
      <c r="H63" s="10">
        <f t="shared" si="9"/>
        <v>3571.9399999999996</v>
      </c>
      <c r="I63" s="10">
        <f t="shared" si="9"/>
        <v>2658.04</v>
      </c>
      <c r="J63" s="10">
        <f t="shared" si="9"/>
        <v>1035.28</v>
      </c>
      <c r="K63" s="10">
        <f t="shared" si="9"/>
        <v>764.62</v>
      </c>
      <c r="L63" s="10">
        <f t="shared" si="9"/>
        <v>1363.79</v>
      </c>
      <c r="M63" s="10">
        <f t="shared" si="9"/>
        <v>1059.81</v>
      </c>
      <c r="N63" s="10">
        <f t="shared" si="8"/>
        <v>33412.86</v>
      </c>
    </row>
    <row r="64" spans="1:14" x14ac:dyDescent="0.3">
      <c r="A64" s="3" t="s">
        <v>59</v>
      </c>
      <c r="B64" s="8"/>
      <c r="C64" s="9">
        <f>288.94</f>
        <v>288.94</v>
      </c>
      <c r="D64" s="9">
        <f>128.04</f>
        <v>128.04</v>
      </c>
      <c r="E64" s="8"/>
      <c r="F64" s="8"/>
      <c r="G64" s="8"/>
      <c r="H64" s="8"/>
      <c r="I64" s="8"/>
      <c r="J64" s="8"/>
      <c r="K64" s="8"/>
      <c r="L64" s="8"/>
      <c r="M64" s="8"/>
      <c r="N64" s="9">
        <f t="shared" si="8"/>
        <v>416.98</v>
      </c>
    </row>
    <row r="65" spans="1:15" x14ac:dyDescent="0.3">
      <c r="A65" s="3" t="s">
        <v>60</v>
      </c>
      <c r="B65" s="8"/>
      <c r="C65" s="8"/>
      <c r="D65" s="8"/>
      <c r="E65" s="8"/>
      <c r="F65" s="8"/>
      <c r="G65" s="8"/>
      <c r="H65" s="8"/>
      <c r="I65" s="8"/>
      <c r="J65" s="8"/>
      <c r="K65" s="9">
        <f>17.47</f>
        <v>17.47</v>
      </c>
      <c r="L65" s="9">
        <f>121.73</f>
        <v>121.73</v>
      </c>
      <c r="M65" s="8"/>
      <c r="N65" s="9">
        <f t="shared" si="8"/>
        <v>139.19999999999999</v>
      </c>
    </row>
    <row r="66" spans="1:15" x14ac:dyDescent="0.3">
      <c r="A66" s="3" t="s">
        <v>61</v>
      </c>
      <c r="B66" s="9">
        <f>47</f>
        <v>47</v>
      </c>
      <c r="C66" s="9">
        <f>56</f>
        <v>56</v>
      </c>
      <c r="D66" s="9">
        <f>161</f>
        <v>161</v>
      </c>
      <c r="E66" s="9">
        <f>28</f>
        <v>28</v>
      </c>
      <c r="F66" s="9">
        <f>38</f>
        <v>38</v>
      </c>
      <c r="G66" s="9">
        <f>209</f>
        <v>209</v>
      </c>
      <c r="H66" s="9">
        <f>285</f>
        <v>285</v>
      </c>
      <c r="I66" s="8"/>
      <c r="J66" s="9">
        <f>133</f>
        <v>133</v>
      </c>
      <c r="K66" s="9">
        <f>38</f>
        <v>38</v>
      </c>
      <c r="L66" s="8"/>
      <c r="M66" s="9">
        <f>38</f>
        <v>38</v>
      </c>
      <c r="N66" s="9">
        <f t="shared" si="8"/>
        <v>1033</v>
      </c>
    </row>
    <row r="67" spans="1:15" x14ac:dyDescent="0.3">
      <c r="A67" s="3" t="s">
        <v>62</v>
      </c>
      <c r="B67" s="9">
        <f>25</f>
        <v>25</v>
      </c>
      <c r="C67" s="9">
        <f>1167.1</f>
        <v>1167.0999999999999</v>
      </c>
      <c r="D67" s="8"/>
      <c r="E67" s="9">
        <f>282</f>
        <v>282</v>
      </c>
      <c r="F67" s="9">
        <f>582</f>
        <v>582</v>
      </c>
      <c r="G67" s="9">
        <f>302</f>
        <v>302</v>
      </c>
      <c r="H67" s="9">
        <f>1259.68</f>
        <v>1259.68</v>
      </c>
      <c r="I67" s="9">
        <f>553</f>
        <v>553</v>
      </c>
      <c r="J67" s="8"/>
      <c r="K67" s="8"/>
      <c r="L67" s="8"/>
      <c r="M67" s="8"/>
      <c r="N67" s="9">
        <f t="shared" si="8"/>
        <v>4170.78</v>
      </c>
    </row>
    <row r="68" spans="1:15" x14ac:dyDescent="0.3">
      <c r="A68" s="3" t="s">
        <v>63</v>
      </c>
      <c r="B68" s="9">
        <f>0</f>
        <v>0</v>
      </c>
      <c r="C68" s="8"/>
      <c r="D68" s="8"/>
      <c r="E68" s="8"/>
      <c r="F68" s="8"/>
      <c r="G68" s="9">
        <f>470</f>
        <v>470</v>
      </c>
      <c r="H68" s="9">
        <f>18435.53</f>
        <v>18435.53</v>
      </c>
      <c r="I68" s="9">
        <f>14950</f>
        <v>14950</v>
      </c>
      <c r="J68" s="9">
        <f>4725</f>
        <v>4725</v>
      </c>
      <c r="K68" s="9">
        <f>17125</f>
        <v>17125</v>
      </c>
      <c r="L68" s="9">
        <f>7875</f>
        <v>7875</v>
      </c>
      <c r="M68" s="8"/>
      <c r="N68" s="9">
        <f t="shared" si="8"/>
        <v>63580.53</v>
      </c>
    </row>
    <row r="69" spans="1:15" x14ac:dyDescent="0.3">
      <c r="A69" s="3" t="s">
        <v>64</v>
      </c>
      <c r="B69" s="10">
        <f t="shared" ref="B69:M69" si="10">(B67)+(B68)</f>
        <v>25</v>
      </c>
      <c r="C69" s="10">
        <f t="shared" si="10"/>
        <v>1167.0999999999999</v>
      </c>
      <c r="D69" s="10">
        <f>(D67)+(D68)</f>
        <v>0</v>
      </c>
      <c r="E69" s="10">
        <f t="shared" si="10"/>
        <v>282</v>
      </c>
      <c r="F69" s="10">
        <f t="shared" si="10"/>
        <v>582</v>
      </c>
      <c r="G69" s="10">
        <f t="shared" si="10"/>
        <v>772</v>
      </c>
      <c r="H69" s="10">
        <f t="shared" si="10"/>
        <v>19695.21</v>
      </c>
      <c r="I69" s="10">
        <f t="shared" si="10"/>
        <v>15503</v>
      </c>
      <c r="J69" s="10">
        <f t="shared" si="10"/>
        <v>4725</v>
      </c>
      <c r="K69" s="10">
        <f t="shared" si="10"/>
        <v>17125</v>
      </c>
      <c r="L69" s="10">
        <f t="shared" si="10"/>
        <v>7875</v>
      </c>
      <c r="M69" s="10">
        <f t="shared" si="10"/>
        <v>0</v>
      </c>
      <c r="N69" s="10">
        <f t="shared" si="8"/>
        <v>67751.31</v>
      </c>
    </row>
    <row r="70" spans="1:15" x14ac:dyDescent="0.3">
      <c r="A70" s="3" t="s">
        <v>65</v>
      </c>
      <c r="B70" s="9">
        <f>8082</f>
        <v>8082</v>
      </c>
      <c r="C70" s="9">
        <f>4273.75</f>
        <v>4273.75</v>
      </c>
      <c r="D70" s="9">
        <f>4970.33</f>
        <v>4970.33</v>
      </c>
      <c r="E70" s="9">
        <f>2652.2</f>
        <v>2652.2</v>
      </c>
      <c r="F70" s="9">
        <f>3279.7</f>
        <v>3279.7</v>
      </c>
      <c r="G70" s="9">
        <f>6276</f>
        <v>6276</v>
      </c>
      <c r="H70" s="9">
        <f>4442.49</f>
        <v>4442.49</v>
      </c>
      <c r="I70" s="9">
        <f>5197.69</f>
        <v>5197.6899999999996</v>
      </c>
      <c r="J70" s="9">
        <f>3036.5</f>
        <v>3036.5</v>
      </c>
      <c r="K70" s="9">
        <f>6108.15</f>
        <v>6108.15</v>
      </c>
      <c r="L70" s="9">
        <f>7195.85</f>
        <v>7195.85</v>
      </c>
      <c r="M70" s="9">
        <f>11348.95</f>
        <v>11348.95</v>
      </c>
      <c r="N70" s="9">
        <f t="shared" si="8"/>
        <v>66863.61</v>
      </c>
    </row>
    <row r="71" spans="1:15" x14ac:dyDescent="0.3">
      <c r="A71" s="3" t="s">
        <v>66</v>
      </c>
      <c r="B71" s="9">
        <f t="shared" ref="B71:M71" si="11">425.7</f>
        <v>425.7</v>
      </c>
      <c r="C71" s="9">
        <f t="shared" si="11"/>
        <v>425.7</v>
      </c>
      <c r="D71" s="9">
        <f t="shared" si="11"/>
        <v>425.7</v>
      </c>
      <c r="E71" s="9">
        <f t="shared" si="11"/>
        <v>425.7</v>
      </c>
      <c r="F71" s="9">
        <f t="shared" si="11"/>
        <v>425.7</v>
      </c>
      <c r="G71" s="9">
        <f t="shared" si="11"/>
        <v>425.7</v>
      </c>
      <c r="H71" s="9">
        <f t="shared" si="11"/>
        <v>425.7</v>
      </c>
      <c r="I71" s="9">
        <f t="shared" si="11"/>
        <v>425.7</v>
      </c>
      <c r="J71" s="9">
        <f t="shared" si="11"/>
        <v>425.7</v>
      </c>
      <c r="K71" s="9">
        <f t="shared" si="11"/>
        <v>425.7</v>
      </c>
      <c r="L71" s="9">
        <f t="shared" si="11"/>
        <v>425.7</v>
      </c>
      <c r="M71" s="9">
        <f t="shared" si="11"/>
        <v>425.7</v>
      </c>
      <c r="N71" s="9">
        <f t="shared" si="8"/>
        <v>5108.3999999999987</v>
      </c>
    </row>
    <row r="72" spans="1:15" x14ac:dyDescent="0.3">
      <c r="A72" s="3" t="s">
        <v>67</v>
      </c>
      <c r="B72" s="9">
        <f>923.96</f>
        <v>923.96</v>
      </c>
      <c r="C72" s="8"/>
      <c r="D72" s="9">
        <f>548.7</f>
        <v>548.70000000000005</v>
      </c>
      <c r="E72" s="8"/>
      <c r="F72" s="9">
        <f>298</f>
        <v>298</v>
      </c>
      <c r="G72" s="9">
        <f>3026.71</f>
        <v>3026.71</v>
      </c>
      <c r="H72" s="9">
        <f>2711.89</f>
        <v>2711.89</v>
      </c>
      <c r="I72" s="9">
        <f>477</f>
        <v>477</v>
      </c>
      <c r="J72" s="9">
        <f>762.05</f>
        <v>762.05</v>
      </c>
      <c r="K72" s="9">
        <f>2327.87</f>
        <v>2327.87</v>
      </c>
      <c r="L72" s="8"/>
      <c r="M72" s="9">
        <f>1299</f>
        <v>1299</v>
      </c>
      <c r="N72" s="9">
        <f t="shared" si="8"/>
        <v>12375.18</v>
      </c>
    </row>
    <row r="73" spans="1:15" x14ac:dyDescent="0.3">
      <c r="A73" s="3" t="s">
        <v>68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5" x14ac:dyDescent="0.3">
      <c r="A74" s="3" t="s">
        <v>69</v>
      </c>
      <c r="B74" s="9">
        <f>12500</f>
        <v>12500</v>
      </c>
      <c r="C74" s="9">
        <f>12500</f>
        <v>12500</v>
      </c>
      <c r="D74" s="9">
        <f>12500</f>
        <v>12500</v>
      </c>
      <c r="E74" s="9">
        <f>12500</f>
        <v>12500</v>
      </c>
      <c r="F74" s="9">
        <f>12500</f>
        <v>12500</v>
      </c>
      <c r="G74" s="9">
        <f>12500</f>
        <v>12500</v>
      </c>
      <c r="H74" s="9">
        <f>12500</f>
        <v>12500</v>
      </c>
      <c r="I74" s="9">
        <f>12500</f>
        <v>12500</v>
      </c>
      <c r="J74" s="9">
        <f>12500</f>
        <v>12500</v>
      </c>
      <c r="K74" s="9">
        <f>13031.3</f>
        <v>13031.3</v>
      </c>
      <c r="L74" s="9">
        <f>12500</f>
        <v>12500</v>
      </c>
      <c r="M74" s="9">
        <f>12500</f>
        <v>12500</v>
      </c>
      <c r="N74" s="9">
        <f t="shared" si="8"/>
        <v>150531.29999999999</v>
      </c>
    </row>
    <row r="75" spans="1:15" x14ac:dyDescent="0.3">
      <c r="A75" s="3" t="s">
        <v>70</v>
      </c>
      <c r="B75" s="8"/>
      <c r="C75" s="8"/>
      <c r="D75" s="8"/>
      <c r="E75" s="8"/>
      <c r="F75" s="8"/>
      <c r="G75" s="9">
        <f>712.5</f>
        <v>712.5</v>
      </c>
      <c r="H75" s="9">
        <f>3736</f>
        <v>3736</v>
      </c>
      <c r="I75" s="9">
        <f>3741.25</f>
        <v>3741.25</v>
      </c>
      <c r="J75" s="9">
        <f>400</f>
        <v>400</v>
      </c>
      <c r="K75" s="9">
        <f>135</f>
        <v>135</v>
      </c>
      <c r="L75" s="8"/>
      <c r="M75" s="8"/>
      <c r="N75" s="9">
        <f t="shared" si="8"/>
        <v>8724.75</v>
      </c>
    </row>
    <row r="76" spans="1:15" x14ac:dyDescent="0.3">
      <c r="A76" s="3" t="s">
        <v>71</v>
      </c>
      <c r="B76" s="9">
        <f>1025</f>
        <v>1025</v>
      </c>
      <c r="C76" s="8"/>
      <c r="D76" s="9">
        <f>762.5</f>
        <v>762.5</v>
      </c>
      <c r="E76" s="8"/>
      <c r="F76" s="8"/>
      <c r="G76" s="9">
        <f>3750.5</f>
        <v>3750.5</v>
      </c>
      <c r="H76" s="9">
        <f>4862.5</f>
        <v>4862.5</v>
      </c>
      <c r="I76" s="9">
        <f>9702</f>
        <v>9702</v>
      </c>
      <c r="J76" s="9">
        <f>1000</f>
        <v>1000</v>
      </c>
      <c r="K76" s="8"/>
      <c r="L76" s="8"/>
      <c r="M76" s="9">
        <f>425</f>
        <v>425</v>
      </c>
      <c r="N76" s="9">
        <f t="shared" si="8"/>
        <v>21527.5</v>
      </c>
    </row>
    <row r="77" spans="1:15" x14ac:dyDescent="0.3">
      <c r="A77" s="3" t="s">
        <v>72</v>
      </c>
      <c r="B77" s="10">
        <f t="shared" ref="B77:M77" si="12">(((B73)+(B74))+(B75))+(B76)</f>
        <v>13525</v>
      </c>
      <c r="C77" s="10">
        <f t="shared" si="12"/>
        <v>12500</v>
      </c>
      <c r="D77" s="10">
        <f t="shared" si="12"/>
        <v>13262.5</v>
      </c>
      <c r="E77" s="10">
        <f t="shared" si="12"/>
        <v>12500</v>
      </c>
      <c r="F77" s="10">
        <f t="shared" si="12"/>
        <v>12500</v>
      </c>
      <c r="G77" s="10">
        <f t="shared" si="12"/>
        <v>16963</v>
      </c>
      <c r="H77" s="10">
        <f t="shared" si="12"/>
        <v>21098.5</v>
      </c>
      <c r="I77" s="10">
        <f t="shared" si="12"/>
        <v>25943.25</v>
      </c>
      <c r="J77" s="10">
        <f t="shared" si="12"/>
        <v>13900</v>
      </c>
      <c r="K77" s="10">
        <f t="shared" si="12"/>
        <v>13166.3</v>
      </c>
      <c r="L77" s="10">
        <f t="shared" si="12"/>
        <v>12500</v>
      </c>
      <c r="M77" s="10">
        <f t="shared" si="12"/>
        <v>12925</v>
      </c>
      <c r="N77" s="10">
        <f t="shared" si="8"/>
        <v>180783.55</v>
      </c>
    </row>
    <row r="78" spans="1:15" x14ac:dyDescent="0.3">
      <c r="A78" s="3" t="s">
        <v>73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9">
        <f>746.65</f>
        <v>746.65</v>
      </c>
      <c r="M78" s="9">
        <f>440</f>
        <v>440</v>
      </c>
      <c r="N78" s="9">
        <f t="shared" si="8"/>
        <v>1186.6500000000001</v>
      </c>
    </row>
    <row r="79" spans="1:15" x14ac:dyDescent="0.3">
      <c r="A79" s="3" t="s">
        <v>74</v>
      </c>
      <c r="B79" s="9">
        <v>530</v>
      </c>
      <c r="C79" s="9">
        <v>530</v>
      </c>
      <c r="D79" s="9">
        <v>530</v>
      </c>
      <c r="E79" s="9">
        <v>530</v>
      </c>
      <c r="F79" s="9">
        <v>530</v>
      </c>
      <c r="G79" s="9">
        <v>530</v>
      </c>
      <c r="H79" s="9">
        <v>530</v>
      </c>
      <c r="I79" s="9">
        <v>530</v>
      </c>
      <c r="J79" s="9">
        <v>530</v>
      </c>
      <c r="K79" s="9">
        <v>530</v>
      </c>
      <c r="L79" s="9">
        <v>530</v>
      </c>
      <c r="M79" s="9">
        <v>530</v>
      </c>
      <c r="N79" s="9">
        <f t="shared" si="8"/>
        <v>6360</v>
      </c>
      <c r="O79" s="11"/>
    </row>
    <row r="80" spans="1:15" x14ac:dyDescent="0.3">
      <c r="A80" s="3" t="s">
        <v>75</v>
      </c>
      <c r="B80" s="8"/>
      <c r="C80" s="8"/>
      <c r="D80" s="8"/>
      <c r="E80" s="8"/>
      <c r="F80" s="8"/>
      <c r="G80" s="9">
        <f>20.95</f>
        <v>20.95</v>
      </c>
      <c r="H80" s="8"/>
      <c r="I80" s="8"/>
      <c r="J80" s="8"/>
      <c r="K80" s="9">
        <f>10</f>
        <v>10</v>
      </c>
      <c r="L80" s="8"/>
      <c r="M80" s="8"/>
      <c r="N80" s="9">
        <f t="shared" si="8"/>
        <v>30.95</v>
      </c>
    </row>
    <row r="81" spans="1:14" x14ac:dyDescent="0.3">
      <c r="A81" s="3" t="s">
        <v>76</v>
      </c>
      <c r="B81" s="9">
        <f>34.2</f>
        <v>34.200000000000003</v>
      </c>
      <c r="C81" s="9">
        <f>2764.68</f>
        <v>2764.68</v>
      </c>
      <c r="D81" s="9">
        <f>981</f>
        <v>981</v>
      </c>
      <c r="E81" s="9">
        <f>500</f>
        <v>500</v>
      </c>
      <c r="F81" s="9">
        <f>450</f>
        <v>450</v>
      </c>
      <c r="G81" s="9">
        <f>824.07</f>
        <v>824.07</v>
      </c>
      <c r="H81" s="9">
        <f>2988.85</f>
        <v>2988.85</v>
      </c>
      <c r="I81" s="9">
        <f>5674.63</f>
        <v>5674.63</v>
      </c>
      <c r="J81" s="9">
        <f>50</f>
        <v>50</v>
      </c>
      <c r="K81" s="9">
        <f>5630.73</f>
        <v>5630.73</v>
      </c>
      <c r="L81" s="9">
        <f>1757.19</f>
        <v>1757.19</v>
      </c>
      <c r="M81" s="9">
        <f>3742.2</f>
        <v>3742.2</v>
      </c>
      <c r="N81" s="9">
        <f t="shared" si="8"/>
        <v>25397.55</v>
      </c>
    </row>
    <row r="82" spans="1:14" x14ac:dyDescent="0.3">
      <c r="A82" s="3" t="s">
        <v>77</v>
      </c>
      <c r="B82" s="9">
        <f>283.88</f>
        <v>283.88</v>
      </c>
      <c r="C82" s="9">
        <f>412.93</f>
        <v>412.93</v>
      </c>
      <c r="D82" s="9">
        <f>317.17</f>
        <v>317.17</v>
      </c>
      <c r="E82" s="9">
        <f>157.2</f>
        <v>157.19999999999999</v>
      </c>
      <c r="F82" s="9">
        <f>652.47</f>
        <v>652.47</v>
      </c>
      <c r="G82" s="9">
        <f>111.89</f>
        <v>111.89</v>
      </c>
      <c r="H82" s="9">
        <f>308.73</f>
        <v>308.73</v>
      </c>
      <c r="I82" s="9">
        <f>295.16</f>
        <v>295.16000000000003</v>
      </c>
      <c r="J82" s="9">
        <f>319.29</f>
        <v>319.29000000000002</v>
      </c>
      <c r="K82" s="9">
        <f>172.64</f>
        <v>172.64</v>
      </c>
      <c r="L82" s="9">
        <f>812.41</f>
        <v>812.41</v>
      </c>
      <c r="M82" s="9">
        <f>557.62</f>
        <v>557.62</v>
      </c>
      <c r="N82" s="9">
        <f t="shared" si="8"/>
        <v>4401.3900000000003</v>
      </c>
    </row>
    <row r="83" spans="1:14" x14ac:dyDescent="0.3">
      <c r="A83" s="3" t="s">
        <v>78</v>
      </c>
      <c r="B83" s="9">
        <f>713.69</f>
        <v>713.69</v>
      </c>
      <c r="C83" s="9">
        <f>2112.77</f>
        <v>2112.77</v>
      </c>
      <c r="D83" s="9">
        <f>2265.06</f>
        <v>2265.06</v>
      </c>
      <c r="E83" s="9">
        <f>664.05</f>
        <v>664.05</v>
      </c>
      <c r="F83" s="9">
        <f>672.55</f>
        <v>672.55</v>
      </c>
      <c r="G83" s="9">
        <f>682.94</f>
        <v>682.94</v>
      </c>
      <c r="H83" s="9">
        <f>847.45</f>
        <v>847.45</v>
      </c>
      <c r="I83" s="9">
        <f>787.78</f>
        <v>787.78</v>
      </c>
      <c r="J83" s="9">
        <f>1710.7</f>
        <v>1710.7</v>
      </c>
      <c r="K83" s="9">
        <f>208.28</f>
        <v>208.28</v>
      </c>
      <c r="L83" s="9">
        <f>1395.93</f>
        <v>1395.93</v>
      </c>
      <c r="M83" s="9">
        <f>742.13</f>
        <v>742.13</v>
      </c>
      <c r="N83" s="9">
        <f t="shared" si="8"/>
        <v>12803.330000000002</v>
      </c>
    </row>
    <row r="84" spans="1:14" x14ac:dyDescent="0.3">
      <c r="A84" s="3" t="s">
        <v>79</v>
      </c>
      <c r="B84" s="9">
        <f>252.28</f>
        <v>252.28</v>
      </c>
      <c r="C84" s="9">
        <f>93.05</f>
        <v>93.05</v>
      </c>
      <c r="D84" s="8"/>
      <c r="E84" s="9">
        <f>50</f>
        <v>50</v>
      </c>
      <c r="F84" s="9">
        <f>-29.04</f>
        <v>-29.04</v>
      </c>
      <c r="G84" s="9">
        <f>66.79</f>
        <v>66.790000000000006</v>
      </c>
      <c r="H84" s="9">
        <f>200.66</f>
        <v>200.66</v>
      </c>
      <c r="I84" s="9">
        <f>294.18</f>
        <v>294.18</v>
      </c>
      <c r="J84" s="9">
        <f>435.87</f>
        <v>435.87</v>
      </c>
      <c r="K84" s="9">
        <f>1056.14</f>
        <v>1056.1400000000001</v>
      </c>
      <c r="L84" s="9">
        <f>167.6</f>
        <v>167.6</v>
      </c>
      <c r="M84" s="8"/>
      <c r="N84" s="9">
        <f t="shared" si="8"/>
        <v>2587.5300000000002</v>
      </c>
    </row>
    <row r="85" spans="1:14" x14ac:dyDescent="0.3">
      <c r="A85" s="3" t="s">
        <v>80</v>
      </c>
      <c r="B85" s="9">
        <f>17211.52</f>
        <v>17211.52</v>
      </c>
      <c r="C85" s="9">
        <f>18708.17</f>
        <v>18708.169999999998</v>
      </c>
      <c r="D85" s="9">
        <f>17668.98</f>
        <v>17668.98</v>
      </c>
      <c r="E85" s="9">
        <f>18376.53</f>
        <v>18376.53</v>
      </c>
      <c r="F85" s="9">
        <f>18452.87</f>
        <v>18452.87</v>
      </c>
      <c r="G85" s="9">
        <f>51241.76</f>
        <v>51241.760000000002</v>
      </c>
      <c r="H85" s="9">
        <f>52862.86</f>
        <v>52862.86</v>
      </c>
      <c r="I85" s="9">
        <f>48781.77</f>
        <v>48781.77</v>
      </c>
      <c r="J85" s="9">
        <f>26800.29</f>
        <v>26800.29</v>
      </c>
      <c r="K85" s="9">
        <f>26906.43</f>
        <v>26906.43</v>
      </c>
      <c r="L85" s="9">
        <f>24506.18</f>
        <v>24506.18</v>
      </c>
      <c r="M85" s="9">
        <f>59475.93</f>
        <v>59475.93</v>
      </c>
      <c r="N85" s="9">
        <f t="shared" si="8"/>
        <v>380993.29</v>
      </c>
    </row>
    <row r="86" spans="1:14" x14ac:dyDescent="0.3">
      <c r="A86" s="3" t="s">
        <v>81</v>
      </c>
      <c r="B86" s="8">
        <v>352</v>
      </c>
      <c r="C86" s="8">
        <v>352</v>
      </c>
      <c r="D86" s="8">
        <v>352</v>
      </c>
      <c r="E86" s="9">
        <f>352.1</f>
        <v>352.1</v>
      </c>
      <c r="F86" s="9">
        <f>460.13</f>
        <v>460.13</v>
      </c>
      <c r="G86" s="9">
        <f>791.74</f>
        <v>791.74</v>
      </c>
      <c r="H86" s="9">
        <f>665.63</f>
        <v>665.63</v>
      </c>
      <c r="I86" s="9">
        <f>861.92</f>
        <v>861.92</v>
      </c>
      <c r="J86" s="9">
        <f>524.45</f>
        <v>524.45000000000005</v>
      </c>
      <c r="K86" s="9">
        <f>534.64</f>
        <v>534.64</v>
      </c>
      <c r="L86" s="9">
        <f>546.22</f>
        <v>546.22</v>
      </c>
      <c r="M86" s="9">
        <f>1289.18</f>
        <v>1289.18</v>
      </c>
      <c r="N86" s="9">
        <f t="shared" si="8"/>
        <v>7082.0100000000011</v>
      </c>
    </row>
    <row r="87" spans="1:14" x14ac:dyDescent="0.3">
      <c r="A87" s="3" t="s">
        <v>82</v>
      </c>
      <c r="B87" s="8">
        <v>225</v>
      </c>
      <c r="C87" s="8">
        <v>225</v>
      </c>
      <c r="D87" s="8">
        <v>225</v>
      </c>
      <c r="E87" s="8">
        <v>225</v>
      </c>
      <c r="F87" s="8">
        <v>225</v>
      </c>
      <c r="G87" s="8">
        <v>225</v>
      </c>
      <c r="H87" s="8">
        <v>225</v>
      </c>
      <c r="I87" s="8">
        <v>225</v>
      </c>
      <c r="J87" s="8">
        <v>225</v>
      </c>
      <c r="K87" s="8">
        <v>225</v>
      </c>
      <c r="L87" s="8">
        <v>225</v>
      </c>
      <c r="M87" s="8">
        <v>225</v>
      </c>
      <c r="N87" s="9">
        <f t="shared" ref="N87:N109" si="13">(((((((((((B87)+(C87))+(D87))+(E87))+(F87))+(G87))+(H87))+(I87))+(J87))+(K87))+(L87))+(M87)</f>
        <v>2700</v>
      </c>
    </row>
    <row r="88" spans="1:14" x14ac:dyDescent="0.3">
      <c r="A88" s="3" t="s">
        <v>83</v>
      </c>
      <c r="B88" s="10">
        <f t="shared" ref="B88:M88" si="14">((B85)+(B86))+(B87)</f>
        <v>17788.52</v>
      </c>
      <c r="C88" s="10">
        <f t="shared" si="14"/>
        <v>19285.169999999998</v>
      </c>
      <c r="D88" s="10">
        <f t="shared" si="14"/>
        <v>18245.98</v>
      </c>
      <c r="E88" s="10">
        <f t="shared" si="14"/>
        <v>18953.629999999997</v>
      </c>
      <c r="F88" s="10">
        <f t="shared" si="14"/>
        <v>19138</v>
      </c>
      <c r="G88" s="10">
        <f t="shared" si="14"/>
        <v>52258.5</v>
      </c>
      <c r="H88" s="10">
        <f t="shared" si="14"/>
        <v>53753.49</v>
      </c>
      <c r="I88" s="10">
        <f t="shared" si="14"/>
        <v>49868.689999999995</v>
      </c>
      <c r="J88" s="10">
        <f t="shared" si="14"/>
        <v>27549.74</v>
      </c>
      <c r="K88" s="10">
        <f t="shared" si="14"/>
        <v>27666.07</v>
      </c>
      <c r="L88" s="10">
        <f t="shared" si="14"/>
        <v>25277.4</v>
      </c>
      <c r="M88" s="10">
        <f t="shared" si="14"/>
        <v>60990.11</v>
      </c>
      <c r="N88" s="10">
        <f t="shared" si="13"/>
        <v>390775.3</v>
      </c>
    </row>
    <row r="89" spans="1:14" x14ac:dyDescent="0.3">
      <c r="A89" s="3" t="s">
        <v>84</v>
      </c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x14ac:dyDescent="0.3">
      <c r="A90" s="3" t="s">
        <v>85</v>
      </c>
      <c r="B90" s="9">
        <f t="shared" ref="B90:M90" si="15">830.75</f>
        <v>830.75</v>
      </c>
      <c r="C90" s="9">
        <f t="shared" si="15"/>
        <v>830.75</v>
      </c>
      <c r="D90" s="9">
        <f t="shared" si="15"/>
        <v>830.75</v>
      </c>
      <c r="E90" s="9">
        <f t="shared" si="15"/>
        <v>830.75</v>
      </c>
      <c r="F90" s="9">
        <f t="shared" si="15"/>
        <v>830.75</v>
      </c>
      <c r="G90" s="9">
        <f t="shared" si="15"/>
        <v>830.75</v>
      </c>
      <c r="H90" s="9">
        <f t="shared" si="15"/>
        <v>830.75</v>
      </c>
      <c r="I90" s="9">
        <f t="shared" si="15"/>
        <v>830.75</v>
      </c>
      <c r="J90" s="9">
        <f t="shared" si="15"/>
        <v>830.75</v>
      </c>
      <c r="K90" s="9">
        <f t="shared" si="15"/>
        <v>830.75</v>
      </c>
      <c r="L90" s="9">
        <f t="shared" si="15"/>
        <v>830.75</v>
      </c>
      <c r="M90" s="9">
        <f t="shared" si="15"/>
        <v>830.75</v>
      </c>
      <c r="N90" s="9">
        <f t="shared" si="13"/>
        <v>9969</v>
      </c>
    </row>
    <row r="91" spans="1:14" x14ac:dyDescent="0.3">
      <c r="A91" s="3" t="s">
        <v>86</v>
      </c>
      <c r="B91" s="9">
        <f>70</f>
        <v>70</v>
      </c>
      <c r="C91" s="9">
        <f>70</f>
        <v>70</v>
      </c>
      <c r="D91" s="9">
        <f>70</f>
        <v>70</v>
      </c>
      <c r="E91" s="9">
        <f>70</f>
        <v>70</v>
      </c>
      <c r="F91" s="9">
        <f>70</f>
        <v>70</v>
      </c>
      <c r="G91" s="9">
        <f>70</f>
        <v>70</v>
      </c>
      <c r="H91" s="9">
        <f>70</f>
        <v>70</v>
      </c>
      <c r="I91" s="9">
        <f>70</f>
        <v>70</v>
      </c>
      <c r="J91" s="9">
        <f>70</f>
        <v>70</v>
      </c>
      <c r="K91" s="9">
        <f>70</f>
        <v>70</v>
      </c>
      <c r="L91" s="9">
        <f>70</f>
        <v>70</v>
      </c>
      <c r="M91" s="9">
        <f>70</f>
        <v>70</v>
      </c>
      <c r="N91" s="9">
        <f t="shared" si="13"/>
        <v>840</v>
      </c>
    </row>
    <row r="92" spans="1:14" x14ac:dyDescent="0.3">
      <c r="A92" s="3" t="s">
        <v>87</v>
      </c>
      <c r="B92" s="9">
        <f>77</f>
        <v>77</v>
      </c>
      <c r="C92" s="9">
        <f>77</f>
        <v>77</v>
      </c>
      <c r="D92" s="9">
        <f>77</f>
        <v>77</v>
      </c>
      <c r="E92" s="9">
        <f>77</f>
        <v>77</v>
      </c>
      <c r="F92" s="9">
        <f>77</f>
        <v>77</v>
      </c>
      <c r="G92" s="9">
        <f>77</f>
        <v>77</v>
      </c>
      <c r="H92" s="9">
        <f>77</f>
        <v>77</v>
      </c>
      <c r="I92" s="9">
        <f>77</f>
        <v>77</v>
      </c>
      <c r="J92" s="9">
        <f>77</f>
        <v>77</v>
      </c>
      <c r="K92" s="9">
        <f>77</f>
        <v>77</v>
      </c>
      <c r="L92" s="9">
        <f>77</f>
        <v>77</v>
      </c>
      <c r="M92" s="9">
        <f>77</f>
        <v>77</v>
      </c>
      <c r="N92" s="9">
        <f t="shared" si="13"/>
        <v>924</v>
      </c>
    </row>
    <row r="93" spans="1:14" x14ac:dyDescent="0.3">
      <c r="A93" s="3" t="s">
        <v>88</v>
      </c>
      <c r="B93" s="10">
        <f t="shared" ref="B93:M93" si="16">(((B89)+(B90))+(B91))+(B92)</f>
        <v>977.75</v>
      </c>
      <c r="C93" s="10">
        <f t="shared" si="16"/>
        <v>977.75</v>
      </c>
      <c r="D93" s="10">
        <f t="shared" si="16"/>
        <v>977.75</v>
      </c>
      <c r="E93" s="10">
        <f t="shared" si="16"/>
        <v>977.75</v>
      </c>
      <c r="F93" s="10">
        <f t="shared" si="16"/>
        <v>977.75</v>
      </c>
      <c r="G93" s="10">
        <f t="shared" si="16"/>
        <v>977.75</v>
      </c>
      <c r="H93" s="10">
        <f t="shared" si="16"/>
        <v>977.75</v>
      </c>
      <c r="I93" s="10">
        <f t="shared" si="16"/>
        <v>977.75</v>
      </c>
      <c r="J93" s="10">
        <f t="shared" si="16"/>
        <v>977.75</v>
      </c>
      <c r="K93" s="10">
        <f t="shared" si="16"/>
        <v>977.75</v>
      </c>
      <c r="L93" s="10">
        <f t="shared" si="16"/>
        <v>977.75</v>
      </c>
      <c r="M93" s="10">
        <f t="shared" si="16"/>
        <v>977.75</v>
      </c>
      <c r="N93" s="10">
        <f t="shared" si="13"/>
        <v>11733</v>
      </c>
    </row>
    <row r="94" spans="1:14" x14ac:dyDescent="0.3">
      <c r="A94" s="3" t="s">
        <v>89</v>
      </c>
      <c r="B94" s="8"/>
      <c r="C94" s="9">
        <f>0</f>
        <v>0</v>
      </c>
      <c r="D94" s="9">
        <f>0</f>
        <v>0</v>
      </c>
      <c r="E94" s="9">
        <f>0</f>
        <v>0</v>
      </c>
      <c r="F94" s="8"/>
      <c r="G94" s="8"/>
      <c r="H94" s="8"/>
      <c r="I94" s="8"/>
      <c r="J94" s="8"/>
      <c r="K94" s="8"/>
      <c r="L94" s="8"/>
      <c r="M94" s="8"/>
      <c r="N94" s="9">
        <f t="shared" si="13"/>
        <v>0</v>
      </c>
    </row>
    <row r="95" spans="1:14" x14ac:dyDescent="0.3">
      <c r="A95" s="3" t="s">
        <v>90</v>
      </c>
      <c r="B95" s="9">
        <f>1991.48</f>
        <v>1991.48</v>
      </c>
      <c r="C95" s="9">
        <f>2168.7</f>
        <v>2168.6999999999998</v>
      </c>
      <c r="D95" s="9">
        <f>2024.95</f>
        <v>2024.95</v>
      </c>
      <c r="E95" s="9">
        <f>2098.18</f>
        <v>2098.1799999999998</v>
      </c>
      <c r="F95" s="9">
        <f>2126.47</f>
        <v>2126.4699999999998</v>
      </c>
      <c r="G95" s="9">
        <f>4699.87</f>
        <v>4699.87</v>
      </c>
      <c r="H95" s="9">
        <f>5058.24</f>
        <v>5058.24</v>
      </c>
      <c r="I95" s="9">
        <f>4450.72</f>
        <v>4450.72</v>
      </c>
      <c r="J95" s="9">
        <f>2731.52</f>
        <v>2731.52</v>
      </c>
      <c r="K95" s="9">
        <f>2736.91</f>
        <v>2736.91</v>
      </c>
      <c r="L95" s="9">
        <f>2571.88</f>
        <v>2571.88</v>
      </c>
      <c r="M95" s="9">
        <f>5585.72</f>
        <v>5585.72</v>
      </c>
      <c r="N95" s="9">
        <f t="shared" si="13"/>
        <v>38244.639999999999</v>
      </c>
    </row>
    <row r="96" spans="1:14" x14ac:dyDescent="0.3">
      <c r="A96" s="3" t="s">
        <v>91</v>
      </c>
      <c r="B96" s="9">
        <f>152.34</f>
        <v>152.34</v>
      </c>
      <c r="C96" s="9">
        <f>164.22</f>
        <v>164.22</v>
      </c>
      <c r="D96" s="9">
        <f>119.83</f>
        <v>119.83</v>
      </c>
      <c r="E96" s="9">
        <f>685.18</f>
        <v>685.18</v>
      </c>
      <c r="F96" s="9">
        <f>359.59</f>
        <v>359.59</v>
      </c>
      <c r="G96" s="9">
        <f>1135.01</f>
        <v>1135.01</v>
      </c>
      <c r="H96" s="9">
        <f>1067.4</f>
        <v>1067.4000000000001</v>
      </c>
      <c r="I96" s="9">
        <f>980.5</f>
        <v>980.5</v>
      </c>
      <c r="J96" s="9">
        <f>364.55</f>
        <v>364.55</v>
      </c>
      <c r="K96" s="9">
        <f>352.13</f>
        <v>352.13</v>
      </c>
      <c r="L96" s="9">
        <f>318.83</f>
        <v>318.83</v>
      </c>
      <c r="M96" s="9">
        <f>514.58</f>
        <v>514.58000000000004</v>
      </c>
      <c r="N96" s="9">
        <f t="shared" si="13"/>
        <v>6214.16</v>
      </c>
    </row>
    <row r="97" spans="1:16" x14ac:dyDescent="0.3">
      <c r="A97" s="3" t="s">
        <v>92</v>
      </c>
      <c r="B97" s="10">
        <f t="shared" ref="B97:M97" si="17">((B94)+(B95))+(B96)</f>
        <v>2143.8200000000002</v>
      </c>
      <c r="C97" s="10">
        <f t="shared" si="17"/>
        <v>2332.9199999999996</v>
      </c>
      <c r="D97" s="10">
        <f t="shared" si="17"/>
        <v>2144.7800000000002</v>
      </c>
      <c r="E97" s="10">
        <f t="shared" si="17"/>
        <v>2783.3599999999997</v>
      </c>
      <c r="F97" s="10">
        <f t="shared" si="17"/>
        <v>2486.06</v>
      </c>
      <c r="G97" s="10">
        <f t="shared" si="17"/>
        <v>5834.88</v>
      </c>
      <c r="H97" s="10">
        <f t="shared" si="17"/>
        <v>6125.6399999999994</v>
      </c>
      <c r="I97" s="10">
        <f t="shared" si="17"/>
        <v>5431.22</v>
      </c>
      <c r="J97" s="10">
        <f t="shared" si="17"/>
        <v>3096.07</v>
      </c>
      <c r="K97" s="10">
        <f t="shared" si="17"/>
        <v>3089.04</v>
      </c>
      <c r="L97" s="10">
        <f t="shared" si="17"/>
        <v>2890.71</v>
      </c>
      <c r="M97" s="10">
        <f t="shared" si="17"/>
        <v>6100.3</v>
      </c>
      <c r="N97" s="10">
        <f t="shared" si="13"/>
        <v>44458.8</v>
      </c>
      <c r="O97" s="12"/>
    </row>
    <row r="98" spans="1:16" x14ac:dyDescent="0.3">
      <c r="A98" s="3" t="s">
        <v>93</v>
      </c>
      <c r="B98" s="9">
        <v>10000</v>
      </c>
      <c r="C98" s="9">
        <v>10000</v>
      </c>
      <c r="D98" s="9">
        <v>15000</v>
      </c>
      <c r="E98" s="9">
        <v>10000</v>
      </c>
      <c r="F98" s="9">
        <v>10000</v>
      </c>
      <c r="G98" s="9">
        <v>10000</v>
      </c>
      <c r="H98" s="9">
        <v>10000</v>
      </c>
      <c r="I98" s="9">
        <v>10000</v>
      </c>
      <c r="J98" s="9">
        <v>10000</v>
      </c>
      <c r="K98" s="9">
        <v>10000</v>
      </c>
      <c r="L98" s="9">
        <v>10000</v>
      </c>
      <c r="M98" s="9">
        <v>15000</v>
      </c>
      <c r="N98" s="9">
        <f t="shared" si="13"/>
        <v>130000</v>
      </c>
      <c r="P98" s="11"/>
    </row>
    <row r="99" spans="1:16" x14ac:dyDescent="0.3">
      <c r="A99" s="3" t="s">
        <v>94</v>
      </c>
      <c r="B99" s="9">
        <f>277.5</f>
        <v>277.5</v>
      </c>
      <c r="C99" s="8"/>
      <c r="D99" s="8"/>
      <c r="E99" s="9">
        <f>250</f>
        <v>250</v>
      </c>
      <c r="F99" s="9">
        <f>542.5</f>
        <v>542.5</v>
      </c>
      <c r="G99" s="9">
        <f>1050</f>
        <v>1050</v>
      </c>
      <c r="H99" s="9">
        <f>280</f>
        <v>280</v>
      </c>
      <c r="I99" s="9">
        <f>597.5</f>
        <v>597.5</v>
      </c>
      <c r="J99" s="9">
        <f>105</f>
        <v>105</v>
      </c>
      <c r="K99" s="9">
        <f>70</f>
        <v>70</v>
      </c>
      <c r="L99" s="9">
        <f>312.5</f>
        <v>312.5</v>
      </c>
      <c r="M99" s="9">
        <f>338.75</f>
        <v>338.75</v>
      </c>
      <c r="N99" s="9">
        <f t="shared" si="13"/>
        <v>3823.75</v>
      </c>
    </row>
    <row r="100" spans="1:16" x14ac:dyDescent="0.3">
      <c r="A100" s="3" t="s">
        <v>95</v>
      </c>
      <c r="B100" s="10">
        <f t="shared" ref="B100:M100" si="18">(B98)+(B99)</f>
        <v>10277.5</v>
      </c>
      <c r="C100" s="10">
        <f t="shared" si="18"/>
        <v>10000</v>
      </c>
      <c r="D100" s="10">
        <f t="shared" si="18"/>
        <v>15000</v>
      </c>
      <c r="E100" s="10">
        <f t="shared" si="18"/>
        <v>10250</v>
      </c>
      <c r="F100" s="10">
        <f t="shared" si="18"/>
        <v>10542.5</v>
      </c>
      <c r="G100" s="10">
        <f t="shared" si="18"/>
        <v>11050</v>
      </c>
      <c r="H100" s="10">
        <f t="shared" si="18"/>
        <v>10280</v>
      </c>
      <c r="I100" s="10">
        <f t="shared" si="18"/>
        <v>10597.5</v>
      </c>
      <c r="J100" s="10">
        <f t="shared" si="18"/>
        <v>10105</v>
      </c>
      <c r="K100" s="10">
        <f t="shared" si="18"/>
        <v>10070</v>
      </c>
      <c r="L100" s="10">
        <f t="shared" si="18"/>
        <v>10312.5</v>
      </c>
      <c r="M100" s="10">
        <f t="shared" si="18"/>
        <v>15338.75</v>
      </c>
      <c r="N100" s="10">
        <f t="shared" si="13"/>
        <v>133823.75</v>
      </c>
    </row>
    <row r="101" spans="1:16" x14ac:dyDescent="0.3">
      <c r="A101" s="3" t="s">
        <v>96</v>
      </c>
      <c r="B101" s="9">
        <v>1200</v>
      </c>
      <c r="C101" s="9">
        <v>1200</v>
      </c>
      <c r="D101" s="9">
        <v>1200</v>
      </c>
      <c r="E101" s="9">
        <f>1200+1000</f>
        <v>2200</v>
      </c>
      <c r="F101" s="9">
        <v>1200</v>
      </c>
      <c r="G101" s="9">
        <v>1200</v>
      </c>
      <c r="H101" s="9">
        <v>1200</v>
      </c>
      <c r="I101" s="9">
        <v>1200</v>
      </c>
      <c r="J101" s="9">
        <f>1200</f>
        <v>1200</v>
      </c>
      <c r="K101" s="9">
        <f>1200+3000</f>
        <v>4200</v>
      </c>
      <c r="L101" s="9">
        <f>1200+2500</f>
        <v>3700</v>
      </c>
      <c r="M101" s="9">
        <v>1200</v>
      </c>
      <c r="N101" s="9">
        <f t="shared" si="13"/>
        <v>20900</v>
      </c>
    </row>
    <row r="102" spans="1:16" x14ac:dyDescent="0.3">
      <c r="A102" s="3" t="s">
        <v>97</v>
      </c>
      <c r="B102" s="9">
        <f>2417.96</f>
        <v>2417.96</v>
      </c>
      <c r="C102" s="9">
        <f>525.51</f>
        <v>525.51</v>
      </c>
      <c r="D102" s="9">
        <f>2874.85</f>
        <v>2874.85</v>
      </c>
      <c r="E102" s="8"/>
      <c r="F102" s="9">
        <f>440.59</f>
        <v>440.59</v>
      </c>
      <c r="G102" s="9">
        <f>200</f>
        <v>200</v>
      </c>
      <c r="H102" s="9">
        <f>233.39</f>
        <v>233.39</v>
      </c>
      <c r="I102" s="9">
        <f>470.96</f>
        <v>470.96</v>
      </c>
      <c r="J102" s="9">
        <f>271.78</f>
        <v>271.77999999999997</v>
      </c>
      <c r="K102" s="9">
        <f>3702.69</f>
        <v>3702.69</v>
      </c>
      <c r="L102" s="9">
        <f>317.18</f>
        <v>317.18</v>
      </c>
      <c r="M102" s="8"/>
      <c r="N102" s="9">
        <f t="shared" si="13"/>
        <v>11454.91</v>
      </c>
    </row>
    <row r="103" spans="1:16" x14ac:dyDescent="0.3">
      <c r="A103" s="3" t="s">
        <v>98</v>
      </c>
      <c r="B103" s="9">
        <f>119.24</f>
        <v>119.24</v>
      </c>
      <c r="C103" s="9">
        <f>257.43</f>
        <v>257.43</v>
      </c>
      <c r="D103" s="9">
        <f>253.6</f>
        <v>253.6</v>
      </c>
      <c r="E103" s="9">
        <f>183.66</f>
        <v>183.66</v>
      </c>
      <c r="F103" s="9">
        <f>964.75</f>
        <v>964.75</v>
      </c>
      <c r="G103" s="9">
        <f>251.8</f>
        <v>251.8</v>
      </c>
      <c r="H103" s="9">
        <f>467.38</f>
        <v>467.38</v>
      </c>
      <c r="I103" s="9">
        <f>218.51</f>
        <v>218.51</v>
      </c>
      <c r="J103" s="9">
        <f>142.9</f>
        <v>142.9</v>
      </c>
      <c r="K103" s="9">
        <f>377.1</f>
        <v>377.1</v>
      </c>
      <c r="L103" s="9">
        <f>553.19</f>
        <v>553.19000000000005</v>
      </c>
      <c r="M103" s="9">
        <f>179.71</f>
        <v>179.71</v>
      </c>
      <c r="N103" s="9">
        <f t="shared" si="13"/>
        <v>3969.27</v>
      </c>
    </row>
    <row r="104" spans="1:16" x14ac:dyDescent="0.3">
      <c r="A104" s="3" t="s">
        <v>99</v>
      </c>
      <c r="B104" s="9">
        <f>133.84</f>
        <v>133.84</v>
      </c>
      <c r="C104" s="9">
        <f>222.32</f>
        <v>222.32</v>
      </c>
      <c r="D104" s="9">
        <f>68.32</f>
        <v>68.319999999999993</v>
      </c>
      <c r="E104" s="9">
        <f>58.24</f>
        <v>58.24</v>
      </c>
      <c r="F104" s="9">
        <f>69.03</f>
        <v>69.03</v>
      </c>
      <c r="G104" s="9">
        <f>553.7</f>
        <v>553.70000000000005</v>
      </c>
      <c r="H104" s="9">
        <f>1212.19</f>
        <v>1212.19</v>
      </c>
      <c r="I104" s="9">
        <f>191.91</f>
        <v>191.91</v>
      </c>
      <c r="J104" s="9">
        <f>1009.75</f>
        <v>1009.75</v>
      </c>
      <c r="K104" s="9">
        <f>1121.68</f>
        <v>1121.68</v>
      </c>
      <c r="L104" s="9">
        <f>218.75</f>
        <v>218.75</v>
      </c>
      <c r="M104" s="9">
        <f>162.73</f>
        <v>162.72999999999999</v>
      </c>
      <c r="N104" s="9">
        <f t="shared" si="13"/>
        <v>5022.46</v>
      </c>
    </row>
    <row r="105" spans="1:16" x14ac:dyDescent="0.3">
      <c r="A105" s="3" t="s">
        <v>100</v>
      </c>
      <c r="B105" s="9">
        <f t="shared" ref="B105:J105" si="19">816.71</f>
        <v>816.71</v>
      </c>
      <c r="C105" s="9">
        <f t="shared" si="19"/>
        <v>816.71</v>
      </c>
      <c r="D105" s="9">
        <f t="shared" si="19"/>
        <v>816.71</v>
      </c>
      <c r="E105" s="9">
        <f t="shared" si="19"/>
        <v>816.71</v>
      </c>
      <c r="F105" s="9">
        <f t="shared" si="19"/>
        <v>816.71</v>
      </c>
      <c r="G105" s="9">
        <f t="shared" si="19"/>
        <v>816.71</v>
      </c>
      <c r="H105" s="9">
        <f t="shared" si="19"/>
        <v>816.71</v>
      </c>
      <c r="I105" s="9">
        <f t="shared" si="19"/>
        <v>816.71</v>
      </c>
      <c r="J105" s="9">
        <f t="shared" si="19"/>
        <v>816.71</v>
      </c>
      <c r="K105" s="9">
        <f>816.69</f>
        <v>816.69</v>
      </c>
      <c r="L105" s="9">
        <f>1669</f>
        <v>1669</v>
      </c>
      <c r="M105" s="9">
        <f>561.11</f>
        <v>561.11</v>
      </c>
      <c r="N105" s="9">
        <f t="shared" si="13"/>
        <v>10397.19</v>
      </c>
    </row>
    <row r="106" spans="1:16" x14ac:dyDescent="0.3">
      <c r="A106" s="3" t="s">
        <v>101</v>
      </c>
      <c r="B106" s="9">
        <f>197.55</f>
        <v>197.55</v>
      </c>
      <c r="C106" s="9">
        <f>197.55</f>
        <v>197.55</v>
      </c>
      <c r="D106" s="9">
        <f>190.55</f>
        <v>190.55</v>
      </c>
      <c r="E106" s="9">
        <f>116.84</f>
        <v>116.84</v>
      </c>
      <c r="F106" s="9">
        <f>154.72</f>
        <v>154.72</v>
      </c>
      <c r="G106" s="9">
        <f>20</f>
        <v>20</v>
      </c>
      <c r="H106" s="9">
        <f>20</f>
        <v>20</v>
      </c>
      <c r="I106" s="9">
        <f>20</f>
        <v>20</v>
      </c>
      <c r="J106" s="8">
        <v>20</v>
      </c>
      <c r="K106" s="9">
        <f>178.77</f>
        <v>178.77</v>
      </c>
      <c r="L106" s="9">
        <f>143.89</f>
        <v>143.88999999999999</v>
      </c>
      <c r="M106" s="9">
        <f>166.31</f>
        <v>166.31</v>
      </c>
      <c r="N106" s="9">
        <f t="shared" si="13"/>
        <v>1426.1800000000003</v>
      </c>
    </row>
    <row r="107" spans="1:16" x14ac:dyDescent="0.3">
      <c r="A107" s="3" t="s">
        <v>102</v>
      </c>
      <c r="B107" s="8"/>
      <c r="C107" s="8"/>
      <c r="D107" s="8"/>
      <c r="E107" s="8"/>
      <c r="F107" s="8"/>
      <c r="G107" s="8"/>
      <c r="H107" s="8"/>
      <c r="I107" s="8"/>
      <c r="J107" s="9">
        <f>150</f>
        <v>150</v>
      </c>
      <c r="K107" s="8"/>
      <c r="L107" s="8"/>
      <c r="M107" s="8"/>
      <c r="N107" s="9">
        <f t="shared" si="13"/>
        <v>150</v>
      </c>
    </row>
    <row r="108" spans="1:16" x14ac:dyDescent="0.3">
      <c r="A108" s="3" t="s">
        <v>103</v>
      </c>
      <c r="B108" s="10">
        <f>(((((((((((((((((((((((((((((B63)+(B64))+(B65))+(B66))+(B69))+(B70))+(B71))+(B72))+(B77))+(B78))+(B79))+(B80))+(B81))+(B82))+(B83))+(B84))+(B88))+(B93))+(B97))+(B100))+(B101))+(B102))+(B103))+(B104))+(B105))+(B106))+(B107))))</f>
        <v>62147.199999999997</v>
      </c>
      <c r="C108" s="10">
        <f>(((((((((((((((((((((((((((((C63)+(C64))+(C65))+(C66))+(C69))+(C70))+(C71))+(C72))+(C77))+(C78))+(C79))+(C80))+(C81))+(C82))+(C83))+(C84))+(C88))+(C93))+(C97))+(C100))+(C101))+(C102))+(C103))+(C104))+(C105))+(C106))+(C107))))</f>
        <v>62387.93</v>
      </c>
      <c r="D108" s="10">
        <f>(((((((((((((((((((((((((((((D63)+(D64))+(D65))+(D66))+(D69))+(D70))+(D71))+(D72))+(D77))+(D78))+(D79))+(D80))+(D81))+(D82))+(D83))+(D84))+(D88))+(D93))+(D97))+(D100))+(D101))+(D102))+(D103))+(D104))+(D105))+(D106))+(D107))))</f>
        <v>67175.580000000016</v>
      </c>
      <c r="E108" s="10">
        <f>(((((((((((((((((((((((((((((E63)+(E64))+(E65))+(E66))+(E69))+(E70))+(E71))+(E72))+(E77))+(E78))+(E79))+(E80))+(E81))+(E82))+(E83))+(E84))+(E88))+(E93))+(E97))+(E100))+(E101))+(E102))+(E103))+(E104))+(E105))+(E106))+(E107))))</f>
        <v>56261.75</v>
      </c>
      <c r="F108" s="10">
        <f>(((((((((((((((((((((((((((((F63)+(F64))+(F65))+(F66))+(F69))+(F70))+(F71))+(F72))+(F77))+(F78))+(F79))+(F80))+(F81))+(F82))+(F83))+(F84))+(F88))+(F93))+(F97))+(F100))+(F101))+(F102))+(F103))+(F104))+(F105))+(F106))+(F107))))</f>
        <v>64764.669999999991</v>
      </c>
      <c r="G108" s="10">
        <f>(((((((((((((((((((((((((((((G63)+(G64))+(G65))+(G66))+(G69))+(G70))+(G71))+(G72))+(G77))+(G78))+(G79))+(G80))+(G81))+(G82))+(G83))+(G84))+(G88))+(G93))+(G97))+(G100))+(G101))+(G102))+(G103))+(G104))+(G105))+(G106))+(G107))))</f>
        <v>110331.39000000001</v>
      </c>
      <c r="H108" s="10">
        <f>(((((((((((((((((((((((((((((H63)+(H64))+(H65))+(H66))+(H69))+(H70))+(H71))+(H72))+(H77))+(H78))+(H79))+(H80))+(H81))+(H82))+(H83))+(H84))+(H88))+(H93))+(H97))+(H100))+(H101))+(H102))+(H103))+(H104))+(H105))+(H106))+(H107))))</f>
        <v>132192.97</v>
      </c>
      <c r="I108" s="10">
        <f>(((((((((((((((((((((((((((((I63)+(I64))+(I65))+(I66))+(I69))+(I70))+(I71))+(I72))+(I77))+(I78))+(I79))+(I80))+(I81))+(I82))+(I83))+(I84))+(I88))+(I93))+(I97))+(I100))+(I101))+(I102))+(I103))+(I104))+(I105))+(I106))+(I107))))</f>
        <v>127579.68000000001</v>
      </c>
      <c r="J108" s="10">
        <f>(((((((((((((((((((((((((((((J63)+(J64))+(J65))+(J66))+(J69))+(J70))+(J71))+(J72))+(J77))+(J78))+(J79))+(J80))+(J81))+(J82))+(J83))+(J84))+(J88))+(J93))+(J97))+(J100))+(J101))+(J102))+(J103))+(J104))+(J105))+(J106))+(J107))))</f>
        <v>72403.090000000011</v>
      </c>
      <c r="K108" s="10">
        <f>(((((((((((((((((((((((((((((K63)+(K64))+(K65))+(K66))+(K69))+(K70))+(K71))+(K72))+(K77))+(K78))+(K79))+(K80))+(K81))+(K82))+(K83))+(K84))+(K88))+(K93))+(K97))+(K100))+(K101))+(K102))+(K103))+(K104))+(K105))+(K106))+(K107))))</f>
        <v>99780.69</v>
      </c>
      <c r="L108" s="10">
        <f>(((((((((((((((((((((((((((((L63)+(L64))+(L65))+(L66))+(L69))+(L70))+(L71))+(L72))+(L77))+(L78))+(L79))+(L80))+(L81))+(L82))+(L83))+(L84))+(L88))+(L93))+(L97))+(L100))+(L101))+(L102))+(L103))+(L104))+(L105))+(L106))+(L107))))</f>
        <v>80952.22</v>
      </c>
      <c r="M108" s="10">
        <f>(((((((((((((((((((((((((((((M63)+(M64))+(M65))+(M66))+(M69))+(M70))+(M71))+(M72))+(M77))+(M78))+(M79))+(M80))+(M81))+(M82))+(M83))+(M84))+(M88))+(M93))+(M97))+(M100))+(M101))+(M102))+(M103))+(M104))+(M105))+(M106))+(M107))))</f>
        <v>118785.18</v>
      </c>
      <c r="N108" s="10">
        <f>(((((((((((((((((((((((((((((N63)+(N64))+(N65))+(N66))+(N69))+(N70))+(N71))+(N72))+(N77))+(N78))+(N79))+(N80))+(N81))+(N82))+(N83))+(N84))+(N88))+(N93))+(N97))+(N100))+(N101))+(N102))+(N103))+(N104))+(N105))+(N106))+(N107))))</f>
        <v>1054762.3500000001</v>
      </c>
    </row>
    <row r="109" spans="1:16" x14ac:dyDescent="0.3">
      <c r="A109" s="3" t="s">
        <v>104</v>
      </c>
      <c r="B109" s="10">
        <f>(B53)-(B108)</f>
        <v>-39044.339999999997</v>
      </c>
      <c r="C109" s="10">
        <f>(C53)-(C108)</f>
        <v>40968.609999999964</v>
      </c>
      <c r="D109" s="10">
        <f>(D53)-(D108)</f>
        <v>-2960.6600000000108</v>
      </c>
      <c r="E109" s="10">
        <f>(E53)-(E108)</f>
        <v>-10576.30000000001</v>
      </c>
      <c r="F109" s="10">
        <f>(F53)-(F108)</f>
        <v>-13557.339999999989</v>
      </c>
      <c r="G109" s="10">
        <f>(G53)-(G108)</f>
        <v>182991.56</v>
      </c>
      <c r="H109" s="10">
        <f>(H53)-(H108)</f>
        <v>-100184.94</v>
      </c>
      <c r="I109" s="10">
        <f>(I53)-(I108)</f>
        <v>-73350.86</v>
      </c>
      <c r="J109" s="10">
        <f>(J53)-(J108)</f>
        <v>-22813.500000000022</v>
      </c>
      <c r="K109" s="10">
        <f>(K53)-(K108)</f>
        <v>-14325.419999999998</v>
      </c>
      <c r="L109" s="10">
        <f>(L53)-(L108)</f>
        <v>24221.130000000005</v>
      </c>
      <c r="M109" s="10">
        <f>(M53)-(M108)</f>
        <v>-64674.839999999989</v>
      </c>
      <c r="N109" s="10">
        <f t="shared" si="13"/>
        <v>-93306.900000000038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660D6689AAB4FA7DDFC9DB162F0D0" ma:contentTypeVersion="13" ma:contentTypeDescription="Create a new document." ma:contentTypeScope="" ma:versionID="dbd43b97ccef61a4ee3f67a41a1a2a8f">
  <xsd:schema xmlns:xsd="http://www.w3.org/2001/XMLSchema" xmlns:xs="http://www.w3.org/2001/XMLSchema" xmlns:p="http://schemas.microsoft.com/office/2006/metadata/properties" xmlns:ns2="cc6812c1-eea8-432d-bfdd-bd9ee56389d7" xmlns:ns3="ffac04cb-3563-4349-9a81-df9f50f5f0b3" targetNamespace="http://schemas.microsoft.com/office/2006/metadata/properties" ma:root="true" ma:fieldsID="71f6a685ecaafa29f448362d14c2940e" ns2:_="" ns3:_="">
    <xsd:import namespace="cc6812c1-eea8-432d-bfdd-bd9ee56389d7"/>
    <xsd:import namespace="ffac04cb-3563-4349-9a81-df9f50f5f0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812c1-eea8-432d-bfdd-bd9ee5638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09dd30c-4d2a-4571-8af3-b8acd93557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c04cb-3563-4349-9a81-df9f50f5f0b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d8e8199-56d0-42f0-b096-f07329238b18}" ma:internalName="TaxCatchAll" ma:showField="CatchAllData" ma:web="ffac04cb-3563-4349-9a81-df9f50f5f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ac04cb-3563-4349-9a81-df9f50f5f0b3" xsi:nil="true"/>
    <lcf76f155ced4ddcb4097134ff3c332f xmlns="cc6812c1-eea8-432d-bfdd-bd9ee56389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7D0A3F-255E-4216-88DC-75307D936F57}"/>
</file>

<file path=customXml/itemProps2.xml><?xml version="1.0" encoding="utf-8"?>
<ds:datastoreItem xmlns:ds="http://schemas.openxmlformats.org/officeDocument/2006/customXml" ds:itemID="{0A2AFEFA-2366-45A7-ABE0-08AFC8B54677}"/>
</file>

<file path=customXml/itemProps3.xml><?xml version="1.0" encoding="utf-8"?>
<ds:datastoreItem xmlns:ds="http://schemas.openxmlformats.org/officeDocument/2006/customXml" ds:itemID="{E05B72CD-75DE-4515-BB6F-15D8B3DCF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Catrice James</cp:lastModifiedBy>
  <dcterms:created xsi:type="dcterms:W3CDTF">2023-06-03T22:50:33Z</dcterms:created>
  <dcterms:modified xsi:type="dcterms:W3CDTF">2023-06-03T23:10:16Z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0x010100DD7660D6689AAB4FA7DDFC9DB162F0D0</vt:lpwstr>
  </property>
</Properties>
</file>