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ADMIN\Financials\Operations Budget\"/>
    </mc:Choice>
  </mc:AlternateContent>
  <xr:revisionPtr revIDLastSave="0" documentId="8_{8ECCED3D-651A-4089-801B-BBD28FA9D18D}" xr6:coauthVersionLast="47" xr6:coauthVersionMax="47" xr10:uidLastSave="{00000000-0000-0000-0000-000000000000}"/>
  <bookViews>
    <workbookView xWindow="-120" yWindow="-120" windowWidth="29040" windowHeight="15720" activeTab="1" xr2:uid="{7EB13452-EBC2-482B-B7D8-2FEFF6E80573}"/>
  </bookViews>
  <sheets>
    <sheet name="Revised Budget" sheetId="1" r:id="rId1"/>
    <sheet name="Print Budget" sheetId="8" r:id="rId2"/>
    <sheet name="Compensation" sheetId="6" r:id="rId3"/>
    <sheet name="GrantsFundraising" sheetId="2" r:id="rId4"/>
    <sheet name="Funding Allocation" sheetId="3" r:id="rId5"/>
    <sheet name="Budget to Actual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8" l="1"/>
  <c r="B36" i="8"/>
  <c r="B23" i="8"/>
  <c r="B22" i="8"/>
  <c r="B21" i="8"/>
  <c r="B15" i="8"/>
  <c r="B12" i="8"/>
  <c r="B9" i="8"/>
  <c r="B8" i="2"/>
  <c r="N37" i="1"/>
  <c r="N53" i="1"/>
  <c r="M21" i="1"/>
  <c r="N21" i="1" s="1"/>
  <c r="M53" i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P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M38" i="1"/>
  <c r="N38" i="1" s="1"/>
  <c r="M39" i="1"/>
  <c r="N39" i="1" s="1"/>
  <c r="P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4" i="1"/>
  <c r="N54" i="1" s="1"/>
  <c r="M55" i="1"/>
  <c r="N55" i="1" s="1"/>
  <c r="M56" i="1"/>
  <c r="N56" i="1" s="1"/>
  <c r="M57" i="1"/>
  <c r="N57" i="1" s="1"/>
  <c r="R57" i="1" s="1"/>
  <c r="B22" i="1"/>
  <c r="I4" i="6"/>
  <c r="G4" i="6"/>
  <c r="E4" i="6"/>
  <c r="D3" i="6"/>
  <c r="E3" i="6" s="1"/>
  <c r="G3" i="6" s="1"/>
  <c r="I3" i="6" s="1"/>
  <c r="D2" i="6"/>
  <c r="E2" i="6" s="1"/>
  <c r="G2" i="6" s="1"/>
  <c r="B17" i="8" l="1"/>
  <c r="B26" i="8"/>
  <c r="B60" i="8"/>
  <c r="N59" i="1"/>
  <c r="B21" i="1"/>
  <c r="I2" i="6"/>
  <c r="I5" i="6" s="1"/>
  <c r="B23" i="1" s="1"/>
  <c r="M59" i="1"/>
  <c r="E5" i="6"/>
  <c r="B16" i="1" l="1"/>
  <c r="M55" i="5"/>
  <c r="M57" i="5" s="1"/>
  <c r="M34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3" i="5"/>
  <c r="M32" i="5"/>
  <c r="M31" i="5"/>
  <c r="M30" i="5"/>
  <c r="M29" i="5"/>
  <c r="M28" i="5"/>
  <c r="M27" i="5"/>
  <c r="M24" i="5"/>
  <c r="M21" i="5"/>
  <c r="M22" i="5"/>
  <c r="M23" i="5"/>
  <c r="M20" i="5"/>
  <c r="M16" i="5"/>
  <c r="M7" i="5"/>
  <c r="M8" i="5"/>
  <c r="M9" i="5"/>
  <c r="M10" i="5"/>
  <c r="M11" i="5"/>
  <c r="M12" i="5"/>
  <c r="M13" i="5"/>
  <c r="M14" i="5"/>
  <c r="M15" i="5"/>
  <c r="M6" i="5"/>
  <c r="J29" i="5"/>
  <c r="C20" i="5"/>
  <c r="D20" i="5" s="1"/>
  <c r="C6" i="5"/>
  <c r="B6" i="5"/>
  <c r="B16" i="5" s="1"/>
  <c r="L29" i="5"/>
  <c r="L54" i="5"/>
  <c r="L52" i="5"/>
  <c r="L51" i="5"/>
  <c r="L37" i="5"/>
  <c r="L55" i="5" s="1"/>
  <c r="L27" i="5"/>
  <c r="L16" i="5"/>
  <c r="J5" i="5"/>
  <c r="J54" i="5" s="1"/>
  <c r="K54" i="5" s="1"/>
  <c r="C55" i="5"/>
  <c r="B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C34" i="5"/>
  <c r="D34" i="5" s="1"/>
  <c r="B34" i="5"/>
  <c r="D33" i="5"/>
  <c r="D32" i="5"/>
  <c r="D31" i="5"/>
  <c r="D30" i="5"/>
  <c r="D29" i="5"/>
  <c r="D28" i="5"/>
  <c r="D27" i="5"/>
  <c r="C24" i="5"/>
  <c r="B24" i="5"/>
  <c r="D23" i="5"/>
  <c r="D22" i="5"/>
  <c r="D21" i="5"/>
  <c r="C16" i="5"/>
  <c r="D14" i="5"/>
  <c r="D13" i="5"/>
  <c r="D12" i="5"/>
  <c r="D11" i="5"/>
  <c r="D10" i="5"/>
  <c r="D9" i="5"/>
  <c r="D8" i="5"/>
  <c r="D7" i="5"/>
  <c r="B25" i="2"/>
  <c r="B15" i="1" s="1"/>
  <c r="D15" i="1" s="1"/>
  <c r="D57" i="1"/>
  <c r="D56" i="1"/>
  <c r="D55" i="1"/>
  <c r="D54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5" i="1"/>
  <c r="D34" i="1"/>
  <c r="D33" i="1"/>
  <c r="D32" i="1"/>
  <c r="D31" i="1"/>
  <c r="D30" i="1"/>
  <c r="D29" i="1"/>
  <c r="D23" i="1"/>
  <c r="D24" i="1"/>
  <c r="D25" i="1"/>
  <c r="D22" i="1"/>
  <c r="D21" i="1"/>
  <c r="D10" i="1"/>
  <c r="D11" i="1"/>
  <c r="D13" i="1"/>
  <c r="D14" i="1"/>
  <c r="D7" i="1"/>
  <c r="D6" i="1"/>
  <c r="B18" i="2"/>
  <c r="B12" i="1" s="1"/>
  <c r="B9" i="1"/>
  <c r="C26" i="1"/>
  <c r="C58" i="1"/>
  <c r="C36" i="1"/>
  <c r="C17" i="1"/>
  <c r="B58" i="1"/>
  <c r="B36" i="1"/>
  <c r="B26" i="1"/>
  <c r="B17" i="1" l="1"/>
  <c r="D58" i="1"/>
  <c r="D12" i="1"/>
  <c r="D36" i="1"/>
  <c r="D26" i="1"/>
  <c r="D9" i="1"/>
  <c r="B60" i="1"/>
  <c r="L34" i="5"/>
  <c r="D55" i="5"/>
  <c r="D6" i="5"/>
  <c r="D16" i="5" s="1"/>
  <c r="L57" i="5"/>
  <c r="J7" i="5"/>
  <c r="K7" i="5" s="1"/>
  <c r="J21" i="5"/>
  <c r="K21" i="5" s="1"/>
  <c r="J32" i="5"/>
  <c r="K32" i="5" s="1"/>
  <c r="J43" i="5"/>
  <c r="K43" i="5" s="1"/>
  <c r="J11" i="5"/>
  <c r="K11" i="5" s="1"/>
  <c r="J22" i="5"/>
  <c r="K22" i="5" s="1"/>
  <c r="K29" i="5"/>
  <c r="J40" i="5"/>
  <c r="K40" i="5" s="1"/>
  <c r="J52" i="5"/>
  <c r="K52" i="5" s="1"/>
  <c r="D24" i="5"/>
  <c r="D57" i="5" s="1"/>
  <c r="B57" i="5"/>
  <c r="J14" i="5"/>
  <c r="K14" i="5" s="1"/>
  <c r="J10" i="5"/>
  <c r="K10" i="5" s="1"/>
  <c r="J20" i="5"/>
  <c r="J23" i="5"/>
  <c r="L23" i="5" s="1"/>
  <c r="L24" i="5" s="1"/>
  <c r="J30" i="5"/>
  <c r="K30" i="5" s="1"/>
  <c r="J37" i="5"/>
  <c r="J41" i="5"/>
  <c r="K41" i="5" s="1"/>
  <c r="J45" i="5"/>
  <c r="K45" i="5" s="1"/>
  <c r="J49" i="5"/>
  <c r="K49" i="5" s="1"/>
  <c r="J53" i="5"/>
  <c r="K53" i="5" s="1"/>
  <c r="J12" i="5"/>
  <c r="K12" i="5" s="1"/>
  <c r="J28" i="5"/>
  <c r="K28" i="5" s="1"/>
  <c r="J39" i="5"/>
  <c r="K39" i="5" s="1"/>
  <c r="J47" i="5"/>
  <c r="K47" i="5" s="1"/>
  <c r="J51" i="5"/>
  <c r="K51" i="5" s="1"/>
  <c r="J6" i="5"/>
  <c r="K6" i="5" s="1"/>
  <c r="J33" i="5"/>
  <c r="K33" i="5" s="1"/>
  <c r="J44" i="5"/>
  <c r="K44" i="5" s="1"/>
  <c r="J48" i="5"/>
  <c r="K48" i="5" s="1"/>
  <c r="J13" i="5"/>
  <c r="K13" i="5" s="1"/>
  <c r="J9" i="5"/>
  <c r="J27" i="5"/>
  <c r="J31" i="5"/>
  <c r="K31" i="5" s="1"/>
  <c r="J38" i="5"/>
  <c r="K38" i="5" s="1"/>
  <c r="J42" i="5"/>
  <c r="K42" i="5" s="1"/>
  <c r="J46" i="5"/>
  <c r="K46" i="5" s="1"/>
  <c r="J50" i="5"/>
  <c r="K50" i="5" s="1"/>
  <c r="C57" i="5"/>
  <c r="C60" i="1"/>
  <c r="B62" i="1" l="1"/>
  <c r="D17" i="1"/>
  <c r="D60" i="1"/>
  <c r="K27" i="5"/>
  <c r="J34" i="5"/>
  <c r="K34" i="5" s="1"/>
  <c r="J24" i="5"/>
  <c r="K24" i="5" s="1"/>
  <c r="K20" i="5"/>
  <c r="J55" i="5"/>
  <c r="K55" i="5" s="1"/>
  <c r="K37" i="5"/>
  <c r="K16" i="5"/>
  <c r="J16" i="5"/>
  <c r="K5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tc={F952B964-786E-4B09-B4C3-53BC9ECCAB58}</author>
    <author>tc={D07F9FF0-F4EF-40AC-A602-8D3C2CE84947}</author>
    <author>tc={D3481ED7-E549-43B0-80A1-4E9485A8E790}</author>
  </authors>
  <commentList>
    <comment ref="O39" authorId="0" shapeId="0" xr:uid="{F952B964-786E-4B09-B4C3-53BC9ECCAB58}">
      <text>
        <r>
          <rPr>
            <sz val="11"/>
            <color theme="1"/>
            <rFont val="Cambri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Leadership-Cassell</t>
        </r>
      </text>
    </comment>
    <comment ref="O57" authorId="1" shapeId="0" xr:uid="{D07F9FF0-F4EF-40AC-A602-8D3C2CE84947}">
      <text>
        <r>
          <rPr>
            <sz val="11"/>
            <color theme="1"/>
            <rFont val="Cambri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Crimes Against Children</t>
        </r>
      </text>
    </comment>
    <comment ref="P57" authorId="2" shapeId="0" xr:uid="{D3481ED7-E549-43B0-80A1-4E9485A8E790}">
      <text>
        <r>
          <rPr>
            <sz val="11"/>
            <color theme="1"/>
            <rFont val="Cambria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CPIT</t>
        </r>
      </text>
    </comment>
  </commentList>
</comments>
</file>

<file path=xl/sharedStrings.xml><?xml version="1.0" encoding="utf-8"?>
<sst xmlns="http://schemas.openxmlformats.org/spreadsheetml/2006/main" count="255" uniqueCount="107">
  <si>
    <t>Children's Advocacy Center</t>
  </si>
  <si>
    <t>for the 31st Judicial District</t>
  </si>
  <si>
    <t>2022 - 2023 Operations Budget</t>
  </si>
  <si>
    <t xml:space="preserve">Income </t>
  </si>
  <si>
    <t>State of Tennessee DCS - CAC Grant</t>
  </si>
  <si>
    <t>State of Tennessee DCS - FI Grant</t>
  </si>
  <si>
    <t>Unidentified Grants</t>
  </si>
  <si>
    <r>
      <t xml:space="preserve">Annual Spring Fundraiser </t>
    </r>
    <r>
      <rPr>
        <b/>
        <sz val="11"/>
        <color theme="1"/>
        <rFont val="Cambria"/>
        <family val="1"/>
      </rPr>
      <t>(Gala)</t>
    </r>
  </si>
  <si>
    <r>
      <t xml:space="preserve">Fall Fundraiser </t>
    </r>
    <r>
      <rPr>
        <b/>
        <sz val="11"/>
        <color theme="1"/>
        <rFont val="Cambria"/>
        <family val="1"/>
      </rPr>
      <t>(Champions for Children Golf)</t>
    </r>
  </si>
  <si>
    <t>Unidentified Fundraisers</t>
  </si>
  <si>
    <t>Victim's Assessment</t>
  </si>
  <si>
    <t>Local Government Funding</t>
  </si>
  <si>
    <t>Board Generated Donations</t>
  </si>
  <si>
    <t>Individual/Corporate Contributions</t>
  </si>
  <si>
    <t>Total Income</t>
  </si>
  <si>
    <t>Expenses</t>
  </si>
  <si>
    <t>Compensation:</t>
  </si>
  <si>
    <t>Professional Taxes</t>
  </si>
  <si>
    <t>Insurance - Workman's Comp</t>
  </si>
  <si>
    <t>Insurance - Health</t>
  </si>
  <si>
    <t>Total Compensation</t>
  </si>
  <si>
    <t>Core Mission Support:</t>
  </si>
  <si>
    <t>Building - Maintenance</t>
  </si>
  <si>
    <t>Insurance - Property, Liability, Director &amp; Officer</t>
  </si>
  <si>
    <t>Mortgage</t>
  </si>
  <si>
    <t>Supplies - Copier Lease  &amp; Maintenance</t>
  </si>
  <si>
    <t>Supplies (Non-program specific)</t>
  </si>
  <si>
    <t>Telecommunications</t>
  </si>
  <si>
    <t>Utilities</t>
  </si>
  <si>
    <t>Total Core Mission Support</t>
  </si>
  <si>
    <t>Program Expenses:</t>
  </si>
  <si>
    <t>Communication - client text phone &amp; staff cell reimbursement</t>
  </si>
  <si>
    <t>Communication - website, online outreach</t>
  </si>
  <si>
    <t>Communications - media subscription, advertising</t>
  </si>
  <si>
    <r>
      <t xml:space="preserve">Contingency Funds - </t>
    </r>
    <r>
      <rPr>
        <b/>
        <sz val="11"/>
        <color theme="1"/>
        <rFont val="Cambria"/>
        <family val="1"/>
      </rPr>
      <t>Equipment Required</t>
    </r>
  </si>
  <si>
    <t>Education - publications, supplies, fees</t>
  </si>
  <si>
    <t>Emergency Client Assistance</t>
  </si>
  <si>
    <t>Funding - grant writing services</t>
  </si>
  <si>
    <t>Funding - online funding tools</t>
  </si>
  <si>
    <t>Postage &amp; P.O. Box rental</t>
  </si>
  <si>
    <t>Publications &amp; printing</t>
  </si>
  <si>
    <t>Supplies - program, office, promotional materials</t>
  </si>
  <si>
    <t>Travel - prevention, outreach</t>
  </si>
  <si>
    <t>Travel - trainings, peer review, chapter meetings</t>
  </si>
  <si>
    <t>Total Program Expenses</t>
  </si>
  <si>
    <t>Total Expenses</t>
  </si>
  <si>
    <t>Approved Budget Amount</t>
  </si>
  <si>
    <t>Delta</t>
  </si>
  <si>
    <t>Unidentified Grants:</t>
  </si>
  <si>
    <t>Newell</t>
  </si>
  <si>
    <t>United Way</t>
  </si>
  <si>
    <t>Bridgestone</t>
  </si>
  <si>
    <t>Unidentified Fundraisers:</t>
  </si>
  <si>
    <t>Sweater Weather</t>
  </si>
  <si>
    <t>Autumn Street Fair</t>
  </si>
  <si>
    <t>Acument Global</t>
  </si>
  <si>
    <t>Contract Labor - mental health sessions</t>
  </si>
  <si>
    <t>Bank charges &amp; processing Fees</t>
  </si>
  <si>
    <t>Annual fees, registration, licensing,  membership</t>
  </si>
  <si>
    <t>Revised Budget Amount</t>
  </si>
  <si>
    <t>Funding Allocation</t>
  </si>
  <si>
    <t>Professional fees - financial</t>
  </si>
  <si>
    <t>discretionary</t>
  </si>
  <si>
    <t>salaries</t>
  </si>
  <si>
    <t>Smith Family Grant</t>
  </si>
  <si>
    <t>65010?</t>
  </si>
  <si>
    <t xml:space="preserve"> </t>
  </si>
  <si>
    <t>Meetings - Supplies &amp; Refreshments</t>
  </si>
  <si>
    <t>salaries, supplies</t>
  </si>
  <si>
    <t>counseling, family advocate</t>
  </si>
  <si>
    <t>prevention</t>
  </si>
  <si>
    <t>Accounts</t>
  </si>
  <si>
    <t>62810 ?</t>
  </si>
  <si>
    <t>Individual/Corporate:</t>
  </si>
  <si>
    <t>Individual/Businesses</t>
  </si>
  <si>
    <t>Individual, Kroger, etc</t>
  </si>
  <si>
    <t>Angels' Spring Gala</t>
  </si>
  <si>
    <t>Champions for Children Golf Tournament</t>
  </si>
  <si>
    <t>Grants / Fundraisers</t>
  </si>
  <si>
    <t>Smith family grant</t>
  </si>
  <si>
    <t>Miscellaneous grants</t>
  </si>
  <si>
    <t>January 7/12</t>
  </si>
  <si>
    <t>Interest</t>
  </si>
  <si>
    <t>State of Tennessee DCS - CAC &amp; FI Grant</t>
  </si>
  <si>
    <t>Revised Budget Jul 22-Jan 23</t>
  </si>
  <si>
    <t>Actual               Jul 22-Jan 23</t>
  </si>
  <si>
    <t>Professional Salaries</t>
  </si>
  <si>
    <t>2023 - 2024 Operations Budget</t>
  </si>
  <si>
    <t>State Appropriations Funding</t>
  </si>
  <si>
    <t>FA Salary, taxes, leave, 2 Microsoft Surface Tablets</t>
  </si>
  <si>
    <t>Bonus</t>
  </si>
  <si>
    <t>Professional Salaries - ED &amp; FI</t>
  </si>
  <si>
    <t>Professional Salaries - FA</t>
  </si>
  <si>
    <t>Compensation</t>
  </si>
  <si>
    <t>Cassell</t>
  </si>
  <si>
    <t>Judith</t>
  </si>
  <si>
    <t>Kristy</t>
  </si>
  <si>
    <t>22/23 Pay</t>
  </si>
  <si>
    <t>% Increase</t>
  </si>
  <si>
    <t>Increase</t>
  </si>
  <si>
    <t>23/24 Pay</t>
  </si>
  <si>
    <t>Payroll Taxes</t>
  </si>
  <si>
    <t>Pay W/Incr</t>
  </si>
  <si>
    <t>Special events</t>
  </si>
  <si>
    <t>Insurance - Short-Term Disability</t>
  </si>
  <si>
    <t>Dreyfus Grant</t>
  </si>
  <si>
    <t>Budget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</si>
</sst>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5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1" applyNumberFormat="1" applyFont="1"/>
    <xf numFmtId="0" fontId="2" fillId="0" borderId="0" xfId="0" applyFont="1"/>
    <xf numFmtId="41" fontId="0" fillId="0" borderId="1" xfId="1" applyNumberFormat="1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0" fillId="0" borderId="2" xfId="0" applyBorder="1"/>
    <xf numFmtId="42" fontId="0" fillId="0" borderId="2" xfId="1" applyNumberFormat="1" applyFont="1" applyBorder="1"/>
    <xf numFmtId="41" fontId="0" fillId="0" borderId="2" xfId="1" applyNumberFormat="1" applyFont="1" applyBorder="1"/>
    <xf numFmtId="0" fontId="2" fillId="0" borderId="2" xfId="0" applyFont="1" applyBorder="1"/>
    <xf numFmtId="164" fontId="0" fillId="0" borderId="2" xfId="1" applyNumberFormat="1" applyFont="1" applyBorder="1"/>
    <xf numFmtId="0" fontId="4" fillId="0" borderId="2" xfId="0" applyFont="1" applyBorder="1"/>
    <xf numFmtId="164" fontId="0" fillId="0" borderId="4" xfId="1" applyNumberFormat="1" applyFont="1" applyBorder="1"/>
    <xf numFmtId="42" fontId="2" fillId="0" borderId="5" xfId="1" applyNumberFormat="1" applyFont="1" applyBorder="1"/>
    <xf numFmtId="42" fontId="2" fillId="0" borderId="4" xfId="1" applyNumberFormat="1" applyFont="1" applyBorder="1"/>
    <xf numFmtId="41" fontId="0" fillId="0" borderId="3" xfId="1" applyNumberFormat="1" applyFont="1" applyBorder="1"/>
    <xf numFmtId="42" fontId="2" fillId="0" borderId="6" xfId="1" applyNumberFormat="1" applyFont="1" applyBorder="1"/>
    <xf numFmtId="42" fontId="2" fillId="0" borderId="7" xfId="1" applyNumberFormat="1" applyFont="1" applyBorder="1"/>
    <xf numFmtId="42" fontId="2" fillId="0" borderId="8" xfId="1" applyNumberFormat="1" applyFont="1" applyBorder="1"/>
    <xf numFmtId="42" fontId="0" fillId="0" borderId="0" xfId="1" applyNumberFormat="1" applyFont="1" applyBorder="1"/>
    <xf numFmtId="41" fontId="0" fillId="0" borderId="0" xfId="1" applyNumberFormat="1" applyFont="1" applyBorder="1"/>
    <xf numFmtId="42" fontId="2" fillId="0" borderId="0" xfId="1" applyNumberFormat="1" applyFont="1" applyBorder="1"/>
    <xf numFmtId="41" fontId="0" fillId="0" borderId="9" xfId="1" applyNumberFormat="1" applyFont="1" applyBorder="1"/>
    <xf numFmtId="0" fontId="2" fillId="0" borderId="1" xfId="0" applyFont="1" applyBorder="1"/>
    <xf numFmtId="0" fontId="0" fillId="3" borderId="0" xfId="0" applyFill="1"/>
    <xf numFmtId="0" fontId="4" fillId="0" borderId="0" xfId="0" applyFont="1"/>
    <xf numFmtId="44" fontId="0" fillId="0" borderId="0" xfId="0" applyNumberFormat="1"/>
    <xf numFmtId="41" fontId="0" fillId="0" borderId="10" xfId="1" applyNumberFormat="1" applyFont="1" applyBorder="1"/>
    <xf numFmtId="41" fontId="0" fillId="0" borderId="11" xfId="1" applyNumberFormat="1" applyFont="1" applyBorder="1"/>
    <xf numFmtId="41" fontId="0" fillId="0" borderId="12" xfId="1" applyNumberFormat="1" applyFont="1" applyBorder="1"/>
    <xf numFmtId="165" fontId="0" fillId="0" borderId="2" xfId="2" applyNumberFormat="1" applyFont="1" applyBorder="1"/>
    <xf numFmtId="42" fontId="2" fillId="0" borderId="13" xfId="1" applyNumberFormat="1" applyFont="1" applyBorder="1"/>
    <xf numFmtId="42" fontId="2" fillId="0" borderId="10" xfId="1" applyNumberFormat="1" applyFont="1" applyBorder="1"/>
    <xf numFmtId="42" fontId="0" fillId="0" borderId="0" xfId="0" applyNumberFormat="1"/>
    <xf numFmtId="165" fontId="0" fillId="0" borderId="2" xfId="0" applyNumberFormat="1" applyBorder="1"/>
    <xf numFmtId="41" fontId="0" fillId="0" borderId="0" xfId="1" applyNumberFormat="1" applyFont="1" applyFill="1" applyBorder="1"/>
    <xf numFmtId="42" fontId="0" fillId="0" borderId="0" xfId="1" applyNumberFormat="1" applyFont="1" applyFill="1" applyBorder="1"/>
    <xf numFmtId="0" fontId="0" fillId="0" borderId="14" xfId="0" applyBorder="1"/>
    <xf numFmtId="9" fontId="0" fillId="0" borderId="0" xfId="0" applyNumberFormat="1"/>
    <xf numFmtId="0" fontId="0" fillId="0" borderId="1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166" fontId="0" fillId="0" borderId="0" xfId="0" applyNumberFormat="1"/>
    <xf numFmtId="42" fontId="0" fillId="4" borderId="2" xfId="1" applyNumberFormat="1" applyFont="1" applyFill="1" applyBorder="1"/>
    <xf numFmtId="41" fontId="0" fillId="4" borderId="2" xfId="1" applyNumberFormat="1" applyFont="1" applyFill="1" applyBorder="1"/>
    <xf numFmtId="0" fontId="0" fillId="4" borderId="2" xfId="0" applyFill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sa Cope" id="{F8721F11-574C-480F-9C9B-65878E095481}" userId="241db433bcd1903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39" dT="2023-06-08T13:10:18.36" personId="{F8721F11-574C-480F-9C9B-65878E095481}" id="{F952B964-786E-4B09-B4C3-53BC9ECCAB58}">
    <text>Leadership-Cassell</text>
  </threadedComment>
  <threadedComment ref="O57" dT="2023-06-08T13:02:01.79" personId="{F8721F11-574C-480F-9C9B-65878E095481}" id="{D07F9FF0-F4EF-40AC-A602-8D3C2CE84947}">
    <text>Crimes Against Children</text>
  </threadedComment>
  <threadedComment ref="P57" dT="2023-06-08T13:03:29.38" personId="{F8721F11-574C-480F-9C9B-65878E095481}" id="{D3481ED7-E549-43B0-80A1-4E9485A8E790}">
    <text>CPIT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1504-6D7F-4056-98CE-D08908716B62}">
  <sheetPr>
    <pageSetUpPr fitToPage="1"/>
  </sheetPr>
  <dimension ref="A1:R361"/>
  <sheetViews>
    <sheetView zoomScale="106" zoomScaleNormal="106" workbookViewId="0">
      <selection sqref="A1:XFD1048576"/>
    </sheetView>
  </sheetViews>
  <sheetFormatPr defaultRowHeight="14.25" x14ac:dyDescent="0.2"/>
  <cols>
    <col min="1" max="1" width="48.5" bestFit="1" customWidth="1"/>
    <col min="2" max="2" width="14.75" customWidth="1"/>
    <col min="3" max="3" width="16.375" customWidth="1"/>
    <col min="4" max="4" width="9.875" hidden="1" customWidth="1"/>
    <col min="5" max="5" width="9" hidden="1" customWidth="1"/>
    <col min="6" max="6" width="9.875" hidden="1" customWidth="1"/>
    <col min="7" max="7" width="10.875" hidden="1" customWidth="1"/>
    <col min="8" max="8" width="9" hidden="1" customWidth="1"/>
    <col min="9" max="9" width="9.375" hidden="1" customWidth="1"/>
    <col min="10" max="10" width="9" hidden="1" customWidth="1"/>
    <col min="11" max="11" width="9.375" hidden="1" customWidth="1"/>
    <col min="12" max="12" width="9" hidden="1" customWidth="1"/>
    <col min="13" max="13" width="9" customWidth="1"/>
  </cols>
  <sheetData>
    <row r="1" spans="1:9" ht="15.75" x14ac:dyDescent="0.25">
      <c r="A1" s="47" t="s">
        <v>0</v>
      </c>
      <c r="B1" s="47"/>
      <c r="C1" s="46"/>
      <c r="D1" s="46"/>
    </row>
    <row r="2" spans="1:9" ht="15.75" x14ac:dyDescent="0.25">
      <c r="A2" s="47" t="s">
        <v>1</v>
      </c>
      <c r="B2" s="47"/>
      <c r="C2" s="46"/>
      <c r="D2" s="46"/>
    </row>
    <row r="3" spans="1:9" ht="15.75" x14ac:dyDescent="0.25">
      <c r="A3" s="47" t="s">
        <v>87</v>
      </c>
      <c r="B3" s="47"/>
      <c r="C3" s="46"/>
      <c r="D3" s="46"/>
    </row>
    <row r="5" spans="1:9" ht="25.15" customHeight="1" x14ac:dyDescent="0.2">
      <c r="A5" s="4" t="s">
        <v>3</v>
      </c>
      <c r="B5" s="5" t="s">
        <v>106</v>
      </c>
      <c r="C5" s="5" t="s">
        <v>59</v>
      </c>
      <c r="D5" s="5" t="s">
        <v>47</v>
      </c>
      <c r="E5" s="5" t="s">
        <v>71</v>
      </c>
      <c r="F5" s="5" t="s">
        <v>71</v>
      </c>
      <c r="G5" s="5" t="s">
        <v>71</v>
      </c>
      <c r="H5" s="5" t="s">
        <v>71</v>
      </c>
      <c r="I5" s="5" t="s">
        <v>71</v>
      </c>
    </row>
    <row r="6" spans="1:9" x14ac:dyDescent="0.2">
      <c r="A6" s="6" t="s">
        <v>4</v>
      </c>
      <c r="B6" s="43">
        <v>48600</v>
      </c>
      <c r="C6" s="7">
        <v>52000</v>
      </c>
      <c r="D6" s="7">
        <f>+C6-B6</f>
        <v>3400</v>
      </c>
      <c r="E6">
        <v>44540</v>
      </c>
      <c r="G6" s="36"/>
      <c r="H6" s="36"/>
    </row>
    <row r="7" spans="1:9" x14ac:dyDescent="0.2">
      <c r="A7" s="6" t="s">
        <v>5</v>
      </c>
      <c r="B7" s="44">
        <v>35000</v>
      </c>
      <c r="C7" s="8">
        <v>35000</v>
      </c>
      <c r="D7" s="8">
        <f>+C7-B7</f>
        <v>0</v>
      </c>
      <c r="E7">
        <v>44540</v>
      </c>
      <c r="G7" s="35"/>
      <c r="H7" s="35"/>
    </row>
    <row r="8" spans="1:9" x14ac:dyDescent="0.2">
      <c r="A8" s="6" t="s">
        <v>88</v>
      </c>
      <c r="B8" s="44">
        <v>45051</v>
      </c>
      <c r="C8" s="8"/>
      <c r="D8" s="8"/>
      <c r="G8" s="35"/>
      <c r="H8" s="35"/>
    </row>
    <row r="9" spans="1:9" x14ac:dyDescent="0.2">
      <c r="A9" s="6" t="s">
        <v>6</v>
      </c>
      <c r="B9" s="44">
        <f>GrantsFundraising!B8</f>
        <v>32500</v>
      </c>
      <c r="C9" s="8">
        <v>25000</v>
      </c>
      <c r="D9" s="8">
        <f t="shared" ref="D9:D15" si="0">+C9-B9</f>
        <v>-7500</v>
      </c>
      <c r="E9">
        <v>44800</v>
      </c>
      <c r="F9">
        <v>45400</v>
      </c>
    </row>
    <row r="10" spans="1:9" x14ac:dyDescent="0.2">
      <c r="A10" s="6" t="s">
        <v>7</v>
      </c>
      <c r="B10" s="44">
        <v>70000</v>
      </c>
      <c r="C10" s="8">
        <v>55000</v>
      </c>
      <c r="D10" s="8">
        <f t="shared" si="0"/>
        <v>-15000</v>
      </c>
      <c r="E10">
        <v>49010</v>
      </c>
      <c r="F10">
        <v>49020</v>
      </c>
    </row>
    <row r="11" spans="1:9" x14ac:dyDescent="0.2">
      <c r="A11" s="6" t="s">
        <v>8</v>
      </c>
      <c r="B11" s="8">
        <v>12200</v>
      </c>
      <c r="C11" s="8">
        <v>0</v>
      </c>
      <c r="D11" s="8">
        <f t="shared" si="0"/>
        <v>-12200</v>
      </c>
      <c r="E11">
        <v>49015</v>
      </c>
    </row>
    <row r="12" spans="1:9" x14ac:dyDescent="0.2">
      <c r="A12" s="6" t="s">
        <v>9</v>
      </c>
      <c r="B12" s="8">
        <f>GrantsFundraising!B18</f>
        <v>6650</v>
      </c>
      <c r="C12" s="8">
        <v>10000</v>
      </c>
      <c r="D12" s="8">
        <f t="shared" si="0"/>
        <v>3350</v>
      </c>
      <c r="E12">
        <v>49025</v>
      </c>
    </row>
    <row r="13" spans="1:9" x14ac:dyDescent="0.2">
      <c r="A13" s="6" t="s">
        <v>10</v>
      </c>
      <c r="B13" s="8">
        <v>30000</v>
      </c>
      <c r="C13" s="8">
        <v>40000</v>
      </c>
      <c r="D13" s="8">
        <f>+C13-B13</f>
        <v>10000</v>
      </c>
      <c r="E13">
        <v>44900</v>
      </c>
    </row>
    <row r="14" spans="1:9" x14ac:dyDescent="0.2">
      <c r="A14" s="6" t="s">
        <v>12</v>
      </c>
      <c r="B14" s="22">
        <v>3000</v>
      </c>
      <c r="C14" s="8">
        <v>3000</v>
      </c>
      <c r="D14" s="8">
        <f t="shared" si="0"/>
        <v>0</v>
      </c>
      <c r="E14">
        <v>43440</v>
      </c>
      <c r="F14">
        <v>43450</v>
      </c>
    </row>
    <row r="15" spans="1:9" x14ac:dyDescent="0.2">
      <c r="A15" s="37" t="s">
        <v>13</v>
      </c>
      <c r="B15" s="22">
        <f>GrantsFundraising!B25</f>
        <v>11500</v>
      </c>
      <c r="C15" s="22">
        <v>21451</v>
      </c>
      <c r="D15" s="8">
        <f t="shared" si="0"/>
        <v>9951</v>
      </c>
      <c r="E15">
        <v>43410</v>
      </c>
      <c r="F15">
        <v>43450</v>
      </c>
    </row>
    <row r="16" spans="1:9" ht="15" thickBot="1" x14ac:dyDescent="0.25">
      <c r="A16" s="6" t="s">
        <v>82</v>
      </c>
      <c r="B16" s="22">
        <f>G16/10*12</f>
        <v>297.08399999999995</v>
      </c>
      <c r="C16" s="22"/>
      <c r="D16" s="8"/>
      <c r="E16">
        <v>45030</v>
      </c>
      <c r="G16">
        <v>247.57</v>
      </c>
    </row>
    <row r="17" spans="1:16" ht="15" thickBot="1" x14ac:dyDescent="0.25">
      <c r="A17" s="9" t="s">
        <v>14</v>
      </c>
      <c r="B17" s="17">
        <f>SUM(B6:B16)</f>
        <v>294798.08399999997</v>
      </c>
      <c r="C17" s="17">
        <f>SUM(C6:C15)</f>
        <v>241451</v>
      </c>
      <c r="D17" s="17">
        <f>SUM(D6:D15)</f>
        <v>-7999</v>
      </c>
    </row>
    <row r="18" spans="1:16" ht="15" thickTop="1" x14ac:dyDescent="0.2">
      <c r="B18" s="12"/>
      <c r="C18" s="6"/>
      <c r="D18" s="6"/>
    </row>
    <row r="19" spans="1:16" ht="28.5" x14ac:dyDescent="0.2">
      <c r="A19" s="4" t="s">
        <v>15</v>
      </c>
      <c r="B19" s="5" t="s">
        <v>106</v>
      </c>
      <c r="C19" s="5" t="s">
        <v>59</v>
      </c>
      <c r="D19" s="5" t="s">
        <v>47</v>
      </c>
    </row>
    <row r="20" spans="1:16" x14ac:dyDescent="0.2">
      <c r="A20" s="9" t="s">
        <v>16</v>
      </c>
      <c r="B20" s="10"/>
      <c r="C20" s="10"/>
    </row>
    <row r="21" spans="1:16" x14ac:dyDescent="0.2">
      <c r="A21" s="6" t="s">
        <v>91</v>
      </c>
      <c r="B21" s="7">
        <f>Compensation!G2+Compensation!G3</f>
        <v>108840</v>
      </c>
      <c r="C21" s="7">
        <v>103500</v>
      </c>
      <c r="D21" s="7">
        <f>+C21-B21</f>
        <v>-5340</v>
      </c>
      <c r="E21">
        <v>66001</v>
      </c>
      <c r="G21" s="36"/>
      <c r="H21" s="38"/>
      <c r="I21" s="33"/>
      <c r="J21">
        <v>111485.47</v>
      </c>
      <c r="K21" s="33"/>
      <c r="M21">
        <f>SUM(J21:L21)</f>
        <v>111485.47</v>
      </c>
      <c r="N21">
        <f>ROUND(M21/11*12,2)</f>
        <v>121620.51</v>
      </c>
    </row>
    <row r="22" spans="1:16" x14ac:dyDescent="0.2">
      <c r="A22" s="6" t="s">
        <v>92</v>
      </c>
      <c r="B22" s="10">
        <f>Compensation!G4</f>
        <v>37761.919999999998</v>
      </c>
      <c r="C22" s="10">
        <v>21000</v>
      </c>
      <c r="D22" s="8">
        <f>+C22-B22</f>
        <v>-16761.919999999998</v>
      </c>
      <c r="E22">
        <v>66001</v>
      </c>
      <c r="M22">
        <f t="shared" ref="M22:M57" si="1">SUM(J22:L22)</f>
        <v>0</v>
      </c>
      <c r="N22">
        <f t="shared" ref="N22:N57" si="2">ROUND(M22/11*12,2)</f>
        <v>0</v>
      </c>
    </row>
    <row r="23" spans="1:16" x14ac:dyDescent="0.2">
      <c r="A23" s="6" t="s">
        <v>17</v>
      </c>
      <c r="B23" s="8">
        <f>Compensation!I5</f>
        <v>11215.05</v>
      </c>
      <c r="C23" s="8">
        <v>9503</v>
      </c>
      <c r="D23" s="8">
        <f t="shared" ref="D23:D25" si="3">+C23-B23</f>
        <v>-1712.0499999999993</v>
      </c>
      <c r="E23">
        <v>66100</v>
      </c>
      <c r="J23">
        <v>8528.8700000000008</v>
      </c>
      <c r="M23">
        <f t="shared" si="1"/>
        <v>8528.8700000000008</v>
      </c>
      <c r="N23">
        <f t="shared" si="2"/>
        <v>9304.2199999999993</v>
      </c>
    </row>
    <row r="24" spans="1:16" x14ac:dyDescent="0.2">
      <c r="A24" s="6" t="s">
        <v>18</v>
      </c>
      <c r="B24" s="8">
        <v>1800</v>
      </c>
      <c r="C24" s="8">
        <v>1684</v>
      </c>
      <c r="D24" s="8">
        <f t="shared" si="3"/>
        <v>-116</v>
      </c>
      <c r="E24">
        <v>65130</v>
      </c>
      <c r="M24">
        <f t="shared" si="1"/>
        <v>0</v>
      </c>
      <c r="N24">
        <f t="shared" si="2"/>
        <v>0</v>
      </c>
    </row>
    <row r="25" spans="1:16" ht="15" thickBot="1" x14ac:dyDescent="0.25">
      <c r="A25" s="6" t="s">
        <v>104</v>
      </c>
      <c r="B25" s="15">
        <v>1500</v>
      </c>
      <c r="C25" s="15">
        <v>0</v>
      </c>
      <c r="D25" s="15">
        <f t="shared" si="3"/>
        <v>-1500</v>
      </c>
      <c r="E25">
        <v>65140</v>
      </c>
      <c r="M25">
        <f t="shared" si="1"/>
        <v>0</v>
      </c>
      <c r="N25">
        <f t="shared" si="2"/>
        <v>0</v>
      </c>
    </row>
    <row r="26" spans="1:16" x14ac:dyDescent="0.2">
      <c r="A26" s="9" t="s">
        <v>20</v>
      </c>
      <c r="B26" s="14">
        <f>SUM(B21:B25)</f>
        <v>161116.96999999997</v>
      </c>
      <c r="C26" s="14">
        <f>SUM(C21:C25)</f>
        <v>135687</v>
      </c>
      <c r="D26" s="14">
        <f>SUM(D21:D25)</f>
        <v>-25429.969999999998</v>
      </c>
      <c r="M26">
        <f t="shared" si="1"/>
        <v>0</v>
      </c>
      <c r="N26">
        <f t="shared" si="2"/>
        <v>0</v>
      </c>
    </row>
    <row r="27" spans="1:16" x14ac:dyDescent="0.2">
      <c r="A27" s="6"/>
      <c r="B27" s="10"/>
      <c r="C27" s="10"/>
      <c r="D27" s="10"/>
      <c r="M27">
        <f t="shared" si="1"/>
        <v>0</v>
      </c>
      <c r="N27">
        <f t="shared" si="2"/>
        <v>0</v>
      </c>
    </row>
    <row r="28" spans="1:16" x14ac:dyDescent="0.2">
      <c r="A28" s="9" t="s">
        <v>21</v>
      </c>
      <c r="B28" s="10"/>
      <c r="C28" s="10"/>
      <c r="D28" s="10"/>
      <c r="M28">
        <f t="shared" si="1"/>
        <v>0</v>
      </c>
      <c r="N28">
        <f t="shared" si="2"/>
        <v>0</v>
      </c>
    </row>
    <row r="29" spans="1:16" x14ac:dyDescent="0.2">
      <c r="A29" t="s">
        <v>22</v>
      </c>
      <c r="B29" s="8">
        <v>13000</v>
      </c>
      <c r="C29" s="8">
        <v>5000</v>
      </c>
      <c r="D29" s="8">
        <f t="shared" ref="D29:D36" si="4">+C29-B29</f>
        <v>-8000</v>
      </c>
      <c r="E29">
        <v>62823</v>
      </c>
      <c r="F29">
        <v>62130</v>
      </c>
      <c r="G29">
        <v>62100</v>
      </c>
      <c r="H29">
        <v>62800</v>
      </c>
      <c r="J29">
        <v>788</v>
      </c>
      <c r="K29">
        <v>1500</v>
      </c>
      <c r="M29">
        <f t="shared" si="1"/>
        <v>2288</v>
      </c>
      <c r="N29">
        <f t="shared" si="2"/>
        <v>2496</v>
      </c>
      <c r="O29">
        <v>10000</v>
      </c>
      <c r="P29">
        <f>SUM(N29:O29)</f>
        <v>12496</v>
      </c>
    </row>
    <row r="30" spans="1:16" x14ac:dyDescent="0.2">
      <c r="A30" s="11" t="s">
        <v>23</v>
      </c>
      <c r="B30" s="8">
        <v>9400</v>
      </c>
      <c r="C30" s="8">
        <v>7016</v>
      </c>
      <c r="D30" s="8">
        <f t="shared" si="4"/>
        <v>-2384</v>
      </c>
      <c r="E30">
        <v>62800</v>
      </c>
      <c r="F30">
        <v>65110</v>
      </c>
      <c r="G30">
        <v>65120</v>
      </c>
      <c r="J30">
        <v>550</v>
      </c>
      <c r="K30">
        <v>7985.25</v>
      </c>
      <c r="M30">
        <f t="shared" si="1"/>
        <v>8535.25</v>
      </c>
      <c r="N30">
        <f t="shared" si="2"/>
        <v>9311.18</v>
      </c>
    </row>
    <row r="31" spans="1:16" x14ac:dyDescent="0.2">
      <c r="A31" s="11" t="s">
        <v>24</v>
      </c>
      <c r="B31" s="8">
        <v>20084</v>
      </c>
      <c r="C31" s="8">
        <v>20084</v>
      </c>
      <c r="D31" s="8">
        <f t="shared" si="4"/>
        <v>0</v>
      </c>
      <c r="E31">
        <v>27100</v>
      </c>
      <c r="F31">
        <v>70005</v>
      </c>
      <c r="G31" t="s">
        <v>72</v>
      </c>
      <c r="M31">
        <f t="shared" si="1"/>
        <v>0</v>
      </c>
      <c r="N31">
        <f t="shared" si="2"/>
        <v>0</v>
      </c>
    </row>
    <row r="32" spans="1:16" x14ac:dyDescent="0.2">
      <c r="A32" s="11" t="s">
        <v>25</v>
      </c>
      <c r="B32" s="8">
        <v>2800</v>
      </c>
      <c r="C32" s="8">
        <v>2500</v>
      </c>
      <c r="D32" s="8">
        <f t="shared" si="4"/>
        <v>-300</v>
      </c>
      <c r="E32">
        <v>62840</v>
      </c>
      <c r="J32">
        <v>2471.4499999999998</v>
      </c>
      <c r="M32">
        <f t="shared" si="1"/>
        <v>2471.4499999999998</v>
      </c>
      <c r="N32">
        <f t="shared" si="2"/>
        <v>2696.13</v>
      </c>
    </row>
    <row r="33" spans="1:16" x14ac:dyDescent="0.2">
      <c r="A33" s="11" t="s">
        <v>26</v>
      </c>
      <c r="B33" s="8">
        <v>500</v>
      </c>
      <c r="C33" s="8">
        <v>4000</v>
      </c>
      <c r="D33" s="8">
        <f t="shared" si="4"/>
        <v>3500</v>
      </c>
      <c r="E33" s="24">
        <v>65040</v>
      </c>
      <c r="M33">
        <f t="shared" si="1"/>
        <v>0</v>
      </c>
      <c r="N33">
        <f t="shared" si="2"/>
        <v>0</v>
      </c>
    </row>
    <row r="34" spans="1:16" x14ac:dyDescent="0.2">
      <c r="A34" s="11" t="s">
        <v>27</v>
      </c>
      <c r="B34" s="8">
        <v>3800</v>
      </c>
      <c r="C34" s="8">
        <v>4000</v>
      </c>
      <c r="D34" s="8">
        <f t="shared" si="4"/>
        <v>200</v>
      </c>
      <c r="E34">
        <v>65050</v>
      </c>
      <c r="J34">
        <v>3355.39</v>
      </c>
      <c r="M34">
        <f t="shared" si="1"/>
        <v>3355.39</v>
      </c>
      <c r="N34">
        <f t="shared" si="2"/>
        <v>3660.43</v>
      </c>
    </row>
    <row r="35" spans="1:16" ht="15" thickBot="1" x14ac:dyDescent="0.25">
      <c r="A35" s="11" t="s">
        <v>28</v>
      </c>
      <c r="B35" s="15">
        <v>5700</v>
      </c>
      <c r="C35" s="15">
        <v>5000</v>
      </c>
      <c r="D35" s="15">
        <f t="shared" si="4"/>
        <v>-700</v>
      </c>
      <c r="E35">
        <v>62890</v>
      </c>
      <c r="J35">
        <v>5159.09</v>
      </c>
      <c r="M35">
        <f t="shared" si="1"/>
        <v>5159.09</v>
      </c>
      <c r="N35">
        <f t="shared" si="2"/>
        <v>5628.1</v>
      </c>
    </row>
    <row r="36" spans="1:16" x14ac:dyDescent="0.2">
      <c r="A36" s="9" t="s">
        <v>29</v>
      </c>
      <c r="B36" s="14">
        <f>SUM(B29:B35)</f>
        <v>55284</v>
      </c>
      <c r="C36" s="14">
        <f>SUM(C29:C35)</f>
        <v>47600</v>
      </c>
      <c r="D36" s="14">
        <f t="shared" si="4"/>
        <v>-7684</v>
      </c>
      <c r="M36">
        <f t="shared" si="1"/>
        <v>0</v>
      </c>
      <c r="N36">
        <f t="shared" si="2"/>
        <v>0</v>
      </c>
    </row>
    <row r="37" spans="1:16" x14ac:dyDescent="0.2">
      <c r="A37" s="6"/>
      <c r="B37" s="10"/>
      <c r="C37" s="10"/>
      <c r="D37" s="10"/>
      <c r="E37" t="s">
        <v>66</v>
      </c>
      <c r="M37">
        <f t="shared" si="1"/>
        <v>0</v>
      </c>
      <c r="N37">
        <f t="shared" si="2"/>
        <v>0</v>
      </c>
    </row>
    <row r="38" spans="1:16" x14ac:dyDescent="0.2">
      <c r="A38" s="9" t="s">
        <v>30</v>
      </c>
      <c r="B38" s="10"/>
      <c r="C38" s="10"/>
      <c r="D38" s="10"/>
      <c r="M38">
        <f t="shared" si="1"/>
        <v>0</v>
      </c>
      <c r="N38">
        <f t="shared" si="2"/>
        <v>0</v>
      </c>
    </row>
    <row r="39" spans="1:16" x14ac:dyDescent="0.2">
      <c r="A39" t="s">
        <v>58</v>
      </c>
      <c r="B39" s="8">
        <v>3300</v>
      </c>
      <c r="C39" s="8">
        <v>3300</v>
      </c>
      <c r="D39" s="8">
        <f t="shared" ref="D39:D57" si="5">+C39-B39</f>
        <v>0</v>
      </c>
      <c r="E39">
        <v>60920</v>
      </c>
      <c r="F39">
        <v>65060</v>
      </c>
      <c r="J39">
        <v>10</v>
      </c>
      <c r="K39">
        <v>2281.46</v>
      </c>
      <c r="L39">
        <v>12.99</v>
      </c>
      <c r="M39">
        <f t="shared" si="1"/>
        <v>2304.4499999999998</v>
      </c>
      <c r="N39">
        <f t="shared" si="2"/>
        <v>2513.9499999999998</v>
      </c>
      <c r="O39">
        <v>500</v>
      </c>
      <c r="P39">
        <f>SUM(N39:O39)</f>
        <v>3013.95</v>
      </c>
    </row>
    <row r="40" spans="1:16" x14ac:dyDescent="0.2">
      <c r="A40" s="6" t="s">
        <v>57</v>
      </c>
      <c r="B40" s="8">
        <v>50</v>
      </c>
      <c r="C40" s="8">
        <v>100</v>
      </c>
      <c r="D40" s="8">
        <f t="shared" si="5"/>
        <v>50</v>
      </c>
      <c r="E40">
        <v>65065</v>
      </c>
      <c r="M40">
        <f t="shared" si="1"/>
        <v>0</v>
      </c>
      <c r="N40">
        <f t="shared" si="2"/>
        <v>0</v>
      </c>
    </row>
    <row r="41" spans="1:16" x14ac:dyDescent="0.2">
      <c r="A41" s="45" t="s">
        <v>31</v>
      </c>
      <c r="B41" s="8">
        <v>1080</v>
      </c>
      <c r="C41" s="8">
        <v>1000</v>
      </c>
      <c r="D41" s="8">
        <f t="shared" si="5"/>
        <v>-80</v>
      </c>
      <c r="E41">
        <v>65051</v>
      </c>
      <c r="J41">
        <v>660</v>
      </c>
      <c r="M41">
        <f t="shared" si="1"/>
        <v>660</v>
      </c>
      <c r="N41">
        <f t="shared" si="2"/>
        <v>720</v>
      </c>
      <c r="O41">
        <v>360</v>
      </c>
    </row>
    <row r="42" spans="1:16" x14ac:dyDescent="0.2">
      <c r="A42" s="6" t="s">
        <v>32</v>
      </c>
      <c r="B42" s="8">
        <v>2000</v>
      </c>
      <c r="C42" s="8">
        <v>2300</v>
      </c>
      <c r="D42" s="8">
        <f t="shared" si="5"/>
        <v>300</v>
      </c>
      <c r="E42">
        <v>60900</v>
      </c>
      <c r="J42">
        <v>1650</v>
      </c>
      <c r="M42">
        <f t="shared" si="1"/>
        <v>1650</v>
      </c>
      <c r="N42">
        <f t="shared" si="2"/>
        <v>1800</v>
      </c>
    </row>
    <row r="43" spans="1:16" x14ac:dyDescent="0.2">
      <c r="A43" s="6" t="s">
        <v>33</v>
      </c>
      <c r="B43" s="44">
        <v>1500</v>
      </c>
      <c r="C43" s="8">
        <v>600</v>
      </c>
      <c r="D43" s="8">
        <f t="shared" si="5"/>
        <v>-900</v>
      </c>
      <c r="M43">
        <f t="shared" si="1"/>
        <v>0</v>
      </c>
      <c r="N43">
        <f t="shared" si="2"/>
        <v>0</v>
      </c>
    </row>
    <row r="44" spans="1:16" x14ac:dyDescent="0.2">
      <c r="A44" s="6" t="s">
        <v>34</v>
      </c>
      <c r="B44" s="8">
        <v>11000</v>
      </c>
      <c r="C44" s="8">
        <v>30000</v>
      </c>
      <c r="D44" s="8">
        <f t="shared" si="5"/>
        <v>19000</v>
      </c>
      <c r="M44">
        <f t="shared" si="1"/>
        <v>0</v>
      </c>
      <c r="N44">
        <f t="shared" si="2"/>
        <v>0</v>
      </c>
    </row>
    <row r="45" spans="1:16" x14ac:dyDescent="0.2">
      <c r="A45" s="6" t="s">
        <v>56</v>
      </c>
      <c r="B45" s="44">
        <v>20000</v>
      </c>
      <c r="C45" s="8">
        <v>20500</v>
      </c>
      <c r="D45" s="8">
        <f t="shared" si="5"/>
        <v>500</v>
      </c>
      <c r="E45">
        <v>62150</v>
      </c>
      <c r="J45">
        <v>10439.5</v>
      </c>
      <c r="M45">
        <f t="shared" si="1"/>
        <v>10439.5</v>
      </c>
      <c r="N45">
        <f t="shared" si="2"/>
        <v>11388.55</v>
      </c>
    </row>
    <row r="46" spans="1:16" x14ac:dyDescent="0.2">
      <c r="A46" s="6" t="s">
        <v>35</v>
      </c>
      <c r="B46" s="8">
        <v>2000</v>
      </c>
      <c r="C46" s="8">
        <v>7300</v>
      </c>
      <c r="D46" s="8">
        <f t="shared" si="5"/>
        <v>5300</v>
      </c>
      <c r="E46" t="s">
        <v>65</v>
      </c>
      <c r="J46">
        <v>1469.42</v>
      </c>
      <c r="M46">
        <f t="shared" si="1"/>
        <v>1469.42</v>
      </c>
      <c r="N46">
        <f t="shared" si="2"/>
        <v>1603</v>
      </c>
    </row>
    <row r="47" spans="1:16" x14ac:dyDescent="0.2">
      <c r="A47" s="6" t="s">
        <v>36</v>
      </c>
      <c r="B47" s="8">
        <v>600</v>
      </c>
      <c r="C47" s="8">
        <v>3000</v>
      </c>
      <c r="D47" s="8">
        <f t="shared" si="5"/>
        <v>2400</v>
      </c>
      <c r="E47">
        <v>65160</v>
      </c>
      <c r="J47">
        <v>379.8</v>
      </c>
      <c r="K47">
        <v>49.15</v>
      </c>
      <c r="M47">
        <f t="shared" si="1"/>
        <v>428.95</v>
      </c>
      <c r="N47">
        <f t="shared" si="2"/>
        <v>467.95</v>
      </c>
    </row>
    <row r="48" spans="1:16" x14ac:dyDescent="0.2">
      <c r="A48" s="6" t="s">
        <v>37</v>
      </c>
      <c r="B48" s="8">
        <v>300</v>
      </c>
      <c r="C48" s="8">
        <v>1000</v>
      </c>
      <c r="D48" s="8">
        <f t="shared" si="5"/>
        <v>700</v>
      </c>
      <c r="M48">
        <f t="shared" si="1"/>
        <v>0</v>
      </c>
      <c r="N48">
        <f t="shared" si="2"/>
        <v>0</v>
      </c>
    </row>
    <row r="49" spans="1:18" x14ac:dyDescent="0.2">
      <c r="A49" s="6" t="s">
        <v>38</v>
      </c>
      <c r="B49" s="44">
        <v>500</v>
      </c>
      <c r="C49" s="8">
        <v>3900</v>
      </c>
      <c r="D49" s="8">
        <f t="shared" si="5"/>
        <v>3400</v>
      </c>
      <c r="M49">
        <f t="shared" si="1"/>
        <v>0</v>
      </c>
      <c r="N49">
        <f t="shared" si="2"/>
        <v>0</v>
      </c>
    </row>
    <row r="50" spans="1:18" x14ac:dyDescent="0.2">
      <c r="A50" s="6" t="s">
        <v>39</v>
      </c>
      <c r="B50" s="8">
        <v>750</v>
      </c>
      <c r="C50" s="8">
        <v>500</v>
      </c>
      <c r="D50" s="8">
        <f t="shared" si="5"/>
        <v>-250</v>
      </c>
      <c r="E50">
        <v>65020</v>
      </c>
      <c r="J50">
        <v>660.76</v>
      </c>
      <c r="M50">
        <f t="shared" si="1"/>
        <v>660.76</v>
      </c>
      <c r="N50">
        <f t="shared" si="2"/>
        <v>720.83</v>
      </c>
    </row>
    <row r="51" spans="1:18" x14ac:dyDescent="0.2">
      <c r="A51" s="45" t="s">
        <v>61</v>
      </c>
      <c r="B51" s="8">
        <v>8000</v>
      </c>
      <c r="C51" s="8">
        <v>8000</v>
      </c>
      <c r="D51" s="8">
        <f t="shared" si="5"/>
        <v>0</v>
      </c>
      <c r="E51">
        <v>62110</v>
      </c>
      <c r="F51">
        <v>80000</v>
      </c>
      <c r="J51">
        <v>3700</v>
      </c>
      <c r="M51">
        <f t="shared" si="1"/>
        <v>3700</v>
      </c>
      <c r="N51">
        <f t="shared" si="2"/>
        <v>4036.36</v>
      </c>
    </row>
    <row r="52" spans="1:18" x14ac:dyDescent="0.2">
      <c r="A52" s="6" t="s">
        <v>40</v>
      </c>
      <c r="B52" s="44">
        <v>200</v>
      </c>
      <c r="C52" s="8">
        <v>2000</v>
      </c>
      <c r="D52" s="8">
        <f t="shared" si="5"/>
        <v>1800</v>
      </c>
      <c r="E52">
        <v>65030</v>
      </c>
      <c r="M52">
        <f t="shared" si="1"/>
        <v>0</v>
      </c>
      <c r="N52">
        <f t="shared" si="2"/>
        <v>0</v>
      </c>
    </row>
    <row r="53" spans="1:18" x14ac:dyDescent="0.2">
      <c r="A53" s="6" t="s">
        <v>103</v>
      </c>
      <c r="B53" s="8">
        <v>14000</v>
      </c>
      <c r="C53" s="8"/>
      <c r="D53" s="8"/>
      <c r="E53">
        <v>49030</v>
      </c>
      <c r="J53">
        <v>13700.78</v>
      </c>
      <c r="M53">
        <f t="shared" si="1"/>
        <v>13700.78</v>
      </c>
      <c r="N53">
        <f t="shared" si="2"/>
        <v>14946.31</v>
      </c>
    </row>
    <row r="54" spans="1:18" x14ac:dyDescent="0.2">
      <c r="A54" s="6" t="s">
        <v>41</v>
      </c>
      <c r="B54" s="8">
        <v>4000</v>
      </c>
      <c r="C54" s="8">
        <v>4000</v>
      </c>
      <c r="D54" s="8">
        <f t="shared" si="5"/>
        <v>0</v>
      </c>
      <c r="E54" s="24">
        <v>65040</v>
      </c>
      <c r="J54">
        <v>3079.94</v>
      </c>
      <c r="M54">
        <f t="shared" si="1"/>
        <v>3079.94</v>
      </c>
      <c r="N54">
        <f t="shared" si="2"/>
        <v>3359.93</v>
      </c>
    </row>
    <row r="55" spans="1:18" x14ac:dyDescent="0.2">
      <c r="A55" s="6" t="s">
        <v>67</v>
      </c>
      <c r="B55" s="8">
        <v>1000</v>
      </c>
      <c r="C55" s="8">
        <v>1000</v>
      </c>
      <c r="D55" s="8">
        <f t="shared" si="5"/>
        <v>0</v>
      </c>
      <c r="E55">
        <v>68305</v>
      </c>
      <c r="J55">
        <v>850.73</v>
      </c>
      <c r="M55">
        <f t="shared" si="1"/>
        <v>850.73</v>
      </c>
      <c r="N55">
        <f t="shared" si="2"/>
        <v>928.07</v>
      </c>
    </row>
    <row r="56" spans="1:18" x14ac:dyDescent="0.2">
      <c r="A56" s="6" t="s">
        <v>42</v>
      </c>
      <c r="B56" s="44">
        <v>1000</v>
      </c>
      <c r="C56" s="8">
        <v>600</v>
      </c>
      <c r="D56" s="8">
        <f t="shared" si="5"/>
        <v>-400</v>
      </c>
      <c r="M56">
        <f t="shared" si="1"/>
        <v>0</v>
      </c>
      <c r="N56">
        <f t="shared" si="2"/>
        <v>0</v>
      </c>
    </row>
    <row r="57" spans="1:18" ht="15" thickBot="1" x14ac:dyDescent="0.25">
      <c r="A57" s="6" t="s">
        <v>43</v>
      </c>
      <c r="B57" s="15">
        <v>7117</v>
      </c>
      <c r="C57" s="15">
        <v>4500</v>
      </c>
      <c r="D57" s="15">
        <f t="shared" si="5"/>
        <v>-2617</v>
      </c>
      <c r="E57">
        <v>68330</v>
      </c>
      <c r="J57">
        <v>302.83999999999997</v>
      </c>
      <c r="K57">
        <v>446.67</v>
      </c>
      <c r="M57">
        <f t="shared" si="1"/>
        <v>749.51</v>
      </c>
      <c r="N57">
        <f t="shared" si="2"/>
        <v>817.65</v>
      </c>
      <c r="O57">
        <v>3075</v>
      </c>
      <c r="P57">
        <v>150</v>
      </c>
      <c r="Q57">
        <v>3067</v>
      </c>
      <c r="R57">
        <f>SUM(N57:Q57)</f>
        <v>7109.65</v>
      </c>
    </row>
    <row r="58" spans="1:18" ht="15" thickBot="1" x14ac:dyDescent="0.25">
      <c r="A58" s="9" t="s">
        <v>44</v>
      </c>
      <c r="B58" s="16">
        <f>SUM(B39:B57)</f>
        <v>78397</v>
      </c>
      <c r="C58" s="16">
        <f>SUM(C39:C57)</f>
        <v>93600</v>
      </c>
      <c r="D58" s="16">
        <f>SUM(D39:D57)</f>
        <v>29203</v>
      </c>
    </row>
    <row r="59" spans="1:18" x14ac:dyDescent="0.2">
      <c r="B59" s="12"/>
      <c r="C59" s="12"/>
      <c r="D59" s="12"/>
      <c r="M59">
        <f>SUM(M21:M58)</f>
        <v>181517.56000000008</v>
      </c>
      <c r="N59">
        <f>SUM(N21:N58)</f>
        <v>198019.16999999995</v>
      </c>
    </row>
    <row r="60" spans="1:18" ht="15" thickBot="1" x14ac:dyDescent="0.25">
      <c r="A60" s="9" t="s">
        <v>45</v>
      </c>
      <c r="B60" s="13">
        <f>+B58+B36+B26</f>
        <v>294797.96999999997</v>
      </c>
      <c r="C60" s="13">
        <f>+C58+C36+C26</f>
        <v>276887</v>
      </c>
      <c r="D60" s="13">
        <f>+D58+D36+D26</f>
        <v>-3910.9699999999975</v>
      </c>
    </row>
    <row r="61" spans="1:18" ht="15" thickTop="1" x14ac:dyDescent="0.2">
      <c r="B61" s="1"/>
    </row>
    <row r="62" spans="1:18" x14ac:dyDescent="0.2">
      <c r="B62" s="1">
        <f>B17-B60</f>
        <v>0.11400000000139698</v>
      </c>
    </row>
    <row r="63" spans="1:18" x14ac:dyDescent="0.2">
      <c r="B63" s="1"/>
    </row>
    <row r="64" spans="1:18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  <row r="298" spans="2:2" x14ac:dyDescent="0.2">
      <c r="B298" s="1"/>
    </row>
    <row r="299" spans="2:2" x14ac:dyDescent="0.2">
      <c r="B299" s="1"/>
    </row>
    <row r="300" spans="2:2" x14ac:dyDescent="0.2">
      <c r="B300" s="1"/>
    </row>
    <row r="301" spans="2:2" x14ac:dyDescent="0.2">
      <c r="B301" s="1"/>
    </row>
    <row r="302" spans="2:2" x14ac:dyDescent="0.2">
      <c r="B302" s="1"/>
    </row>
    <row r="303" spans="2:2" x14ac:dyDescent="0.2">
      <c r="B303" s="1"/>
    </row>
    <row r="304" spans="2:2" x14ac:dyDescent="0.2">
      <c r="B304" s="1"/>
    </row>
    <row r="305" spans="2:2" x14ac:dyDescent="0.2">
      <c r="B305" s="1"/>
    </row>
    <row r="306" spans="2:2" x14ac:dyDescent="0.2">
      <c r="B306" s="1"/>
    </row>
    <row r="307" spans="2:2" x14ac:dyDescent="0.2">
      <c r="B307" s="1"/>
    </row>
    <row r="308" spans="2:2" x14ac:dyDescent="0.2">
      <c r="B308" s="1"/>
    </row>
    <row r="309" spans="2:2" x14ac:dyDescent="0.2">
      <c r="B309" s="1"/>
    </row>
    <row r="310" spans="2:2" x14ac:dyDescent="0.2">
      <c r="B310" s="1"/>
    </row>
    <row r="311" spans="2:2" x14ac:dyDescent="0.2">
      <c r="B311" s="1"/>
    </row>
    <row r="312" spans="2:2" x14ac:dyDescent="0.2">
      <c r="B312" s="1"/>
    </row>
    <row r="313" spans="2:2" x14ac:dyDescent="0.2">
      <c r="B313" s="1"/>
    </row>
    <row r="314" spans="2:2" x14ac:dyDescent="0.2">
      <c r="B314" s="1"/>
    </row>
    <row r="315" spans="2:2" x14ac:dyDescent="0.2">
      <c r="B315" s="1"/>
    </row>
    <row r="316" spans="2:2" x14ac:dyDescent="0.2">
      <c r="B316" s="1"/>
    </row>
    <row r="317" spans="2:2" x14ac:dyDescent="0.2">
      <c r="B317" s="1"/>
    </row>
    <row r="318" spans="2:2" x14ac:dyDescent="0.2">
      <c r="B318" s="1"/>
    </row>
    <row r="319" spans="2:2" x14ac:dyDescent="0.2">
      <c r="B319" s="1"/>
    </row>
    <row r="320" spans="2:2" x14ac:dyDescent="0.2">
      <c r="B320" s="1"/>
    </row>
    <row r="321" spans="2:2" x14ac:dyDescent="0.2">
      <c r="B321" s="1"/>
    </row>
    <row r="322" spans="2:2" x14ac:dyDescent="0.2">
      <c r="B322" s="1"/>
    </row>
    <row r="323" spans="2:2" x14ac:dyDescent="0.2">
      <c r="B323" s="1"/>
    </row>
    <row r="324" spans="2:2" x14ac:dyDescent="0.2">
      <c r="B324" s="1"/>
    </row>
    <row r="325" spans="2:2" x14ac:dyDescent="0.2">
      <c r="B325" s="1"/>
    </row>
    <row r="326" spans="2:2" x14ac:dyDescent="0.2">
      <c r="B326" s="1"/>
    </row>
    <row r="327" spans="2:2" x14ac:dyDescent="0.2">
      <c r="B327" s="1"/>
    </row>
    <row r="328" spans="2:2" x14ac:dyDescent="0.2">
      <c r="B328" s="1"/>
    </row>
    <row r="329" spans="2:2" x14ac:dyDescent="0.2">
      <c r="B329" s="1"/>
    </row>
    <row r="330" spans="2:2" x14ac:dyDescent="0.2">
      <c r="B330" s="1"/>
    </row>
    <row r="331" spans="2:2" x14ac:dyDescent="0.2">
      <c r="B331" s="1"/>
    </row>
    <row r="332" spans="2:2" x14ac:dyDescent="0.2">
      <c r="B332" s="1"/>
    </row>
    <row r="333" spans="2:2" x14ac:dyDescent="0.2">
      <c r="B333" s="1"/>
    </row>
    <row r="334" spans="2:2" x14ac:dyDescent="0.2">
      <c r="B334" s="1"/>
    </row>
    <row r="335" spans="2:2" x14ac:dyDescent="0.2">
      <c r="B335" s="1"/>
    </row>
    <row r="336" spans="2:2" x14ac:dyDescent="0.2">
      <c r="B336" s="1"/>
    </row>
    <row r="337" spans="2:2" x14ac:dyDescent="0.2">
      <c r="B337" s="1"/>
    </row>
    <row r="338" spans="2:2" x14ac:dyDescent="0.2">
      <c r="B338" s="1"/>
    </row>
    <row r="339" spans="2:2" x14ac:dyDescent="0.2">
      <c r="B339" s="1"/>
    </row>
    <row r="340" spans="2:2" x14ac:dyDescent="0.2">
      <c r="B340" s="1"/>
    </row>
    <row r="341" spans="2:2" x14ac:dyDescent="0.2">
      <c r="B341" s="1"/>
    </row>
    <row r="342" spans="2:2" x14ac:dyDescent="0.2">
      <c r="B342" s="1"/>
    </row>
    <row r="343" spans="2:2" x14ac:dyDescent="0.2">
      <c r="B343" s="1"/>
    </row>
    <row r="344" spans="2:2" x14ac:dyDescent="0.2">
      <c r="B344" s="1"/>
    </row>
    <row r="345" spans="2:2" x14ac:dyDescent="0.2">
      <c r="B345" s="1"/>
    </row>
    <row r="346" spans="2:2" x14ac:dyDescent="0.2">
      <c r="B346" s="1"/>
    </row>
    <row r="347" spans="2:2" x14ac:dyDescent="0.2">
      <c r="B347" s="1"/>
    </row>
    <row r="348" spans="2:2" x14ac:dyDescent="0.2">
      <c r="B348" s="1"/>
    </row>
    <row r="349" spans="2:2" x14ac:dyDescent="0.2">
      <c r="B349" s="1"/>
    </row>
    <row r="350" spans="2:2" x14ac:dyDescent="0.2">
      <c r="B350" s="1"/>
    </row>
    <row r="351" spans="2:2" x14ac:dyDescent="0.2">
      <c r="B351" s="1"/>
    </row>
    <row r="352" spans="2:2" x14ac:dyDescent="0.2">
      <c r="B352" s="1"/>
    </row>
    <row r="353" spans="2:2" x14ac:dyDescent="0.2">
      <c r="B353" s="1"/>
    </row>
    <row r="354" spans="2:2" x14ac:dyDescent="0.2">
      <c r="B354" s="1"/>
    </row>
    <row r="355" spans="2:2" x14ac:dyDescent="0.2">
      <c r="B355" s="1"/>
    </row>
    <row r="356" spans="2:2" x14ac:dyDescent="0.2">
      <c r="B356" s="1"/>
    </row>
    <row r="357" spans="2:2" x14ac:dyDescent="0.2">
      <c r="B357" s="1"/>
    </row>
    <row r="358" spans="2:2" x14ac:dyDescent="0.2">
      <c r="B358" s="1"/>
    </row>
    <row r="359" spans="2:2" x14ac:dyDescent="0.2">
      <c r="B359" s="1"/>
    </row>
    <row r="360" spans="2:2" x14ac:dyDescent="0.2">
      <c r="B360" s="1"/>
    </row>
    <row r="361" spans="2:2" x14ac:dyDescent="0.2">
      <c r="B361" s="1"/>
    </row>
  </sheetData>
  <mergeCells count="3">
    <mergeCell ref="A1:B1"/>
    <mergeCell ref="A2:B2"/>
    <mergeCell ref="A3:B3"/>
  </mergeCells>
  <pageMargins left="0.2" right="0.2" top="0.5" bottom="0.5" header="0.3" footer="0.3"/>
  <pageSetup scale="82" orientation="portrait" r:id="rId1"/>
  <headerFooter>
    <oddFooter xml:space="preserve">&amp;C2022 - 2023 Revised Operations Budget   October 31, 2022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01C2-58F6-44CC-918C-F9C84685DC7A}">
  <sheetPr>
    <pageSetUpPr fitToPage="1"/>
  </sheetPr>
  <dimension ref="A1:B361"/>
  <sheetViews>
    <sheetView tabSelected="1" workbookViewId="0">
      <selection activeCell="A60" sqref="A60"/>
    </sheetView>
  </sheetViews>
  <sheetFormatPr defaultRowHeight="14.25" x14ac:dyDescent="0.2"/>
  <cols>
    <col min="1" max="1" width="51" customWidth="1"/>
    <col min="2" max="2" width="14.75" customWidth="1"/>
  </cols>
  <sheetData>
    <row r="1" spans="1:2" ht="15.75" x14ac:dyDescent="0.25">
      <c r="A1" s="47" t="s">
        <v>0</v>
      </c>
      <c r="B1" s="47"/>
    </row>
    <row r="2" spans="1:2" ht="15.75" x14ac:dyDescent="0.25">
      <c r="A2" s="47" t="s">
        <v>1</v>
      </c>
      <c r="B2" s="47"/>
    </row>
    <row r="3" spans="1:2" ht="15.75" x14ac:dyDescent="0.25">
      <c r="A3" s="47" t="s">
        <v>87</v>
      </c>
      <c r="B3" s="47"/>
    </row>
    <row r="5" spans="1:2" ht="25.15" customHeight="1" x14ac:dyDescent="0.2">
      <c r="A5" s="4" t="s">
        <v>3</v>
      </c>
      <c r="B5" s="5" t="s">
        <v>106</v>
      </c>
    </row>
    <row r="6" spans="1:2" x14ac:dyDescent="0.2">
      <c r="A6" s="6" t="s">
        <v>4</v>
      </c>
      <c r="B6" s="43">
        <v>48600</v>
      </c>
    </row>
    <row r="7" spans="1:2" x14ac:dyDescent="0.2">
      <c r="A7" s="6" t="s">
        <v>5</v>
      </c>
      <c r="B7" s="44">
        <v>35000</v>
      </c>
    </row>
    <row r="8" spans="1:2" x14ac:dyDescent="0.2">
      <c r="A8" s="6" t="s">
        <v>88</v>
      </c>
      <c r="B8" s="44">
        <v>45051</v>
      </c>
    </row>
    <row r="9" spans="1:2" x14ac:dyDescent="0.2">
      <c r="A9" s="6" t="s">
        <v>6</v>
      </c>
      <c r="B9" s="44">
        <f>GrantsFundraising!B8</f>
        <v>32500</v>
      </c>
    </row>
    <row r="10" spans="1:2" x14ac:dyDescent="0.2">
      <c r="A10" s="6" t="s">
        <v>7</v>
      </c>
      <c r="B10" s="44">
        <v>70000</v>
      </c>
    </row>
    <row r="11" spans="1:2" x14ac:dyDescent="0.2">
      <c r="A11" s="6" t="s">
        <v>8</v>
      </c>
      <c r="B11" s="8">
        <v>12200</v>
      </c>
    </row>
    <row r="12" spans="1:2" x14ac:dyDescent="0.2">
      <c r="A12" s="6" t="s">
        <v>9</v>
      </c>
      <c r="B12" s="8">
        <f>GrantsFundraising!B18</f>
        <v>6650</v>
      </c>
    </row>
    <row r="13" spans="1:2" x14ac:dyDescent="0.2">
      <c r="A13" s="6" t="s">
        <v>10</v>
      </c>
      <c r="B13" s="8">
        <v>30000</v>
      </c>
    </row>
    <row r="14" spans="1:2" x14ac:dyDescent="0.2">
      <c r="A14" s="6" t="s">
        <v>12</v>
      </c>
      <c r="B14" s="22">
        <v>3000</v>
      </c>
    </row>
    <row r="15" spans="1:2" x14ac:dyDescent="0.2">
      <c r="A15" s="37" t="s">
        <v>13</v>
      </c>
      <c r="B15" s="22">
        <f>GrantsFundraising!B25</f>
        <v>11500</v>
      </c>
    </row>
    <row r="16" spans="1:2" ht="15" thickBot="1" x14ac:dyDescent="0.25">
      <c r="A16" s="6" t="s">
        <v>82</v>
      </c>
      <c r="B16" s="22">
        <v>297</v>
      </c>
    </row>
    <row r="17" spans="1:2" ht="15" thickBot="1" x14ac:dyDescent="0.25">
      <c r="A17" s="9" t="s">
        <v>14</v>
      </c>
      <c r="B17" s="17">
        <f>SUM(B6:B16)</f>
        <v>294798</v>
      </c>
    </row>
    <row r="18" spans="1:2" ht="15" thickTop="1" x14ac:dyDescent="0.2">
      <c r="B18" s="12"/>
    </row>
    <row r="19" spans="1:2" x14ac:dyDescent="0.2">
      <c r="A19" s="4" t="s">
        <v>15</v>
      </c>
      <c r="B19" s="5" t="s">
        <v>106</v>
      </c>
    </row>
    <row r="20" spans="1:2" x14ac:dyDescent="0.2">
      <c r="A20" s="9" t="s">
        <v>16</v>
      </c>
      <c r="B20" s="10"/>
    </row>
    <row r="21" spans="1:2" x14ac:dyDescent="0.2">
      <c r="A21" s="6" t="s">
        <v>91</v>
      </c>
      <c r="B21" s="7">
        <f>Compensation!G2+Compensation!G3</f>
        <v>108840</v>
      </c>
    </row>
    <row r="22" spans="1:2" x14ac:dyDescent="0.2">
      <c r="A22" s="6" t="s">
        <v>92</v>
      </c>
      <c r="B22" s="10">
        <f>Compensation!G4</f>
        <v>37761.919999999998</v>
      </c>
    </row>
    <row r="23" spans="1:2" x14ac:dyDescent="0.2">
      <c r="A23" s="6" t="s">
        <v>17</v>
      </c>
      <c r="B23" s="8">
        <f>Compensation!I5</f>
        <v>11215.05</v>
      </c>
    </row>
    <row r="24" spans="1:2" x14ac:dyDescent="0.2">
      <c r="A24" s="6" t="s">
        <v>18</v>
      </c>
      <c r="B24" s="8">
        <v>1800</v>
      </c>
    </row>
    <row r="25" spans="1:2" ht="15" thickBot="1" x14ac:dyDescent="0.25">
      <c r="A25" s="6" t="s">
        <v>104</v>
      </c>
      <c r="B25" s="15">
        <v>1500</v>
      </c>
    </row>
    <row r="26" spans="1:2" x14ac:dyDescent="0.2">
      <c r="A26" s="9" t="s">
        <v>20</v>
      </c>
      <c r="B26" s="14">
        <f>SUM(B21:B25)</f>
        <v>161116.96999999997</v>
      </c>
    </row>
    <row r="27" spans="1:2" x14ac:dyDescent="0.2">
      <c r="A27" s="6"/>
      <c r="B27" s="10"/>
    </row>
    <row r="28" spans="1:2" x14ac:dyDescent="0.2">
      <c r="A28" s="9" t="s">
        <v>21</v>
      </c>
      <c r="B28" s="10"/>
    </row>
    <row r="29" spans="1:2" x14ac:dyDescent="0.2">
      <c r="A29" s="6" t="s">
        <v>22</v>
      </c>
      <c r="B29" s="8">
        <v>13000</v>
      </c>
    </row>
    <row r="30" spans="1:2" x14ac:dyDescent="0.2">
      <c r="A30" s="11" t="s">
        <v>23</v>
      </c>
      <c r="B30" s="8">
        <v>9400</v>
      </c>
    </row>
    <row r="31" spans="1:2" x14ac:dyDescent="0.2">
      <c r="A31" s="11" t="s">
        <v>24</v>
      </c>
      <c r="B31" s="8">
        <v>20084</v>
      </c>
    </row>
    <row r="32" spans="1:2" x14ac:dyDescent="0.2">
      <c r="A32" s="11" t="s">
        <v>25</v>
      </c>
      <c r="B32" s="8">
        <v>2800</v>
      </c>
    </row>
    <row r="33" spans="1:2" x14ac:dyDescent="0.2">
      <c r="A33" s="11" t="s">
        <v>26</v>
      </c>
      <c r="B33" s="8">
        <v>500</v>
      </c>
    </row>
    <row r="34" spans="1:2" x14ac:dyDescent="0.2">
      <c r="A34" s="11" t="s">
        <v>27</v>
      </c>
      <c r="B34" s="8">
        <v>3800</v>
      </c>
    </row>
    <row r="35" spans="1:2" ht="15" thickBot="1" x14ac:dyDescent="0.25">
      <c r="A35" s="11" t="s">
        <v>28</v>
      </c>
      <c r="B35" s="15">
        <v>5700</v>
      </c>
    </row>
    <row r="36" spans="1:2" x14ac:dyDescent="0.2">
      <c r="A36" s="9" t="s">
        <v>29</v>
      </c>
      <c r="B36" s="14">
        <f>SUM(B29:B35)</f>
        <v>55284</v>
      </c>
    </row>
    <row r="37" spans="1:2" x14ac:dyDescent="0.2">
      <c r="A37" s="6"/>
      <c r="B37" s="10"/>
    </row>
    <row r="38" spans="1:2" x14ac:dyDescent="0.2">
      <c r="A38" s="9" t="s">
        <v>30</v>
      </c>
      <c r="B38" s="10"/>
    </row>
    <row r="39" spans="1:2" x14ac:dyDescent="0.2">
      <c r="A39" s="6" t="s">
        <v>58</v>
      </c>
      <c r="B39" s="8">
        <v>3300</v>
      </c>
    </row>
    <row r="40" spans="1:2" x14ac:dyDescent="0.2">
      <c r="A40" s="6" t="s">
        <v>57</v>
      </c>
      <c r="B40" s="8">
        <v>50</v>
      </c>
    </row>
    <row r="41" spans="1:2" x14ac:dyDescent="0.2">
      <c r="A41" s="45" t="s">
        <v>31</v>
      </c>
      <c r="B41" s="8">
        <v>1080</v>
      </c>
    </row>
    <row r="42" spans="1:2" x14ac:dyDescent="0.2">
      <c r="A42" s="6" t="s">
        <v>32</v>
      </c>
      <c r="B42" s="8">
        <v>2000</v>
      </c>
    </row>
    <row r="43" spans="1:2" x14ac:dyDescent="0.2">
      <c r="A43" s="6" t="s">
        <v>33</v>
      </c>
      <c r="B43" s="44">
        <v>1500</v>
      </c>
    </row>
    <row r="44" spans="1:2" x14ac:dyDescent="0.2">
      <c r="A44" s="6" t="s">
        <v>34</v>
      </c>
      <c r="B44" s="8">
        <v>11000</v>
      </c>
    </row>
    <row r="45" spans="1:2" x14ac:dyDescent="0.2">
      <c r="A45" s="6" t="s">
        <v>56</v>
      </c>
      <c r="B45" s="44">
        <v>20000</v>
      </c>
    </row>
    <row r="46" spans="1:2" x14ac:dyDescent="0.2">
      <c r="A46" s="6" t="s">
        <v>35</v>
      </c>
      <c r="B46" s="8">
        <v>2000</v>
      </c>
    </row>
    <row r="47" spans="1:2" x14ac:dyDescent="0.2">
      <c r="A47" s="6" t="s">
        <v>36</v>
      </c>
      <c r="B47" s="8">
        <v>600</v>
      </c>
    </row>
    <row r="48" spans="1:2" x14ac:dyDescent="0.2">
      <c r="A48" s="6" t="s">
        <v>37</v>
      </c>
      <c r="B48" s="8">
        <v>300</v>
      </c>
    </row>
    <row r="49" spans="1:2" x14ac:dyDescent="0.2">
      <c r="A49" s="6" t="s">
        <v>38</v>
      </c>
      <c r="B49" s="44">
        <v>500</v>
      </c>
    </row>
    <row r="50" spans="1:2" x14ac:dyDescent="0.2">
      <c r="A50" s="6" t="s">
        <v>39</v>
      </c>
      <c r="B50" s="8">
        <v>750</v>
      </c>
    </row>
    <row r="51" spans="1:2" x14ac:dyDescent="0.2">
      <c r="A51" s="45" t="s">
        <v>61</v>
      </c>
      <c r="B51" s="8">
        <v>8000</v>
      </c>
    </row>
    <row r="52" spans="1:2" x14ac:dyDescent="0.2">
      <c r="A52" s="6" t="s">
        <v>40</v>
      </c>
      <c r="B52" s="44">
        <v>200</v>
      </c>
    </row>
    <row r="53" spans="1:2" x14ac:dyDescent="0.2">
      <c r="A53" s="6" t="s">
        <v>103</v>
      </c>
      <c r="B53" s="8">
        <v>14000</v>
      </c>
    </row>
    <row r="54" spans="1:2" x14ac:dyDescent="0.2">
      <c r="A54" s="6" t="s">
        <v>41</v>
      </c>
      <c r="B54" s="8">
        <v>4000</v>
      </c>
    </row>
    <row r="55" spans="1:2" x14ac:dyDescent="0.2">
      <c r="A55" s="6" t="s">
        <v>67</v>
      </c>
      <c r="B55" s="8">
        <v>1000</v>
      </c>
    </row>
    <row r="56" spans="1:2" x14ac:dyDescent="0.2">
      <c r="A56" s="6" t="s">
        <v>42</v>
      </c>
      <c r="B56" s="44">
        <v>1000</v>
      </c>
    </row>
    <row r="57" spans="1:2" ht="15" thickBot="1" x14ac:dyDescent="0.25">
      <c r="A57" s="6" t="s">
        <v>43</v>
      </c>
      <c r="B57" s="15">
        <v>7117</v>
      </c>
    </row>
    <row r="58" spans="1:2" ht="15" thickBot="1" x14ac:dyDescent="0.25">
      <c r="A58" s="9" t="s">
        <v>44</v>
      </c>
      <c r="B58" s="16">
        <f>SUM(B39:B57)</f>
        <v>78397</v>
      </c>
    </row>
    <row r="59" spans="1:2" x14ac:dyDescent="0.2">
      <c r="A59" s="9"/>
      <c r="B59" s="12"/>
    </row>
    <row r="60" spans="1:2" ht="15" thickBot="1" x14ac:dyDescent="0.25">
      <c r="A60" s="9" t="s">
        <v>45</v>
      </c>
      <c r="B60" s="13">
        <f>+B58+B36+B26</f>
        <v>294797.96999999997</v>
      </c>
    </row>
    <row r="61" spans="1:2" ht="15" thickTop="1" x14ac:dyDescent="0.2">
      <c r="B61" s="1"/>
    </row>
    <row r="62" spans="1:2" x14ac:dyDescent="0.2">
      <c r="B62" s="1" t="s">
        <v>66</v>
      </c>
    </row>
    <row r="63" spans="1:2" x14ac:dyDescent="0.2">
      <c r="B63" s="1"/>
    </row>
    <row r="64" spans="1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  <row r="298" spans="2:2" x14ac:dyDescent="0.2">
      <c r="B298" s="1"/>
    </row>
    <row r="299" spans="2:2" x14ac:dyDescent="0.2">
      <c r="B299" s="1"/>
    </row>
    <row r="300" spans="2:2" x14ac:dyDescent="0.2">
      <c r="B300" s="1"/>
    </row>
    <row r="301" spans="2:2" x14ac:dyDescent="0.2">
      <c r="B301" s="1"/>
    </row>
    <row r="302" spans="2:2" x14ac:dyDescent="0.2">
      <c r="B302" s="1"/>
    </row>
    <row r="303" spans="2:2" x14ac:dyDescent="0.2">
      <c r="B303" s="1"/>
    </row>
    <row r="304" spans="2:2" x14ac:dyDescent="0.2">
      <c r="B304" s="1"/>
    </row>
    <row r="305" spans="2:2" x14ac:dyDescent="0.2">
      <c r="B305" s="1"/>
    </row>
    <row r="306" spans="2:2" x14ac:dyDescent="0.2">
      <c r="B306" s="1"/>
    </row>
    <row r="307" spans="2:2" x14ac:dyDescent="0.2">
      <c r="B307" s="1"/>
    </row>
    <row r="308" spans="2:2" x14ac:dyDescent="0.2">
      <c r="B308" s="1"/>
    </row>
    <row r="309" spans="2:2" x14ac:dyDescent="0.2">
      <c r="B309" s="1"/>
    </row>
    <row r="310" spans="2:2" x14ac:dyDescent="0.2">
      <c r="B310" s="1"/>
    </row>
    <row r="311" spans="2:2" x14ac:dyDescent="0.2">
      <c r="B311" s="1"/>
    </row>
    <row r="312" spans="2:2" x14ac:dyDescent="0.2">
      <c r="B312" s="1"/>
    </row>
    <row r="313" spans="2:2" x14ac:dyDescent="0.2">
      <c r="B313" s="1"/>
    </row>
    <row r="314" spans="2:2" x14ac:dyDescent="0.2">
      <c r="B314" s="1"/>
    </row>
    <row r="315" spans="2:2" x14ac:dyDescent="0.2">
      <c r="B315" s="1"/>
    </row>
    <row r="316" spans="2:2" x14ac:dyDescent="0.2">
      <c r="B316" s="1"/>
    </row>
    <row r="317" spans="2:2" x14ac:dyDescent="0.2">
      <c r="B317" s="1"/>
    </row>
    <row r="318" spans="2:2" x14ac:dyDescent="0.2">
      <c r="B318" s="1"/>
    </row>
    <row r="319" spans="2:2" x14ac:dyDescent="0.2">
      <c r="B319" s="1"/>
    </row>
    <row r="320" spans="2:2" x14ac:dyDescent="0.2">
      <c r="B320" s="1"/>
    </row>
    <row r="321" spans="2:2" x14ac:dyDescent="0.2">
      <c r="B321" s="1"/>
    </row>
    <row r="322" spans="2:2" x14ac:dyDescent="0.2">
      <c r="B322" s="1"/>
    </row>
    <row r="323" spans="2:2" x14ac:dyDescent="0.2">
      <c r="B323" s="1"/>
    </row>
    <row r="324" spans="2:2" x14ac:dyDescent="0.2">
      <c r="B324" s="1"/>
    </row>
    <row r="325" spans="2:2" x14ac:dyDescent="0.2">
      <c r="B325" s="1"/>
    </row>
    <row r="326" spans="2:2" x14ac:dyDescent="0.2">
      <c r="B326" s="1"/>
    </row>
    <row r="327" spans="2:2" x14ac:dyDescent="0.2">
      <c r="B327" s="1"/>
    </row>
    <row r="328" spans="2:2" x14ac:dyDescent="0.2">
      <c r="B328" s="1"/>
    </row>
    <row r="329" spans="2:2" x14ac:dyDescent="0.2">
      <c r="B329" s="1"/>
    </row>
    <row r="330" spans="2:2" x14ac:dyDescent="0.2">
      <c r="B330" s="1"/>
    </row>
    <row r="331" spans="2:2" x14ac:dyDescent="0.2">
      <c r="B331" s="1"/>
    </row>
    <row r="332" spans="2:2" x14ac:dyDescent="0.2">
      <c r="B332" s="1"/>
    </row>
    <row r="333" spans="2:2" x14ac:dyDescent="0.2">
      <c r="B333" s="1"/>
    </row>
    <row r="334" spans="2:2" x14ac:dyDescent="0.2">
      <c r="B334" s="1"/>
    </row>
    <row r="335" spans="2:2" x14ac:dyDescent="0.2">
      <c r="B335" s="1"/>
    </row>
    <row r="336" spans="2:2" x14ac:dyDescent="0.2">
      <c r="B336" s="1"/>
    </row>
    <row r="337" spans="2:2" x14ac:dyDescent="0.2">
      <c r="B337" s="1"/>
    </row>
    <row r="338" spans="2:2" x14ac:dyDescent="0.2">
      <c r="B338" s="1"/>
    </row>
    <row r="339" spans="2:2" x14ac:dyDescent="0.2">
      <c r="B339" s="1"/>
    </row>
    <row r="340" spans="2:2" x14ac:dyDescent="0.2">
      <c r="B340" s="1"/>
    </row>
    <row r="341" spans="2:2" x14ac:dyDescent="0.2">
      <c r="B341" s="1"/>
    </row>
    <row r="342" spans="2:2" x14ac:dyDescent="0.2">
      <c r="B342" s="1"/>
    </row>
    <row r="343" spans="2:2" x14ac:dyDescent="0.2">
      <c r="B343" s="1"/>
    </row>
    <row r="344" spans="2:2" x14ac:dyDescent="0.2">
      <c r="B344" s="1"/>
    </row>
    <row r="345" spans="2:2" x14ac:dyDescent="0.2">
      <c r="B345" s="1"/>
    </row>
    <row r="346" spans="2:2" x14ac:dyDescent="0.2">
      <c r="B346" s="1"/>
    </row>
    <row r="347" spans="2:2" x14ac:dyDescent="0.2">
      <c r="B347" s="1"/>
    </row>
    <row r="348" spans="2:2" x14ac:dyDescent="0.2">
      <c r="B348" s="1"/>
    </row>
    <row r="349" spans="2:2" x14ac:dyDescent="0.2">
      <c r="B349" s="1"/>
    </row>
    <row r="350" spans="2:2" x14ac:dyDescent="0.2">
      <c r="B350" s="1"/>
    </row>
    <row r="351" spans="2:2" x14ac:dyDescent="0.2">
      <c r="B351" s="1"/>
    </row>
    <row r="352" spans="2:2" x14ac:dyDescent="0.2">
      <c r="B352" s="1"/>
    </row>
    <row r="353" spans="2:2" x14ac:dyDescent="0.2">
      <c r="B353" s="1"/>
    </row>
    <row r="354" spans="2:2" x14ac:dyDescent="0.2">
      <c r="B354" s="1"/>
    </row>
    <row r="355" spans="2:2" x14ac:dyDescent="0.2">
      <c r="B355" s="1"/>
    </row>
    <row r="356" spans="2:2" x14ac:dyDescent="0.2">
      <c r="B356" s="1"/>
    </row>
    <row r="357" spans="2:2" x14ac:dyDescent="0.2">
      <c r="B357" s="1"/>
    </row>
    <row r="358" spans="2:2" x14ac:dyDescent="0.2">
      <c r="B358" s="1"/>
    </row>
    <row r="359" spans="2:2" x14ac:dyDescent="0.2">
      <c r="B359" s="1"/>
    </row>
    <row r="360" spans="2:2" x14ac:dyDescent="0.2">
      <c r="B360" s="1"/>
    </row>
    <row r="361" spans="2:2" x14ac:dyDescent="0.2">
      <c r="B361" s="1"/>
    </row>
  </sheetData>
  <mergeCells count="3">
    <mergeCell ref="A1:B1"/>
    <mergeCell ref="A2:B2"/>
    <mergeCell ref="A3:B3"/>
  </mergeCells>
  <printOptions horizontalCentered="1"/>
  <pageMargins left="0.45" right="0.45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05999-D265-4B0A-9F07-849BF882B0CA}">
  <dimension ref="A1:I5"/>
  <sheetViews>
    <sheetView workbookViewId="0">
      <selection activeCell="C3" sqref="C3"/>
    </sheetView>
  </sheetViews>
  <sheetFormatPr defaultRowHeight="14.25" x14ac:dyDescent="0.2"/>
  <cols>
    <col min="1" max="1" width="13.625" customWidth="1"/>
    <col min="5" max="5" width="10.5" customWidth="1"/>
    <col min="7" max="7" width="9.375" customWidth="1"/>
    <col min="8" max="8" width="11.75" bestFit="1" customWidth="1"/>
  </cols>
  <sheetData>
    <row r="1" spans="1:9" x14ac:dyDescent="0.2">
      <c r="A1" t="s">
        <v>93</v>
      </c>
      <c r="B1" s="2" t="s">
        <v>97</v>
      </c>
      <c r="C1" t="s">
        <v>98</v>
      </c>
      <c r="D1" t="s">
        <v>99</v>
      </c>
      <c r="E1" s="2" t="s">
        <v>102</v>
      </c>
      <c r="F1" s="41" t="s">
        <v>90</v>
      </c>
      <c r="G1" s="41" t="s">
        <v>100</v>
      </c>
      <c r="H1" s="2" t="s">
        <v>101</v>
      </c>
    </row>
    <row r="2" spans="1:9" x14ac:dyDescent="0.2">
      <c r="A2" t="s">
        <v>94</v>
      </c>
      <c r="B2">
        <v>58500</v>
      </c>
      <c r="C2" s="42">
        <v>0.04</v>
      </c>
      <c r="D2">
        <f>B2*C2</f>
        <v>2340</v>
      </c>
      <c r="E2">
        <f>B2+D2</f>
        <v>60840</v>
      </c>
      <c r="F2">
        <v>600</v>
      </c>
      <c r="G2">
        <f>E2+F2</f>
        <v>61440</v>
      </c>
      <c r="H2" s="40">
        <v>7.6499999999999999E-2</v>
      </c>
      <c r="I2">
        <f>ROUND(G2*H2,2)</f>
        <v>4700.16</v>
      </c>
    </row>
    <row r="3" spans="1:9" x14ac:dyDescent="0.2">
      <c r="A3" t="s">
        <v>95</v>
      </c>
      <c r="B3">
        <v>45000</v>
      </c>
      <c r="C3" s="42">
        <v>0.04</v>
      </c>
      <c r="D3">
        <f>B3*C3</f>
        <v>1800</v>
      </c>
      <c r="E3">
        <f>B3+D3</f>
        <v>46800</v>
      </c>
      <c r="F3">
        <v>600</v>
      </c>
      <c r="G3">
        <f t="shared" ref="G3:G4" si="0">E3+F3</f>
        <v>47400</v>
      </c>
      <c r="H3" s="40">
        <v>7.6499999999999999E-2</v>
      </c>
      <c r="I3">
        <f t="shared" ref="I3:I4" si="1">ROUND(G3*H3,2)</f>
        <v>3626.1</v>
      </c>
    </row>
    <row r="4" spans="1:9" x14ac:dyDescent="0.2">
      <c r="A4" t="s">
        <v>96</v>
      </c>
      <c r="B4">
        <v>37261.919999999998</v>
      </c>
      <c r="C4" t="s">
        <v>66</v>
      </c>
      <c r="E4" s="39">
        <f>B4</f>
        <v>37261.919999999998</v>
      </c>
      <c r="F4">
        <v>500</v>
      </c>
      <c r="G4">
        <f t="shared" si="0"/>
        <v>37761.919999999998</v>
      </c>
      <c r="H4" s="40">
        <v>7.6499999999999999E-2</v>
      </c>
      <c r="I4" s="39">
        <f t="shared" si="1"/>
        <v>2888.79</v>
      </c>
    </row>
    <row r="5" spans="1:9" x14ac:dyDescent="0.2">
      <c r="E5">
        <f>SUM(E2:E4)</f>
        <v>144901.91999999998</v>
      </c>
      <c r="I5">
        <f>SUM(I2:I4)</f>
        <v>11215.05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72C6-06C3-4FA1-871C-7C153095A38A}">
  <dimension ref="A1:B25"/>
  <sheetViews>
    <sheetView workbookViewId="0">
      <selection activeCell="B23" sqref="B23"/>
    </sheetView>
  </sheetViews>
  <sheetFormatPr defaultRowHeight="14.25" x14ac:dyDescent="0.2"/>
  <cols>
    <col min="1" max="1" width="21.875" customWidth="1"/>
  </cols>
  <sheetData>
    <row r="1" spans="1:2" x14ac:dyDescent="0.2">
      <c r="A1" s="2" t="s">
        <v>48</v>
      </c>
    </row>
    <row r="2" spans="1:2" x14ac:dyDescent="0.2">
      <c r="A2" s="2"/>
    </row>
    <row r="3" spans="1:2" x14ac:dyDescent="0.2">
      <c r="A3" t="s">
        <v>50</v>
      </c>
      <c r="B3" s="19">
        <v>3000</v>
      </c>
    </row>
    <row r="4" spans="1:2" x14ac:dyDescent="0.2">
      <c r="A4" t="s">
        <v>79</v>
      </c>
      <c r="B4" s="20">
        <v>15000</v>
      </c>
    </row>
    <row r="5" spans="1:2" x14ac:dyDescent="0.2">
      <c r="A5" t="s">
        <v>75</v>
      </c>
      <c r="B5" s="20">
        <v>3000</v>
      </c>
    </row>
    <row r="6" spans="1:2" x14ac:dyDescent="0.2">
      <c r="A6" t="s">
        <v>80</v>
      </c>
      <c r="B6" s="20">
        <v>4000</v>
      </c>
    </row>
    <row r="7" spans="1:2" x14ac:dyDescent="0.2">
      <c r="A7" t="s">
        <v>105</v>
      </c>
      <c r="B7" s="20">
        <v>7500</v>
      </c>
    </row>
    <row r="8" spans="1:2" x14ac:dyDescent="0.2">
      <c r="B8" s="21">
        <f>SUM(B3:B7)</f>
        <v>32500</v>
      </c>
    </row>
    <row r="9" spans="1:2" x14ac:dyDescent="0.2">
      <c r="B9" s="20"/>
    </row>
    <row r="10" spans="1:2" x14ac:dyDescent="0.2">
      <c r="B10" s="20"/>
    </row>
    <row r="11" spans="1:2" x14ac:dyDescent="0.2">
      <c r="B11" s="20"/>
    </row>
    <row r="12" spans="1:2" x14ac:dyDescent="0.2">
      <c r="B12" s="20"/>
    </row>
    <row r="13" spans="1:2" x14ac:dyDescent="0.2">
      <c r="A13" s="2" t="s">
        <v>52</v>
      </c>
      <c r="B13" s="20"/>
    </row>
    <row r="14" spans="1:2" x14ac:dyDescent="0.2">
      <c r="A14" s="2"/>
      <c r="B14" s="20"/>
    </row>
    <row r="15" spans="1:2" x14ac:dyDescent="0.2">
      <c r="A15" t="s">
        <v>53</v>
      </c>
      <c r="B15" s="19">
        <v>2500</v>
      </c>
    </row>
    <row r="16" spans="1:2" x14ac:dyDescent="0.2">
      <c r="A16" t="s">
        <v>54</v>
      </c>
      <c r="B16" s="20">
        <v>150</v>
      </c>
    </row>
    <row r="17" spans="1:2" ht="15" thickBot="1" x14ac:dyDescent="0.25">
      <c r="A17" t="s">
        <v>55</v>
      </c>
      <c r="B17" s="3">
        <v>4000</v>
      </c>
    </row>
    <row r="18" spans="1:2" x14ac:dyDescent="0.2">
      <c r="B18" s="18">
        <f>SUM(B15:B17)</f>
        <v>6650</v>
      </c>
    </row>
    <row r="19" spans="1:2" x14ac:dyDescent="0.2">
      <c r="B19" s="20"/>
    </row>
    <row r="20" spans="1:2" x14ac:dyDescent="0.2">
      <c r="B20" s="20"/>
    </row>
    <row r="21" spans="1:2" x14ac:dyDescent="0.2">
      <c r="A21" s="2" t="s">
        <v>73</v>
      </c>
      <c r="B21" s="20"/>
    </row>
    <row r="22" spans="1:2" x14ac:dyDescent="0.2">
      <c r="A22" t="s">
        <v>49</v>
      </c>
      <c r="B22" s="20">
        <v>0</v>
      </c>
    </row>
    <row r="23" spans="1:2" x14ac:dyDescent="0.2">
      <c r="A23" t="s">
        <v>51</v>
      </c>
      <c r="B23" s="20">
        <v>7500</v>
      </c>
    </row>
    <row r="24" spans="1:2" ht="15" thickBot="1" x14ac:dyDescent="0.25">
      <c r="A24" t="s">
        <v>74</v>
      </c>
      <c r="B24" s="20">
        <v>4000</v>
      </c>
    </row>
    <row r="25" spans="1:2" x14ac:dyDescent="0.2">
      <c r="B25" s="18">
        <f>SUM(B22:B24)</f>
        <v>11500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F07D-CA45-4454-BBB7-62289A2F8870}">
  <sheetPr>
    <pageSetUpPr fitToPage="1"/>
  </sheetPr>
  <dimension ref="A1:B14"/>
  <sheetViews>
    <sheetView workbookViewId="0">
      <selection activeCell="B30" sqref="B30"/>
    </sheetView>
  </sheetViews>
  <sheetFormatPr defaultRowHeight="14.25" x14ac:dyDescent="0.2"/>
  <cols>
    <col min="1" max="1" width="38.25" bestFit="1" customWidth="1"/>
    <col min="2" max="2" width="17" bestFit="1" customWidth="1"/>
  </cols>
  <sheetData>
    <row r="1" spans="1:2" x14ac:dyDescent="0.2">
      <c r="A1" s="23" t="s">
        <v>78</v>
      </c>
      <c r="B1" s="23" t="s">
        <v>60</v>
      </c>
    </row>
    <row r="2" spans="1:2" x14ac:dyDescent="0.2">
      <c r="A2" t="s">
        <v>4</v>
      </c>
      <c r="B2" t="s">
        <v>68</v>
      </c>
    </row>
    <row r="3" spans="1:2" x14ac:dyDescent="0.2">
      <c r="A3" t="s">
        <v>5</v>
      </c>
      <c r="B3" t="s">
        <v>63</v>
      </c>
    </row>
    <row r="4" spans="1:2" x14ac:dyDescent="0.2">
      <c r="A4" t="s">
        <v>88</v>
      </c>
      <c r="B4" t="s">
        <v>89</v>
      </c>
    </row>
    <row r="5" spans="1:2" x14ac:dyDescent="0.2">
      <c r="A5" t="s">
        <v>6</v>
      </c>
      <c r="B5" t="s">
        <v>62</v>
      </c>
    </row>
    <row r="6" spans="1:2" x14ac:dyDescent="0.2">
      <c r="A6" t="s">
        <v>76</v>
      </c>
      <c r="B6" t="s">
        <v>62</v>
      </c>
    </row>
    <row r="7" spans="1:2" x14ac:dyDescent="0.2">
      <c r="A7" s="25" t="s">
        <v>77</v>
      </c>
      <c r="B7" t="s">
        <v>62</v>
      </c>
    </row>
    <row r="8" spans="1:2" x14ac:dyDescent="0.2">
      <c r="A8" t="s">
        <v>9</v>
      </c>
      <c r="B8" t="s">
        <v>62</v>
      </c>
    </row>
    <row r="9" spans="1:2" x14ac:dyDescent="0.2">
      <c r="A9" t="s">
        <v>10</v>
      </c>
      <c r="B9" t="s">
        <v>62</v>
      </c>
    </row>
    <row r="10" spans="1:2" x14ac:dyDescent="0.2">
      <c r="A10" t="s">
        <v>11</v>
      </c>
      <c r="B10" t="s">
        <v>62</v>
      </c>
    </row>
    <row r="11" spans="1:2" x14ac:dyDescent="0.2">
      <c r="A11" t="s">
        <v>12</v>
      </c>
      <c r="B11" t="s">
        <v>62</v>
      </c>
    </row>
    <row r="12" spans="1:2" x14ac:dyDescent="0.2">
      <c r="A12" t="s">
        <v>13</v>
      </c>
      <c r="B12" t="s">
        <v>62</v>
      </c>
    </row>
    <row r="13" spans="1:2" x14ac:dyDescent="0.2">
      <c r="A13" t="s">
        <v>64</v>
      </c>
      <c r="B13" t="s">
        <v>69</v>
      </c>
    </row>
    <row r="14" spans="1:2" x14ac:dyDescent="0.2">
      <c r="A14" t="s">
        <v>50</v>
      </c>
      <c r="B14" t="s">
        <v>70</v>
      </c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58A63-A84E-4E17-B0D9-3D409510598B}">
  <sheetPr>
    <pageSetUpPr fitToPage="1"/>
  </sheetPr>
  <dimension ref="A1:M358"/>
  <sheetViews>
    <sheetView topLeftCell="A7" workbookViewId="0">
      <selection activeCell="A30" sqref="A30:XFD30"/>
    </sheetView>
  </sheetViews>
  <sheetFormatPr defaultRowHeight="14.25" x14ac:dyDescent="0.2"/>
  <cols>
    <col min="1" max="1" width="47.875" customWidth="1"/>
    <col min="2" max="2" width="14.75" hidden="1" customWidth="1"/>
    <col min="3" max="3" width="16.375" hidden="1" customWidth="1"/>
    <col min="4" max="4" width="9.875" hidden="1" customWidth="1"/>
    <col min="5" max="5" width="9" hidden="1" customWidth="1"/>
    <col min="6" max="7" width="9.875" hidden="1" customWidth="1"/>
    <col min="8" max="9" width="9" hidden="1" customWidth="1"/>
    <col min="10" max="10" width="11.75" hidden="1" customWidth="1"/>
    <col min="11" max="11" width="14.25" customWidth="1"/>
    <col min="12" max="12" width="13.5" customWidth="1"/>
    <col min="13" max="13" width="9.875" bestFit="1" customWidth="1"/>
  </cols>
  <sheetData>
    <row r="1" spans="1:13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">
      <c r="J4" t="s">
        <v>81</v>
      </c>
    </row>
    <row r="5" spans="1:13" ht="25.15" customHeight="1" x14ac:dyDescent="0.2">
      <c r="A5" s="4" t="s">
        <v>3</v>
      </c>
      <c r="B5" s="5" t="s">
        <v>46</v>
      </c>
      <c r="C5" s="5" t="s">
        <v>59</v>
      </c>
      <c r="D5" s="5" t="s">
        <v>47</v>
      </c>
      <c r="E5" s="5" t="s">
        <v>71</v>
      </c>
      <c r="F5" s="5" t="s">
        <v>71</v>
      </c>
      <c r="G5" s="5" t="s">
        <v>71</v>
      </c>
      <c r="H5" s="5" t="s">
        <v>71</v>
      </c>
      <c r="I5" s="5" t="s">
        <v>71</v>
      </c>
      <c r="J5">
        <f>7/12</f>
        <v>0.58333333333333337</v>
      </c>
      <c r="K5" s="5" t="s">
        <v>84</v>
      </c>
      <c r="L5" s="5" t="s">
        <v>85</v>
      </c>
      <c r="M5" s="5" t="s">
        <v>47</v>
      </c>
    </row>
    <row r="6" spans="1:13" x14ac:dyDescent="0.2">
      <c r="A6" s="6" t="s">
        <v>83</v>
      </c>
      <c r="B6" s="7">
        <f>52000+35000</f>
        <v>87000</v>
      </c>
      <c r="C6" s="7">
        <f>52000+35000</f>
        <v>87000</v>
      </c>
      <c r="D6" s="7">
        <f>+C6-B6</f>
        <v>0</v>
      </c>
      <c r="E6">
        <v>44540</v>
      </c>
      <c r="J6" s="26">
        <f>$J$5*C6</f>
        <v>50750</v>
      </c>
      <c r="K6" s="30">
        <f>J6</f>
        <v>50750</v>
      </c>
      <c r="L6" s="30">
        <v>27383.3</v>
      </c>
      <c r="M6" s="34">
        <f>+L6-K6</f>
        <v>-23366.7</v>
      </c>
    </row>
    <row r="7" spans="1:13" x14ac:dyDescent="0.2">
      <c r="A7" s="6" t="s">
        <v>6</v>
      </c>
      <c r="B7" s="8">
        <v>25000</v>
      </c>
      <c r="C7" s="8">
        <v>25000</v>
      </c>
      <c r="D7" s="8">
        <f t="shared" ref="D7:D14" si="0">+C7-B7</f>
        <v>0</v>
      </c>
      <c r="E7">
        <v>44800</v>
      </c>
      <c r="F7">
        <v>45400</v>
      </c>
      <c r="J7" s="26">
        <f t="shared" ref="J7:J14" si="1">$J$5*C7</f>
        <v>14583.333333333334</v>
      </c>
      <c r="K7" s="8">
        <f>J7</f>
        <v>14583.333333333334</v>
      </c>
      <c r="L7" s="8">
        <v>1591.5</v>
      </c>
      <c r="M7" s="8">
        <f t="shared" ref="M7:M15" si="2">+L7-K7</f>
        <v>-12991.833333333334</v>
      </c>
    </row>
    <row r="8" spans="1:13" x14ac:dyDescent="0.2">
      <c r="A8" s="6" t="s">
        <v>7</v>
      </c>
      <c r="B8" s="8">
        <v>55000</v>
      </c>
      <c r="C8" s="8">
        <v>55000</v>
      </c>
      <c r="D8" s="8">
        <f t="shared" si="0"/>
        <v>0</v>
      </c>
      <c r="E8">
        <v>49010</v>
      </c>
      <c r="F8">
        <v>49020</v>
      </c>
      <c r="J8" s="26" t="s">
        <v>66</v>
      </c>
      <c r="K8" s="8"/>
      <c r="L8" s="8">
        <v>5301</v>
      </c>
      <c r="M8" s="8">
        <f t="shared" si="2"/>
        <v>5301</v>
      </c>
    </row>
    <row r="9" spans="1:13" x14ac:dyDescent="0.2">
      <c r="A9" s="6" t="s">
        <v>8</v>
      </c>
      <c r="B9" s="8">
        <v>20000</v>
      </c>
      <c r="C9" s="8">
        <v>0</v>
      </c>
      <c r="D9" s="8">
        <f t="shared" si="0"/>
        <v>-20000</v>
      </c>
      <c r="E9">
        <v>49015</v>
      </c>
      <c r="J9" s="26">
        <f t="shared" si="1"/>
        <v>0</v>
      </c>
      <c r="K9" s="8"/>
      <c r="L9" s="8">
        <v>100</v>
      </c>
      <c r="M9" s="8">
        <f t="shared" si="2"/>
        <v>100</v>
      </c>
    </row>
    <row r="10" spans="1:13" x14ac:dyDescent="0.2">
      <c r="A10" s="6" t="s">
        <v>9</v>
      </c>
      <c r="B10" s="8">
        <v>10000</v>
      </c>
      <c r="C10" s="8">
        <v>10000</v>
      </c>
      <c r="D10" s="8">
        <f t="shared" si="0"/>
        <v>0</v>
      </c>
      <c r="E10">
        <v>49025</v>
      </c>
      <c r="J10" s="26">
        <f t="shared" si="1"/>
        <v>5833.3333333333339</v>
      </c>
      <c r="K10" s="8">
        <f>J10</f>
        <v>5833.3333333333339</v>
      </c>
      <c r="L10" s="8">
        <v>2440</v>
      </c>
      <c r="M10" s="8">
        <f t="shared" si="2"/>
        <v>-3393.3333333333339</v>
      </c>
    </row>
    <row r="11" spans="1:13" x14ac:dyDescent="0.2">
      <c r="A11" s="6" t="s">
        <v>10</v>
      </c>
      <c r="B11" s="8">
        <v>40000</v>
      </c>
      <c r="C11" s="8">
        <v>40000</v>
      </c>
      <c r="D11" s="8">
        <f t="shared" si="0"/>
        <v>0</v>
      </c>
      <c r="E11">
        <v>44900</v>
      </c>
      <c r="J11" s="26">
        <f t="shared" si="1"/>
        <v>23333.333333333336</v>
      </c>
      <c r="K11" s="8">
        <f t="shared" ref="K11:K14" si="3">J11</f>
        <v>23333.333333333336</v>
      </c>
      <c r="L11" s="8">
        <v>15828.95</v>
      </c>
      <c r="M11" s="8">
        <f t="shared" si="2"/>
        <v>-7504.383333333335</v>
      </c>
    </row>
    <row r="12" spans="1:13" x14ac:dyDescent="0.2">
      <c r="A12" s="6" t="s">
        <v>11</v>
      </c>
      <c r="B12" s="8">
        <v>2000</v>
      </c>
      <c r="C12" s="8">
        <v>2000</v>
      </c>
      <c r="D12" s="8">
        <f t="shared" si="0"/>
        <v>0</v>
      </c>
      <c r="E12">
        <v>44530</v>
      </c>
      <c r="J12" s="26">
        <f t="shared" si="1"/>
        <v>1166.6666666666667</v>
      </c>
      <c r="K12" s="8">
        <f t="shared" si="3"/>
        <v>1166.6666666666667</v>
      </c>
      <c r="L12" s="8"/>
      <c r="M12" s="8">
        <f t="shared" si="2"/>
        <v>-1166.6666666666667</v>
      </c>
    </row>
    <row r="13" spans="1:13" x14ac:dyDescent="0.2">
      <c r="A13" s="6" t="s">
        <v>12</v>
      </c>
      <c r="B13" s="8">
        <v>3000</v>
      </c>
      <c r="C13" s="22">
        <v>3000</v>
      </c>
      <c r="D13" s="8">
        <f t="shared" si="0"/>
        <v>0</v>
      </c>
      <c r="E13">
        <v>43440</v>
      </c>
      <c r="F13">
        <v>43450</v>
      </c>
      <c r="J13" s="26">
        <f t="shared" si="1"/>
        <v>1750</v>
      </c>
      <c r="K13" s="8">
        <f t="shared" si="3"/>
        <v>1750</v>
      </c>
      <c r="L13" s="8"/>
      <c r="M13" s="8">
        <f t="shared" si="2"/>
        <v>-1750</v>
      </c>
    </row>
    <row r="14" spans="1:13" ht="15" thickBot="1" x14ac:dyDescent="0.25">
      <c r="A14" s="6" t="s">
        <v>13</v>
      </c>
      <c r="B14" s="28">
        <v>9000</v>
      </c>
      <c r="C14" s="20">
        <v>21451</v>
      </c>
      <c r="D14" s="29">
        <f t="shared" si="0"/>
        <v>12451</v>
      </c>
      <c r="E14">
        <v>43410</v>
      </c>
      <c r="F14">
        <v>43450</v>
      </c>
      <c r="J14" s="26">
        <f t="shared" si="1"/>
        <v>12513.083333333334</v>
      </c>
      <c r="K14" s="8">
        <f t="shared" si="3"/>
        <v>12513.083333333334</v>
      </c>
      <c r="L14" s="8">
        <v>30837.34</v>
      </c>
      <c r="M14" s="8">
        <f t="shared" si="2"/>
        <v>18324.256666666668</v>
      </c>
    </row>
    <row r="15" spans="1:13" ht="15" thickBot="1" x14ac:dyDescent="0.25">
      <c r="A15" s="6" t="s">
        <v>82</v>
      </c>
      <c r="B15" s="27"/>
      <c r="C15" s="27"/>
      <c r="D15" s="27"/>
      <c r="J15" s="26"/>
      <c r="K15" s="8"/>
      <c r="L15" s="8">
        <v>166.23</v>
      </c>
      <c r="M15" s="8">
        <f t="shared" si="2"/>
        <v>166.23</v>
      </c>
    </row>
    <row r="16" spans="1:13" ht="15" thickBot="1" x14ac:dyDescent="0.25">
      <c r="A16" s="9" t="s">
        <v>14</v>
      </c>
      <c r="B16" s="17">
        <f>SUM(B6:B14)</f>
        <v>251000</v>
      </c>
      <c r="C16" s="17">
        <f>SUM(C6:C14)</f>
        <v>243451</v>
      </c>
      <c r="D16" s="17">
        <f>SUM(D6:D14)</f>
        <v>-7549</v>
      </c>
      <c r="J16" s="17">
        <f>SUM(J6:J15)</f>
        <v>109929.75</v>
      </c>
      <c r="K16" s="17">
        <f>SUM(K6:K15)</f>
        <v>109929.75</v>
      </c>
      <c r="L16" s="17">
        <f>SUM(L6:L15)</f>
        <v>83648.319999999992</v>
      </c>
      <c r="M16" s="17">
        <f>SUM(M6:M15)</f>
        <v>-26281.429999999997</v>
      </c>
    </row>
    <row r="17" spans="1:13" ht="15" thickTop="1" x14ac:dyDescent="0.2">
      <c r="B17" s="12"/>
      <c r="C17" s="6"/>
      <c r="D17" s="6"/>
    </row>
    <row r="18" spans="1:13" ht="42.75" x14ac:dyDescent="0.2">
      <c r="A18" s="4" t="s">
        <v>15</v>
      </c>
      <c r="B18" s="5" t="s">
        <v>46</v>
      </c>
      <c r="C18" s="5" t="s">
        <v>59</v>
      </c>
      <c r="D18" s="5" t="s">
        <v>47</v>
      </c>
      <c r="K18" s="5" t="s">
        <v>84</v>
      </c>
      <c r="L18" s="5" t="s">
        <v>85</v>
      </c>
      <c r="M18" s="5" t="s">
        <v>47</v>
      </c>
    </row>
    <row r="19" spans="1:13" x14ac:dyDescent="0.2">
      <c r="A19" s="9" t="s">
        <v>16</v>
      </c>
      <c r="B19" s="10"/>
      <c r="C19" s="10"/>
      <c r="K19" s="6"/>
      <c r="L19" s="6"/>
      <c r="M19" s="6"/>
    </row>
    <row r="20" spans="1:13" x14ac:dyDescent="0.2">
      <c r="A20" s="6" t="s">
        <v>86</v>
      </c>
      <c r="B20" s="7">
        <v>103500</v>
      </c>
      <c r="C20" s="7">
        <f>103500+21000</f>
        <v>124500</v>
      </c>
      <c r="D20" s="7">
        <f>+C20-B20</f>
        <v>21000</v>
      </c>
      <c r="E20">
        <v>66001</v>
      </c>
      <c r="J20" s="26">
        <f t="shared" ref="J20:J23" si="4">$J$5*C20</f>
        <v>72625</v>
      </c>
      <c r="K20" s="30">
        <f>J20</f>
        <v>72625</v>
      </c>
      <c r="L20" s="30">
        <v>70326.02</v>
      </c>
      <c r="M20" s="34">
        <f>+L20-K20</f>
        <v>-2298.9799999999959</v>
      </c>
    </row>
    <row r="21" spans="1:13" x14ac:dyDescent="0.2">
      <c r="A21" s="6" t="s">
        <v>17</v>
      </c>
      <c r="B21" s="8">
        <v>7900</v>
      </c>
      <c r="C21" s="8">
        <v>9503</v>
      </c>
      <c r="D21" s="8">
        <f t="shared" ref="D21:D23" si="5">+C21-B21</f>
        <v>1603</v>
      </c>
      <c r="E21">
        <v>66100</v>
      </c>
      <c r="J21" s="26">
        <f t="shared" si="4"/>
        <v>5543.416666666667</v>
      </c>
      <c r="K21" s="8">
        <f t="shared" ref="K21:K24" si="6">J21</f>
        <v>5543.416666666667</v>
      </c>
      <c r="L21" s="8">
        <v>5380.05</v>
      </c>
      <c r="M21" s="8">
        <f t="shared" ref="M21:M23" si="7">+L21-K21</f>
        <v>-163.36666666666679</v>
      </c>
    </row>
    <row r="22" spans="1:13" x14ac:dyDescent="0.2">
      <c r="A22" s="6" t="s">
        <v>18</v>
      </c>
      <c r="B22" s="8">
        <v>1400</v>
      </c>
      <c r="C22" s="8">
        <v>1684</v>
      </c>
      <c r="D22" s="8">
        <f t="shared" si="5"/>
        <v>284</v>
      </c>
      <c r="E22">
        <v>65130</v>
      </c>
      <c r="J22" s="26">
        <f t="shared" si="4"/>
        <v>982.33333333333337</v>
      </c>
      <c r="K22" s="8">
        <f t="shared" si="6"/>
        <v>982.33333333333337</v>
      </c>
      <c r="L22" s="8"/>
      <c r="M22" s="8">
        <f t="shared" si="7"/>
        <v>-982.33333333333337</v>
      </c>
    </row>
    <row r="23" spans="1:13" ht="15" thickBot="1" x14ac:dyDescent="0.25">
      <c r="A23" s="6" t="s">
        <v>19</v>
      </c>
      <c r="B23" s="15">
        <v>7000</v>
      </c>
      <c r="C23" s="15">
        <v>0</v>
      </c>
      <c r="D23" s="15">
        <f t="shared" si="5"/>
        <v>-7000</v>
      </c>
      <c r="E23">
        <v>65140</v>
      </c>
      <c r="J23" s="26">
        <f t="shared" si="4"/>
        <v>0</v>
      </c>
      <c r="K23" s="15"/>
      <c r="L23" s="15">
        <f>J23</f>
        <v>0</v>
      </c>
      <c r="M23" s="15">
        <f t="shared" si="7"/>
        <v>0</v>
      </c>
    </row>
    <row r="24" spans="1:13" x14ac:dyDescent="0.2">
      <c r="A24" s="9" t="s">
        <v>20</v>
      </c>
      <c r="B24" s="14">
        <f>SUM(B20:B23)</f>
        <v>119800</v>
      </c>
      <c r="C24" s="14">
        <f>SUM(C20:C23)</f>
        <v>135687</v>
      </c>
      <c r="D24" s="14">
        <f>SUM(D20:D23)</f>
        <v>15887</v>
      </c>
      <c r="J24" s="31">
        <f>SUM(J20:J23)</f>
        <v>79150.75</v>
      </c>
      <c r="K24" s="14">
        <f t="shared" si="6"/>
        <v>79150.75</v>
      </c>
      <c r="L24" s="14">
        <f>SUM(L20:L23)</f>
        <v>75706.070000000007</v>
      </c>
      <c r="M24" s="14">
        <f>SUM(M20:M23)</f>
        <v>-3444.6799999999962</v>
      </c>
    </row>
    <row r="25" spans="1:13" x14ac:dyDescent="0.2">
      <c r="A25" s="6"/>
      <c r="B25" s="10"/>
      <c r="C25" s="10"/>
      <c r="D25" s="10"/>
      <c r="K25" s="6"/>
      <c r="L25" s="6"/>
      <c r="M25" s="6"/>
    </row>
    <row r="26" spans="1:13" x14ac:dyDescent="0.2">
      <c r="A26" s="9" t="s">
        <v>21</v>
      </c>
      <c r="B26" s="10"/>
      <c r="C26" s="10"/>
      <c r="D26" s="10"/>
      <c r="K26" s="6"/>
      <c r="L26" s="6"/>
      <c r="M26" s="6"/>
    </row>
    <row r="27" spans="1:13" x14ac:dyDescent="0.2">
      <c r="A27" s="6" t="s">
        <v>22</v>
      </c>
      <c r="B27" s="8">
        <v>5000</v>
      </c>
      <c r="C27" s="8">
        <v>5000</v>
      </c>
      <c r="D27" s="8">
        <f t="shared" ref="D27:D34" si="8">+C27-B27</f>
        <v>0</v>
      </c>
      <c r="E27">
        <v>62823</v>
      </c>
      <c r="F27">
        <v>62130</v>
      </c>
      <c r="G27">
        <v>62100</v>
      </c>
      <c r="H27">
        <v>62800</v>
      </c>
      <c r="J27" s="26">
        <f t="shared" ref="J27:J33" si="9">$J$5*C27</f>
        <v>2916.666666666667</v>
      </c>
      <c r="K27" s="8">
        <f>J27</f>
        <v>2916.666666666667</v>
      </c>
      <c r="L27" s="8">
        <f>1050+731+550</f>
        <v>2331</v>
      </c>
      <c r="M27" s="8">
        <f t="shared" ref="M27:M33" si="10">+L27-K27</f>
        <v>-585.66666666666697</v>
      </c>
    </row>
    <row r="28" spans="1:13" x14ac:dyDescent="0.2">
      <c r="A28" s="11" t="s">
        <v>23</v>
      </c>
      <c r="B28" s="8">
        <v>7016</v>
      </c>
      <c r="C28" s="8">
        <v>7016</v>
      </c>
      <c r="D28" s="8">
        <f t="shared" si="8"/>
        <v>0</v>
      </c>
      <c r="E28">
        <v>62800</v>
      </c>
      <c r="F28">
        <v>65110</v>
      </c>
      <c r="G28">
        <v>65120</v>
      </c>
      <c r="J28" s="26">
        <f t="shared" si="9"/>
        <v>4092.666666666667</v>
      </c>
      <c r="K28" s="8">
        <f t="shared" ref="K28:K34" si="11">J28</f>
        <v>4092.666666666667</v>
      </c>
      <c r="L28" s="8">
        <v>6426</v>
      </c>
      <c r="M28" s="8">
        <f t="shared" si="10"/>
        <v>2333.333333333333</v>
      </c>
    </row>
    <row r="29" spans="1:13" ht="15" customHeight="1" x14ac:dyDescent="0.2">
      <c r="A29" s="11" t="s">
        <v>24</v>
      </c>
      <c r="B29" s="8">
        <v>10084</v>
      </c>
      <c r="C29" s="8">
        <v>20084</v>
      </c>
      <c r="D29" s="8">
        <f t="shared" si="8"/>
        <v>10000</v>
      </c>
      <c r="E29">
        <v>27100</v>
      </c>
      <c r="F29">
        <v>70005</v>
      </c>
      <c r="G29" t="s">
        <v>72</v>
      </c>
      <c r="J29" s="26">
        <f>B29*J5+10000</f>
        <v>15882.333333333334</v>
      </c>
      <c r="K29" s="8">
        <f t="shared" si="11"/>
        <v>15882.333333333334</v>
      </c>
      <c r="L29" s="8">
        <f>837.86*7+10000</f>
        <v>15865.02</v>
      </c>
      <c r="M29" s="8">
        <f t="shared" si="10"/>
        <v>-17.313333333333503</v>
      </c>
    </row>
    <row r="30" spans="1:13" x14ac:dyDescent="0.2">
      <c r="A30" s="11" t="s">
        <v>25</v>
      </c>
      <c r="B30" s="8">
        <v>2500</v>
      </c>
      <c r="C30" s="8">
        <v>2500</v>
      </c>
      <c r="D30" s="8">
        <f t="shared" si="8"/>
        <v>0</v>
      </c>
      <c r="E30">
        <v>62840</v>
      </c>
      <c r="J30" s="26">
        <f t="shared" si="9"/>
        <v>1458.3333333333335</v>
      </c>
      <c r="K30" s="8">
        <f t="shared" si="11"/>
        <v>1458.3333333333335</v>
      </c>
      <c r="L30" s="8">
        <v>1904.45</v>
      </c>
      <c r="M30" s="8">
        <f t="shared" si="10"/>
        <v>446.11666666666656</v>
      </c>
    </row>
    <row r="31" spans="1:13" x14ac:dyDescent="0.2">
      <c r="A31" s="11" t="s">
        <v>26</v>
      </c>
      <c r="B31" s="8">
        <v>4000</v>
      </c>
      <c r="C31" s="8">
        <v>4000</v>
      </c>
      <c r="D31" s="8">
        <f t="shared" si="8"/>
        <v>0</v>
      </c>
      <c r="E31" s="24">
        <v>65040</v>
      </c>
      <c r="J31" s="26">
        <f t="shared" si="9"/>
        <v>2333.3333333333335</v>
      </c>
      <c r="K31" s="8">
        <f t="shared" si="11"/>
        <v>2333.3333333333335</v>
      </c>
      <c r="L31" s="8"/>
      <c r="M31" s="8">
        <f t="shared" si="10"/>
        <v>-2333.3333333333335</v>
      </c>
    </row>
    <row r="32" spans="1:13" x14ac:dyDescent="0.2">
      <c r="A32" s="11" t="s">
        <v>27</v>
      </c>
      <c r="B32" s="8">
        <v>4000</v>
      </c>
      <c r="C32" s="8">
        <v>4000</v>
      </c>
      <c r="D32" s="8">
        <f t="shared" si="8"/>
        <v>0</v>
      </c>
      <c r="E32">
        <v>65050</v>
      </c>
      <c r="J32" s="26">
        <f t="shared" si="9"/>
        <v>2333.3333333333335</v>
      </c>
      <c r="K32" s="8">
        <f t="shared" si="11"/>
        <v>2333.3333333333335</v>
      </c>
      <c r="L32" s="8">
        <v>2119.77</v>
      </c>
      <c r="M32" s="8">
        <f t="shared" si="10"/>
        <v>-213.5633333333335</v>
      </c>
    </row>
    <row r="33" spans="1:13" ht="15" thickBot="1" x14ac:dyDescent="0.25">
      <c r="A33" s="11" t="s">
        <v>28</v>
      </c>
      <c r="B33" s="15">
        <v>5000</v>
      </c>
      <c r="C33" s="15">
        <v>5000</v>
      </c>
      <c r="D33" s="15">
        <f t="shared" si="8"/>
        <v>0</v>
      </c>
      <c r="E33">
        <v>62890</v>
      </c>
      <c r="J33" s="26">
        <f t="shared" si="9"/>
        <v>2916.666666666667</v>
      </c>
      <c r="K33" s="15">
        <f t="shared" si="11"/>
        <v>2916.666666666667</v>
      </c>
      <c r="L33" s="15">
        <v>3164.57</v>
      </c>
      <c r="M33" s="15">
        <f t="shared" si="10"/>
        <v>247.90333333333319</v>
      </c>
    </row>
    <row r="34" spans="1:13" x14ac:dyDescent="0.2">
      <c r="A34" s="9" t="s">
        <v>29</v>
      </c>
      <c r="B34" s="14">
        <f>SUM(B27:B33)</f>
        <v>37600</v>
      </c>
      <c r="C34" s="14">
        <f>SUM(C27:C33)</f>
        <v>47600</v>
      </c>
      <c r="D34" s="14">
        <f t="shared" si="8"/>
        <v>10000</v>
      </c>
      <c r="J34" s="14">
        <f>SUM(J27:J33)</f>
        <v>31933.333333333332</v>
      </c>
      <c r="K34" s="14">
        <f t="shared" si="11"/>
        <v>31933.333333333332</v>
      </c>
      <c r="L34" s="14">
        <f>SUM(L27:L33)</f>
        <v>31810.81</v>
      </c>
      <c r="M34" s="14">
        <f>SUM(M27:M33)</f>
        <v>-122.52333333333445</v>
      </c>
    </row>
    <row r="35" spans="1:13" x14ac:dyDescent="0.2">
      <c r="A35" s="6"/>
      <c r="B35" s="10"/>
      <c r="C35" s="10"/>
      <c r="D35" s="10"/>
      <c r="E35" t="s">
        <v>66</v>
      </c>
      <c r="K35" s="6"/>
      <c r="L35" s="6"/>
      <c r="M35" s="6"/>
    </row>
    <row r="36" spans="1:13" x14ac:dyDescent="0.2">
      <c r="A36" s="9" t="s">
        <v>30</v>
      </c>
      <c r="B36" s="10"/>
      <c r="C36" s="10"/>
      <c r="D36" s="10"/>
      <c r="K36" s="6"/>
      <c r="L36" s="6"/>
      <c r="M36" s="6"/>
    </row>
    <row r="37" spans="1:13" x14ac:dyDescent="0.2">
      <c r="A37" s="11" t="s">
        <v>58</v>
      </c>
      <c r="B37" s="8">
        <v>3300</v>
      </c>
      <c r="C37" s="8">
        <v>3300</v>
      </c>
      <c r="D37" s="8">
        <f t="shared" ref="D37:D54" si="12">+C37-B37</f>
        <v>0</v>
      </c>
      <c r="E37">
        <v>60920</v>
      </c>
      <c r="F37">
        <v>65060</v>
      </c>
      <c r="J37" s="26">
        <f t="shared" ref="J37:J54" si="13">$J$5*C37</f>
        <v>1925.0000000000002</v>
      </c>
      <c r="K37" s="8">
        <f>J37</f>
        <v>1925.0000000000002</v>
      </c>
      <c r="L37" s="8">
        <f>10+1006.46</f>
        <v>1016.46</v>
      </c>
      <c r="M37" s="8">
        <f t="shared" ref="M37:M54" si="14">+L37-K37</f>
        <v>-908.54000000000019</v>
      </c>
    </row>
    <row r="38" spans="1:13" x14ac:dyDescent="0.2">
      <c r="A38" s="6" t="s">
        <v>57</v>
      </c>
      <c r="B38" s="8">
        <v>100</v>
      </c>
      <c r="C38" s="8">
        <v>100</v>
      </c>
      <c r="D38" s="8">
        <f t="shared" si="12"/>
        <v>0</v>
      </c>
      <c r="E38">
        <v>65065</v>
      </c>
      <c r="J38" s="26">
        <f t="shared" si="13"/>
        <v>58.333333333333336</v>
      </c>
      <c r="K38" s="8">
        <f t="shared" ref="K38:K55" si="15">J38</f>
        <v>58.333333333333336</v>
      </c>
      <c r="L38" s="8"/>
      <c r="M38" s="8">
        <f t="shared" si="14"/>
        <v>-58.333333333333336</v>
      </c>
    </row>
    <row r="39" spans="1:13" x14ac:dyDescent="0.2">
      <c r="A39" s="6" t="s">
        <v>31</v>
      </c>
      <c r="B39" s="8">
        <v>1000</v>
      </c>
      <c r="C39" s="8">
        <v>1000</v>
      </c>
      <c r="D39" s="8">
        <f t="shared" si="12"/>
        <v>0</v>
      </c>
      <c r="E39">
        <v>65051</v>
      </c>
      <c r="J39" s="26">
        <f t="shared" si="13"/>
        <v>583.33333333333337</v>
      </c>
      <c r="K39" s="8">
        <f t="shared" si="15"/>
        <v>583.33333333333337</v>
      </c>
      <c r="L39" s="8">
        <v>420</v>
      </c>
      <c r="M39" s="8">
        <f t="shared" si="14"/>
        <v>-163.33333333333337</v>
      </c>
    </row>
    <row r="40" spans="1:13" x14ac:dyDescent="0.2">
      <c r="A40" s="6" t="s">
        <v>32</v>
      </c>
      <c r="B40" s="8">
        <v>2300</v>
      </c>
      <c r="C40" s="8">
        <v>2300</v>
      </c>
      <c r="D40" s="8">
        <f t="shared" si="12"/>
        <v>0</v>
      </c>
      <c r="E40">
        <v>60900</v>
      </c>
      <c r="J40" s="26">
        <f t="shared" si="13"/>
        <v>1341.6666666666667</v>
      </c>
      <c r="K40" s="8">
        <f t="shared" si="15"/>
        <v>1341.6666666666667</v>
      </c>
      <c r="L40" s="8">
        <v>1650</v>
      </c>
      <c r="M40" s="8">
        <f t="shared" si="14"/>
        <v>308.33333333333326</v>
      </c>
    </row>
    <row r="41" spans="1:13" x14ac:dyDescent="0.2">
      <c r="A41" s="6" t="s">
        <v>33</v>
      </c>
      <c r="B41" s="8">
        <v>600</v>
      </c>
      <c r="C41" s="8">
        <v>600</v>
      </c>
      <c r="D41" s="8">
        <f t="shared" si="12"/>
        <v>0</v>
      </c>
      <c r="J41" s="26">
        <f t="shared" si="13"/>
        <v>350</v>
      </c>
      <c r="K41" s="8">
        <f t="shared" si="15"/>
        <v>350</v>
      </c>
      <c r="L41" s="8"/>
      <c r="M41" s="8">
        <f t="shared" si="14"/>
        <v>-350</v>
      </c>
    </row>
    <row r="42" spans="1:13" x14ac:dyDescent="0.2">
      <c r="A42" s="6" t="s">
        <v>34</v>
      </c>
      <c r="B42" s="8">
        <v>30000</v>
      </c>
      <c r="C42" s="8">
        <v>30000</v>
      </c>
      <c r="D42" s="8">
        <f t="shared" si="12"/>
        <v>0</v>
      </c>
      <c r="J42" s="26">
        <f t="shared" si="13"/>
        <v>17500</v>
      </c>
      <c r="K42" s="8">
        <f t="shared" si="15"/>
        <v>17500</v>
      </c>
      <c r="L42" s="8">
        <v>10700.5</v>
      </c>
      <c r="M42" s="8">
        <f t="shared" si="14"/>
        <v>-6799.5</v>
      </c>
    </row>
    <row r="43" spans="1:13" x14ac:dyDescent="0.2">
      <c r="A43" s="6" t="s">
        <v>56</v>
      </c>
      <c r="B43" s="8">
        <v>20500</v>
      </c>
      <c r="C43" s="8">
        <v>20500</v>
      </c>
      <c r="D43" s="8">
        <f t="shared" si="12"/>
        <v>0</v>
      </c>
      <c r="E43">
        <v>62150</v>
      </c>
      <c r="J43" s="26">
        <f t="shared" si="13"/>
        <v>11958.333333333334</v>
      </c>
      <c r="K43" s="8">
        <f t="shared" si="15"/>
        <v>11958.333333333334</v>
      </c>
      <c r="L43" s="8">
        <v>8549.5</v>
      </c>
      <c r="M43" s="8">
        <f t="shared" si="14"/>
        <v>-3408.8333333333339</v>
      </c>
    </row>
    <row r="44" spans="1:13" x14ac:dyDescent="0.2">
      <c r="A44" s="6" t="s">
        <v>35</v>
      </c>
      <c r="B44" s="8">
        <v>7300</v>
      </c>
      <c r="C44" s="8">
        <v>7300</v>
      </c>
      <c r="D44" s="8">
        <f t="shared" si="12"/>
        <v>0</v>
      </c>
      <c r="E44" t="s">
        <v>65</v>
      </c>
      <c r="J44" s="26">
        <f t="shared" si="13"/>
        <v>4258.3333333333339</v>
      </c>
      <c r="K44" s="8">
        <f t="shared" si="15"/>
        <v>4258.3333333333339</v>
      </c>
      <c r="L44" s="8">
        <v>1023.42</v>
      </c>
      <c r="M44" s="8">
        <f t="shared" si="14"/>
        <v>-3234.9133333333339</v>
      </c>
    </row>
    <row r="45" spans="1:13" x14ac:dyDescent="0.2">
      <c r="A45" s="6" t="s">
        <v>36</v>
      </c>
      <c r="B45" s="8">
        <v>3000</v>
      </c>
      <c r="C45" s="8">
        <v>3000</v>
      </c>
      <c r="D45" s="8">
        <f t="shared" si="12"/>
        <v>0</v>
      </c>
      <c r="E45">
        <v>65160</v>
      </c>
      <c r="J45" s="26">
        <f t="shared" si="13"/>
        <v>1750</v>
      </c>
      <c r="K45" s="8">
        <f t="shared" si="15"/>
        <v>1750</v>
      </c>
      <c r="L45" s="8">
        <v>60.06</v>
      </c>
      <c r="M45" s="8">
        <f t="shared" si="14"/>
        <v>-1689.94</v>
      </c>
    </row>
    <row r="46" spans="1:13" x14ac:dyDescent="0.2">
      <c r="A46" s="6" t="s">
        <v>37</v>
      </c>
      <c r="B46" s="8">
        <v>1000</v>
      </c>
      <c r="C46" s="8">
        <v>1000</v>
      </c>
      <c r="D46" s="8">
        <f t="shared" si="12"/>
        <v>0</v>
      </c>
      <c r="J46" s="26">
        <f t="shared" si="13"/>
        <v>583.33333333333337</v>
      </c>
      <c r="K46" s="8">
        <f t="shared" si="15"/>
        <v>583.33333333333337</v>
      </c>
      <c r="L46" s="8"/>
      <c r="M46" s="8">
        <f t="shared" si="14"/>
        <v>-583.33333333333337</v>
      </c>
    </row>
    <row r="47" spans="1:13" x14ac:dyDescent="0.2">
      <c r="A47" s="6" t="s">
        <v>38</v>
      </c>
      <c r="B47" s="8">
        <v>3900</v>
      </c>
      <c r="C47" s="8">
        <v>3900</v>
      </c>
      <c r="D47" s="8">
        <f t="shared" si="12"/>
        <v>0</v>
      </c>
      <c r="J47" s="26">
        <f t="shared" si="13"/>
        <v>2275</v>
      </c>
      <c r="K47" s="8">
        <f t="shared" si="15"/>
        <v>2275</v>
      </c>
      <c r="L47" s="8"/>
      <c r="M47" s="8">
        <f t="shared" si="14"/>
        <v>-2275</v>
      </c>
    </row>
    <row r="48" spans="1:13" x14ac:dyDescent="0.2">
      <c r="A48" s="6" t="s">
        <v>39</v>
      </c>
      <c r="B48" s="8">
        <v>500</v>
      </c>
      <c r="C48" s="8">
        <v>500</v>
      </c>
      <c r="D48" s="8">
        <f t="shared" si="12"/>
        <v>0</v>
      </c>
      <c r="E48">
        <v>65020</v>
      </c>
      <c r="J48" s="26">
        <f t="shared" si="13"/>
        <v>291.66666666666669</v>
      </c>
      <c r="K48" s="8">
        <f t="shared" si="15"/>
        <v>291.66666666666669</v>
      </c>
      <c r="L48" s="8">
        <v>408.76</v>
      </c>
      <c r="M48" s="8">
        <f t="shared" si="14"/>
        <v>117.09333333333331</v>
      </c>
    </row>
    <row r="49" spans="1:13" x14ac:dyDescent="0.2">
      <c r="A49" s="6" t="s">
        <v>61</v>
      </c>
      <c r="B49" s="8">
        <v>8000</v>
      </c>
      <c r="C49" s="8">
        <v>8000</v>
      </c>
      <c r="D49" s="8">
        <f t="shared" si="12"/>
        <v>0</v>
      </c>
      <c r="E49">
        <v>62110</v>
      </c>
      <c r="F49">
        <v>80000</v>
      </c>
      <c r="J49" s="26">
        <f t="shared" si="13"/>
        <v>4666.666666666667</v>
      </c>
      <c r="K49" s="8">
        <f t="shared" si="15"/>
        <v>4666.666666666667</v>
      </c>
      <c r="L49" s="8">
        <v>2700</v>
      </c>
      <c r="M49" s="8">
        <f t="shared" si="14"/>
        <v>-1966.666666666667</v>
      </c>
    </row>
    <row r="50" spans="1:13" x14ac:dyDescent="0.2">
      <c r="A50" s="6" t="s">
        <v>40</v>
      </c>
      <c r="B50" s="8">
        <v>2000</v>
      </c>
      <c r="C50" s="8">
        <v>2000</v>
      </c>
      <c r="D50" s="8">
        <f t="shared" si="12"/>
        <v>0</v>
      </c>
      <c r="E50">
        <v>65030</v>
      </c>
      <c r="J50" s="26">
        <f t="shared" si="13"/>
        <v>1166.6666666666667</v>
      </c>
      <c r="K50" s="8">
        <f t="shared" si="15"/>
        <v>1166.6666666666667</v>
      </c>
      <c r="L50" s="8"/>
      <c r="M50" s="8">
        <f t="shared" si="14"/>
        <v>-1166.6666666666667</v>
      </c>
    </row>
    <row r="51" spans="1:13" x14ac:dyDescent="0.2">
      <c r="A51" s="6" t="s">
        <v>41</v>
      </c>
      <c r="B51" s="8">
        <v>4000</v>
      </c>
      <c r="C51" s="8">
        <v>4000</v>
      </c>
      <c r="D51" s="8">
        <f t="shared" si="12"/>
        <v>0</v>
      </c>
      <c r="E51" s="24">
        <v>65040</v>
      </c>
      <c r="F51">
        <v>65100</v>
      </c>
      <c r="G51">
        <v>65000</v>
      </c>
      <c r="J51" s="26">
        <f t="shared" si="13"/>
        <v>2333.3333333333335</v>
      </c>
      <c r="K51" s="8">
        <f t="shared" si="15"/>
        <v>2333.3333333333335</v>
      </c>
      <c r="L51" s="8">
        <f>2617.11+49.15+12.99</f>
        <v>2679.25</v>
      </c>
      <c r="M51" s="8">
        <f t="shared" si="14"/>
        <v>345.91666666666652</v>
      </c>
    </row>
    <row r="52" spans="1:13" x14ac:dyDescent="0.2">
      <c r="A52" s="6" t="s">
        <v>67</v>
      </c>
      <c r="B52" s="8">
        <v>1000</v>
      </c>
      <c r="C52" s="8">
        <v>1000</v>
      </c>
      <c r="D52" s="8">
        <f t="shared" si="12"/>
        <v>0</v>
      </c>
      <c r="E52">
        <v>68305</v>
      </c>
      <c r="J52" s="26">
        <f t="shared" si="13"/>
        <v>583.33333333333337</v>
      </c>
      <c r="K52" s="8">
        <f t="shared" si="15"/>
        <v>583.33333333333337</v>
      </c>
      <c r="L52" s="8">
        <f>350+460.63</f>
        <v>810.63</v>
      </c>
      <c r="M52" s="8">
        <f t="shared" si="14"/>
        <v>227.29666666666662</v>
      </c>
    </row>
    <row r="53" spans="1:13" x14ac:dyDescent="0.2">
      <c r="A53" s="6" t="s">
        <v>42</v>
      </c>
      <c r="B53" s="8">
        <v>600</v>
      </c>
      <c r="C53" s="8">
        <v>600</v>
      </c>
      <c r="D53" s="8">
        <f t="shared" si="12"/>
        <v>0</v>
      </c>
      <c r="J53" s="26">
        <f t="shared" si="13"/>
        <v>350</v>
      </c>
      <c r="K53" s="8">
        <f t="shared" si="15"/>
        <v>350</v>
      </c>
      <c r="L53" s="8"/>
      <c r="M53" s="8">
        <f t="shared" si="14"/>
        <v>-350</v>
      </c>
    </row>
    <row r="54" spans="1:13" ht="15" thickBot="1" x14ac:dyDescent="0.25">
      <c r="A54" s="6" t="s">
        <v>43</v>
      </c>
      <c r="B54" s="15">
        <v>4500</v>
      </c>
      <c r="C54" s="15">
        <v>4500</v>
      </c>
      <c r="D54" s="15">
        <f t="shared" si="12"/>
        <v>0</v>
      </c>
      <c r="E54">
        <v>68330</v>
      </c>
      <c r="F54">
        <v>68320</v>
      </c>
      <c r="J54" s="26">
        <f t="shared" si="13"/>
        <v>2625</v>
      </c>
      <c r="K54" s="15">
        <f t="shared" si="15"/>
        <v>2625</v>
      </c>
      <c r="L54" s="15">
        <f>198.77+188.81</f>
        <v>387.58000000000004</v>
      </c>
      <c r="M54" s="15">
        <f t="shared" si="14"/>
        <v>-2237.42</v>
      </c>
    </row>
    <row r="55" spans="1:13" ht="15" thickBot="1" x14ac:dyDescent="0.25">
      <c r="A55" s="9" t="s">
        <v>44</v>
      </c>
      <c r="B55" s="16">
        <f>SUM(B37:B54)</f>
        <v>93600</v>
      </c>
      <c r="C55" s="16">
        <f>SUM(C37:C54)</f>
        <v>93600</v>
      </c>
      <c r="D55" s="16">
        <f>SUM(D37:D54)</f>
        <v>0</v>
      </c>
      <c r="J55" s="16">
        <f>SUM(J37:J54)</f>
        <v>54600.000000000007</v>
      </c>
      <c r="K55" s="32">
        <f t="shared" si="15"/>
        <v>54600.000000000007</v>
      </c>
      <c r="L55" s="32">
        <f>SUM(L37:L54)</f>
        <v>30406.16</v>
      </c>
      <c r="M55" s="32">
        <f>SUM(M37:M54)</f>
        <v>-24193.840000000004</v>
      </c>
    </row>
    <row r="56" spans="1:13" ht="15" thickBot="1" x14ac:dyDescent="0.25">
      <c r="A56" s="6"/>
      <c r="B56" s="12"/>
      <c r="C56" s="12"/>
      <c r="D56" s="12"/>
      <c r="K56" s="15"/>
      <c r="L56" s="15"/>
      <c r="M56" s="15"/>
    </row>
    <row r="57" spans="1:13" ht="15" thickBot="1" x14ac:dyDescent="0.25">
      <c r="A57" s="9" t="s">
        <v>45</v>
      </c>
      <c r="B57" s="13">
        <f>+B55+B34+B24</f>
        <v>251000</v>
      </c>
      <c r="C57" s="13">
        <f>+C55+C34+C24</f>
        <v>276887</v>
      </c>
      <c r="D57" s="13">
        <f>+D55+D34+D24</f>
        <v>25887</v>
      </c>
      <c r="K57" s="13">
        <f>K55+K34+K24</f>
        <v>165684.08333333334</v>
      </c>
      <c r="L57" s="13">
        <f>L55+L34+L24</f>
        <v>137923.04</v>
      </c>
      <c r="M57" s="13">
        <f>M55+M34+M24</f>
        <v>-27761.043333333335</v>
      </c>
    </row>
    <row r="58" spans="1:13" ht="15" thickTop="1" x14ac:dyDescent="0.2">
      <c r="B58" s="1"/>
      <c r="K58" s="33"/>
    </row>
    <row r="59" spans="1:13" x14ac:dyDescent="0.2">
      <c r="B59" s="1"/>
    </row>
    <row r="60" spans="1:13" x14ac:dyDescent="0.2">
      <c r="B60" s="1"/>
    </row>
    <row r="61" spans="1:13" x14ac:dyDescent="0.2">
      <c r="B61" s="1"/>
    </row>
    <row r="62" spans="1:13" x14ac:dyDescent="0.2">
      <c r="B62" s="1"/>
    </row>
    <row r="63" spans="1:13" x14ac:dyDescent="0.2">
      <c r="B63" s="1"/>
    </row>
    <row r="64" spans="1:13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  <row r="298" spans="2:2" x14ac:dyDescent="0.2">
      <c r="B298" s="1"/>
    </row>
    <row r="299" spans="2:2" x14ac:dyDescent="0.2">
      <c r="B299" s="1"/>
    </row>
    <row r="300" spans="2:2" x14ac:dyDescent="0.2">
      <c r="B300" s="1"/>
    </row>
    <row r="301" spans="2:2" x14ac:dyDescent="0.2">
      <c r="B301" s="1"/>
    </row>
    <row r="302" spans="2:2" x14ac:dyDescent="0.2">
      <c r="B302" s="1"/>
    </row>
    <row r="303" spans="2:2" x14ac:dyDescent="0.2">
      <c r="B303" s="1"/>
    </row>
    <row r="304" spans="2:2" x14ac:dyDescent="0.2">
      <c r="B304" s="1"/>
    </row>
    <row r="305" spans="2:2" x14ac:dyDescent="0.2">
      <c r="B305" s="1"/>
    </row>
    <row r="306" spans="2:2" x14ac:dyDescent="0.2">
      <c r="B306" s="1"/>
    </row>
    <row r="307" spans="2:2" x14ac:dyDescent="0.2">
      <c r="B307" s="1"/>
    </row>
    <row r="308" spans="2:2" x14ac:dyDescent="0.2">
      <c r="B308" s="1"/>
    </row>
    <row r="309" spans="2:2" x14ac:dyDescent="0.2">
      <c r="B309" s="1"/>
    </row>
    <row r="310" spans="2:2" x14ac:dyDescent="0.2">
      <c r="B310" s="1"/>
    </row>
    <row r="311" spans="2:2" x14ac:dyDescent="0.2">
      <c r="B311" s="1"/>
    </row>
    <row r="312" spans="2:2" x14ac:dyDescent="0.2">
      <c r="B312" s="1"/>
    </row>
    <row r="313" spans="2:2" x14ac:dyDescent="0.2">
      <c r="B313" s="1"/>
    </row>
    <row r="314" spans="2:2" x14ac:dyDescent="0.2">
      <c r="B314" s="1"/>
    </row>
    <row r="315" spans="2:2" x14ac:dyDescent="0.2">
      <c r="B315" s="1"/>
    </row>
    <row r="316" spans="2:2" x14ac:dyDescent="0.2">
      <c r="B316" s="1"/>
    </row>
    <row r="317" spans="2:2" x14ac:dyDescent="0.2">
      <c r="B317" s="1"/>
    </row>
    <row r="318" spans="2:2" x14ac:dyDescent="0.2">
      <c r="B318" s="1"/>
    </row>
    <row r="319" spans="2:2" x14ac:dyDescent="0.2">
      <c r="B319" s="1"/>
    </row>
    <row r="320" spans="2:2" x14ac:dyDescent="0.2">
      <c r="B320" s="1"/>
    </row>
    <row r="321" spans="2:2" x14ac:dyDescent="0.2">
      <c r="B321" s="1"/>
    </row>
    <row r="322" spans="2:2" x14ac:dyDescent="0.2">
      <c r="B322" s="1"/>
    </row>
    <row r="323" spans="2:2" x14ac:dyDescent="0.2">
      <c r="B323" s="1"/>
    </row>
    <row r="324" spans="2:2" x14ac:dyDescent="0.2">
      <c r="B324" s="1"/>
    </row>
    <row r="325" spans="2:2" x14ac:dyDescent="0.2">
      <c r="B325" s="1"/>
    </row>
    <row r="326" spans="2:2" x14ac:dyDescent="0.2">
      <c r="B326" s="1"/>
    </row>
    <row r="327" spans="2:2" x14ac:dyDescent="0.2">
      <c r="B327" s="1"/>
    </row>
    <row r="328" spans="2:2" x14ac:dyDescent="0.2">
      <c r="B328" s="1"/>
    </row>
    <row r="329" spans="2:2" x14ac:dyDescent="0.2">
      <c r="B329" s="1"/>
    </row>
    <row r="330" spans="2:2" x14ac:dyDescent="0.2">
      <c r="B330" s="1"/>
    </row>
    <row r="331" spans="2:2" x14ac:dyDescent="0.2">
      <c r="B331" s="1"/>
    </row>
    <row r="332" spans="2:2" x14ac:dyDescent="0.2">
      <c r="B332" s="1"/>
    </row>
    <row r="333" spans="2:2" x14ac:dyDescent="0.2">
      <c r="B333" s="1"/>
    </row>
    <row r="334" spans="2:2" x14ac:dyDescent="0.2">
      <c r="B334" s="1"/>
    </row>
    <row r="335" spans="2:2" x14ac:dyDescent="0.2">
      <c r="B335" s="1"/>
    </row>
    <row r="336" spans="2:2" x14ac:dyDescent="0.2">
      <c r="B336" s="1"/>
    </row>
    <row r="337" spans="2:2" x14ac:dyDescent="0.2">
      <c r="B337" s="1"/>
    </row>
    <row r="338" spans="2:2" x14ac:dyDescent="0.2">
      <c r="B338" s="1"/>
    </row>
    <row r="339" spans="2:2" x14ac:dyDescent="0.2">
      <c r="B339" s="1"/>
    </row>
    <row r="340" spans="2:2" x14ac:dyDescent="0.2">
      <c r="B340" s="1"/>
    </row>
    <row r="341" spans="2:2" x14ac:dyDescent="0.2">
      <c r="B341" s="1"/>
    </row>
    <row r="342" spans="2:2" x14ac:dyDescent="0.2">
      <c r="B342" s="1"/>
    </row>
    <row r="343" spans="2:2" x14ac:dyDescent="0.2">
      <c r="B343" s="1"/>
    </row>
    <row r="344" spans="2:2" x14ac:dyDescent="0.2">
      <c r="B344" s="1"/>
    </row>
    <row r="345" spans="2:2" x14ac:dyDescent="0.2">
      <c r="B345" s="1"/>
    </row>
    <row r="346" spans="2:2" x14ac:dyDescent="0.2">
      <c r="B346" s="1"/>
    </row>
    <row r="347" spans="2:2" x14ac:dyDescent="0.2">
      <c r="B347" s="1"/>
    </row>
    <row r="348" spans="2:2" x14ac:dyDescent="0.2">
      <c r="B348" s="1"/>
    </row>
    <row r="349" spans="2:2" x14ac:dyDescent="0.2">
      <c r="B349" s="1"/>
    </row>
    <row r="350" spans="2:2" x14ac:dyDescent="0.2">
      <c r="B350" s="1"/>
    </row>
    <row r="351" spans="2:2" x14ac:dyDescent="0.2">
      <c r="B351" s="1"/>
    </row>
    <row r="352" spans="2:2" x14ac:dyDescent="0.2">
      <c r="B352" s="1"/>
    </row>
    <row r="353" spans="2:2" x14ac:dyDescent="0.2">
      <c r="B353" s="1"/>
    </row>
    <row r="354" spans="2:2" x14ac:dyDescent="0.2">
      <c r="B354" s="1"/>
    </row>
    <row r="355" spans="2:2" x14ac:dyDescent="0.2">
      <c r="B355" s="1"/>
    </row>
    <row r="356" spans="2:2" x14ac:dyDescent="0.2">
      <c r="B356" s="1"/>
    </row>
    <row r="357" spans="2:2" x14ac:dyDescent="0.2">
      <c r="B357" s="1"/>
    </row>
    <row r="358" spans="2:2" x14ac:dyDescent="0.2">
      <c r="B358" s="1"/>
    </row>
  </sheetData>
  <mergeCells count="3">
    <mergeCell ref="A1:M1"/>
    <mergeCell ref="A2:M2"/>
    <mergeCell ref="A3:M3"/>
  </mergeCells>
  <printOptions horizontalCentered="1" verticalCentered="1"/>
  <pageMargins left="0.2" right="0.2" top="0.5" bottom="0.5" header="0.3" footer="0.3"/>
  <pageSetup scale="86" orientation="portrait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Revised Budget</vt:lpstr>
      <vt:lpstr>Print Budget</vt:lpstr>
      <vt:lpstr>Compensation</vt:lpstr>
      <vt:lpstr>GrantsFundraising</vt:lpstr>
      <vt:lpstr>Funding Allocation</vt:lpstr>
      <vt:lpstr>Budget to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Cope</dc:creator>
  <cp:lastModifiedBy>Owner</cp:lastModifiedBy>
  <cp:lastPrinted>2023-06-08T16:27:18Z</cp:lastPrinted>
  <dcterms:created xsi:type="dcterms:W3CDTF">2022-10-27T01:45:51Z</dcterms:created>
  <dcterms:modified xsi:type="dcterms:W3CDTF">2023-07-26T18:32:50Z</dcterms:modified>
</cp:coreProperties>
</file>