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LC\Diversify Funding #5\Budget\"/>
    </mc:Choice>
  </mc:AlternateContent>
  <xr:revisionPtr revIDLastSave="0" documentId="8_{970660BC-EBD1-4479-AA2C-F7F14175978A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P2SI Leadership Academy" sheetId="7" r:id="rId1"/>
    <sheet name="Brown Boys Read" sheetId="8" r:id="rId2"/>
    <sheet name="5K Race 2021" sheetId="9" r:id="rId3"/>
    <sheet name="YBC" sheetId="11" r:id="rId4"/>
    <sheet name="TLC Annual Budget" sheetId="10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7" l="1"/>
  <c r="B10" i="10"/>
  <c r="C15" i="11"/>
  <c r="D15" i="11"/>
  <c r="C14" i="11"/>
  <c r="D14" i="11"/>
  <c r="C13" i="11"/>
  <c r="D13" i="11"/>
  <c r="C12" i="11"/>
  <c r="D12" i="11"/>
  <c r="C11" i="11"/>
  <c r="D11" i="11"/>
  <c r="B15" i="11"/>
  <c r="B14" i="11"/>
  <c r="B13" i="11"/>
  <c r="B12" i="11"/>
  <c r="B11" i="11"/>
  <c r="D28" i="11"/>
  <c r="C28" i="11"/>
  <c r="B28" i="11"/>
  <c r="D21" i="11"/>
  <c r="D39" i="11" s="1"/>
  <c r="C21" i="11"/>
  <c r="C39" i="11" s="1"/>
  <c r="B21" i="11"/>
  <c r="B39" i="11" s="1"/>
  <c r="D8" i="11"/>
  <c r="D32" i="11" s="1"/>
  <c r="C8" i="11"/>
  <c r="C32" i="11" s="1"/>
  <c r="B8" i="11"/>
  <c r="B32" i="11" s="1"/>
  <c r="D18" i="8"/>
  <c r="C17" i="8"/>
  <c r="B17" i="8"/>
  <c r="C14" i="8"/>
  <c r="B14" i="8"/>
  <c r="C13" i="8"/>
  <c r="B13" i="8"/>
  <c r="C15" i="8"/>
  <c r="D20" i="8"/>
  <c r="D14" i="8"/>
  <c r="D13" i="8"/>
  <c r="D19" i="8"/>
  <c r="D17" i="8"/>
  <c r="D11" i="8"/>
  <c r="B38" i="7"/>
  <c r="C12" i="7"/>
  <c r="D12" i="7"/>
  <c r="D28" i="7" s="1"/>
  <c r="D38" i="7" s="1"/>
  <c r="B12" i="7"/>
  <c r="C36" i="7"/>
  <c r="D15" i="8"/>
  <c r="B15" i="8"/>
  <c r="I95" i="9"/>
  <c r="I82" i="9"/>
  <c r="I71" i="9"/>
  <c r="I99" i="9" s="1"/>
  <c r="I58" i="9"/>
  <c r="I35" i="9"/>
  <c r="I30" i="9"/>
  <c r="I25" i="9"/>
  <c r="I60" i="9" s="1"/>
  <c r="I101" i="9" s="1"/>
  <c r="B36" i="11" l="1"/>
  <c r="B37" i="11" s="1"/>
  <c r="B33" i="11"/>
  <c r="C36" i="11"/>
  <c r="C37" i="11" s="1"/>
  <c r="C33" i="11"/>
  <c r="D36" i="11"/>
  <c r="D37" i="11" s="1"/>
  <c r="D33" i="11"/>
  <c r="B30" i="11"/>
  <c r="C30" i="11"/>
  <c r="D30" i="11"/>
  <c r="D12" i="8"/>
  <c r="D21" i="8" s="1"/>
  <c r="D30" i="8" s="1"/>
  <c r="C12" i="8"/>
  <c r="C11" i="8"/>
  <c r="B11" i="8"/>
  <c r="B12" i="8"/>
  <c r="D28" i="8"/>
  <c r="C28" i="8"/>
  <c r="B28" i="8"/>
  <c r="C18" i="8"/>
  <c r="B18" i="8"/>
  <c r="C8" i="8"/>
  <c r="B8" i="8"/>
  <c r="D8" i="8"/>
  <c r="B13" i="7"/>
  <c r="B18" i="7"/>
  <c r="B15" i="7"/>
  <c r="D6" i="7"/>
  <c r="D9" i="7" s="1"/>
  <c r="C9" i="7"/>
  <c r="B36" i="7"/>
  <c r="B25" i="7"/>
  <c r="B19" i="7"/>
  <c r="B9" i="7"/>
  <c r="D47" i="7" l="1"/>
  <c r="D39" i="8"/>
  <c r="C21" i="8"/>
  <c r="B21" i="8"/>
  <c r="C28" i="7"/>
  <c r="B39" i="8" l="1"/>
  <c r="B30" i="8"/>
  <c r="C39" i="8"/>
  <c r="C30" i="8"/>
  <c r="C47" i="7"/>
  <c r="C38" i="7"/>
  <c r="D32" i="8"/>
  <c r="C32" i="8"/>
  <c r="B32" i="8"/>
  <c r="B28" i="7"/>
  <c r="B47" i="7" s="1"/>
  <c r="D36" i="8" l="1"/>
  <c r="D37" i="8" s="1"/>
  <c r="D33" i="8"/>
  <c r="C33" i="8"/>
  <c r="C36" i="8"/>
  <c r="C37" i="8" s="1"/>
  <c r="B36" i="8"/>
  <c r="B37" i="8" s="1"/>
  <c r="B33" i="8"/>
  <c r="D40" i="7"/>
  <c r="C40" i="7"/>
  <c r="C41" i="7" l="1"/>
  <c r="C44" i="7"/>
  <c r="C45" i="7" s="1"/>
  <c r="D44" i="7"/>
  <c r="D41" i="7"/>
  <c r="D45" i="7" l="1"/>
  <c r="B40" i="7" l="1"/>
  <c r="B44" i="7" l="1"/>
  <c r="B45" i="7" s="1"/>
  <c r="B41" i="7"/>
</calcChain>
</file>

<file path=xl/sharedStrings.xml><?xml version="1.0" encoding="utf-8"?>
<sst xmlns="http://schemas.openxmlformats.org/spreadsheetml/2006/main" count="219" uniqueCount="166">
  <si>
    <t>Spring 2022 Projected</t>
  </si>
  <si>
    <t xml:space="preserve">Spring 2022 Actual </t>
  </si>
  <si>
    <t>Spring 2023 Projected</t>
  </si>
  <si>
    <t>Program Enrollment</t>
  </si>
  <si>
    <t>Grants Funding</t>
  </si>
  <si>
    <t>General Donations</t>
  </si>
  <si>
    <t>Steps of Success 5K Fundraiser Revenue</t>
  </si>
  <si>
    <t>#DriveTo25 Campaign Fundraiser Revenue</t>
  </si>
  <si>
    <t>Pathway Partner Sponsor</t>
  </si>
  <si>
    <t>Total Program Revenue</t>
  </si>
  <si>
    <t>Program Expenses</t>
  </si>
  <si>
    <t>Student Scholarships</t>
  </si>
  <si>
    <t>Room Reservation ($250 * 10)</t>
  </si>
  <si>
    <t>Polo Shirts</t>
  </si>
  <si>
    <t>Customized Notebook</t>
  </si>
  <si>
    <t>Office Supplies</t>
  </si>
  <si>
    <t>Printing</t>
  </si>
  <si>
    <t>Snacks + Meals</t>
  </si>
  <si>
    <t>Assessment Submission</t>
  </si>
  <si>
    <t>Curriculum - Love In A Big World (HS/College)</t>
  </si>
  <si>
    <t>Marketing - Pop Up Banner</t>
  </si>
  <si>
    <t>Videographer</t>
  </si>
  <si>
    <t>Photographer</t>
  </si>
  <si>
    <t>Logo Creation - P2SI</t>
  </si>
  <si>
    <t>Exposure/Field Trip(s)</t>
  </si>
  <si>
    <t>Transportation</t>
  </si>
  <si>
    <t>Awards + Graduation Ceremony</t>
  </si>
  <si>
    <t>Total Program Expenses</t>
  </si>
  <si>
    <t>Program Contract Labor</t>
  </si>
  <si>
    <t>Speaker Honorarium</t>
  </si>
  <si>
    <t>Contract Labor Staff 1</t>
  </si>
  <si>
    <t>Contract Labor Staff 2</t>
  </si>
  <si>
    <t>Contract Labor Staff 3</t>
  </si>
  <si>
    <t xml:space="preserve">Consultant cost </t>
  </si>
  <si>
    <t>Total Program Contract Labor</t>
  </si>
  <si>
    <t xml:space="preserve">TOTAL PROGRAM COST </t>
  </si>
  <si>
    <t>Gross Revenue</t>
  </si>
  <si>
    <t>GR as % of Revenue</t>
  </si>
  <si>
    <t>Contribution Margin</t>
  </si>
  <si>
    <t>CM as % of Revenue</t>
  </si>
  <si>
    <t>Per Student Cost (Semester)</t>
  </si>
  <si>
    <t>Spring 2022</t>
  </si>
  <si>
    <t>Fall 2022</t>
  </si>
  <si>
    <t>Spring 2023</t>
  </si>
  <si>
    <t>Brown Boys Read Fundraiser</t>
  </si>
  <si>
    <t>PROGRAM EXPENSES</t>
  </si>
  <si>
    <t>Saucony Shoes</t>
  </si>
  <si>
    <t>Black Men Run Shirts</t>
  </si>
  <si>
    <t xml:space="preserve">Socks </t>
  </si>
  <si>
    <t>Deoderant</t>
  </si>
  <si>
    <t>Fitness Trackers</t>
  </si>
  <si>
    <t>Computer / Tablets</t>
  </si>
  <si>
    <t>Books (8/student @$15 ea)</t>
  </si>
  <si>
    <t xml:space="preserve">Exposure trip </t>
  </si>
  <si>
    <t>Curriculum - Love In A Big World (3-5th Grade)</t>
  </si>
  <si>
    <t xml:space="preserve">GRAND TOTAL - PROGRAM COST </t>
  </si>
  <si>
    <t>Steps of Success 5K</t>
  </si>
  <si>
    <t>Operating Budget (Detail)</t>
  </si>
  <si>
    <t>Fiscal Year 2021</t>
  </si>
  <si>
    <t>2021 Detail</t>
  </si>
  <si>
    <t>2021 Summary</t>
  </si>
  <si>
    <t>INCOME</t>
  </si>
  <si>
    <t>Sponsorship</t>
  </si>
  <si>
    <t>Pathway to Success Training Sponsor</t>
  </si>
  <si>
    <t>Black Men Run Foundation</t>
  </si>
  <si>
    <t>Fifth Third Bank</t>
  </si>
  <si>
    <t>Ignite Pre-Race Sponsor</t>
  </si>
  <si>
    <t>Truist Bank (Suntrust/BB&amp;T)</t>
  </si>
  <si>
    <t>Pym 1</t>
  </si>
  <si>
    <t>Pym 2</t>
  </si>
  <si>
    <t>Pym 3</t>
  </si>
  <si>
    <t>Pym 4</t>
  </si>
  <si>
    <t>Cunning Scholarship Foundation</t>
  </si>
  <si>
    <t>Mile Marker Sponsor</t>
  </si>
  <si>
    <t>George &amp; Janice Kinigopoulos</t>
  </si>
  <si>
    <t>Sponsor A Student Gold</t>
  </si>
  <si>
    <t>Robert Shoemaker</t>
  </si>
  <si>
    <t>Sponsor A Student Bronze</t>
  </si>
  <si>
    <t>Synovus Bank</t>
  </si>
  <si>
    <t>Will Brown - Solutionpoint</t>
  </si>
  <si>
    <t>Craig Mitchell</t>
  </si>
  <si>
    <t>Corner to Corner</t>
  </si>
  <si>
    <t>Honda</t>
  </si>
  <si>
    <t>Wendy Collins Squirewell</t>
  </si>
  <si>
    <t>Sponsor A Student (5)</t>
  </si>
  <si>
    <t>Robert &amp; Carolyn Locklear</t>
  </si>
  <si>
    <t xml:space="preserve">Sponsor A Student </t>
  </si>
  <si>
    <t>Mitech Partners</t>
  </si>
  <si>
    <t>Sponsor A Student</t>
  </si>
  <si>
    <t>Brenda Haywood</t>
  </si>
  <si>
    <t>Total Sponsorship Revenue</t>
  </si>
  <si>
    <t>Booth Rental</t>
  </si>
  <si>
    <t>Immunotec - Walter Harris</t>
  </si>
  <si>
    <t>Virtual Booth Revenue</t>
  </si>
  <si>
    <t>RunSignup Race Platform Revenue</t>
  </si>
  <si>
    <t>Race Registration</t>
  </si>
  <si>
    <t>as of 9/20/2021</t>
  </si>
  <si>
    <t>Total RunSignup Revenue</t>
  </si>
  <si>
    <t>General Donations Revenue</t>
  </si>
  <si>
    <t>Cloversite Donations</t>
  </si>
  <si>
    <t>Better For You Nutrition - Jason Potter</t>
  </si>
  <si>
    <t>Danny Schunk - Tshirt Sponsor</t>
  </si>
  <si>
    <t>Eric and Keisha Lusain</t>
  </si>
  <si>
    <t>Melvin Gatewood</t>
  </si>
  <si>
    <t>Loie Merritt</t>
  </si>
  <si>
    <t>Stanley Gregory</t>
  </si>
  <si>
    <t>Deon Short</t>
  </si>
  <si>
    <t>Richard Carpenter</t>
  </si>
  <si>
    <t>Timothy Bryan</t>
  </si>
  <si>
    <t>Matthew Hedtcke</t>
  </si>
  <si>
    <t>John R Culwell</t>
  </si>
  <si>
    <t>Paul Mcghee</t>
  </si>
  <si>
    <t>RunSignup Donations</t>
  </si>
  <si>
    <t>Total RunSignup Donations</t>
  </si>
  <si>
    <t>Square Race Day Registration</t>
  </si>
  <si>
    <t>Checks</t>
  </si>
  <si>
    <t>Chester and Carolyn Schmidt</t>
  </si>
  <si>
    <t>The Schmidt Foundation</t>
  </si>
  <si>
    <t>Total General Donations Revenue</t>
  </si>
  <si>
    <t>TOTAL INCOME</t>
  </si>
  <si>
    <t>EXPENSES</t>
  </si>
  <si>
    <t>RunSignup Ticket Processing Fee's</t>
  </si>
  <si>
    <t>Processing Fee's</t>
  </si>
  <si>
    <t>Sales Tax</t>
  </si>
  <si>
    <t>CloverGive Processing Fees</t>
  </si>
  <si>
    <t>Total RunSignup Fee's</t>
  </si>
  <si>
    <t>Race Consulting / Management Fee's</t>
  </si>
  <si>
    <t>Course Setup + Consult - Cristina Young</t>
  </si>
  <si>
    <t>RunSignup + Shipping - Zack Loggins</t>
  </si>
  <si>
    <t>Music City Race Timing (David/Leslie)</t>
  </si>
  <si>
    <t>Demetrius Short</t>
  </si>
  <si>
    <t>Vanessa Short</t>
  </si>
  <si>
    <t>Julia Sellers</t>
  </si>
  <si>
    <t>Total Race Consulting / Management Fee's</t>
  </si>
  <si>
    <t>Marketing and Additional Fees</t>
  </si>
  <si>
    <t>Finisher Medals + Shipping</t>
  </si>
  <si>
    <t>T-Shirts for Participants</t>
  </si>
  <si>
    <t>Facebook Post Boost</t>
  </si>
  <si>
    <t>Certificate of Insurance</t>
  </si>
  <si>
    <t>Metro Parks Rental (Shelby)</t>
  </si>
  <si>
    <t>Police For Race Day - Security</t>
  </si>
  <si>
    <t>Linwood Hawkins Marketing</t>
  </si>
  <si>
    <t>Uhaul</t>
  </si>
  <si>
    <t>Total Marketing Fees</t>
  </si>
  <si>
    <t>TOTAL EXPENSES</t>
  </si>
  <si>
    <t>NET INCOME (+/-)</t>
  </si>
  <si>
    <t xml:space="preserve">Student supply kit </t>
  </si>
  <si>
    <t>Completion Compensation</t>
  </si>
  <si>
    <t>Food</t>
  </si>
  <si>
    <t xml:space="preserve">Printing costs and materials </t>
  </si>
  <si>
    <t xml:space="preserve">Exposure Trip </t>
  </si>
  <si>
    <t xml:space="preserve">Facility Cost </t>
  </si>
  <si>
    <t xml:space="preserve">Curriculum - 5/3 Bank </t>
  </si>
  <si>
    <t>Race expenses</t>
  </si>
  <si>
    <t xml:space="preserve">P2SI (25 successors) </t>
  </si>
  <si>
    <t>Brown Boys Read (50)</t>
  </si>
  <si>
    <t>YBC (50)</t>
  </si>
  <si>
    <t>TLC Offices ($1800/mo)</t>
  </si>
  <si>
    <t xml:space="preserve">Supplies </t>
  </si>
  <si>
    <t>Marketing</t>
  </si>
  <si>
    <t xml:space="preserve">TLC Staff </t>
  </si>
  <si>
    <t>TOTAL ANN. BUDGET</t>
  </si>
  <si>
    <t>YBC</t>
  </si>
  <si>
    <t>Budget Summary</t>
  </si>
  <si>
    <t>Detail?</t>
  </si>
  <si>
    <t>P2SI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</si>
</sst>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[$$]#,##0"/>
    <numFmt numFmtId="166" formatCode="&quot;$&quot;#,##0.00"/>
    <numFmt numFmtId="167" formatCode="[$$-380A]\ #,##0.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Lato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 tint="-0.34998626667073579"/>
        <bgColor rgb="FFEFEFE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EB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4" fontId="2" fillId="2" borderId="0" xfId="0" applyNumberFormat="1" applyFont="1" applyFill="1"/>
    <xf numFmtId="164" fontId="2" fillId="0" borderId="0" xfId="0" applyNumberFormat="1" applyFont="1"/>
    <xf numFmtId="0" fontId="5" fillId="0" borderId="0" xfId="0" applyFont="1" applyAlignment="1">
      <alignment horizontal="right"/>
    </xf>
    <xf numFmtId="10" fontId="6" fillId="0" borderId="0" xfId="0" applyNumberFormat="1" applyFont="1"/>
    <xf numFmtId="0" fontId="6" fillId="0" borderId="0" xfId="0" applyFont="1"/>
    <xf numFmtId="0" fontId="2" fillId="2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9" fillId="0" borderId="0" xfId="0" applyFont="1"/>
    <xf numFmtId="166" fontId="9" fillId="0" borderId="0" xfId="0" applyNumberFormat="1" applyFont="1"/>
    <xf numFmtId="0" fontId="10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/>
    <xf numFmtId="3" fontId="1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6" fontId="14" fillId="0" borderId="0" xfId="0" applyNumberFormat="1" applyFont="1"/>
    <xf numFmtId="3" fontId="1" fillId="0" borderId="1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3" fontId="1" fillId="0" borderId="2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0" fillId="0" borderId="0" xfId="1" applyNumberFormat="1" applyFont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/>
    <xf numFmtId="164" fontId="2" fillId="3" borderId="0" xfId="0" applyNumberFormat="1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166" fontId="0" fillId="0" borderId="0" xfId="0" applyNumberFormat="1"/>
    <xf numFmtId="167" fontId="3" fillId="0" borderId="0" xfId="0" applyNumberFormat="1" applyFont="1"/>
    <xf numFmtId="0" fontId="0" fillId="0" borderId="5" xfId="0" applyBorder="1"/>
    <xf numFmtId="166" fontId="0" fillId="0" borderId="5" xfId="0" applyNumberFormat="1" applyBorder="1"/>
    <xf numFmtId="0" fontId="15" fillId="0" borderId="5" xfId="0" applyFont="1" applyBorder="1"/>
    <xf numFmtId="166" fontId="15" fillId="0" borderId="5" xfId="0" applyNumberFormat="1" applyFont="1" applyBorder="1"/>
    <xf numFmtId="0" fontId="4" fillId="0" borderId="0" xfId="0" applyFont="1"/>
    <xf numFmtId="0" fontId="15" fillId="0" borderId="0" xfId="0" applyFont="1"/>
    <xf numFmtId="0" fontId="16" fillId="0" borderId="5" xfId="0" applyFont="1" applyBorder="1"/>
    <xf numFmtId="166" fontId="16" fillId="0" borderId="5" xfId="0" applyNumberFormat="1" applyFont="1" applyBorder="1"/>
    <xf numFmtId="0" fontId="2" fillId="2" borderId="0" xfId="0" applyFont="1" applyFill="1" applyAlignment="1">
      <alignment horizontal="center"/>
    </xf>
    <xf numFmtId="0" fontId="0" fillId="0" borderId="0" xfId="0"/>
    <xf numFmtId="0" fontId="2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1B11-806C-4B8E-B12D-3C801F3ABB53}">
  <sheetPr>
    <pageSetUpPr fitToPage="1"/>
  </sheetPr>
  <dimension ref="A1:AE47"/>
  <sheetViews>
    <sheetView tabSelected="1" zoomScale="115" zoomScaleNormal="115" workbookViewId="0">
      <selection activeCell="F18" sqref="F18"/>
    </sheetView>
  </sheetViews>
  <sheetFormatPr defaultColWidth="14.46484375" defaultRowHeight="12.75" x14ac:dyDescent="0.35"/>
  <cols>
    <col min="1" max="1" width="39.53125" bestFit="1" customWidth="1"/>
  </cols>
  <sheetData>
    <row r="1" spans="1:31" ht="35.65" customHeight="1" x14ac:dyDescent="0.4">
      <c r="A1" s="14" t="s">
        <v>165</v>
      </c>
      <c r="B1" s="36" t="s">
        <v>0</v>
      </c>
      <c r="C1" s="36" t="s">
        <v>1</v>
      </c>
      <c r="D1" s="36" t="s">
        <v>2</v>
      </c>
      <c r="E1" s="52"/>
      <c r="F1" s="53"/>
      <c r="G1" s="52"/>
      <c r="H1" s="53"/>
      <c r="I1" s="52"/>
      <c r="J1" s="53"/>
      <c r="K1" s="52"/>
      <c r="L1" s="53"/>
      <c r="M1" s="52"/>
      <c r="N1" s="5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5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 x14ac:dyDescent="0.4">
      <c r="A3" s="2" t="s">
        <v>3</v>
      </c>
      <c r="B3" s="2">
        <v>31</v>
      </c>
      <c r="C3" s="2">
        <v>27</v>
      </c>
      <c r="D3" s="2">
        <v>25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customHeight="1" x14ac:dyDescent="0.4">
      <c r="A4" s="4" t="s">
        <v>4</v>
      </c>
      <c r="B4" s="6">
        <v>0</v>
      </c>
      <c r="C4" s="6">
        <v>0</v>
      </c>
      <c r="D4" s="6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4">
      <c r="A5" s="4" t="s">
        <v>5</v>
      </c>
      <c r="B5" s="6">
        <v>0</v>
      </c>
      <c r="C5" s="6">
        <v>0</v>
      </c>
      <c r="D5" s="6"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.75" customHeight="1" x14ac:dyDescent="0.4">
      <c r="A6" s="4" t="s">
        <v>6</v>
      </c>
      <c r="B6" s="6">
        <v>20000</v>
      </c>
      <c r="C6" s="6">
        <v>50000</v>
      </c>
      <c r="D6" s="43">
        <f>C6*0.2+C6</f>
        <v>60000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customHeight="1" x14ac:dyDescent="0.35">
      <c r="A7" s="4" t="s">
        <v>7</v>
      </c>
      <c r="B7" s="6">
        <v>25000</v>
      </c>
      <c r="C7" s="6">
        <v>25000</v>
      </c>
      <c r="D7" s="6">
        <v>25000</v>
      </c>
    </row>
    <row r="8" spans="1:31" ht="15.75" customHeight="1" x14ac:dyDescent="0.35">
      <c r="A8" s="4" t="s">
        <v>8</v>
      </c>
      <c r="B8" s="6">
        <v>0</v>
      </c>
      <c r="C8" s="6">
        <v>0</v>
      </c>
      <c r="D8" s="6">
        <v>0</v>
      </c>
    </row>
    <row r="9" spans="1:31" ht="15.75" customHeight="1" x14ac:dyDescent="0.4">
      <c r="A9" s="1" t="s">
        <v>9</v>
      </c>
      <c r="B9" s="7">
        <f>SUM(B4:B8)</f>
        <v>45000</v>
      </c>
      <c r="C9" s="7">
        <f>SUM(C4:C8)</f>
        <v>75000</v>
      </c>
      <c r="D9" s="7">
        <f>SUM(D4:D8)</f>
        <v>85000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x14ac:dyDescent="0.35">
      <c r="A10" s="4"/>
      <c r="B10" s="5"/>
      <c r="C10" s="5"/>
      <c r="D10" s="5"/>
    </row>
    <row r="11" spans="1:31" ht="15.75" customHeight="1" x14ac:dyDescent="0.4">
      <c r="A11" s="2" t="s">
        <v>10</v>
      </c>
      <c r="B11" s="8"/>
      <c r="C11" s="8"/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5.75" customHeight="1" x14ac:dyDescent="0.35">
      <c r="A12" s="4" t="s">
        <v>11</v>
      </c>
      <c r="B12" s="5">
        <f>SUM(B3*1000)</f>
        <v>31000</v>
      </c>
      <c r="C12" s="5">
        <f t="shared" ref="C12:D12" si="0">SUM(C3*1000)</f>
        <v>27000</v>
      </c>
      <c r="D12" s="5">
        <f t="shared" si="0"/>
        <v>25000</v>
      </c>
    </row>
    <row r="13" spans="1:31" ht="15.75" customHeight="1" x14ac:dyDescent="0.35">
      <c r="A13" s="4" t="s">
        <v>12</v>
      </c>
      <c r="B13" s="5">
        <f>250*10</f>
        <v>2500</v>
      </c>
      <c r="C13" s="5">
        <v>250</v>
      </c>
      <c r="D13" s="5">
        <v>750</v>
      </c>
    </row>
    <row r="14" spans="1:31" ht="15.75" customHeight="1" x14ac:dyDescent="0.4">
      <c r="A14" s="4" t="s">
        <v>13</v>
      </c>
      <c r="B14" s="5">
        <v>1350</v>
      </c>
      <c r="C14" s="5">
        <v>0</v>
      </c>
      <c r="D14" s="5">
        <v>1350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.75" customHeight="1" x14ac:dyDescent="0.4">
      <c r="A15" s="4" t="s">
        <v>14</v>
      </c>
      <c r="B15" s="5">
        <f>B3*15</f>
        <v>465</v>
      </c>
      <c r="C15" s="5">
        <v>0</v>
      </c>
      <c r="D15" s="5">
        <v>485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.75" customHeight="1" x14ac:dyDescent="0.4">
      <c r="A16" s="4" t="s">
        <v>15</v>
      </c>
      <c r="B16" s="5">
        <v>500</v>
      </c>
      <c r="C16" s="5">
        <v>323</v>
      </c>
      <c r="D16" s="5">
        <v>500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customHeight="1" x14ac:dyDescent="0.4">
      <c r="A17" s="4" t="s">
        <v>16</v>
      </c>
      <c r="B17" s="5">
        <v>500</v>
      </c>
      <c r="C17" s="5">
        <v>457</v>
      </c>
      <c r="D17" s="5">
        <v>250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customHeight="1" x14ac:dyDescent="0.35">
      <c r="A18" s="4" t="s">
        <v>17</v>
      </c>
      <c r="B18" s="5">
        <f>B3*5*10</f>
        <v>1550</v>
      </c>
      <c r="C18" s="5">
        <v>2326</v>
      </c>
      <c r="D18" s="5">
        <v>2500</v>
      </c>
    </row>
    <row r="19" spans="1:31" ht="15.75" customHeight="1" x14ac:dyDescent="0.4">
      <c r="A19" s="4" t="s">
        <v>18</v>
      </c>
      <c r="B19" s="5">
        <f>B3*30</f>
        <v>930</v>
      </c>
      <c r="C19" s="5">
        <v>500</v>
      </c>
      <c r="D19" s="5">
        <v>500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4">
      <c r="A20" s="4" t="s">
        <v>19</v>
      </c>
      <c r="B20" s="5">
        <v>850</v>
      </c>
      <c r="C20" s="5">
        <v>0</v>
      </c>
      <c r="D20" s="5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 x14ac:dyDescent="0.4">
      <c r="A21" s="4" t="s">
        <v>20</v>
      </c>
      <c r="B21" s="5">
        <v>250</v>
      </c>
      <c r="C21" s="5">
        <v>0</v>
      </c>
      <c r="D21" s="5">
        <v>250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 x14ac:dyDescent="0.35">
      <c r="A22" s="4" t="s">
        <v>21</v>
      </c>
      <c r="B22" s="5">
        <v>500</v>
      </c>
      <c r="C22" s="5">
        <v>500</v>
      </c>
      <c r="D22" s="5">
        <v>500</v>
      </c>
    </row>
    <row r="23" spans="1:31" ht="15.75" customHeight="1" x14ac:dyDescent="0.35">
      <c r="A23" s="4" t="s">
        <v>22</v>
      </c>
      <c r="B23" s="5">
        <v>250</v>
      </c>
      <c r="C23" s="5">
        <v>0</v>
      </c>
      <c r="D23" s="5">
        <v>250</v>
      </c>
    </row>
    <row r="24" spans="1:31" ht="15.75" customHeight="1" x14ac:dyDescent="0.4">
      <c r="A24" s="4" t="s">
        <v>23</v>
      </c>
      <c r="B24" s="5">
        <v>250</v>
      </c>
      <c r="C24" s="5">
        <v>0</v>
      </c>
      <c r="D24" s="5">
        <v>0</v>
      </c>
      <c r="E24" s="2"/>
      <c r="F24" s="2"/>
      <c r="G24" s="2"/>
      <c r="H24" s="2">
        <v>1600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35">
      <c r="A25" s="4" t="s">
        <v>24</v>
      </c>
      <c r="B25" s="5">
        <f>B3*25</f>
        <v>775</v>
      </c>
      <c r="C25" s="5">
        <v>0</v>
      </c>
      <c r="D25" s="5">
        <v>2000</v>
      </c>
      <c r="I25">
        <v>1000</v>
      </c>
    </row>
    <row r="26" spans="1:31" ht="15.75" customHeight="1" x14ac:dyDescent="0.35">
      <c r="A26" s="4" t="s">
        <v>25</v>
      </c>
      <c r="B26" s="5">
        <v>1200</v>
      </c>
      <c r="C26" s="5">
        <v>1200</v>
      </c>
      <c r="D26" s="5">
        <v>1200</v>
      </c>
    </row>
    <row r="27" spans="1:31" ht="15.75" customHeight="1" x14ac:dyDescent="0.35">
      <c r="A27" s="4" t="s">
        <v>26</v>
      </c>
      <c r="B27" s="5">
        <v>2500</v>
      </c>
      <c r="C27" s="5">
        <v>1584</v>
      </c>
      <c r="D27" s="5">
        <v>2000</v>
      </c>
      <c r="I27">
        <v>600</v>
      </c>
    </row>
    <row r="28" spans="1:31" ht="15.75" customHeight="1" x14ac:dyDescent="0.4">
      <c r="A28" s="1" t="s">
        <v>27</v>
      </c>
      <c r="B28" s="7">
        <f>SUM(B12:B27)</f>
        <v>45370</v>
      </c>
      <c r="C28" s="7">
        <f>SUM(C12:C27)</f>
        <v>34140</v>
      </c>
      <c r="D28" s="7">
        <f>SUM(D12:D27)</f>
        <v>37535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4">
      <c r="A29" s="2"/>
      <c r="B29" s="8"/>
      <c r="C29" s="8"/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 x14ac:dyDescent="0.4">
      <c r="A30" s="2" t="s">
        <v>28</v>
      </c>
      <c r="B30" s="8"/>
      <c r="C30" s="8"/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 x14ac:dyDescent="0.4">
      <c r="A31" s="4" t="s">
        <v>29</v>
      </c>
      <c r="B31" s="5">
        <v>1500</v>
      </c>
      <c r="C31" s="5">
        <v>250</v>
      </c>
      <c r="D31" s="5">
        <v>5000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 x14ac:dyDescent="0.35">
      <c r="A32" s="4" t="s">
        <v>30</v>
      </c>
      <c r="B32" s="5">
        <v>5000</v>
      </c>
      <c r="C32" s="5">
        <v>5000</v>
      </c>
      <c r="D32" s="5">
        <v>15000</v>
      </c>
    </row>
    <row r="33" spans="1:31" ht="15.75" customHeight="1" x14ac:dyDescent="0.35">
      <c r="A33" s="4" t="s">
        <v>31</v>
      </c>
      <c r="B33" s="5">
        <v>5000</v>
      </c>
      <c r="C33" s="5">
        <v>5000</v>
      </c>
      <c r="D33" s="5">
        <v>10000</v>
      </c>
    </row>
    <row r="34" spans="1:31" ht="15.75" customHeight="1" x14ac:dyDescent="0.35">
      <c r="A34" s="4" t="s">
        <v>32</v>
      </c>
      <c r="B34" s="5">
        <v>5000</v>
      </c>
      <c r="C34" s="5">
        <v>3000</v>
      </c>
      <c r="D34" s="5">
        <v>10000</v>
      </c>
    </row>
    <row r="35" spans="1:31" ht="15.75" customHeight="1" x14ac:dyDescent="0.35">
      <c r="A35" s="4" t="s">
        <v>33</v>
      </c>
      <c r="B35" s="5"/>
      <c r="C35" s="5">
        <v>5000</v>
      </c>
      <c r="D35" s="5">
        <v>5000</v>
      </c>
    </row>
    <row r="36" spans="1:31" ht="15.75" customHeight="1" x14ac:dyDescent="0.4">
      <c r="A36" s="1" t="s">
        <v>34</v>
      </c>
      <c r="B36" s="7">
        <f>SUM(B31:B34)</f>
        <v>16500</v>
      </c>
      <c r="C36" s="7">
        <f>SUM(C31:C35)</f>
        <v>18250</v>
      </c>
      <c r="D36" s="7">
        <f>SUM(D31:D35)</f>
        <v>45000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4">
      <c r="A37" s="1"/>
      <c r="B37" s="7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39" customFormat="1" ht="15.75" customHeight="1" x14ac:dyDescent="0.4">
      <c r="A38" s="37" t="s">
        <v>35</v>
      </c>
      <c r="B38" s="38">
        <f>SUM(B28+B36)</f>
        <v>61870</v>
      </c>
      <c r="C38" s="38">
        <f t="shared" ref="C38:D38" si="1">SUM(C28+C36)</f>
        <v>52390</v>
      </c>
      <c r="D38" s="38">
        <f t="shared" si="1"/>
        <v>82535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ht="15.75" customHeight="1" x14ac:dyDescent="0.4">
      <c r="A39" s="1"/>
      <c r="B39" s="7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4">
      <c r="A40" s="1" t="s">
        <v>36</v>
      </c>
      <c r="B40" s="7">
        <f>B9-B28-B36</f>
        <v>-16870</v>
      </c>
      <c r="C40" s="7">
        <f>C9-C28</f>
        <v>40860</v>
      </c>
      <c r="D40" s="7">
        <f>D9-D28</f>
        <v>47465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6">
      <c r="A41" s="9" t="s">
        <v>37</v>
      </c>
      <c r="B41" s="10">
        <f>B40/B9</f>
        <v>-0.37488888888888888</v>
      </c>
      <c r="C41" s="10">
        <f>C40/C9</f>
        <v>0.54479999999999995</v>
      </c>
      <c r="D41" s="10">
        <f>D40/D9</f>
        <v>0.55841176470588239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ht="15.75" customHeight="1" x14ac:dyDescent="0.6">
      <c r="A42" s="9"/>
      <c r="B42" s="8"/>
      <c r="C42" s="8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4" spans="1:31" ht="15.75" customHeight="1" x14ac:dyDescent="0.4">
      <c r="A44" s="12" t="s">
        <v>38</v>
      </c>
      <c r="B44" s="7">
        <f>B40-B36</f>
        <v>-33370</v>
      </c>
      <c r="C44" s="7">
        <f>C40-C36</f>
        <v>22610</v>
      </c>
      <c r="D44" s="7">
        <f>D40-D36</f>
        <v>2465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35">
      <c r="A45" s="13" t="s">
        <v>39</v>
      </c>
      <c r="B45" s="10">
        <f>B44/B9</f>
        <v>-0.74155555555555552</v>
      </c>
      <c r="C45" s="10">
        <f>C44/C9</f>
        <v>0.30146666666666666</v>
      </c>
      <c r="D45" s="10">
        <f>D44/D9</f>
        <v>2.9000000000000001E-2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ht="15.7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15" x14ac:dyDescent="0.4">
      <c r="A47" s="15" t="s">
        <v>40</v>
      </c>
      <c r="B47" s="16">
        <f>(B28+B36)/B3</f>
        <v>1995.8064516129032</v>
      </c>
      <c r="C47" s="16">
        <f t="shared" ref="C47:D47" si="2">(C28+C36)/C3</f>
        <v>1940.3703703703704</v>
      </c>
      <c r="D47" s="16">
        <f t="shared" si="2"/>
        <v>3301.4</v>
      </c>
    </row>
  </sheetData>
  <mergeCells count="5">
    <mergeCell ref="E1:F1"/>
    <mergeCell ref="G1:H1"/>
    <mergeCell ref="I1:J1"/>
    <mergeCell ref="K1:L1"/>
    <mergeCell ref="M1:N1"/>
  </mergeCells>
  <pageMargins left="0.7" right="0.7" top="0.75" bottom="0.75" header="0.3" footer="0.3"/>
  <pageSetup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34F62-DCF7-42FB-8FF7-A03D9B3ABC07}">
  <sheetPr>
    <pageSetUpPr fitToPage="1"/>
  </sheetPr>
  <dimension ref="A1:AE39"/>
  <sheetViews>
    <sheetView workbookViewId="0"/>
  </sheetViews>
  <sheetFormatPr defaultColWidth="14.46484375" defaultRowHeight="12.75" x14ac:dyDescent="0.35"/>
  <cols>
    <col min="1" max="1" width="39.53125" bestFit="1" customWidth="1"/>
  </cols>
  <sheetData>
    <row r="1" spans="1:31" ht="15.75" customHeight="1" x14ac:dyDescent="0.4">
      <c r="A1" s="14"/>
      <c r="B1" s="14" t="s">
        <v>41</v>
      </c>
      <c r="C1" s="14" t="s">
        <v>42</v>
      </c>
      <c r="D1" s="14" t="s">
        <v>43</v>
      </c>
      <c r="E1" s="52"/>
      <c r="F1" s="53"/>
      <c r="G1" s="52"/>
      <c r="H1" s="53"/>
      <c r="I1" s="52"/>
      <c r="J1" s="53"/>
      <c r="K1" s="52"/>
      <c r="L1" s="53"/>
      <c r="M1" s="52"/>
      <c r="N1" s="5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5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 x14ac:dyDescent="0.4">
      <c r="A3" s="2" t="s">
        <v>3</v>
      </c>
      <c r="B3" s="2">
        <v>25</v>
      </c>
      <c r="C3" s="2">
        <v>25</v>
      </c>
      <c r="D3" s="2">
        <v>100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customHeight="1" x14ac:dyDescent="0.4">
      <c r="A4" s="4" t="s">
        <v>4</v>
      </c>
      <c r="B4" s="6">
        <v>30000</v>
      </c>
      <c r="C4" s="6">
        <v>40000</v>
      </c>
      <c r="D4" s="6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4">
      <c r="A5" s="4" t="s">
        <v>5</v>
      </c>
      <c r="B5" s="6">
        <v>0</v>
      </c>
      <c r="C5" s="6">
        <v>1500</v>
      </c>
      <c r="D5" s="6">
        <v>2500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.75" customHeight="1" x14ac:dyDescent="0.4">
      <c r="A6" s="4" t="s">
        <v>6</v>
      </c>
      <c r="B6" s="6">
        <v>0</v>
      </c>
      <c r="C6" s="6">
        <v>10000</v>
      </c>
      <c r="D6" s="43">
        <v>15000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customHeight="1" x14ac:dyDescent="0.35">
      <c r="A7" s="4" t="s">
        <v>44</v>
      </c>
      <c r="B7" s="6">
        <v>0</v>
      </c>
      <c r="C7" s="6">
        <v>5000</v>
      </c>
      <c r="D7" s="6">
        <v>8000</v>
      </c>
    </row>
    <row r="8" spans="1:31" ht="15.75" customHeight="1" x14ac:dyDescent="0.4">
      <c r="A8" s="1" t="s">
        <v>9</v>
      </c>
      <c r="B8" s="7">
        <f>SUM(B4:B7)</f>
        <v>30000</v>
      </c>
      <c r="C8" s="7">
        <f>SUM(C4:C7)</f>
        <v>56500</v>
      </c>
      <c r="D8" s="7">
        <f>SUM(D4:D7)</f>
        <v>25500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 x14ac:dyDescent="0.35">
      <c r="A9" s="4"/>
      <c r="B9" s="5"/>
      <c r="C9" s="5"/>
      <c r="D9" s="5"/>
    </row>
    <row r="10" spans="1:31" s="41" customFormat="1" ht="15.75" customHeight="1" x14ac:dyDescent="0.4">
      <c r="A10" s="54" t="s">
        <v>45</v>
      </c>
      <c r="B10" s="54"/>
      <c r="C10" s="54"/>
      <c r="D10" s="54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1:31" ht="15.75" customHeight="1" x14ac:dyDescent="0.35">
      <c r="A11" s="4" t="s">
        <v>46</v>
      </c>
      <c r="B11" s="5">
        <f>B3*85</f>
        <v>2125</v>
      </c>
      <c r="C11" s="5">
        <f t="shared" ref="C11" si="0">C3*85</f>
        <v>2125</v>
      </c>
      <c r="D11" s="5">
        <f>D3*75</f>
        <v>7500</v>
      </c>
    </row>
    <row r="12" spans="1:31" ht="15.75" customHeight="1" x14ac:dyDescent="0.4">
      <c r="A12" s="4" t="s">
        <v>47</v>
      </c>
      <c r="B12" s="5">
        <f>24*B3</f>
        <v>600</v>
      </c>
      <c r="C12" s="5">
        <f t="shared" ref="C12:D12" si="1">24*C3</f>
        <v>600</v>
      </c>
      <c r="D12" s="5">
        <f t="shared" si="1"/>
        <v>2400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.75" customHeight="1" x14ac:dyDescent="0.4">
      <c r="A13" s="4" t="s">
        <v>48</v>
      </c>
      <c r="B13" s="5">
        <f t="shared" ref="B13:C13" si="2">1.5*B3</f>
        <v>37.5</v>
      </c>
      <c r="C13" s="5">
        <f t="shared" si="2"/>
        <v>37.5</v>
      </c>
      <c r="D13" s="5">
        <f>1.5*D3</f>
        <v>150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customHeight="1" x14ac:dyDescent="0.4">
      <c r="A14" s="4" t="s">
        <v>49</v>
      </c>
      <c r="B14" s="5">
        <f t="shared" ref="B14:C14" si="3">2*B3</f>
        <v>50</v>
      </c>
      <c r="C14" s="5">
        <f t="shared" si="3"/>
        <v>50</v>
      </c>
      <c r="D14" s="5">
        <f>2*D3</f>
        <v>200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.75" customHeight="1" x14ac:dyDescent="0.4">
      <c r="A15" s="4" t="s">
        <v>50</v>
      </c>
      <c r="B15" s="5">
        <f>B3*15</f>
        <v>375</v>
      </c>
      <c r="C15" s="5">
        <f>C3*15</f>
        <v>375</v>
      </c>
      <c r="D15" s="5">
        <f>D3*15</f>
        <v>1500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.75" customHeight="1" x14ac:dyDescent="0.4">
      <c r="A16" s="4" t="s">
        <v>51</v>
      </c>
      <c r="B16" s="5">
        <v>3250</v>
      </c>
      <c r="C16" s="5"/>
      <c r="D16" s="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customHeight="1" x14ac:dyDescent="0.4">
      <c r="A17" s="4" t="s">
        <v>52</v>
      </c>
      <c r="B17" s="5">
        <f t="shared" ref="B17:C17" si="4">B3*(8*15)</f>
        <v>3000</v>
      </c>
      <c r="C17" s="5">
        <f t="shared" si="4"/>
        <v>3000</v>
      </c>
      <c r="D17" s="5">
        <f>D3*(8*15)</f>
        <v>12000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customHeight="1" x14ac:dyDescent="0.35">
      <c r="A18" s="4" t="s">
        <v>53</v>
      </c>
      <c r="B18" s="5">
        <f>B3*5*10</f>
        <v>1250</v>
      </c>
      <c r="C18" s="5">
        <f>C3*5*10</f>
        <v>1250</v>
      </c>
      <c r="D18" s="5">
        <f>D3*75</f>
        <v>7500</v>
      </c>
    </row>
    <row r="19" spans="1:31" ht="15.75" customHeight="1" x14ac:dyDescent="0.4">
      <c r="A19" s="4" t="s">
        <v>54</v>
      </c>
      <c r="B19" s="5">
        <v>850</v>
      </c>
      <c r="C19" s="5">
        <v>0</v>
      </c>
      <c r="D19" s="5">
        <f>D3*60</f>
        <v>6000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35">
      <c r="A20" s="4" t="s">
        <v>26</v>
      </c>
      <c r="B20" s="5">
        <v>1000</v>
      </c>
      <c r="C20" s="5">
        <v>1000</v>
      </c>
      <c r="D20" s="5">
        <f>D3*20+2000</f>
        <v>4000</v>
      </c>
      <c r="I20">
        <v>600</v>
      </c>
    </row>
    <row r="21" spans="1:31" ht="15.75" customHeight="1" x14ac:dyDescent="0.4">
      <c r="A21" s="1" t="s">
        <v>27</v>
      </c>
      <c r="B21" s="7">
        <f>SUM(B11:B20)</f>
        <v>12537.5</v>
      </c>
      <c r="C21" s="7">
        <f>SUM(C11:C20)</f>
        <v>8437.5</v>
      </c>
      <c r="D21" s="7">
        <f>SUM(D11:D20)</f>
        <v>41250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4">
      <c r="A22" s="2"/>
      <c r="B22" s="8"/>
      <c r="C22" s="8"/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4">
      <c r="A23" s="2" t="s">
        <v>28</v>
      </c>
      <c r="B23" s="8"/>
      <c r="C23" s="8"/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4">
      <c r="A24" s="4" t="s">
        <v>29</v>
      </c>
      <c r="B24" s="5">
        <v>500</v>
      </c>
      <c r="C24" s="5">
        <v>500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35">
      <c r="A25" s="4" t="s">
        <v>30</v>
      </c>
      <c r="B25" s="5">
        <v>5000</v>
      </c>
      <c r="C25" s="5">
        <v>5000</v>
      </c>
      <c r="D25" s="5">
        <v>12000</v>
      </c>
    </row>
    <row r="26" spans="1:31" ht="15.75" customHeight="1" x14ac:dyDescent="0.35">
      <c r="A26" s="4" t="s">
        <v>31</v>
      </c>
      <c r="B26" s="5">
        <v>5000</v>
      </c>
      <c r="C26" s="5">
        <v>5000</v>
      </c>
      <c r="D26" s="5">
        <v>8000</v>
      </c>
    </row>
    <row r="27" spans="1:31" ht="15.75" customHeight="1" x14ac:dyDescent="0.35">
      <c r="A27" s="4" t="s">
        <v>32</v>
      </c>
      <c r="B27" s="5">
        <v>5000</v>
      </c>
      <c r="C27" s="5">
        <v>5000</v>
      </c>
      <c r="D27" s="5">
        <v>5000</v>
      </c>
    </row>
    <row r="28" spans="1:31" ht="15.75" customHeight="1" x14ac:dyDescent="0.4">
      <c r="A28" s="1" t="s">
        <v>34</v>
      </c>
      <c r="B28" s="7">
        <f>SUM(B24:B27)</f>
        <v>15500</v>
      </c>
      <c r="C28" s="7">
        <f>SUM(C24:C27)</f>
        <v>15500</v>
      </c>
      <c r="D28" s="7">
        <f>SUM(D24:D27)</f>
        <v>25000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4">
      <c r="A29" s="1"/>
      <c r="B29" s="7"/>
      <c r="C29" s="7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4">
      <c r="A30" s="1" t="s">
        <v>55</v>
      </c>
      <c r="B30" s="7">
        <f t="shared" ref="B30:C30" si="5">SUM(B28+B21)</f>
        <v>28037.5</v>
      </c>
      <c r="C30" s="7">
        <f t="shared" si="5"/>
        <v>23937.5</v>
      </c>
      <c r="D30" s="7">
        <f>SUM(D28+D21)</f>
        <v>66250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4">
      <c r="A31" s="1"/>
      <c r="B31" s="7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4">
      <c r="A32" s="1" t="s">
        <v>36</v>
      </c>
      <c r="B32" s="7">
        <f>B8-B21-B28</f>
        <v>1962.5</v>
      </c>
      <c r="C32" s="7">
        <f>C8-C21</f>
        <v>48062.5</v>
      </c>
      <c r="D32" s="7">
        <f>D8-D21</f>
        <v>-15750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6">
      <c r="A33" s="9" t="s">
        <v>37</v>
      </c>
      <c r="B33" s="10">
        <f>B32/B8</f>
        <v>6.5416666666666665E-2</v>
      </c>
      <c r="C33" s="10">
        <f>C32/C8</f>
        <v>0.85066371681415931</v>
      </c>
      <c r="D33" s="10">
        <f>D32/D8</f>
        <v>-0.61764705882352944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 x14ac:dyDescent="0.6">
      <c r="A34" s="9"/>
      <c r="B34" s="8"/>
      <c r="C34" s="8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6" spans="1:31" ht="15.75" customHeight="1" x14ac:dyDescent="0.4">
      <c r="A36" s="12" t="s">
        <v>38</v>
      </c>
      <c r="B36" s="7">
        <f>B32-B28</f>
        <v>-13537.5</v>
      </c>
      <c r="C36" s="7">
        <f>C32-C28</f>
        <v>32562.5</v>
      </c>
      <c r="D36" s="7">
        <f>D32-D28</f>
        <v>-40750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35">
      <c r="A37" s="13" t="s">
        <v>39</v>
      </c>
      <c r="B37" s="10">
        <f>B36/B8</f>
        <v>-0.45124999999999998</v>
      </c>
      <c r="C37" s="10">
        <f>C36/C8</f>
        <v>0.57632743362831862</v>
      </c>
      <c r="D37" s="10">
        <f>D36/D8</f>
        <v>-1.5980392156862746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5.75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15" x14ac:dyDescent="0.4">
      <c r="A39" s="15" t="s">
        <v>40</v>
      </c>
      <c r="B39" s="16">
        <f>(B21+B28)/B3</f>
        <v>1121.5</v>
      </c>
      <c r="C39" s="16">
        <f>(C21+C28)/C3</f>
        <v>957.5</v>
      </c>
      <c r="D39" s="16">
        <f>(D21+D28)/D3</f>
        <v>662.5</v>
      </c>
    </row>
  </sheetData>
  <mergeCells count="6">
    <mergeCell ref="M1:N1"/>
    <mergeCell ref="A10:D10"/>
    <mergeCell ref="E1:F1"/>
    <mergeCell ref="G1:H1"/>
    <mergeCell ref="I1:J1"/>
    <mergeCell ref="K1:L1"/>
  </mergeCells>
  <pageMargins left="0.7" right="0.7" top="0.75" bottom="0.75" header="0.3" footer="0.3"/>
  <pageSetup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B607-29A3-4EC1-97B2-C3589F5D9888}">
  <sheetPr>
    <pageSetUpPr fitToPage="1"/>
  </sheetPr>
  <dimension ref="A1:N148"/>
  <sheetViews>
    <sheetView workbookViewId="0">
      <selection activeCell="F57" sqref="F57"/>
    </sheetView>
  </sheetViews>
  <sheetFormatPr defaultColWidth="9" defaultRowHeight="12.75" x14ac:dyDescent="0.35"/>
  <cols>
    <col min="1" max="5" width="2.53125" customWidth="1"/>
    <col min="6" max="6" width="27.265625" customWidth="1"/>
    <col min="7" max="7" width="1.73046875" style="18" customWidth="1"/>
    <col min="8" max="8" width="10.19921875" style="19" customWidth="1"/>
    <col min="9" max="9" width="29" style="19" customWidth="1"/>
  </cols>
  <sheetData>
    <row r="1" spans="1:14" ht="18" x14ac:dyDescent="0.55000000000000004">
      <c r="A1" s="17" t="s">
        <v>56</v>
      </c>
    </row>
    <row r="2" spans="1:14" ht="15.75" x14ac:dyDescent="0.5">
      <c r="A2" s="20" t="s">
        <v>57</v>
      </c>
    </row>
    <row r="3" spans="1:14" ht="15.75" x14ac:dyDescent="0.5">
      <c r="A3" s="20" t="s">
        <v>58</v>
      </c>
    </row>
    <row r="5" spans="1:14" ht="30" customHeight="1" x14ac:dyDescent="0.45">
      <c r="G5" s="21"/>
      <c r="H5" s="22" t="s">
        <v>59</v>
      </c>
      <c r="I5" s="22" t="s">
        <v>60</v>
      </c>
    </row>
    <row r="6" spans="1:14" ht="15.75" x14ac:dyDescent="0.5">
      <c r="A6" s="20" t="s">
        <v>61</v>
      </c>
    </row>
    <row r="7" spans="1:14" ht="7.15" customHeight="1" x14ac:dyDescent="0.45">
      <c r="A7" s="23"/>
    </row>
    <row r="8" spans="1:14" ht="14.25" x14ac:dyDescent="0.45">
      <c r="B8" s="23" t="s">
        <v>62</v>
      </c>
      <c r="H8" s="24"/>
      <c r="I8" s="25"/>
    </row>
    <row r="9" spans="1:14" ht="14.25" x14ac:dyDescent="0.45">
      <c r="B9" s="23"/>
      <c r="C9" t="s">
        <v>63</v>
      </c>
      <c r="H9" s="24">
        <v>13000</v>
      </c>
      <c r="I9" s="25" t="s">
        <v>64</v>
      </c>
    </row>
    <row r="10" spans="1:14" ht="14.25" x14ac:dyDescent="0.45">
      <c r="B10" s="23"/>
      <c r="C10" t="s">
        <v>63</v>
      </c>
      <c r="H10" s="24">
        <v>10000</v>
      </c>
      <c r="I10" s="25" t="s">
        <v>65</v>
      </c>
    </row>
    <row r="11" spans="1:14" ht="14.25" x14ac:dyDescent="0.45">
      <c r="B11" s="23"/>
      <c r="C11" t="s">
        <v>66</v>
      </c>
      <c r="H11" s="24">
        <v>5000</v>
      </c>
      <c r="I11" s="25" t="s">
        <v>67</v>
      </c>
      <c r="K11" t="s">
        <v>68</v>
      </c>
      <c r="L11" t="s">
        <v>69</v>
      </c>
      <c r="M11" t="s">
        <v>70</v>
      </c>
      <c r="N11" t="s">
        <v>71</v>
      </c>
    </row>
    <row r="12" spans="1:14" ht="14.25" x14ac:dyDescent="0.45">
      <c r="C12" t="s">
        <v>66</v>
      </c>
      <c r="H12" s="24">
        <v>890</v>
      </c>
      <c r="I12" s="25" t="s">
        <v>72</v>
      </c>
      <c r="J12" s="26"/>
      <c r="K12">
        <v>420</v>
      </c>
      <c r="L12">
        <v>250</v>
      </c>
      <c r="M12">
        <v>120</v>
      </c>
      <c r="N12">
        <v>100</v>
      </c>
    </row>
    <row r="13" spans="1:14" ht="14.25" x14ac:dyDescent="0.45">
      <c r="C13" t="s">
        <v>73</v>
      </c>
      <c r="H13" s="24">
        <v>1500</v>
      </c>
      <c r="I13" s="25" t="s">
        <v>74</v>
      </c>
      <c r="J13" s="26"/>
    </row>
    <row r="14" spans="1:14" ht="14.25" x14ac:dyDescent="0.45">
      <c r="C14" t="s">
        <v>75</v>
      </c>
      <c r="H14" s="24">
        <v>3640</v>
      </c>
      <c r="I14" s="25" t="s">
        <v>76</v>
      </c>
      <c r="J14" s="26"/>
    </row>
    <row r="15" spans="1:14" ht="14.25" x14ac:dyDescent="0.45">
      <c r="C15" t="s">
        <v>77</v>
      </c>
      <c r="H15" s="24">
        <v>350</v>
      </c>
      <c r="I15" s="25" t="s">
        <v>78</v>
      </c>
      <c r="J15" s="26"/>
    </row>
    <row r="16" spans="1:14" ht="14.25" x14ac:dyDescent="0.45">
      <c r="C16" t="s">
        <v>77</v>
      </c>
      <c r="H16" s="24">
        <v>350</v>
      </c>
      <c r="I16" s="25" t="s">
        <v>79</v>
      </c>
      <c r="J16" s="26"/>
    </row>
    <row r="17" spans="2:10" ht="14.25" x14ac:dyDescent="0.45">
      <c r="C17" t="s">
        <v>77</v>
      </c>
      <c r="H17" s="24">
        <v>350</v>
      </c>
      <c r="I17" s="25" t="s">
        <v>80</v>
      </c>
      <c r="J17" s="26"/>
    </row>
    <row r="18" spans="2:10" ht="14.25" x14ac:dyDescent="0.45">
      <c r="C18" t="s">
        <v>77</v>
      </c>
      <c r="H18" s="24">
        <v>350</v>
      </c>
      <c r="I18" s="25" t="s">
        <v>81</v>
      </c>
      <c r="J18" s="26"/>
    </row>
    <row r="19" spans="2:10" ht="14.25" x14ac:dyDescent="0.45">
      <c r="C19" t="s">
        <v>77</v>
      </c>
      <c r="H19" s="24">
        <v>350</v>
      </c>
      <c r="I19" s="25" t="s">
        <v>82</v>
      </c>
      <c r="J19" s="26"/>
    </row>
    <row r="20" spans="2:10" ht="14.25" x14ac:dyDescent="0.45">
      <c r="C20" t="s">
        <v>77</v>
      </c>
      <c r="H20" s="24">
        <v>350</v>
      </c>
      <c r="I20" s="25" t="s">
        <v>83</v>
      </c>
      <c r="J20" s="26"/>
    </row>
    <row r="21" spans="2:10" ht="14.25" x14ac:dyDescent="0.45">
      <c r="C21" t="s">
        <v>84</v>
      </c>
      <c r="H21" s="24">
        <v>175</v>
      </c>
      <c r="I21" s="25" t="s">
        <v>85</v>
      </c>
      <c r="J21" s="26"/>
    </row>
    <row r="22" spans="2:10" ht="14.25" x14ac:dyDescent="0.45">
      <c r="C22" t="s">
        <v>86</v>
      </c>
      <c r="H22" s="24">
        <v>300</v>
      </c>
      <c r="I22" s="25" t="s">
        <v>87</v>
      </c>
      <c r="J22" s="26"/>
    </row>
    <row r="23" spans="2:10" ht="14.25" x14ac:dyDescent="0.45">
      <c r="C23" t="s">
        <v>88</v>
      </c>
      <c r="H23" s="24">
        <v>500</v>
      </c>
      <c r="I23" s="25" t="s">
        <v>89</v>
      </c>
      <c r="J23" s="26"/>
    </row>
    <row r="24" spans="2:10" ht="14.25" x14ac:dyDescent="0.45">
      <c r="H24" s="27"/>
      <c r="I24" s="27"/>
      <c r="J24" s="26"/>
    </row>
    <row r="25" spans="2:10" ht="14.25" x14ac:dyDescent="0.45">
      <c r="B25" s="23" t="s">
        <v>90</v>
      </c>
      <c r="H25" s="28"/>
      <c r="I25" s="29">
        <f>SUM(H9:H24)</f>
        <v>37105</v>
      </c>
      <c r="J25" s="26"/>
    </row>
    <row r="26" spans="2:10" ht="14.25" x14ac:dyDescent="0.45">
      <c r="B26" s="23"/>
      <c r="H26" s="28"/>
      <c r="I26" s="29"/>
      <c r="J26" s="26"/>
    </row>
    <row r="27" spans="2:10" ht="14.25" x14ac:dyDescent="0.45">
      <c r="B27" s="23" t="s">
        <v>91</v>
      </c>
      <c r="H27" s="24"/>
      <c r="I27" s="25"/>
      <c r="J27" s="26"/>
    </row>
    <row r="28" spans="2:10" ht="14.25" x14ac:dyDescent="0.45">
      <c r="C28" t="s">
        <v>92</v>
      </c>
      <c r="H28" s="24">
        <v>250</v>
      </c>
      <c r="I28" s="25"/>
      <c r="J28" s="26"/>
    </row>
    <row r="29" spans="2:10" ht="14.25" x14ac:dyDescent="0.45">
      <c r="H29" s="24"/>
      <c r="I29" s="25"/>
      <c r="J29" s="26"/>
    </row>
    <row r="30" spans="2:10" ht="14.25" x14ac:dyDescent="0.45">
      <c r="B30" s="23" t="s">
        <v>93</v>
      </c>
      <c r="G30"/>
      <c r="H30" s="30"/>
      <c r="I30" s="31">
        <f>SUM(H28:H28)</f>
        <v>250</v>
      </c>
    </row>
    <row r="31" spans="2:10" ht="14.25" x14ac:dyDescent="0.45">
      <c r="B31" s="23"/>
      <c r="H31" s="28"/>
      <c r="I31" s="28"/>
    </row>
    <row r="32" spans="2:10" ht="14.25" x14ac:dyDescent="0.45">
      <c r="B32" s="23" t="s">
        <v>94</v>
      </c>
      <c r="H32" s="24"/>
      <c r="I32" s="28"/>
    </row>
    <row r="33" spans="2:9" ht="14.25" x14ac:dyDescent="0.45">
      <c r="B33" s="23"/>
      <c r="C33" t="s">
        <v>95</v>
      </c>
      <c r="H33" s="32">
        <v>11061</v>
      </c>
      <c r="I33" s="33" t="s">
        <v>96</v>
      </c>
    </row>
    <row r="34" spans="2:9" ht="14.25" x14ac:dyDescent="0.45">
      <c r="B34" s="23"/>
      <c r="H34" s="28"/>
      <c r="I34" s="28"/>
    </row>
    <row r="35" spans="2:9" ht="14.25" x14ac:dyDescent="0.45">
      <c r="B35" s="23" t="s">
        <v>97</v>
      </c>
      <c r="G35"/>
      <c r="H35" s="30"/>
      <c r="I35" s="31">
        <f>SUM(H33:H33)</f>
        <v>11061</v>
      </c>
    </row>
    <row r="36" spans="2:9" ht="14.25" x14ac:dyDescent="0.45">
      <c r="B36" s="23"/>
      <c r="H36" s="28"/>
      <c r="I36" s="28"/>
    </row>
    <row r="37" spans="2:9" ht="14.25" x14ac:dyDescent="0.45">
      <c r="B37" s="23" t="s">
        <v>98</v>
      </c>
      <c r="H37" s="24"/>
      <c r="I37" s="25"/>
    </row>
    <row r="38" spans="2:9" ht="14.25" x14ac:dyDescent="0.45">
      <c r="B38" s="23" t="s">
        <v>99</v>
      </c>
      <c r="C38" s="23"/>
      <c r="H38" s="24"/>
      <c r="I38" s="25"/>
    </row>
    <row r="39" spans="2:9" ht="14.25" x14ac:dyDescent="0.45">
      <c r="B39" s="23"/>
      <c r="C39" t="s">
        <v>100</v>
      </c>
      <c r="H39" s="24">
        <v>500</v>
      </c>
      <c r="I39" s="25"/>
    </row>
    <row r="40" spans="2:9" ht="14.25" x14ac:dyDescent="0.45">
      <c r="B40" s="23"/>
      <c r="C40" t="s">
        <v>101</v>
      </c>
      <c r="H40" s="24">
        <v>2207.5700000000002</v>
      </c>
      <c r="I40" s="25"/>
    </row>
    <row r="41" spans="2:9" ht="14.25" x14ac:dyDescent="0.45">
      <c r="B41" s="23"/>
      <c r="C41" t="s">
        <v>102</v>
      </c>
      <c r="H41" s="24">
        <v>1000</v>
      </c>
      <c r="I41" s="25"/>
    </row>
    <row r="42" spans="2:9" ht="14.25" x14ac:dyDescent="0.45">
      <c r="B42" s="23"/>
      <c r="C42" t="s">
        <v>103</v>
      </c>
      <c r="H42" s="24">
        <v>30</v>
      </c>
      <c r="I42" s="25"/>
    </row>
    <row r="43" spans="2:9" ht="14.25" x14ac:dyDescent="0.45">
      <c r="B43" s="23"/>
      <c r="C43" t="s">
        <v>104</v>
      </c>
      <c r="H43" s="24">
        <v>50</v>
      </c>
      <c r="I43" s="25"/>
    </row>
    <row r="44" spans="2:9" ht="14.25" x14ac:dyDescent="0.45">
      <c r="B44" s="23"/>
      <c r="C44" t="s">
        <v>105</v>
      </c>
      <c r="H44" s="24">
        <v>25</v>
      </c>
      <c r="I44" s="25"/>
    </row>
    <row r="45" spans="2:9" ht="14.25" x14ac:dyDescent="0.45">
      <c r="B45" s="23"/>
      <c r="C45" t="s">
        <v>106</v>
      </c>
      <c r="H45" s="24">
        <v>100</v>
      </c>
      <c r="I45" s="25"/>
    </row>
    <row r="46" spans="2:9" ht="14.25" x14ac:dyDescent="0.45">
      <c r="B46" s="23"/>
      <c r="C46" t="s">
        <v>107</v>
      </c>
      <c r="H46" s="24">
        <v>100</v>
      </c>
      <c r="I46" s="25"/>
    </row>
    <row r="47" spans="2:9" ht="14.25" x14ac:dyDescent="0.45">
      <c r="B47" s="23"/>
      <c r="C47" t="s">
        <v>108</v>
      </c>
      <c r="H47" s="24">
        <v>25</v>
      </c>
      <c r="I47" s="25"/>
    </row>
    <row r="48" spans="2:9" ht="14.25" x14ac:dyDescent="0.45">
      <c r="B48" s="23"/>
      <c r="C48" t="s">
        <v>109</v>
      </c>
      <c r="H48" s="24">
        <v>100</v>
      </c>
      <c r="I48" s="25"/>
    </row>
    <row r="49" spans="1:9" ht="14.25" x14ac:dyDescent="0.45">
      <c r="B49" s="23"/>
      <c r="C49" t="s">
        <v>110</v>
      </c>
      <c r="H49" s="24">
        <v>120</v>
      </c>
      <c r="I49" s="25"/>
    </row>
    <row r="50" spans="1:9" ht="14.25" x14ac:dyDescent="0.45">
      <c r="B50" s="23"/>
      <c r="C50" t="s">
        <v>111</v>
      </c>
      <c r="H50" s="24">
        <v>54</v>
      </c>
      <c r="I50" s="25"/>
    </row>
    <row r="51" spans="1:9" ht="14.25" x14ac:dyDescent="0.45">
      <c r="B51" s="23" t="s">
        <v>112</v>
      </c>
      <c r="H51" s="24"/>
      <c r="I51" s="25"/>
    </row>
    <row r="52" spans="1:9" ht="14.25" x14ac:dyDescent="0.45">
      <c r="B52" s="23"/>
      <c r="C52" t="s">
        <v>113</v>
      </c>
      <c r="H52" s="24">
        <v>5171</v>
      </c>
      <c r="I52" s="25"/>
    </row>
    <row r="53" spans="1:9" ht="14.25" x14ac:dyDescent="0.45">
      <c r="B53" s="23" t="s">
        <v>114</v>
      </c>
      <c r="H53" s="24">
        <v>990</v>
      </c>
      <c r="I53" s="25"/>
    </row>
    <row r="54" spans="1:9" ht="14.25" x14ac:dyDescent="0.45">
      <c r="B54" s="23" t="s">
        <v>115</v>
      </c>
      <c r="H54" s="24"/>
      <c r="I54" s="25"/>
    </row>
    <row r="55" spans="1:9" ht="14.25" x14ac:dyDescent="0.45">
      <c r="B55" s="23"/>
      <c r="C55" t="s">
        <v>116</v>
      </c>
      <c r="H55" s="24">
        <v>500</v>
      </c>
      <c r="I55" s="25"/>
    </row>
    <row r="56" spans="1:9" ht="14.25" x14ac:dyDescent="0.45">
      <c r="B56" s="23"/>
      <c r="C56" t="s">
        <v>117</v>
      </c>
      <c r="H56" s="24">
        <v>500</v>
      </c>
      <c r="I56" s="25"/>
    </row>
    <row r="57" spans="1:9" ht="14.25" x14ac:dyDescent="0.45">
      <c r="B57" s="23"/>
      <c r="H57" s="24"/>
      <c r="I57" s="25"/>
    </row>
    <row r="58" spans="1:9" ht="14.25" x14ac:dyDescent="0.45">
      <c r="B58" s="23" t="s">
        <v>118</v>
      </c>
      <c r="H58" s="30"/>
      <c r="I58" s="31">
        <f>SUM(H38:H56)</f>
        <v>11472.57</v>
      </c>
    </row>
    <row r="59" spans="1:9" ht="14.25" x14ac:dyDescent="0.45">
      <c r="H59" s="24"/>
      <c r="I59" s="24"/>
    </row>
    <row r="60" spans="1:9" ht="16.149999999999999" thickBot="1" x14ac:dyDescent="0.55000000000000004">
      <c r="B60" s="20" t="s">
        <v>119</v>
      </c>
      <c r="H60" s="24"/>
      <c r="I60" s="34">
        <f>SUM(I25+I30+I35+I58)</f>
        <v>59888.57</v>
      </c>
    </row>
    <row r="61" spans="1:9" ht="14.25" x14ac:dyDescent="0.45">
      <c r="H61" s="24"/>
      <c r="I61" s="24"/>
    </row>
    <row r="62" spans="1:9" ht="14.25" x14ac:dyDescent="0.45">
      <c r="H62" s="24"/>
      <c r="I62" s="24"/>
    </row>
    <row r="63" spans="1:9" ht="15.75" x14ac:dyDescent="0.5">
      <c r="A63" s="20"/>
      <c r="H63" s="22" t="s">
        <v>59</v>
      </c>
      <c r="I63" s="22" t="s">
        <v>60</v>
      </c>
    </row>
    <row r="64" spans="1:9" ht="15.75" x14ac:dyDescent="0.5">
      <c r="A64" s="20" t="s">
        <v>120</v>
      </c>
      <c r="H64" s="24"/>
      <c r="I64" s="24"/>
    </row>
    <row r="65" spans="1:9" ht="7.15" customHeight="1" x14ac:dyDescent="0.45">
      <c r="A65" s="23"/>
      <c r="H65" s="24"/>
      <c r="I65" s="24"/>
    </row>
    <row r="66" spans="1:9" ht="14.25" x14ac:dyDescent="0.45">
      <c r="B66" s="23" t="s">
        <v>121</v>
      </c>
      <c r="H66" s="24"/>
      <c r="I66" s="25"/>
    </row>
    <row r="67" spans="1:9" ht="14.25" x14ac:dyDescent="0.45">
      <c r="C67" t="s">
        <v>122</v>
      </c>
      <c r="H67" s="24">
        <v>1181.28</v>
      </c>
      <c r="I67" s="24"/>
    </row>
    <row r="68" spans="1:9" ht="14.25" x14ac:dyDescent="0.45">
      <c r="C68" t="s">
        <v>123</v>
      </c>
      <c r="H68" s="24">
        <v>53</v>
      </c>
      <c r="I68" s="24"/>
    </row>
    <row r="69" spans="1:9" ht="14.25" x14ac:dyDescent="0.45">
      <c r="B69" t="s">
        <v>124</v>
      </c>
      <c r="H69" s="24">
        <v>125</v>
      </c>
      <c r="I69" s="24"/>
    </row>
    <row r="70" spans="1:9" ht="14.25" x14ac:dyDescent="0.45">
      <c r="H70" s="27"/>
      <c r="I70" s="27"/>
    </row>
    <row r="71" spans="1:9" ht="14.25" x14ac:dyDescent="0.45">
      <c r="B71" s="23" t="s">
        <v>125</v>
      </c>
      <c r="H71" s="28"/>
      <c r="I71" s="29">
        <f>SUM(H67:H70)</f>
        <v>1359.28</v>
      </c>
    </row>
    <row r="72" spans="1:9" ht="14.25" x14ac:dyDescent="0.45">
      <c r="B72" s="23"/>
      <c r="H72" s="28"/>
      <c r="I72" s="28"/>
    </row>
    <row r="73" spans="1:9" ht="14.25" x14ac:dyDescent="0.45">
      <c r="B73" s="23" t="s">
        <v>126</v>
      </c>
      <c r="H73" s="24"/>
      <c r="I73" s="25"/>
    </row>
    <row r="74" spans="1:9" ht="14.25" x14ac:dyDescent="0.45">
      <c r="C74" t="s">
        <v>127</v>
      </c>
      <c r="H74" s="24">
        <v>1700</v>
      </c>
      <c r="I74" s="32"/>
    </row>
    <row r="75" spans="1:9" ht="14.25" x14ac:dyDescent="0.45">
      <c r="C75" t="s">
        <v>128</v>
      </c>
      <c r="H75" s="24">
        <v>1340.18</v>
      </c>
      <c r="I75" s="32"/>
    </row>
    <row r="76" spans="1:9" ht="14.25" x14ac:dyDescent="0.45">
      <c r="C76" t="s">
        <v>129</v>
      </c>
      <c r="H76" s="24">
        <v>1118.509</v>
      </c>
      <c r="I76" s="32"/>
    </row>
    <row r="77" spans="1:9" ht="14.25" x14ac:dyDescent="0.45">
      <c r="C77" t="s">
        <v>130</v>
      </c>
      <c r="H77" s="24">
        <v>5000</v>
      </c>
      <c r="I77" s="32"/>
    </row>
    <row r="78" spans="1:9" ht="14.25" x14ac:dyDescent="0.45">
      <c r="C78" t="s">
        <v>131</v>
      </c>
      <c r="H78" s="24">
        <v>1000</v>
      </c>
      <c r="I78" s="32"/>
    </row>
    <row r="79" spans="1:9" ht="14.25" x14ac:dyDescent="0.45">
      <c r="C79" t="s">
        <v>132</v>
      </c>
      <c r="H79" s="24">
        <v>1000</v>
      </c>
      <c r="I79" s="32"/>
    </row>
    <row r="80" spans="1:9" ht="14.25" x14ac:dyDescent="0.45">
      <c r="H80" s="27"/>
      <c r="I80" s="27"/>
    </row>
    <row r="81" spans="2:9" ht="14.25" x14ac:dyDescent="0.45">
      <c r="H81" s="28"/>
      <c r="I81" s="28"/>
    </row>
    <row r="82" spans="2:9" ht="14.25" x14ac:dyDescent="0.45">
      <c r="B82" s="23" t="s">
        <v>133</v>
      </c>
      <c r="H82" s="28"/>
      <c r="I82" s="29">
        <f>SUM(H74:H80)</f>
        <v>11158.689</v>
      </c>
    </row>
    <row r="83" spans="2:9" ht="14.25" x14ac:dyDescent="0.45">
      <c r="B83" s="23"/>
      <c r="H83" s="28"/>
      <c r="I83" s="29"/>
    </row>
    <row r="84" spans="2:9" ht="14.25" x14ac:dyDescent="0.45">
      <c r="B84" s="23" t="s">
        <v>134</v>
      </c>
      <c r="H84" s="24"/>
      <c r="I84" s="25"/>
    </row>
    <row r="85" spans="2:9" ht="14.25" x14ac:dyDescent="0.45">
      <c r="C85" t="s">
        <v>135</v>
      </c>
      <c r="H85" s="24">
        <v>7565.4</v>
      </c>
      <c r="I85" s="32"/>
    </row>
    <row r="86" spans="2:9" ht="14.25" x14ac:dyDescent="0.45">
      <c r="C86" t="s">
        <v>136</v>
      </c>
      <c r="H86" s="24">
        <v>2207.5700000000002</v>
      </c>
      <c r="I86" s="32"/>
    </row>
    <row r="87" spans="2:9" x14ac:dyDescent="0.35">
      <c r="C87" t="s">
        <v>137</v>
      </c>
      <c r="H87" s="32">
        <v>50</v>
      </c>
      <c r="I87" s="32"/>
    </row>
    <row r="88" spans="2:9" ht="14.25" x14ac:dyDescent="0.45">
      <c r="C88" t="s">
        <v>138</v>
      </c>
      <c r="H88" s="24">
        <v>375</v>
      </c>
      <c r="I88" s="32"/>
    </row>
    <row r="89" spans="2:9" ht="14.25" x14ac:dyDescent="0.45">
      <c r="C89" t="s">
        <v>139</v>
      </c>
      <c r="H89" s="24">
        <v>781</v>
      </c>
      <c r="I89" s="32"/>
    </row>
    <row r="90" spans="2:9" ht="14.25" x14ac:dyDescent="0.45">
      <c r="C90" t="s">
        <v>140</v>
      </c>
      <c r="H90" s="24">
        <v>980</v>
      </c>
      <c r="I90" s="32"/>
    </row>
    <row r="91" spans="2:9" x14ac:dyDescent="0.35">
      <c r="C91" t="s">
        <v>141</v>
      </c>
      <c r="H91" s="32">
        <v>300</v>
      </c>
      <c r="I91" s="32"/>
    </row>
    <row r="92" spans="2:9" x14ac:dyDescent="0.35">
      <c r="C92" t="s">
        <v>142</v>
      </c>
      <c r="H92" s="32">
        <v>127.35</v>
      </c>
      <c r="I92" s="32"/>
    </row>
    <row r="93" spans="2:9" ht="14.25" x14ac:dyDescent="0.45">
      <c r="H93" s="27"/>
      <c r="I93" s="27"/>
    </row>
    <row r="94" spans="2:9" ht="14.25" x14ac:dyDescent="0.45">
      <c r="H94" s="28"/>
      <c r="I94" s="28"/>
    </row>
    <row r="95" spans="2:9" ht="14.25" x14ac:dyDescent="0.45">
      <c r="B95" s="23" t="s">
        <v>143</v>
      </c>
      <c r="H95" s="28"/>
      <c r="I95" s="29">
        <f>SUM(H85:H93)</f>
        <v>12386.32</v>
      </c>
    </row>
    <row r="96" spans="2:9" ht="14.25" x14ac:dyDescent="0.45">
      <c r="H96" s="24"/>
      <c r="I96" s="24"/>
    </row>
    <row r="97" spans="1:9" ht="14.25" x14ac:dyDescent="0.45">
      <c r="H97" s="24"/>
      <c r="I97" s="24"/>
    </row>
    <row r="98" spans="1:9" ht="14.25" x14ac:dyDescent="0.45">
      <c r="H98" s="24"/>
      <c r="I98" s="28"/>
    </row>
    <row r="99" spans="1:9" ht="16.149999999999999" thickBot="1" x14ac:dyDescent="0.55000000000000004">
      <c r="B99" s="20" t="s">
        <v>144</v>
      </c>
      <c r="H99" s="24"/>
      <c r="I99" s="34">
        <f>SUM(I71:I97)</f>
        <v>24904.289000000001</v>
      </c>
    </row>
    <row r="101" spans="1:9" ht="16.149999999999999" thickBot="1" x14ac:dyDescent="0.55000000000000004">
      <c r="A101" s="55" t="s">
        <v>145</v>
      </c>
      <c r="B101" s="55"/>
      <c r="C101" s="55"/>
      <c r="D101" s="55"/>
      <c r="E101" s="55"/>
      <c r="F101" s="55"/>
      <c r="G101" s="55"/>
      <c r="I101" s="35">
        <f>I60-I99</f>
        <v>34984.281000000003</v>
      </c>
    </row>
    <row r="102" spans="1:9" ht="13.15" thickTop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</sheetData>
  <mergeCells count="1">
    <mergeCell ref="A101:G101"/>
  </mergeCells>
  <pageMargins left="0.7" right="0.7" top="0.5" bottom="0.5" header="0.3" footer="0.3"/>
  <pageSetup paperSize="5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0634-F057-4E4B-800C-F7B9E62EA9C7}">
  <dimension ref="A1:AE39"/>
  <sheetViews>
    <sheetView workbookViewId="0">
      <selection sqref="A1:D39"/>
    </sheetView>
  </sheetViews>
  <sheetFormatPr defaultColWidth="14.46484375" defaultRowHeight="12.75" x14ac:dyDescent="0.35"/>
  <cols>
    <col min="1" max="1" width="39.53125" bestFit="1" customWidth="1"/>
  </cols>
  <sheetData>
    <row r="1" spans="1:31" ht="15.75" customHeight="1" x14ac:dyDescent="0.4">
      <c r="A1" s="14" t="s">
        <v>162</v>
      </c>
      <c r="B1" s="14" t="s">
        <v>41</v>
      </c>
      <c r="C1" s="14" t="s">
        <v>42</v>
      </c>
      <c r="D1" s="14" t="s">
        <v>43</v>
      </c>
      <c r="E1" s="52"/>
      <c r="F1" s="53"/>
      <c r="G1" s="52"/>
      <c r="H1" s="53"/>
      <c r="I1" s="52"/>
      <c r="J1" s="53"/>
      <c r="K1" s="52"/>
      <c r="L1" s="53"/>
      <c r="M1" s="52"/>
      <c r="N1" s="5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15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 x14ac:dyDescent="0.4">
      <c r="A3" s="2" t="s">
        <v>3</v>
      </c>
      <c r="B3" s="2">
        <v>58</v>
      </c>
      <c r="C3" s="2">
        <v>25</v>
      </c>
      <c r="D3" s="2">
        <v>60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customHeight="1" x14ac:dyDescent="0.4">
      <c r="A4" s="4" t="s">
        <v>4</v>
      </c>
      <c r="B4" s="6">
        <v>30000</v>
      </c>
      <c r="C4" s="6">
        <v>40000</v>
      </c>
      <c r="D4" s="6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4">
      <c r="A5" s="4" t="s">
        <v>5</v>
      </c>
      <c r="B5" s="6">
        <v>0</v>
      </c>
      <c r="C5" s="6">
        <v>1500</v>
      </c>
      <c r="D5" s="6">
        <v>2500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.75" customHeight="1" x14ac:dyDescent="0.4">
      <c r="A6" s="4" t="s">
        <v>6</v>
      </c>
      <c r="B6" s="6">
        <v>0</v>
      </c>
      <c r="C6" s="6">
        <v>10000</v>
      </c>
      <c r="D6" s="43">
        <v>15000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customHeight="1" x14ac:dyDescent="0.35">
      <c r="A7" s="4" t="s">
        <v>44</v>
      </c>
      <c r="B7" s="6">
        <v>0</v>
      </c>
      <c r="C7" s="6">
        <v>5000</v>
      </c>
      <c r="D7" s="6">
        <v>8000</v>
      </c>
    </row>
    <row r="8" spans="1:31" ht="15.75" customHeight="1" x14ac:dyDescent="0.4">
      <c r="A8" s="1" t="s">
        <v>9</v>
      </c>
      <c r="B8" s="7">
        <f>SUM(B4:B7)</f>
        <v>30000</v>
      </c>
      <c r="C8" s="7">
        <f>SUM(C4:C7)</f>
        <v>56500</v>
      </c>
      <c r="D8" s="7">
        <f>SUM(D4:D7)</f>
        <v>25500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 x14ac:dyDescent="0.35">
      <c r="A9" s="4"/>
      <c r="B9" s="5"/>
      <c r="C9" s="5"/>
      <c r="D9" s="5"/>
    </row>
    <row r="10" spans="1:31" s="41" customFormat="1" ht="15.75" customHeight="1" x14ac:dyDescent="0.4">
      <c r="A10" s="54" t="s">
        <v>45</v>
      </c>
      <c r="B10" s="54"/>
      <c r="C10" s="54"/>
      <c r="D10" s="54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1:31" ht="15.75" customHeight="1" x14ac:dyDescent="0.35">
      <c r="A11" s="4" t="s">
        <v>146</v>
      </c>
      <c r="B11" s="5">
        <f>B3*25</f>
        <v>1450</v>
      </c>
      <c r="C11" s="5">
        <f t="shared" ref="C11:D11" si="0">C3*25</f>
        <v>625</v>
      </c>
      <c r="D11" s="5">
        <f t="shared" si="0"/>
        <v>1500</v>
      </c>
    </row>
    <row r="12" spans="1:31" ht="15.75" customHeight="1" x14ac:dyDescent="0.4">
      <c r="A12" s="4" t="s">
        <v>147</v>
      </c>
      <c r="B12" s="5">
        <f>25*B3</f>
        <v>1450</v>
      </c>
      <c r="C12" s="5">
        <f t="shared" ref="C12:D12" si="1">25*C3</f>
        <v>625</v>
      </c>
      <c r="D12" s="5">
        <f t="shared" si="1"/>
        <v>1500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.75" customHeight="1" x14ac:dyDescent="0.4">
      <c r="A13" s="4" t="s">
        <v>148</v>
      </c>
      <c r="B13" s="5">
        <f>(10*9)*B3</f>
        <v>5220</v>
      </c>
      <c r="C13" s="5">
        <f t="shared" ref="C13:D13" si="2">(10*9)*C3</f>
        <v>2250</v>
      </c>
      <c r="D13" s="5">
        <f t="shared" si="2"/>
        <v>5400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customHeight="1" x14ac:dyDescent="0.4">
      <c r="A14" s="4" t="s">
        <v>149</v>
      </c>
      <c r="B14" s="5">
        <f>6*B3</f>
        <v>348</v>
      </c>
      <c r="C14" s="5">
        <f t="shared" ref="C14:D14" si="3">6*C3</f>
        <v>150</v>
      </c>
      <c r="D14" s="5">
        <f t="shared" si="3"/>
        <v>360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.75" customHeight="1" x14ac:dyDescent="0.4">
      <c r="A15" s="4" t="s">
        <v>150</v>
      </c>
      <c r="B15" s="5">
        <f>B3*25</f>
        <v>1450</v>
      </c>
      <c r="C15" s="5">
        <f t="shared" ref="C15:D15" si="4">C3*25</f>
        <v>625</v>
      </c>
      <c r="D15" s="5">
        <f t="shared" si="4"/>
        <v>1500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.75" customHeight="1" x14ac:dyDescent="0.4">
      <c r="A16" s="4" t="s">
        <v>51</v>
      </c>
      <c r="B16" s="5">
        <v>3250</v>
      </c>
      <c r="C16" s="5">
        <v>0</v>
      </c>
      <c r="D16" s="5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customHeight="1" x14ac:dyDescent="0.4">
      <c r="A17" s="4" t="s">
        <v>151</v>
      </c>
      <c r="B17" s="5">
        <v>0</v>
      </c>
      <c r="C17" s="5">
        <v>0</v>
      </c>
      <c r="D17" s="5"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customHeight="1" x14ac:dyDescent="0.35">
      <c r="A18" s="4" t="s">
        <v>25</v>
      </c>
      <c r="B18" s="5">
        <v>0</v>
      </c>
      <c r="C18" s="5">
        <v>0</v>
      </c>
      <c r="D18" s="5">
        <v>0</v>
      </c>
    </row>
    <row r="19" spans="1:31" ht="15.75" customHeight="1" x14ac:dyDescent="0.4">
      <c r="A19" s="4" t="s">
        <v>152</v>
      </c>
      <c r="B19" s="5">
        <v>0</v>
      </c>
      <c r="C19" s="5">
        <v>0</v>
      </c>
      <c r="D19" s="5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35">
      <c r="A20" s="4" t="s">
        <v>26</v>
      </c>
      <c r="B20" s="5">
        <v>1000</v>
      </c>
      <c r="C20" s="5">
        <v>1000</v>
      </c>
      <c r="D20" s="5">
        <v>1000</v>
      </c>
      <c r="I20">
        <v>600</v>
      </c>
    </row>
    <row r="21" spans="1:31" ht="15.75" customHeight="1" x14ac:dyDescent="0.4">
      <c r="A21" s="1" t="s">
        <v>27</v>
      </c>
      <c r="B21" s="7">
        <f>SUM(B11:B20)</f>
        <v>14168</v>
      </c>
      <c r="C21" s="7">
        <f>SUM(C11:C20)</f>
        <v>5275</v>
      </c>
      <c r="D21" s="7">
        <f>SUM(D11:D20)</f>
        <v>11260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4">
      <c r="A22" s="2"/>
      <c r="B22" s="8"/>
      <c r="C22" s="8"/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4">
      <c r="A23" s="2" t="s">
        <v>28</v>
      </c>
      <c r="B23" s="8"/>
      <c r="C23" s="8"/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4">
      <c r="A24" s="4" t="s">
        <v>29</v>
      </c>
      <c r="B24" s="5">
        <v>500</v>
      </c>
      <c r="C24" s="5">
        <v>500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35">
      <c r="A25" s="4" t="s">
        <v>30</v>
      </c>
      <c r="B25" s="5">
        <v>5000</v>
      </c>
      <c r="C25" s="5">
        <v>5000</v>
      </c>
      <c r="D25" s="5">
        <v>12000</v>
      </c>
    </row>
    <row r="26" spans="1:31" ht="15.75" customHeight="1" x14ac:dyDescent="0.35">
      <c r="A26" s="4" t="s">
        <v>31</v>
      </c>
      <c r="B26" s="5">
        <v>5000</v>
      </c>
      <c r="C26" s="5">
        <v>5000</v>
      </c>
      <c r="D26" s="5">
        <v>8000</v>
      </c>
    </row>
    <row r="27" spans="1:31" ht="15.75" customHeight="1" x14ac:dyDescent="0.35">
      <c r="A27" s="4" t="s">
        <v>32</v>
      </c>
      <c r="B27" s="5">
        <v>5000</v>
      </c>
      <c r="C27" s="5">
        <v>5000</v>
      </c>
      <c r="D27" s="5">
        <v>0</v>
      </c>
    </row>
    <row r="28" spans="1:31" ht="15.75" customHeight="1" x14ac:dyDescent="0.4">
      <c r="A28" s="1" t="s">
        <v>34</v>
      </c>
      <c r="B28" s="7">
        <f>SUM(B24:B27)</f>
        <v>15500</v>
      </c>
      <c r="C28" s="7">
        <f>SUM(C24:C27)</f>
        <v>15500</v>
      </c>
      <c r="D28" s="7">
        <f>SUM(D24:D27)</f>
        <v>20000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4">
      <c r="A29" s="1"/>
      <c r="B29" s="7"/>
      <c r="C29" s="7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4">
      <c r="A30" s="1" t="s">
        <v>55</v>
      </c>
      <c r="B30" s="7">
        <f t="shared" ref="B30:C30" si="5">SUM(B28+B21)</f>
        <v>29668</v>
      </c>
      <c r="C30" s="7">
        <f t="shared" si="5"/>
        <v>20775</v>
      </c>
      <c r="D30" s="7">
        <f>SUM(D28+D21)</f>
        <v>31260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4">
      <c r="A31" s="1"/>
      <c r="B31" s="7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4">
      <c r="A32" s="1" t="s">
        <v>36</v>
      </c>
      <c r="B32" s="7">
        <f>B8-B21-B28</f>
        <v>332</v>
      </c>
      <c r="C32" s="7">
        <f>C8-C21</f>
        <v>51225</v>
      </c>
      <c r="D32" s="7">
        <f>D8-D21</f>
        <v>14240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6">
      <c r="A33" s="9" t="s">
        <v>37</v>
      </c>
      <c r="B33" s="10">
        <f>B32/B8</f>
        <v>1.1066666666666667E-2</v>
      </c>
      <c r="C33" s="10">
        <f>C32/C8</f>
        <v>0.9066371681415929</v>
      </c>
      <c r="D33" s="10">
        <f>D32/D8</f>
        <v>0.55843137254901964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 x14ac:dyDescent="0.6">
      <c r="A34" s="9"/>
      <c r="B34" s="8"/>
      <c r="C34" s="8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6" spans="1:31" ht="15.75" customHeight="1" x14ac:dyDescent="0.4">
      <c r="A36" s="12" t="s">
        <v>38</v>
      </c>
      <c r="B36" s="7">
        <f>B32-B28</f>
        <v>-15168</v>
      </c>
      <c r="C36" s="7">
        <f>C32-C28</f>
        <v>35725</v>
      </c>
      <c r="D36" s="7">
        <f>D32-D28</f>
        <v>-5760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35">
      <c r="A37" s="13" t="s">
        <v>39</v>
      </c>
      <c r="B37" s="10">
        <f>B36/B8</f>
        <v>-0.50560000000000005</v>
      </c>
      <c r="C37" s="10">
        <f>C36/C8</f>
        <v>0.63230088495575221</v>
      </c>
      <c r="D37" s="10">
        <f>D36/D8</f>
        <v>-0.22588235294117648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5.75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15" x14ac:dyDescent="0.4">
      <c r="A39" s="15" t="s">
        <v>40</v>
      </c>
      <c r="B39" s="16">
        <f>(B21+B28)/B3</f>
        <v>511.51724137931035</v>
      </c>
      <c r="C39" s="16">
        <f>(C21+C28)/C3</f>
        <v>831</v>
      </c>
      <c r="D39" s="16">
        <f>(D21+D28)/D3</f>
        <v>521</v>
      </c>
    </row>
  </sheetData>
  <mergeCells count="6">
    <mergeCell ref="M1:N1"/>
    <mergeCell ref="A10:D10"/>
    <mergeCell ref="E1:F1"/>
    <mergeCell ref="G1:H1"/>
    <mergeCell ref="I1:J1"/>
    <mergeCell ref="K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AC7B2-1236-491E-88ED-35F2FB3257B1}">
  <dimension ref="A1:C10"/>
  <sheetViews>
    <sheetView workbookViewId="0">
      <selection activeCell="C5" sqref="C5"/>
    </sheetView>
  </sheetViews>
  <sheetFormatPr defaultRowHeight="12.75" x14ac:dyDescent="0.35"/>
  <cols>
    <col min="1" max="1" width="26.73046875" customWidth="1"/>
    <col min="2" max="2" width="19" style="42" customWidth="1"/>
  </cols>
  <sheetData>
    <row r="1" spans="1:3" ht="17.649999999999999" x14ac:dyDescent="0.5">
      <c r="A1" s="49" t="s">
        <v>163</v>
      </c>
    </row>
    <row r="2" spans="1:3" x14ac:dyDescent="0.35">
      <c r="A2" s="44" t="s">
        <v>153</v>
      </c>
      <c r="B2" s="45">
        <v>30000</v>
      </c>
    </row>
    <row r="3" spans="1:3" x14ac:dyDescent="0.35">
      <c r="A3" s="50" t="s">
        <v>154</v>
      </c>
      <c r="B3" s="51">
        <v>82500</v>
      </c>
      <c r="C3" s="48" t="s">
        <v>164</v>
      </c>
    </row>
    <row r="4" spans="1:3" x14ac:dyDescent="0.35">
      <c r="A4" s="44" t="s">
        <v>155</v>
      </c>
      <c r="B4" s="45">
        <v>46625</v>
      </c>
    </row>
    <row r="5" spans="1:3" x14ac:dyDescent="0.35">
      <c r="A5" s="44" t="s">
        <v>156</v>
      </c>
      <c r="B5" s="45">
        <v>31260</v>
      </c>
    </row>
    <row r="6" spans="1:3" x14ac:dyDescent="0.35">
      <c r="A6" s="44" t="s">
        <v>157</v>
      </c>
      <c r="B6" s="45">
        <v>21600</v>
      </c>
    </row>
    <row r="7" spans="1:3" x14ac:dyDescent="0.35">
      <c r="A7" s="44" t="s">
        <v>158</v>
      </c>
      <c r="B7" s="45">
        <v>1500</v>
      </c>
    </row>
    <row r="8" spans="1:3" x14ac:dyDescent="0.35">
      <c r="A8" s="44" t="s">
        <v>159</v>
      </c>
      <c r="B8" s="45">
        <v>2500</v>
      </c>
    </row>
    <row r="9" spans="1:3" x14ac:dyDescent="0.35">
      <c r="A9" s="44" t="s">
        <v>160</v>
      </c>
      <c r="B9" s="45">
        <v>63000</v>
      </c>
    </row>
    <row r="10" spans="1:3" ht="17.649999999999999" x14ac:dyDescent="0.5">
      <c r="A10" s="46" t="s">
        <v>161</v>
      </c>
      <c r="B10" s="47">
        <f>SUM(B2:B9)</f>
        <v>278985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P2SI Leadership Academy</vt:lpstr>
      <vt:lpstr>Brown Boys Read</vt:lpstr>
      <vt:lpstr>5K Race 2021</vt:lpstr>
      <vt:lpstr>YBC</vt:lpstr>
      <vt:lpstr>TLC Annual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Short, Demetrius      803</dc:creator>
  <cp:keywords/>
  <dc:description/>
  <cp:lastModifiedBy>Demetrius Short</cp:lastModifiedBy>
  <cp:revision/>
  <cp:lastPrinted>2022-11-04T17:14:57Z</cp:lastPrinted>
  <dcterms:created xsi:type="dcterms:W3CDTF">2020-02-26T17:19:55Z</dcterms:created>
  <dcterms:modified xsi:type="dcterms:W3CDTF">2022-11-14T23:30:01Z</dcterms:modified>
  <cp:category/>
  <cp:contentStatus/>
</cp:coreProperties>
</file>