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rnett\Desktop\Financials\"/>
    </mc:Choice>
  </mc:AlternateContent>
  <xr:revisionPtr revIDLastSave="0" documentId="8_{51CAB663-CF3D-4C19-97C4-8B154D766C97}" xr6:coauthVersionLast="45" xr6:coauthVersionMax="45" xr10:uidLastSave="{00000000-0000-0000-0000-000000000000}"/>
  <bookViews>
    <workbookView xWindow="-120" yWindow="-120" windowWidth="20730" windowHeight="11160" xr2:uid="{77E4A410-4A77-4716-83E3-8F33F1C822A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1" i="1" l="1"/>
  <c r="Q61" i="1" s="1"/>
  <c r="Q60" i="1"/>
  <c r="P60" i="1"/>
  <c r="P59" i="1"/>
  <c r="Q59" i="1" s="1"/>
  <c r="P58" i="1"/>
  <c r="Q58" i="1" s="1"/>
  <c r="P57" i="1"/>
  <c r="Q57" i="1" s="1"/>
  <c r="Q55" i="1"/>
  <c r="P55" i="1"/>
  <c r="P53" i="1"/>
  <c r="Q53" i="1" s="1"/>
  <c r="P52" i="1"/>
  <c r="O50" i="1"/>
  <c r="N50" i="1"/>
  <c r="M50" i="1"/>
  <c r="L50" i="1"/>
  <c r="K50" i="1"/>
  <c r="J50" i="1"/>
  <c r="I50" i="1"/>
  <c r="H50" i="1"/>
  <c r="G50" i="1"/>
  <c r="F50" i="1"/>
  <c r="E50" i="1"/>
  <c r="D50" i="1"/>
  <c r="P50" i="1" s="1"/>
  <c r="Q50" i="1" s="1"/>
  <c r="O49" i="1"/>
  <c r="N49" i="1"/>
  <c r="M49" i="1"/>
  <c r="L49" i="1"/>
  <c r="K49" i="1"/>
  <c r="J49" i="1"/>
  <c r="I49" i="1"/>
  <c r="H49" i="1"/>
  <c r="G49" i="1"/>
  <c r="P49" i="1" s="1"/>
  <c r="Q49" i="1" s="1"/>
  <c r="F49" i="1"/>
  <c r="E49" i="1"/>
  <c r="D49" i="1"/>
  <c r="P47" i="1"/>
  <c r="Q47" i="1" s="1"/>
  <c r="C46" i="1"/>
  <c r="O45" i="1"/>
  <c r="N45" i="1"/>
  <c r="M45" i="1"/>
  <c r="L45" i="1"/>
  <c r="K45" i="1"/>
  <c r="J45" i="1"/>
  <c r="I45" i="1"/>
  <c r="H45" i="1"/>
  <c r="P45" i="1" s="1"/>
  <c r="Q45" i="1" s="1"/>
  <c r="G45" i="1"/>
  <c r="F45" i="1"/>
  <c r="E45" i="1"/>
  <c r="D45" i="1"/>
  <c r="O44" i="1"/>
  <c r="N44" i="1"/>
  <c r="M44" i="1"/>
  <c r="L44" i="1"/>
  <c r="K44" i="1"/>
  <c r="J44" i="1"/>
  <c r="I44" i="1"/>
  <c r="H44" i="1"/>
  <c r="G44" i="1"/>
  <c r="F44" i="1"/>
  <c r="E44" i="1"/>
  <c r="D44" i="1"/>
  <c r="P44" i="1" s="1"/>
  <c r="Q44" i="1" s="1"/>
  <c r="O43" i="1"/>
  <c r="L43" i="1"/>
  <c r="I43" i="1"/>
  <c r="F43" i="1"/>
  <c r="P43" i="1" s="1"/>
  <c r="Q43" i="1" s="1"/>
  <c r="C42" i="1"/>
  <c r="O41" i="1"/>
  <c r="N41" i="1"/>
  <c r="I41" i="1"/>
  <c r="H41" i="1"/>
  <c r="G41" i="1"/>
  <c r="F41" i="1"/>
  <c r="C41" i="1"/>
  <c r="M41" i="1" s="1"/>
  <c r="C40" i="1"/>
  <c r="C39" i="1"/>
  <c r="N38" i="1"/>
  <c r="J38" i="1"/>
  <c r="I38" i="1"/>
  <c r="F38" i="1"/>
  <c r="C38" i="1"/>
  <c r="M38" i="1" s="1"/>
  <c r="B38" i="1"/>
  <c r="B52" i="1" s="1"/>
  <c r="N37" i="1"/>
  <c r="J37" i="1"/>
  <c r="I37" i="1"/>
  <c r="F37" i="1"/>
  <c r="C37" i="1"/>
  <c r="Q36" i="1"/>
  <c r="P36" i="1"/>
  <c r="O35" i="1"/>
  <c r="K35" i="1"/>
  <c r="G35" i="1"/>
  <c r="B35" i="1"/>
  <c r="B54" i="1" s="1"/>
  <c r="P34" i="1"/>
  <c r="Q34" i="1" s="1"/>
  <c r="O33" i="1"/>
  <c r="N33" i="1"/>
  <c r="M33" i="1"/>
  <c r="L33" i="1"/>
  <c r="K33" i="1"/>
  <c r="I33" i="1"/>
  <c r="H33" i="1"/>
  <c r="G33" i="1"/>
  <c r="F33" i="1"/>
  <c r="E33" i="1"/>
  <c r="D33" i="1"/>
  <c r="O32" i="1"/>
  <c r="N32" i="1"/>
  <c r="N35" i="1" s="1"/>
  <c r="M32" i="1"/>
  <c r="M35" i="1" s="1"/>
  <c r="L32" i="1"/>
  <c r="L35" i="1" s="1"/>
  <c r="K32" i="1"/>
  <c r="I32" i="1"/>
  <c r="I35" i="1" s="1"/>
  <c r="H32" i="1"/>
  <c r="H35" i="1" s="1"/>
  <c r="G32" i="1"/>
  <c r="F32" i="1"/>
  <c r="F35" i="1" s="1"/>
  <c r="E32" i="1"/>
  <c r="E35" i="1" s="1"/>
  <c r="D32" i="1"/>
  <c r="C32" i="1"/>
  <c r="J31" i="1"/>
  <c r="D31" i="1"/>
  <c r="D35" i="1" s="1"/>
  <c r="C31" i="1"/>
  <c r="C33" i="1" s="1"/>
  <c r="P30" i="1"/>
  <c r="Q30" i="1" s="1"/>
  <c r="Q29" i="1"/>
  <c r="P29" i="1"/>
  <c r="P27" i="1"/>
  <c r="Q27" i="1" s="1"/>
  <c r="Q26" i="1"/>
  <c r="P26" i="1"/>
  <c r="Q24" i="1"/>
  <c r="P24" i="1"/>
  <c r="C21" i="1"/>
  <c r="B21" i="1"/>
  <c r="B28" i="1" s="1"/>
  <c r="B56" i="1" s="1"/>
  <c r="P18" i="1"/>
  <c r="Q18" i="1" s="1"/>
  <c r="P16" i="1"/>
  <c r="Q16" i="1" s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C15" i="1"/>
  <c r="C48" i="1" s="1"/>
  <c r="P13" i="1"/>
  <c r="Q13" i="1" s="1"/>
  <c r="O13" i="1"/>
  <c r="N13" i="1"/>
  <c r="M13" i="1"/>
  <c r="L13" i="1"/>
  <c r="K13" i="1"/>
  <c r="J13" i="1"/>
  <c r="I13" i="1"/>
  <c r="H13" i="1"/>
  <c r="G13" i="1"/>
  <c r="F13" i="1"/>
  <c r="E13" i="1"/>
  <c r="D13" i="1"/>
  <c r="O8" i="1"/>
  <c r="N8" i="1"/>
  <c r="M8" i="1"/>
  <c r="L8" i="1"/>
  <c r="K8" i="1"/>
  <c r="J8" i="1"/>
  <c r="I8" i="1"/>
  <c r="H8" i="1"/>
  <c r="G8" i="1"/>
  <c r="F8" i="1"/>
  <c r="E8" i="1"/>
  <c r="D8" i="1"/>
  <c r="P8" i="1" s="1"/>
  <c r="H9" i="1" l="1"/>
  <c r="L9" i="1"/>
  <c r="L46" i="1" s="1"/>
  <c r="D9" i="1"/>
  <c r="I9" i="1"/>
  <c r="M9" i="1"/>
  <c r="M46" i="1" s="1"/>
  <c r="E9" i="1"/>
  <c r="E48" i="1" s="1"/>
  <c r="O48" i="1"/>
  <c r="M48" i="1"/>
  <c r="D48" i="1"/>
  <c r="K48" i="1"/>
  <c r="I48" i="1"/>
  <c r="F9" i="1"/>
  <c r="C52" i="1"/>
  <c r="Q52" i="1" s="1"/>
  <c r="C35" i="1"/>
  <c r="O9" i="1"/>
  <c r="N9" i="1"/>
  <c r="G9" i="1"/>
  <c r="J9" i="1"/>
  <c r="P32" i="1"/>
  <c r="Q32" i="1" s="1"/>
  <c r="K9" i="1"/>
  <c r="O40" i="1"/>
  <c r="G39" i="1"/>
  <c r="G14" i="1" s="1"/>
  <c r="P31" i="1"/>
  <c r="J33" i="1"/>
  <c r="P33" i="1" s="1"/>
  <c r="Q33" i="1" s="1"/>
  <c r="G37" i="1"/>
  <c r="O37" i="1"/>
  <c r="G38" i="1"/>
  <c r="O38" i="1"/>
  <c r="I40" i="1"/>
  <c r="J41" i="1"/>
  <c r="K42" i="1"/>
  <c r="Q31" i="1"/>
  <c r="J32" i="1"/>
  <c r="H37" i="1"/>
  <c r="H38" i="1"/>
  <c r="I39" i="1"/>
  <c r="I14" i="1" s="1"/>
  <c r="J40" i="1"/>
  <c r="K41" i="1"/>
  <c r="K54" i="1" s="1"/>
  <c r="D42" i="1"/>
  <c r="K46" i="1"/>
  <c r="Q15" i="1"/>
  <c r="J39" i="1"/>
  <c r="J14" i="1" s="1"/>
  <c r="K40" i="1"/>
  <c r="D41" i="1"/>
  <c r="L41" i="1"/>
  <c r="E42" i="1"/>
  <c r="D46" i="1"/>
  <c r="K39" i="1"/>
  <c r="K14" i="1" s="1"/>
  <c r="D40" i="1"/>
  <c r="E41" i="1"/>
  <c r="F42" i="1"/>
  <c r="K37" i="1"/>
  <c r="K38" i="1"/>
  <c r="D39" i="1"/>
  <c r="E40" i="1"/>
  <c r="M40" i="1"/>
  <c r="C14" i="1"/>
  <c r="D37" i="1"/>
  <c r="L37" i="1"/>
  <c r="D38" i="1"/>
  <c r="L38" i="1"/>
  <c r="M39" i="1"/>
  <c r="M14" i="1" s="1"/>
  <c r="F40" i="1"/>
  <c r="N40" i="1"/>
  <c r="E37" i="1"/>
  <c r="M37" i="1"/>
  <c r="E38" i="1"/>
  <c r="F39" i="1"/>
  <c r="F14" i="1" s="1"/>
  <c r="G40" i="1"/>
  <c r="N22" i="1" l="1"/>
  <c r="N20" i="1"/>
  <c r="N46" i="1"/>
  <c r="N17" i="1"/>
  <c r="N25" i="1"/>
  <c r="N23" i="1"/>
  <c r="N19" i="1"/>
  <c r="F20" i="1"/>
  <c r="F46" i="1"/>
  <c r="F54" i="1" s="1"/>
  <c r="F19" i="1"/>
  <c r="F25" i="1"/>
  <c r="F23" i="1"/>
  <c r="F17" i="1"/>
  <c r="F22" i="1"/>
  <c r="H46" i="1"/>
  <c r="H25" i="1"/>
  <c r="H42" i="1"/>
  <c r="H54" i="1" s="1"/>
  <c r="H22" i="1"/>
  <c r="H20" i="1"/>
  <c r="H23" i="1"/>
  <c r="H19" i="1"/>
  <c r="H17" i="1"/>
  <c r="L40" i="1"/>
  <c r="P41" i="1"/>
  <c r="Q41" i="1" s="1"/>
  <c r="J35" i="1"/>
  <c r="L48" i="1"/>
  <c r="E39" i="1"/>
  <c r="E14" i="1" s="1"/>
  <c r="L39" i="1"/>
  <c r="L14" i="1" s="1"/>
  <c r="P40" i="1"/>
  <c r="Q40" i="1" s="1"/>
  <c r="C28" i="1"/>
  <c r="D14" i="1"/>
  <c r="H40" i="1"/>
  <c r="D54" i="1"/>
  <c r="P38" i="1"/>
  <c r="Q38" i="1" s="1"/>
  <c r="F48" i="1"/>
  <c r="P48" i="1" s="1"/>
  <c r="Q48" i="1" s="1"/>
  <c r="K25" i="1"/>
  <c r="K23" i="1"/>
  <c r="K19" i="1"/>
  <c r="K17" i="1"/>
  <c r="K20" i="1"/>
  <c r="K22" i="1"/>
  <c r="G20" i="1"/>
  <c r="G46" i="1"/>
  <c r="G42" i="1"/>
  <c r="G54" i="1" s="1"/>
  <c r="G22" i="1"/>
  <c r="G25" i="1"/>
  <c r="G23" i="1"/>
  <c r="G19" i="1"/>
  <c r="G17" i="1"/>
  <c r="C54" i="1"/>
  <c r="N48" i="1"/>
  <c r="I42" i="1"/>
  <c r="I54" i="1" s="1"/>
  <c r="I22" i="1"/>
  <c r="I25" i="1"/>
  <c r="I23" i="1"/>
  <c r="I19" i="1"/>
  <c r="I17" i="1"/>
  <c r="I21" i="1" s="1"/>
  <c r="I28" i="1" s="1"/>
  <c r="I56" i="1" s="1"/>
  <c r="I20" i="1"/>
  <c r="I46" i="1"/>
  <c r="L19" i="1"/>
  <c r="L17" i="1"/>
  <c r="L25" i="1"/>
  <c r="L23" i="1"/>
  <c r="L20" i="1"/>
  <c r="L22" i="1"/>
  <c r="O20" i="1"/>
  <c r="O46" i="1"/>
  <c r="O42" i="1"/>
  <c r="O22" i="1"/>
  <c r="O25" i="1"/>
  <c r="O23" i="1"/>
  <c r="O19" i="1"/>
  <c r="O17" i="1"/>
  <c r="H48" i="1"/>
  <c r="E19" i="1"/>
  <c r="E17" i="1"/>
  <c r="E21" i="1" s="1"/>
  <c r="E20" i="1"/>
  <c r="E22" i="1"/>
  <c r="E25" i="1"/>
  <c r="E23" i="1"/>
  <c r="H39" i="1"/>
  <c r="H14" i="1" s="1"/>
  <c r="O39" i="1"/>
  <c r="O14" i="1" s="1"/>
  <c r="J19" i="1"/>
  <c r="J25" i="1"/>
  <c r="J23" i="1"/>
  <c r="J20" i="1"/>
  <c r="J22" i="1"/>
  <c r="J17" i="1"/>
  <c r="J46" i="1"/>
  <c r="J42" i="1"/>
  <c r="M19" i="1"/>
  <c r="M17" i="1"/>
  <c r="M21" i="1" s="1"/>
  <c r="M28" i="1" s="1"/>
  <c r="M20" i="1"/>
  <c r="M22" i="1"/>
  <c r="M25" i="1"/>
  <c r="M23" i="1"/>
  <c r="P37" i="1"/>
  <c r="Q37" i="1" s="1"/>
  <c r="E46" i="1"/>
  <c r="E54" i="1" s="1"/>
  <c r="M42" i="1"/>
  <c r="M54" i="1" s="1"/>
  <c r="L42" i="1"/>
  <c r="N42" i="1"/>
  <c r="N39" i="1"/>
  <c r="J48" i="1"/>
  <c r="G48" i="1"/>
  <c r="P9" i="1"/>
  <c r="D19" i="1"/>
  <c r="P19" i="1" s="1"/>
  <c r="Q19" i="1" s="1"/>
  <c r="D17" i="1"/>
  <c r="D20" i="1"/>
  <c r="D23" i="1"/>
  <c r="D22" i="1"/>
  <c r="D25" i="1"/>
  <c r="D21" i="1" l="1"/>
  <c r="P21" i="1" s="1"/>
  <c r="Q21" i="1" s="1"/>
  <c r="P17" i="1"/>
  <c r="Q17" i="1" s="1"/>
  <c r="C56" i="1"/>
  <c r="L54" i="1"/>
  <c r="P46" i="1"/>
  <c r="Q46" i="1" s="1"/>
  <c r="O21" i="1"/>
  <c r="O28" i="1" s="1"/>
  <c r="O56" i="1" s="1"/>
  <c r="H21" i="1"/>
  <c r="H28" i="1" s="1"/>
  <c r="H56" i="1" s="1"/>
  <c r="O54" i="1"/>
  <c r="P25" i="1"/>
  <c r="Q25" i="1" s="1"/>
  <c r="P22" i="1"/>
  <c r="Q22" i="1" s="1"/>
  <c r="P23" i="1"/>
  <c r="Q23" i="1" s="1"/>
  <c r="E28" i="1"/>
  <c r="E56" i="1" s="1"/>
  <c r="N21" i="1"/>
  <c r="M56" i="1"/>
  <c r="J21" i="1"/>
  <c r="J28" i="1" s="1"/>
  <c r="N14" i="1"/>
  <c r="N54" i="1"/>
  <c r="G21" i="1"/>
  <c r="G28" i="1" s="1"/>
  <c r="G56" i="1" s="1"/>
  <c r="L28" i="1"/>
  <c r="L56" i="1" s="1"/>
  <c r="F21" i="1"/>
  <c r="F28" i="1" s="1"/>
  <c r="F56" i="1" s="1"/>
  <c r="P20" i="1"/>
  <c r="Q20" i="1" s="1"/>
  <c r="L21" i="1"/>
  <c r="K21" i="1"/>
  <c r="K28" i="1" s="1"/>
  <c r="K56" i="1" s="1"/>
  <c r="P39" i="1"/>
  <c r="Q39" i="1" s="1"/>
  <c r="P14" i="1"/>
  <c r="Q14" i="1" s="1"/>
  <c r="J54" i="1"/>
  <c r="P54" i="1" s="1"/>
  <c r="Q54" i="1" s="1"/>
  <c r="P35" i="1"/>
  <c r="Q35" i="1" s="1"/>
  <c r="P42" i="1"/>
  <c r="Q42" i="1" s="1"/>
  <c r="D28" i="1" l="1"/>
  <c r="N28" i="1"/>
  <c r="N56" i="1" s="1"/>
  <c r="J56" i="1"/>
  <c r="P28" i="1" l="1"/>
  <c r="Q28" i="1" s="1"/>
  <c r="D56" i="1"/>
  <c r="P56" i="1" s="1"/>
  <c r="Q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AutoBVT</author>
    <author>Debby Morrow</author>
    <author>Richard Neal</author>
  </authors>
  <commentList>
    <comment ref="B13" authorId="0" shapeId="0" xr:uid="{C4534AB1-6A99-41C3-B915-59103C1256A5}">
      <text>
        <r>
          <rPr>
            <b/>
            <sz val="9"/>
            <color indexed="81"/>
            <rFont val="Tahoma"/>
            <charset val="1"/>
          </rPr>
          <t>AutoBVT:</t>
        </r>
        <r>
          <rPr>
            <sz val="9"/>
            <color indexed="81"/>
            <rFont val="Tahoma"/>
            <charset val="1"/>
          </rPr>
          <t xml:space="preserve">
60k FROM cctn
30k FROM Diocese
</t>
        </r>
      </text>
    </comment>
    <comment ref="C13" authorId="0" shapeId="0" xr:uid="{18D9E811-369E-463B-9998-3C404B166F3F}">
      <text>
        <r>
          <rPr>
            <b/>
            <sz val="9"/>
            <color indexed="81"/>
            <rFont val="Tahoma"/>
            <charset val="1"/>
          </rPr>
          <t>AutoBVT:</t>
        </r>
        <r>
          <rPr>
            <sz val="9"/>
            <color indexed="81"/>
            <rFont val="Tahoma"/>
            <charset val="1"/>
          </rPr>
          <t xml:space="preserve">
60k FROM cctn
30k FROM Diocese
</t>
        </r>
      </text>
    </comment>
    <comment ref="C14" authorId="1" shapeId="0" xr:uid="{0BEF52B4-1E7A-42EB-8851-40247405C870}">
      <text>
        <r>
          <rPr>
            <b/>
            <sz val="9"/>
            <color indexed="81"/>
            <rFont val="Tahoma"/>
            <charset val="1"/>
          </rPr>
          <t>Debby Morrow:</t>
        </r>
        <r>
          <rPr>
            <sz val="9"/>
            <color indexed="81"/>
            <rFont val="Tahoma"/>
            <charset val="1"/>
          </rPr>
          <t xml:space="preserve">
70% of Food Service Costs
</t>
        </r>
      </text>
    </comment>
    <comment ref="C15" authorId="1" shapeId="0" xr:uid="{868A9D0E-69CF-4F17-86DB-C08AC4E24ED1}">
      <text>
        <r>
          <rPr>
            <b/>
            <sz val="9"/>
            <color indexed="81"/>
            <rFont val="Tahoma"/>
            <family val="2"/>
          </rPr>
          <t>Debby Morrow:</t>
        </r>
        <r>
          <rPr>
            <sz val="9"/>
            <color indexed="81"/>
            <rFont val="Tahoma"/>
            <family val="2"/>
          </rPr>
          <t xml:space="preserve">
174 kids with upstairs phasing in
St Ann - 20 kids at 225 a month for 10 months
Summer Camp - 15 kids at 135 a week for 1  month</t>
        </r>
      </text>
    </comment>
    <comment ref="D15" authorId="0" shapeId="0" xr:uid="{ADC357AD-96CB-4FB4-AC50-9CBDF19DC480}">
      <text>
        <r>
          <rPr>
            <b/>
            <sz val="9"/>
            <color indexed="81"/>
            <rFont val="Tahoma"/>
            <charset val="1"/>
          </rPr>
          <t>AutoBVT:</t>
        </r>
        <r>
          <rPr>
            <sz val="9"/>
            <color indexed="81"/>
            <rFont val="Tahoma"/>
            <charset val="1"/>
          </rPr>
          <t xml:space="preserve">
15 kids in summer camp for $135 a week for 4 weeks</t>
        </r>
      </text>
    </comment>
    <comment ref="C32" authorId="1" shapeId="0" xr:uid="{AED5CBFC-5DB2-4E3E-BF61-A1975D9FAD04}">
      <text>
        <r>
          <rPr>
            <b/>
            <sz val="9"/>
            <color indexed="81"/>
            <rFont val="Tahoma"/>
            <charset val="1"/>
          </rPr>
          <t>Debby Morrow:</t>
        </r>
        <r>
          <rPr>
            <sz val="9"/>
            <color indexed="81"/>
            <rFont val="Tahoma"/>
            <charset val="1"/>
          </rPr>
          <t xml:space="preserve">
30% based on actual 19/20</t>
        </r>
      </text>
    </comment>
    <comment ref="C33" authorId="1" shapeId="0" xr:uid="{27BBE82C-67E6-4318-A144-7EC42594B512}">
      <text>
        <r>
          <rPr>
            <b/>
            <sz val="9"/>
            <color indexed="81"/>
            <rFont val="Tahoma"/>
            <charset val="1"/>
          </rPr>
          <t>Debby Morrow:</t>
        </r>
        <r>
          <rPr>
            <sz val="9"/>
            <color indexed="81"/>
            <rFont val="Tahoma"/>
            <charset val="1"/>
          </rPr>
          <t xml:space="preserve">
7.65% of salaries based on FICA RATE</t>
        </r>
      </text>
    </comment>
    <comment ref="B37" authorId="2" shapeId="0" xr:uid="{B64C43D1-30BE-4535-815A-E10F03A1CFEB}">
      <text>
        <r>
          <rPr>
            <b/>
            <sz val="9"/>
            <color indexed="81"/>
            <rFont val="Tahoma"/>
            <family val="2"/>
          </rPr>
          <t>Richard Neal:</t>
        </r>
        <r>
          <rPr>
            <sz val="9"/>
            <color indexed="81"/>
            <rFont val="Tahoma"/>
            <family val="2"/>
          </rPr>
          <t xml:space="preserve">
Includes Janitorial Supplies</t>
        </r>
      </text>
    </comment>
    <comment ref="C37" authorId="2" shapeId="0" xr:uid="{64E8D6A7-EF27-4C97-92B3-FCDD9E862A13}">
      <text>
        <r>
          <rPr>
            <b/>
            <sz val="9"/>
            <color indexed="81"/>
            <rFont val="Tahoma"/>
            <family val="2"/>
          </rPr>
          <t>Debby Morrow</t>
        </r>
        <r>
          <rPr>
            <sz val="9"/>
            <color indexed="81"/>
            <rFont val="Tahoma"/>
            <family val="2"/>
          </rPr>
          <t xml:space="preserve">
Includes Janitorial Supplies
downstairs plus upstairs
Quote given to Alyssa</t>
        </r>
      </text>
    </comment>
    <comment ref="B38" authorId="2" shapeId="0" xr:uid="{498BB293-AF17-43E2-98CF-13E8C9C1FEEC}">
      <text>
        <r>
          <rPr>
            <b/>
            <sz val="9"/>
            <color indexed="81"/>
            <rFont val="Tahoma"/>
            <family val="2"/>
          </rPr>
          <t>Richard Neal:</t>
        </r>
        <r>
          <rPr>
            <sz val="9"/>
            <color indexed="81"/>
            <rFont val="Tahoma"/>
            <family val="2"/>
          </rPr>
          <t xml:space="preserve">
$16,000 - Legal
$9,300 - Audit</t>
        </r>
      </text>
    </comment>
    <comment ref="C38" authorId="2" shapeId="0" xr:uid="{AF28DD5D-57E3-4858-8AD4-AE401DC3D380}">
      <text>
        <r>
          <rPr>
            <b/>
            <sz val="9"/>
            <color indexed="81"/>
            <rFont val="Tahoma"/>
            <family val="2"/>
          </rPr>
          <t>Debby Morrow:</t>
        </r>
        <r>
          <rPr>
            <sz val="9"/>
            <color indexed="81"/>
            <rFont val="Tahoma"/>
            <family val="2"/>
          </rPr>
          <t xml:space="preserve">
$24,000 - Legal
$15,000 - Audit</t>
        </r>
      </text>
    </comment>
    <comment ref="C41" authorId="0" shapeId="0" xr:uid="{17CB0691-5D26-419E-A0AD-CAB7DC538D4B}">
      <text>
        <r>
          <rPr>
            <b/>
            <sz val="9"/>
            <color indexed="81"/>
            <rFont val="Tahoma"/>
            <charset val="1"/>
          </rPr>
          <t>AutoBVT:</t>
        </r>
        <r>
          <rPr>
            <sz val="9"/>
            <color indexed="81"/>
            <rFont val="Tahoma"/>
            <charset val="1"/>
          </rPr>
          <t xml:space="preserve">
SMV Per Lease $171,990 - 80% (CCTN pays 20%)
St Ann's 700 a month for 12 months</t>
        </r>
      </text>
    </comment>
    <comment ref="B46" authorId="2" shapeId="0" xr:uid="{4679B851-00A6-48B1-9D74-C4D61F55A48C}">
      <text>
        <r>
          <rPr>
            <b/>
            <sz val="9"/>
            <color indexed="81"/>
            <rFont val="Tahoma"/>
            <family val="2"/>
          </rPr>
          <t>Richard Neal:</t>
        </r>
        <r>
          <rPr>
            <sz val="9"/>
            <color indexed="81"/>
            <rFont val="Tahoma"/>
            <family val="2"/>
          </rPr>
          <t xml:space="preserve">
$36,000 - CCTN
$35,000 - Interim CEO
$7,175 - TExpress, ADP, etc</t>
        </r>
      </text>
    </comment>
    <comment ref="C46" authorId="2" shapeId="0" xr:uid="{BFF2F029-2DC3-4BD3-BF5C-D5FE83AEA1D3}">
      <text>
        <r>
          <rPr>
            <b/>
            <sz val="9"/>
            <color indexed="81"/>
            <rFont val="Tahoma"/>
            <family val="2"/>
          </rPr>
          <t>Debby and Alyssa
$12,000 - CCTN
$30,000 - TExpress, ADP, etc</t>
        </r>
      </text>
    </comment>
  </commentList>
</comments>
</file>

<file path=xl/sharedStrings.xml><?xml version="1.0" encoding="utf-8"?>
<sst xmlns="http://schemas.openxmlformats.org/spreadsheetml/2006/main" count="64" uniqueCount="64">
  <si>
    <t xml:space="preserve"> </t>
  </si>
  <si>
    <t>ST. MARY VILLA FY2020-2021 Proposed Budget</t>
  </si>
  <si>
    <t>FY 19-20 Budget</t>
  </si>
  <si>
    <t>FY 20-21 Budget WITH UPSTAIRS</t>
  </si>
  <si>
    <t>Proposal C</t>
  </si>
  <si>
    <t>174 Kids Capacity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</si>
  <si>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</si>
  <si>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</si>
  <si>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</si>
  <si>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</si>
  <si>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</si>
  <si>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</si>
  <si>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</si>
  <si>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</si>
  <si>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March 2021</t>
  </si>
  <si>
    <t>April 2021</t>
  </si>
  <si>
    <t>May 2021</t>
  </si>
  <si>
    <t>June 2021</t>
  </si>
  <si>
    <t>Annual</t>
  </si>
  <si>
    <t>Variance</t>
  </si>
  <si>
    <t># of Children Proposed</t>
  </si>
  <si>
    <t xml:space="preserve">Revenue </t>
  </si>
  <si>
    <t>Upstairs1ST 6 MOS 50%</t>
  </si>
  <si>
    <t>Upstairs2ND 6 MOS 70%</t>
  </si>
  <si>
    <t>Downstairs-Graduated Scale</t>
  </si>
  <si>
    <t>Contributions &amp; Diocesean Support</t>
  </si>
  <si>
    <t>Food Reimbursement</t>
  </si>
  <si>
    <t>Program Fees</t>
  </si>
  <si>
    <t>Investment Income</t>
  </si>
  <si>
    <t>ZBA Interest income (from Diocese)</t>
  </si>
  <si>
    <t>ACES School Endowment</t>
  </si>
  <si>
    <t>Frank Givens Trust</t>
  </si>
  <si>
    <t>MJ Smith Family Foundation</t>
  </si>
  <si>
    <t>Total Investment Income</t>
  </si>
  <si>
    <t>United Way Read to Succeed</t>
  </si>
  <si>
    <t>United Way - FEP</t>
  </si>
  <si>
    <t>Other Revenue - Miscellaneous</t>
  </si>
  <si>
    <t>Bad Debt Recovery</t>
  </si>
  <si>
    <t>Net assets released from restrictions</t>
  </si>
  <si>
    <t>Total Revenue</t>
  </si>
  <si>
    <t>Expenditures</t>
  </si>
  <si>
    <t>Salaries</t>
  </si>
  <si>
    <t>Benefits</t>
  </si>
  <si>
    <t>Taxes</t>
  </si>
  <si>
    <t xml:space="preserve">Personnel Subtotal </t>
  </si>
  <si>
    <t>Cleaning</t>
  </si>
  <si>
    <t xml:space="preserve">Audit-Legal-Purchased </t>
  </si>
  <si>
    <t>Food Service</t>
  </si>
  <si>
    <t xml:space="preserve">Supplies </t>
  </si>
  <si>
    <t>Occupancy</t>
  </si>
  <si>
    <t>Utilities and Bldg maintenance</t>
  </si>
  <si>
    <t>Conferences/Training</t>
  </si>
  <si>
    <t xml:space="preserve">Insurance </t>
  </si>
  <si>
    <t>Miscellaneous</t>
  </si>
  <si>
    <t>Purchased Services</t>
  </si>
  <si>
    <t>PR/Marketing</t>
  </si>
  <si>
    <t>Bad Debt Expense</t>
  </si>
  <si>
    <t>Loan Interest</t>
  </si>
  <si>
    <t>Depreciation</t>
  </si>
  <si>
    <t>Program Subtotal</t>
  </si>
  <si>
    <t>Total Expense</t>
  </si>
  <si>
    <t>Surplus/Deficit</t>
  </si>
  <si>
    <t>Net Unrestricted assets, beginning of period</t>
  </si>
  <si>
    <t>Net Unrestricted assets, end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</si>
</sst>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0000000000_);_(&quot;$&quot;* \(#,##0.000000000000000\);_(&quot;$&quot;* &quot;-&quot;??_);_(@_)"/>
    <numFmt numFmtId="166" formatCode="_(&quot;$&quot;* #,##0.000000000000000000000_);_(&quot;$&quot;* \(#,##0.000000000000000000000\);_(&quot;$&quot;* &quot;-&quot;??_);_(@_)"/>
    <numFmt numFmtId="167" formatCode="_(&quot;$&quot;* #,##0.00000000000000000000_);_(&quot;$&quot;* \(#,##0.000000000000000000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2" fillId="0" borderId="1" xfId="3" applyBorder="1"/>
    <xf numFmtId="0" fontId="2" fillId="0" borderId="2" xfId="3" applyBorder="1" applyAlignment="1">
      <alignment horizontal="center"/>
    </xf>
    <xf numFmtId="0" fontId="2" fillId="0" borderId="0" xfId="3"/>
    <xf numFmtId="0" fontId="2" fillId="0" borderId="3" xfId="3" applyBorder="1"/>
    <xf numFmtId="0" fontId="2" fillId="0" borderId="4" xfId="3" applyBorder="1" applyAlignment="1">
      <alignment horizontal="center"/>
    </xf>
    <xf numFmtId="0" fontId="3" fillId="0" borderId="3" xfId="3" applyFont="1" applyBorder="1"/>
    <xf numFmtId="9" fontId="3" fillId="0" borderId="4" xfId="3" applyNumberFormat="1" applyFont="1" applyBorder="1" applyAlignment="1">
      <alignment horizontal="center"/>
    </xf>
    <xf numFmtId="0" fontId="3" fillId="0" borderId="5" xfId="3" applyFont="1" applyBorder="1"/>
    <xf numFmtId="0" fontId="3" fillId="0" borderId="6" xfId="3" applyFont="1" applyBorder="1" applyAlignment="1">
      <alignment horizontal="center"/>
    </xf>
    <xf numFmtId="0" fontId="4" fillId="0" borderId="7" xfId="3" applyFont="1" applyBorder="1" applyAlignment="1">
      <alignment horizontal="center" wrapText="1"/>
    </xf>
    <xf numFmtId="0" fontId="4" fillId="0" borderId="8" xfId="3" applyFont="1" applyBorder="1" applyAlignment="1">
      <alignment horizontal="center" wrapText="1"/>
    </xf>
    <xf numFmtId="0" fontId="5" fillId="0" borderId="0" xfId="3" applyFont="1"/>
    <xf numFmtId="0" fontId="4" fillId="0" borderId="9" xfId="3" applyFont="1" applyBorder="1" applyAlignment="1">
      <alignment horizontal="center" wrapText="1"/>
    </xf>
    <xf numFmtId="0" fontId="4" fillId="0" borderId="10" xfId="3" applyFont="1" applyBorder="1" applyAlignment="1">
      <alignment horizontal="center" wrapText="1"/>
    </xf>
    <xf numFmtId="0" fontId="4" fillId="0" borderId="10" xfId="3" quotePrefix="1" applyFont="1" applyBorder="1" applyAlignment="1">
      <alignment horizontal="center" wrapText="1"/>
    </xf>
    <xf numFmtId="9" fontId="4" fillId="0" borderId="9" xfId="2" applyFont="1" applyFill="1" applyBorder="1" applyAlignment="1">
      <alignment horizontal="center" wrapText="1"/>
    </xf>
    <xf numFmtId="9" fontId="4" fillId="0" borderId="10" xfId="2" applyFont="1" applyFill="1" applyBorder="1" applyAlignment="1">
      <alignment horizontal="center" wrapText="1"/>
    </xf>
    <xf numFmtId="9" fontId="5" fillId="0" borderId="0" xfId="2" applyFont="1" applyFill="1"/>
    <xf numFmtId="0" fontId="4" fillId="0" borderId="3" xfId="3" applyFont="1" applyBorder="1"/>
    <xf numFmtId="0" fontId="3" fillId="0" borderId="4" xfId="3" applyFont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0" fontId="4" fillId="0" borderId="3" xfId="3" applyFont="1" applyBorder="1" applyAlignment="1">
      <alignment horizontal="right"/>
    </xf>
    <xf numFmtId="166" fontId="4" fillId="0" borderId="4" xfId="1" applyNumberFormat="1" applyFont="1" applyFill="1" applyBorder="1" applyAlignment="1">
      <alignment horizontal="center"/>
    </xf>
    <xf numFmtId="0" fontId="3" fillId="0" borderId="3" xfId="3" applyFont="1" applyBorder="1" applyAlignment="1">
      <alignment horizontal="right"/>
    </xf>
    <xf numFmtId="167" fontId="4" fillId="0" borderId="4" xfId="1" applyNumberFormat="1" applyFont="1" applyFill="1" applyBorder="1" applyAlignment="1">
      <alignment horizontal="center"/>
    </xf>
    <xf numFmtId="164" fontId="3" fillId="0" borderId="4" xfId="1" applyNumberFormat="1" applyFont="1" applyFill="1" applyBorder="1"/>
    <xf numFmtId="0" fontId="4" fillId="0" borderId="3" xfId="3" applyFont="1" applyBorder="1" applyAlignment="1">
      <alignment horizontal="left"/>
    </xf>
    <xf numFmtId="164" fontId="2" fillId="0" borderId="0" xfId="3" applyNumberFormat="1" applyAlignment="1">
      <alignment horizontal="center"/>
    </xf>
    <xf numFmtId="0" fontId="2" fillId="0" borderId="0" xfId="3" applyAlignment="1">
      <alignment horizontal="center"/>
    </xf>
  </cellXfs>
  <cellStyles count="4">
    <cellStyle name="Currency" xfId="1" builtinId="4"/>
    <cellStyle name="Normal" xfId="0" builtinId="0"/>
    <cellStyle name="Normal_Budget_Report_05_06" xfId="3" xr:uid="{A28FCEF7-2880-401A-AF6B-CBFA66BAFC2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SMV%20BUDGET%20WORKSHEET%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oard Report-20-21 Budget"/>
      <sheetName val="Proposed downstairs"/>
      <sheetName val="Proposed upstairs"/>
      <sheetName val="Operations - Projection"/>
      <sheetName val="Payroll"/>
    </sheetNames>
    <sheetDataSet>
      <sheetData sheetId="0"/>
      <sheetData sheetId="1"/>
      <sheetData sheetId="2">
        <row r="85">
          <cell r="V85">
            <v>1037400</v>
          </cell>
        </row>
        <row r="88">
          <cell r="Q88">
            <v>85</v>
          </cell>
          <cell r="S88">
            <v>78942.7</v>
          </cell>
        </row>
        <row r="89">
          <cell r="Q89">
            <v>85</v>
          </cell>
          <cell r="S89">
            <v>78942.703670546107</v>
          </cell>
        </row>
        <row r="90">
          <cell r="Q90">
            <v>85</v>
          </cell>
          <cell r="S90">
            <v>78942.703670546107</v>
          </cell>
        </row>
        <row r="91">
          <cell r="Q91">
            <v>90</v>
          </cell>
          <cell r="S91">
            <v>83586.392121754703</v>
          </cell>
        </row>
        <row r="92">
          <cell r="Q92">
            <v>95</v>
          </cell>
          <cell r="S92">
            <v>88230.080572963299</v>
          </cell>
        </row>
        <row r="93">
          <cell r="Q93">
            <v>95</v>
          </cell>
          <cell r="S93">
            <v>88230.080572963299</v>
          </cell>
        </row>
        <row r="94">
          <cell r="Q94">
            <v>97</v>
          </cell>
          <cell r="S94">
            <v>90087.555953446732</v>
          </cell>
        </row>
        <row r="95">
          <cell r="Q95">
            <v>97</v>
          </cell>
          <cell r="S95">
            <v>90087.555953446732</v>
          </cell>
        </row>
        <row r="96">
          <cell r="Q96">
            <v>97</v>
          </cell>
          <cell r="S96">
            <v>90087.555953446732</v>
          </cell>
        </row>
        <row r="97">
          <cell r="Q97">
            <v>97</v>
          </cell>
          <cell r="S97">
            <v>90087.555953446732</v>
          </cell>
        </row>
        <row r="98">
          <cell r="Q98">
            <v>97</v>
          </cell>
          <cell r="S98">
            <v>90087.555953446732</v>
          </cell>
        </row>
        <row r="99">
          <cell r="Q99">
            <v>97</v>
          </cell>
          <cell r="S99">
            <v>90087.555953446732</v>
          </cell>
        </row>
        <row r="100">
          <cell r="T100">
            <v>57577.319587628866</v>
          </cell>
          <cell r="U100">
            <v>24950.171821305845</v>
          </cell>
        </row>
      </sheetData>
      <sheetData sheetId="3">
        <row r="85">
          <cell r="Y85">
            <v>495532.79999999999</v>
          </cell>
        </row>
        <row r="88">
          <cell r="S88">
            <v>39</v>
          </cell>
          <cell r="U88">
            <v>34265.565957446808</v>
          </cell>
        </row>
        <row r="89">
          <cell r="S89">
            <v>39</v>
          </cell>
          <cell r="U89">
            <v>34265.565957446808</v>
          </cell>
        </row>
        <row r="90">
          <cell r="S90">
            <v>39</v>
          </cell>
          <cell r="U90">
            <v>34265.565957446808</v>
          </cell>
        </row>
        <row r="91">
          <cell r="S91">
            <v>39</v>
          </cell>
          <cell r="U91">
            <v>34265.565957446808</v>
          </cell>
        </row>
        <row r="92">
          <cell r="S92">
            <v>39</v>
          </cell>
          <cell r="U92">
            <v>34265.565957446808</v>
          </cell>
        </row>
        <row r="93">
          <cell r="S93">
            <v>39</v>
          </cell>
          <cell r="U93">
            <v>34265.565957446808</v>
          </cell>
        </row>
        <row r="94">
          <cell r="S94">
            <v>55</v>
          </cell>
          <cell r="U94">
            <v>48323.234042553195</v>
          </cell>
        </row>
        <row r="95">
          <cell r="S95">
            <v>55</v>
          </cell>
          <cell r="U95">
            <v>48323.234042553195</v>
          </cell>
        </row>
        <row r="96">
          <cell r="S96">
            <v>55</v>
          </cell>
          <cell r="U96">
            <v>48323.234042553195</v>
          </cell>
        </row>
        <row r="97">
          <cell r="S97">
            <v>55</v>
          </cell>
          <cell r="U97">
            <v>48323.234042553195</v>
          </cell>
        </row>
        <row r="98">
          <cell r="S98">
            <v>55</v>
          </cell>
          <cell r="U98">
            <v>48323.234042553195</v>
          </cell>
        </row>
        <row r="99">
          <cell r="S99">
            <v>55</v>
          </cell>
          <cell r="U99">
            <v>48323.234042553195</v>
          </cell>
        </row>
        <row r="100">
          <cell r="V100">
            <v>29072.164948453617</v>
          </cell>
          <cell r="W100">
            <v>12597.938144329899</v>
          </cell>
        </row>
      </sheetData>
      <sheetData sheetId="4"/>
      <sheetData sheetId="5">
        <row r="187">
          <cell r="L187">
            <v>781413.34959999996</v>
          </cell>
        </row>
        <row r="190">
          <cell r="L190">
            <v>84240</v>
          </cell>
        </row>
        <row r="191">
          <cell r="L191">
            <v>168480</v>
          </cell>
        </row>
        <row r="194">
          <cell r="L194">
            <v>1034133.3496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4E836-1CFA-45CC-9280-F587F9CEE5A6}">
  <dimension ref="A1:Q67"/>
  <sheetViews>
    <sheetView tabSelected="1" topLeftCell="A5" workbookViewId="0">
      <selection sqref="A1:XFD1048576"/>
    </sheetView>
  </sheetViews>
  <sheetFormatPr defaultColWidth="9.140625" defaultRowHeight="12.75" x14ac:dyDescent="0.2"/>
  <cols>
    <col min="1" max="1" width="27.140625" style="3" customWidth="1"/>
    <col min="2" max="2" width="13.42578125" style="31" customWidth="1"/>
    <col min="3" max="3" width="21.5703125" style="31" bestFit="1" customWidth="1"/>
    <col min="4" max="15" width="13.42578125" style="31" customWidth="1"/>
    <col min="16" max="16" width="11.85546875" style="31" bestFit="1" customWidth="1"/>
    <col min="17" max="17" width="32.5703125" style="31" bestFit="1" customWidth="1"/>
    <col min="18" max="16384" width="9.140625" style="3"/>
  </cols>
  <sheetData>
    <row r="1" spans="1:17" ht="13.5" hidden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 hidden="1" thickBo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3.5" hidden="1" thickBo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3.5" hidden="1" thickBo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2" customFormat="1" ht="34.5" customHeight="1" thickBot="1" x14ac:dyDescent="0.25">
      <c r="A5" s="10" t="s">
        <v>1</v>
      </c>
      <c r="B5" s="11" t="s">
        <v>2</v>
      </c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2" customFormat="1" ht="26.25" customHeight="1" x14ac:dyDescent="0.2">
      <c r="A6" s="13"/>
      <c r="B6" s="14"/>
      <c r="C6" s="14" t="s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s="12" customFormat="1" x14ac:dyDescent="0.2">
      <c r="A7" s="13"/>
      <c r="B7" s="14"/>
      <c r="C7" s="14" t="s">
        <v>5</v>
      </c>
      <c r="D7" s="15" t="s">
        <v>6</v>
      </c>
      <c r="E7" s="15" t="s">
        <v>7</v>
      </c>
      <c r="F7" s="15" t="s">
        <v>8</v>
      </c>
      <c r="G7" s="15" t="s">
        <v>9</v>
      </c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5" t="s">
        <v>15</v>
      </c>
      <c r="N7" s="15" t="s">
        <v>16</v>
      </c>
      <c r="O7" s="15" t="s">
        <v>17</v>
      </c>
      <c r="P7" s="14" t="s">
        <v>18</v>
      </c>
      <c r="Q7" s="14" t="s">
        <v>19</v>
      </c>
    </row>
    <row r="8" spans="1:17" s="12" customFormat="1" x14ac:dyDescent="0.2">
      <c r="A8" s="13"/>
      <c r="B8" s="14"/>
      <c r="C8" s="14" t="s">
        <v>20</v>
      </c>
      <c r="D8" s="14">
        <f>+'[1]Proposed downstairs'!Q88+'[1]Proposed upstairs'!S88</f>
        <v>124</v>
      </c>
      <c r="E8" s="14">
        <f>+'[1]Proposed downstairs'!Q89+'[1]Proposed upstairs'!S89</f>
        <v>124</v>
      </c>
      <c r="F8" s="14">
        <f>+'[1]Proposed downstairs'!Q90+'[1]Proposed upstairs'!S90</f>
        <v>124</v>
      </c>
      <c r="G8" s="14">
        <f>+'[1]Proposed downstairs'!Q91+'[1]Proposed upstairs'!S91</f>
        <v>129</v>
      </c>
      <c r="H8" s="14">
        <f>+'[1]Proposed downstairs'!Q92+'[1]Proposed upstairs'!S92</f>
        <v>134</v>
      </c>
      <c r="I8" s="14">
        <f>+'[1]Proposed downstairs'!Q93+'[1]Proposed upstairs'!S93</f>
        <v>134</v>
      </c>
      <c r="J8" s="14">
        <f>+'[1]Proposed downstairs'!Q94+'[1]Proposed upstairs'!S94</f>
        <v>152</v>
      </c>
      <c r="K8" s="14">
        <f>+'[1]Proposed downstairs'!Q95+'[1]Proposed upstairs'!S95</f>
        <v>152</v>
      </c>
      <c r="L8" s="14">
        <f>+'[1]Proposed downstairs'!Q96+'[1]Proposed upstairs'!S96</f>
        <v>152</v>
      </c>
      <c r="M8" s="14">
        <f>+'[1]Proposed downstairs'!Q97+'[1]Proposed upstairs'!S97</f>
        <v>152</v>
      </c>
      <c r="N8" s="14">
        <f>+'[1]Proposed downstairs'!Q98+'[1]Proposed upstairs'!S98</f>
        <v>152</v>
      </c>
      <c r="O8" s="14">
        <f>+'[1]Proposed downstairs'!Q99+'[1]Proposed upstairs'!S99</f>
        <v>152</v>
      </c>
      <c r="P8" s="14">
        <f>SUM(D8:O8)</f>
        <v>1681</v>
      </c>
      <c r="Q8" s="14"/>
    </row>
    <row r="9" spans="1:17" s="18" customFormat="1" x14ac:dyDescent="0.2">
      <c r="A9" s="16"/>
      <c r="B9" s="17"/>
      <c r="C9" s="17"/>
      <c r="D9" s="17">
        <f>+D8/$P$8</f>
        <v>7.3765615704937532E-2</v>
      </c>
      <c r="E9" s="17">
        <f t="shared" ref="E9:O9" si="0">+E8/$P$8</f>
        <v>7.3765615704937532E-2</v>
      </c>
      <c r="F9" s="17">
        <f t="shared" si="0"/>
        <v>7.3765615704937532E-2</v>
      </c>
      <c r="G9" s="17">
        <f t="shared" si="0"/>
        <v>7.674003569303986E-2</v>
      </c>
      <c r="H9" s="17">
        <f t="shared" si="0"/>
        <v>7.9714455681142174E-2</v>
      </c>
      <c r="I9" s="17">
        <f t="shared" si="0"/>
        <v>7.9714455681142174E-2</v>
      </c>
      <c r="J9" s="17">
        <f t="shared" si="0"/>
        <v>9.0422367638310533E-2</v>
      </c>
      <c r="K9" s="17">
        <f t="shared" si="0"/>
        <v>9.0422367638310533E-2</v>
      </c>
      <c r="L9" s="17">
        <f t="shared" si="0"/>
        <v>9.0422367638310533E-2</v>
      </c>
      <c r="M9" s="17">
        <f t="shared" si="0"/>
        <v>9.0422367638310533E-2</v>
      </c>
      <c r="N9" s="17">
        <f t="shared" si="0"/>
        <v>9.0422367638310533E-2</v>
      </c>
      <c r="O9" s="17">
        <f t="shared" si="0"/>
        <v>9.0422367638310533E-2</v>
      </c>
      <c r="P9" s="17">
        <f>SUM(D9:O9)</f>
        <v>1.0000000000000002</v>
      </c>
      <c r="Q9" s="17"/>
    </row>
    <row r="10" spans="1:17" x14ac:dyDescent="0.2">
      <c r="A10" s="19" t="s">
        <v>21</v>
      </c>
      <c r="B10" s="20"/>
      <c r="C10" s="20" t="s">
        <v>22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x14ac:dyDescent="0.2">
      <c r="A11" s="6"/>
      <c r="B11" s="20"/>
      <c r="C11" s="20" t="s">
        <v>23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x14ac:dyDescent="0.2">
      <c r="A12" s="6"/>
      <c r="B12" s="20"/>
      <c r="C12" s="20" t="s">
        <v>24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x14ac:dyDescent="0.2">
      <c r="A13" s="19" t="s">
        <v>25</v>
      </c>
      <c r="B13" s="21">
        <v>90000</v>
      </c>
      <c r="C13" s="21">
        <v>90000</v>
      </c>
      <c r="D13" s="21">
        <f>+$C$13/12</f>
        <v>7500</v>
      </c>
      <c r="E13" s="21">
        <f t="shared" ref="E13:O13" si="1">+$C$13/12</f>
        <v>7500</v>
      </c>
      <c r="F13" s="21">
        <f t="shared" si="1"/>
        <v>7500</v>
      </c>
      <c r="G13" s="21">
        <f t="shared" si="1"/>
        <v>7500</v>
      </c>
      <c r="H13" s="21">
        <f t="shared" si="1"/>
        <v>7500</v>
      </c>
      <c r="I13" s="21">
        <f t="shared" si="1"/>
        <v>7500</v>
      </c>
      <c r="J13" s="21">
        <f t="shared" si="1"/>
        <v>7500</v>
      </c>
      <c r="K13" s="21">
        <f t="shared" si="1"/>
        <v>7500</v>
      </c>
      <c r="L13" s="21">
        <f t="shared" si="1"/>
        <v>7500</v>
      </c>
      <c r="M13" s="21">
        <f t="shared" si="1"/>
        <v>7500</v>
      </c>
      <c r="N13" s="21">
        <f t="shared" si="1"/>
        <v>7500</v>
      </c>
      <c r="O13" s="21">
        <f t="shared" si="1"/>
        <v>7500</v>
      </c>
      <c r="P13" s="21">
        <f>SUM(D13:O13)</f>
        <v>90000</v>
      </c>
      <c r="Q13" s="21">
        <f>+C13-P13</f>
        <v>0</v>
      </c>
    </row>
    <row r="14" spans="1:17" x14ac:dyDescent="0.2">
      <c r="A14" s="19" t="s">
        <v>26</v>
      </c>
      <c r="B14" s="21">
        <v>42000</v>
      </c>
      <c r="C14" s="21">
        <f>+C39*0.7</f>
        <v>60654.639175257733</v>
      </c>
      <c r="D14" s="21">
        <f>D39*0.7</f>
        <v>4474.2268041237112</v>
      </c>
      <c r="E14" s="21">
        <f t="shared" ref="E14:O14" si="2">E39*0.7</f>
        <v>4474.2268041237112</v>
      </c>
      <c r="F14" s="21">
        <f t="shared" si="2"/>
        <v>4474.2268041237112</v>
      </c>
      <c r="G14" s="21">
        <f t="shared" si="2"/>
        <v>4654.6391752577319</v>
      </c>
      <c r="H14" s="21">
        <f t="shared" si="2"/>
        <v>4835.0515463917527</v>
      </c>
      <c r="I14" s="21">
        <f t="shared" si="2"/>
        <v>4835.0515463917527</v>
      </c>
      <c r="J14" s="21">
        <f t="shared" si="2"/>
        <v>5484.5360824742274</v>
      </c>
      <c r="K14" s="21">
        <f t="shared" si="2"/>
        <v>5484.5360824742274</v>
      </c>
      <c r="L14" s="21">
        <f t="shared" si="2"/>
        <v>5484.5360824742274</v>
      </c>
      <c r="M14" s="21">
        <f t="shared" si="2"/>
        <v>5484.5360824742274</v>
      </c>
      <c r="N14" s="21">
        <f t="shared" si="2"/>
        <v>5484.5360824742274</v>
      </c>
      <c r="O14" s="21">
        <f t="shared" si="2"/>
        <v>5484.5360824742274</v>
      </c>
      <c r="P14" s="21">
        <f t="shared" ref="P14:P61" si="3">SUM(D14:O14)</f>
        <v>60654.639175257718</v>
      </c>
      <c r="Q14" s="21">
        <f t="shared" ref="Q14:Q61" si="4">+C14-P14</f>
        <v>0</v>
      </c>
    </row>
    <row r="15" spans="1:17" x14ac:dyDescent="0.2">
      <c r="A15" s="19" t="s">
        <v>27</v>
      </c>
      <c r="B15" s="21">
        <v>929392</v>
      </c>
      <c r="C15" s="21">
        <f>+'[1]Proposed downstairs'!V85+'[1]Proposed upstairs'!Y85+((20*225)*10)+((15*135)*4)</f>
        <v>1586032.8</v>
      </c>
      <c r="D15" s="21">
        <f>+'[1]Proposed downstairs'!S88+'[1]Proposed upstairs'!U88+(15*135*4)</f>
        <v>121308.2659574468</v>
      </c>
      <c r="E15" s="21">
        <f>+'[1]Proposed downstairs'!S89+'[1]Proposed upstairs'!U89+(20*225)</f>
        <v>117708.26962799291</v>
      </c>
      <c r="F15" s="21">
        <f>+'[1]Proposed downstairs'!S90+'[1]Proposed upstairs'!U90+(20*225)</f>
        <v>117708.26962799291</v>
      </c>
      <c r="G15" s="21">
        <f>+'[1]Proposed downstairs'!S91+'[1]Proposed upstairs'!U91+(20*225)</f>
        <v>122351.95807920152</v>
      </c>
      <c r="H15" s="21">
        <f>+'[1]Proposed downstairs'!S92+'[1]Proposed upstairs'!U92+(20*225)</f>
        <v>126995.6465304101</v>
      </c>
      <c r="I15" s="21">
        <f>+'[1]Proposed downstairs'!S93+'[1]Proposed upstairs'!U93+(20*225)</f>
        <v>126995.6465304101</v>
      </c>
      <c r="J15" s="21">
        <f>+'[1]Proposed downstairs'!S94+'[1]Proposed upstairs'!U94+(20*225)</f>
        <v>142910.78999599992</v>
      </c>
      <c r="K15" s="21">
        <f>+'[1]Proposed downstairs'!S95+'[1]Proposed upstairs'!U95+(20*225)</f>
        <v>142910.78999599992</v>
      </c>
      <c r="L15" s="21">
        <f>+'[1]Proposed downstairs'!S96+'[1]Proposed upstairs'!U96+(20*225)</f>
        <v>142910.78999599992</v>
      </c>
      <c r="M15" s="21">
        <f>+'[1]Proposed downstairs'!S97+'[1]Proposed upstairs'!U97+(20*225)</f>
        <v>142910.78999599992</v>
      </c>
      <c r="N15" s="21">
        <f>+'[1]Proposed downstairs'!S98+'[1]Proposed upstairs'!U98+(20*225)</f>
        <v>142910.78999599992</v>
      </c>
      <c r="O15" s="21">
        <f>+'[1]Proposed downstairs'!S99+'[1]Proposed upstairs'!U99</f>
        <v>138410.78999599992</v>
      </c>
      <c r="P15" s="21">
        <f>SUM(D15:O15)+0.003670545993373</f>
        <v>1586032.8</v>
      </c>
      <c r="Q15" s="22">
        <f t="shared" si="4"/>
        <v>0</v>
      </c>
    </row>
    <row r="16" spans="1:17" x14ac:dyDescent="0.2">
      <c r="A16" s="19" t="s">
        <v>28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1">
        <f t="shared" si="3"/>
        <v>0</v>
      </c>
      <c r="Q16" s="21">
        <f t="shared" si="4"/>
        <v>0</v>
      </c>
    </row>
    <row r="17" spans="1:17" x14ac:dyDescent="0.2">
      <c r="A17" s="6" t="s">
        <v>29</v>
      </c>
      <c r="B17" s="23">
        <v>450</v>
      </c>
      <c r="C17" s="23">
        <v>300</v>
      </c>
      <c r="D17" s="23">
        <f>$C17*D9</f>
        <v>22.129684711481261</v>
      </c>
      <c r="E17" s="23">
        <f t="shared" ref="E17:O17" si="5">$C17*E9</f>
        <v>22.129684711481261</v>
      </c>
      <c r="F17" s="23">
        <f t="shared" si="5"/>
        <v>22.129684711481261</v>
      </c>
      <c r="G17" s="23">
        <f t="shared" si="5"/>
        <v>23.022010707911956</v>
      </c>
      <c r="H17" s="23">
        <f t="shared" si="5"/>
        <v>23.914336704342652</v>
      </c>
      <c r="I17" s="23">
        <f t="shared" si="5"/>
        <v>23.914336704342652</v>
      </c>
      <c r="J17" s="23">
        <f t="shared" si="5"/>
        <v>27.126710291493161</v>
      </c>
      <c r="K17" s="23">
        <f t="shared" si="5"/>
        <v>27.126710291493161</v>
      </c>
      <c r="L17" s="23">
        <f t="shared" si="5"/>
        <v>27.126710291493161</v>
      </c>
      <c r="M17" s="23">
        <f t="shared" si="5"/>
        <v>27.126710291493161</v>
      </c>
      <c r="N17" s="23">
        <f t="shared" si="5"/>
        <v>27.126710291493161</v>
      </c>
      <c r="O17" s="23">
        <f t="shared" si="5"/>
        <v>27.126710291493161</v>
      </c>
      <c r="P17" s="21">
        <f t="shared" si="3"/>
        <v>300.00000000000006</v>
      </c>
      <c r="Q17" s="21">
        <f t="shared" si="4"/>
        <v>0</v>
      </c>
    </row>
    <row r="18" spans="1:17" x14ac:dyDescent="0.2">
      <c r="A18" s="6" t="s">
        <v>30</v>
      </c>
      <c r="B18" s="23">
        <v>19200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1">
        <f t="shared" si="3"/>
        <v>0</v>
      </c>
      <c r="Q18" s="21">
        <f t="shared" si="4"/>
        <v>0</v>
      </c>
    </row>
    <row r="19" spans="1:17" x14ac:dyDescent="0.2">
      <c r="A19" s="6" t="s">
        <v>31</v>
      </c>
      <c r="B19" s="23">
        <v>38000</v>
      </c>
      <c r="C19" s="23">
        <v>28500</v>
      </c>
      <c r="D19" s="23">
        <f>$C$19*D9</f>
        <v>2102.3200475907197</v>
      </c>
      <c r="E19" s="23">
        <f t="shared" ref="E19:O19" si="6">$C$19*E9</f>
        <v>2102.3200475907197</v>
      </c>
      <c r="F19" s="23">
        <f t="shared" si="6"/>
        <v>2102.3200475907197</v>
      </c>
      <c r="G19" s="23">
        <f t="shared" si="6"/>
        <v>2187.091017251636</v>
      </c>
      <c r="H19" s="23">
        <f t="shared" si="6"/>
        <v>2271.8619869125519</v>
      </c>
      <c r="I19" s="23">
        <f t="shared" si="6"/>
        <v>2271.8619869125519</v>
      </c>
      <c r="J19" s="23">
        <f t="shared" si="6"/>
        <v>2577.0374776918502</v>
      </c>
      <c r="K19" s="23">
        <f t="shared" si="6"/>
        <v>2577.0374776918502</v>
      </c>
      <c r="L19" s="23">
        <f t="shared" si="6"/>
        <v>2577.0374776918502</v>
      </c>
      <c r="M19" s="23">
        <f t="shared" si="6"/>
        <v>2577.0374776918502</v>
      </c>
      <c r="N19" s="23">
        <f t="shared" si="6"/>
        <v>2577.0374776918502</v>
      </c>
      <c r="O19" s="23">
        <f t="shared" si="6"/>
        <v>2577.0374776918502</v>
      </c>
      <c r="P19" s="21">
        <f t="shared" si="3"/>
        <v>28500.000000000004</v>
      </c>
      <c r="Q19" s="21">
        <f t="shared" si="4"/>
        <v>0</v>
      </c>
    </row>
    <row r="20" spans="1:17" x14ac:dyDescent="0.2">
      <c r="A20" s="6" t="s">
        <v>32</v>
      </c>
      <c r="B20" s="23">
        <v>114000</v>
      </c>
      <c r="C20" s="23">
        <v>85500</v>
      </c>
      <c r="D20" s="23">
        <f>$C$20*D9</f>
        <v>6306.9601427721591</v>
      </c>
      <c r="E20" s="23">
        <f t="shared" ref="E20:O20" si="7">$C$20*E9</f>
        <v>6306.9601427721591</v>
      </c>
      <c r="F20" s="23">
        <f t="shared" si="7"/>
        <v>6306.9601427721591</v>
      </c>
      <c r="G20" s="23">
        <f t="shared" si="7"/>
        <v>6561.273051754908</v>
      </c>
      <c r="H20" s="23">
        <f t="shared" si="7"/>
        <v>6815.585960737656</v>
      </c>
      <c r="I20" s="23">
        <f t="shared" si="7"/>
        <v>6815.585960737656</v>
      </c>
      <c r="J20" s="23">
        <f t="shared" si="7"/>
        <v>7731.1124330755501</v>
      </c>
      <c r="K20" s="23">
        <f t="shared" si="7"/>
        <v>7731.1124330755501</v>
      </c>
      <c r="L20" s="23">
        <f t="shared" si="7"/>
        <v>7731.1124330755501</v>
      </c>
      <c r="M20" s="23">
        <f t="shared" si="7"/>
        <v>7731.1124330755501</v>
      </c>
      <c r="N20" s="23">
        <f t="shared" si="7"/>
        <v>7731.1124330755501</v>
      </c>
      <c r="O20" s="23">
        <f t="shared" si="7"/>
        <v>7731.1124330755501</v>
      </c>
      <c r="P20" s="21">
        <f t="shared" si="3"/>
        <v>85500</v>
      </c>
      <c r="Q20" s="21">
        <f t="shared" si="4"/>
        <v>0</v>
      </c>
    </row>
    <row r="21" spans="1:17" x14ac:dyDescent="0.2">
      <c r="A21" s="19" t="s">
        <v>33</v>
      </c>
      <c r="B21" s="21">
        <f>SUM(B17:B20)</f>
        <v>171650</v>
      </c>
      <c r="C21" s="21">
        <f>SUM(C17:C20)</f>
        <v>114300</v>
      </c>
      <c r="D21" s="21">
        <f>SUM(D17:D20)</f>
        <v>8431.4098750743597</v>
      </c>
      <c r="E21" s="21">
        <f t="shared" ref="E21:O21" si="8">SUM(E17:E20)</f>
        <v>8431.4098750743597</v>
      </c>
      <c r="F21" s="21">
        <f t="shared" si="8"/>
        <v>8431.4098750743597</v>
      </c>
      <c r="G21" s="21">
        <f t="shared" si="8"/>
        <v>8771.3860797144553</v>
      </c>
      <c r="H21" s="21">
        <f t="shared" si="8"/>
        <v>9111.3622843545509</v>
      </c>
      <c r="I21" s="21">
        <f t="shared" si="8"/>
        <v>9111.3622843545509</v>
      </c>
      <c r="J21" s="21">
        <f t="shared" si="8"/>
        <v>10335.276621058892</v>
      </c>
      <c r="K21" s="21">
        <f t="shared" si="8"/>
        <v>10335.276621058892</v>
      </c>
      <c r="L21" s="21">
        <f t="shared" si="8"/>
        <v>10335.276621058892</v>
      </c>
      <c r="M21" s="21">
        <f t="shared" si="8"/>
        <v>10335.276621058892</v>
      </c>
      <c r="N21" s="21">
        <f t="shared" si="8"/>
        <v>10335.276621058892</v>
      </c>
      <c r="O21" s="21">
        <f t="shared" si="8"/>
        <v>10335.276621058892</v>
      </c>
      <c r="P21" s="21">
        <f t="shared" si="3"/>
        <v>114299.99999999997</v>
      </c>
      <c r="Q21" s="21">
        <f t="shared" si="4"/>
        <v>0</v>
      </c>
    </row>
    <row r="22" spans="1:17" x14ac:dyDescent="0.2">
      <c r="A22" s="19" t="s">
        <v>34</v>
      </c>
      <c r="B22" s="21">
        <v>176000</v>
      </c>
      <c r="C22" s="21">
        <v>176000</v>
      </c>
      <c r="D22" s="21">
        <f>+$C$22*D9-(7500/8)</f>
        <v>12045.248364069006</v>
      </c>
      <c r="E22" s="21">
        <f>+$C$22*E9-(7500/8)</f>
        <v>12045.248364069006</v>
      </c>
      <c r="F22" s="21">
        <f>+$C$22*F9+1875</f>
        <v>14857.748364069006</v>
      </c>
      <c r="G22" s="21">
        <f>+$C$22*G9-(7500/8)</f>
        <v>12568.746281975014</v>
      </c>
      <c r="H22" s="21">
        <f>+$C$22*H9-(7500/8)</f>
        <v>13092.244199881023</v>
      </c>
      <c r="I22" s="21">
        <f>+$C$22*I9+1875</f>
        <v>15904.744199881023</v>
      </c>
      <c r="J22" s="21">
        <f>+$C$22*J9-(7500/8)</f>
        <v>14976.836704342653</v>
      </c>
      <c r="K22" s="21">
        <f>+$C$22*K9-(7500/8)</f>
        <v>14976.836704342653</v>
      </c>
      <c r="L22" s="21">
        <f>+$C$22*L9+1875</f>
        <v>17789.336704342655</v>
      </c>
      <c r="M22" s="21">
        <f>+$C$22*M9-(7500/8)</f>
        <v>14976.836704342653</v>
      </c>
      <c r="N22" s="21">
        <f>+$C$22*N9-(7500/8)</f>
        <v>14976.836704342653</v>
      </c>
      <c r="O22" s="21">
        <f>+$C$22*O9+1875</f>
        <v>17789.336704342655</v>
      </c>
      <c r="P22" s="21">
        <f t="shared" si="3"/>
        <v>176000</v>
      </c>
      <c r="Q22" s="21">
        <f t="shared" si="4"/>
        <v>0</v>
      </c>
    </row>
    <row r="23" spans="1:17" x14ac:dyDescent="0.2">
      <c r="A23" s="19" t="s">
        <v>35</v>
      </c>
      <c r="B23" s="21"/>
      <c r="C23" s="21">
        <v>48684</v>
      </c>
      <c r="D23" s="21">
        <f>$C$23*D9</f>
        <v>3591.2052349791788</v>
      </c>
      <c r="E23" s="21">
        <f t="shared" ref="E23:O23" si="9">$C$23*E9</f>
        <v>3591.2052349791788</v>
      </c>
      <c r="F23" s="21">
        <f t="shared" si="9"/>
        <v>3591.2052349791788</v>
      </c>
      <c r="G23" s="21">
        <f t="shared" si="9"/>
        <v>3736.0118976799527</v>
      </c>
      <c r="H23" s="21">
        <f t="shared" si="9"/>
        <v>3880.8185603807256</v>
      </c>
      <c r="I23" s="21">
        <f t="shared" si="9"/>
        <v>3880.8185603807256</v>
      </c>
      <c r="J23" s="21">
        <f t="shared" si="9"/>
        <v>4402.1225461035101</v>
      </c>
      <c r="K23" s="21">
        <f t="shared" si="9"/>
        <v>4402.1225461035101</v>
      </c>
      <c r="L23" s="21">
        <f t="shared" si="9"/>
        <v>4402.1225461035101</v>
      </c>
      <c r="M23" s="21">
        <f t="shared" si="9"/>
        <v>4402.1225461035101</v>
      </c>
      <c r="N23" s="21">
        <f t="shared" si="9"/>
        <v>4402.1225461035101</v>
      </c>
      <c r="O23" s="21">
        <f t="shared" si="9"/>
        <v>4402.1225461035101</v>
      </c>
      <c r="P23" s="21">
        <f t="shared" si="3"/>
        <v>48683.999999999985</v>
      </c>
      <c r="Q23" s="21">
        <f t="shared" si="4"/>
        <v>0</v>
      </c>
    </row>
    <row r="24" spans="1:17" x14ac:dyDescent="0.2">
      <c r="A24" s="19" t="s">
        <v>36</v>
      </c>
      <c r="B24" s="21">
        <v>0</v>
      </c>
      <c r="C24" s="21">
        <v>0</v>
      </c>
      <c r="D24" s="21">
        <v>46800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f t="shared" si="3"/>
        <v>46800</v>
      </c>
      <c r="Q24" s="21">
        <f t="shared" si="4"/>
        <v>-46800</v>
      </c>
    </row>
    <row r="25" spans="1:17" x14ac:dyDescent="0.2">
      <c r="A25" s="19" t="s">
        <v>37</v>
      </c>
      <c r="B25" s="21">
        <v>2500</v>
      </c>
      <c r="C25" s="21">
        <v>2500</v>
      </c>
      <c r="D25" s="21">
        <f>+$C$25*D9</f>
        <v>184.41403926234383</v>
      </c>
      <c r="E25" s="21">
        <f t="shared" ref="E25:O25" si="10">+$C$25*E9</f>
        <v>184.41403926234383</v>
      </c>
      <c r="F25" s="21">
        <f t="shared" si="10"/>
        <v>184.41403926234383</v>
      </c>
      <c r="G25" s="21">
        <f t="shared" si="10"/>
        <v>191.85008923259966</v>
      </c>
      <c r="H25" s="21">
        <f t="shared" si="10"/>
        <v>199.28613920285542</v>
      </c>
      <c r="I25" s="21">
        <f t="shared" si="10"/>
        <v>199.28613920285542</v>
      </c>
      <c r="J25" s="21">
        <f t="shared" si="10"/>
        <v>226.05591909577635</v>
      </c>
      <c r="K25" s="21">
        <f t="shared" si="10"/>
        <v>226.05591909577635</v>
      </c>
      <c r="L25" s="21">
        <f t="shared" si="10"/>
        <v>226.05591909577635</v>
      </c>
      <c r="M25" s="21">
        <f t="shared" si="10"/>
        <v>226.05591909577635</v>
      </c>
      <c r="N25" s="21">
        <f t="shared" si="10"/>
        <v>226.05591909577635</v>
      </c>
      <c r="O25" s="21">
        <f t="shared" si="10"/>
        <v>226.05591909577635</v>
      </c>
      <c r="P25" s="21">
        <f t="shared" si="3"/>
        <v>2500</v>
      </c>
      <c r="Q25" s="21">
        <f t="shared" si="4"/>
        <v>0</v>
      </c>
    </row>
    <row r="26" spans="1:17" x14ac:dyDescent="0.2">
      <c r="A26" s="19" t="s">
        <v>38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>
        <f t="shared" si="3"/>
        <v>0</v>
      </c>
      <c r="Q26" s="21">
        <f t="shared" si="4"/>
        <v>0</v>
      </c>
    </row>
    <row r="27" spans="1:17" x14ac:dyDescent="0.2">
      <c r="A27" s="6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1">
        <f t="shared" si="3"/>
        <v>0</v>
      </c>
      <c r="Q27" s="21">
        <f t="shared" si="4"/>
        <v>0</v>
      </c>
    </row>
    <row r="28" spans="1:17" x14ac:dyDescent="0.2">
      <c r="A28" s="24" t="s">
        <v>39</v>
      </c>
      <c r="B28" s="21">
        <f>+B25+B24+B22+B21+B15+B14+B13</f>
        <v>1411542</v>
      </c>
      <c r="C28" s="21">
        <f t="shared" ref="C28:O28" si="11">+C13+C14+C15+C21+C22+C23+C24+C25+C26</f>
        <v>2078171.4391752577</v>
      </c>
      <c r="D28" s="21">
        <f t="shared" si="11"/>
        <v>204334.7702749554</v>
      </c>
      <c r="E28" s="21">
        <f t="shared" si="11"/>
        <v>153934.77394550151</v>
      </c>
      <c r="F28" s="21">
        <f t="shared" si="11"/>
        <v>156747.27394550151</v>
      </c>
      <c r="G28" s="21">
        <f t="shared" si="11"/>
        <v>159774.59160306127</v>
      </c>
      <c r="H28" s="21">
        <f t="shared" si="11"/>
        <v>165614.40926062097</v>
      </c>
      <c r="I28" s="21">
        <f t="shared" si="11"/>
        <v>168426.90926062097</v>
      </c>
      <c r="J28" s="21">
        <f t="shared" si="11"/>
        <v>185835.61786907501</v>
      </c>
      <c r="K28" s="21">
        <f t="shared" si="11"/>
        <v>185835.61786907501</v>
      </c>
      <c r="L28" s="21">
        <f t="shared" si="11"/>
        <v>188648.11786907501</v>
      </c>
      <c r="M28" s="21">
        <f t="shared" si="11"/>
        <v>185835.61786907501</v>
      </c>
      <c r="N28" s="21">
        <f t="shared" si="11"/>
        <v>185835.61786907501</v>
      </c>
      <c r="O28" s="21">
        <f t="shared" si="11"/>
        <v>184148.11786907501</v>
      </c>
      <c r="P28" s="21">
        <f>SUM(D28:O28)+0.00367054645903409</f>
        <v>2124971.4391752575</v>
      </c>
      <c r="Q28" s="25">
        <f t="shared" si="4"/>
        <v>-46799.999999999767</v>
      </c>
    </row>
    <row r="29" spans="1:17" x14ac:dyDescent="0.2">
      <c r="A29" s="6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1">
        <f t="shared" si="3"/>
        <v>0</v>
      </c>
      <c r="Q29" s="21">
        <f t="shared" si="4"/>
        <v>0</v>
      </c>
    </row>
    <row r="30" spans="1:17" x14ac:dyDescent="0.2">
      <c r="A30" s="19" t="s">
        <v>40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1">
        <f t="shared" si="3"/>
        <v>0</v>
      </c>
      <c r="Q30" s="21">
        <f t="shared" si="4"/>
        <v>0</v>
      </c>
    </row>
    <row r="31" spans="1:17" x14ac:dyDescent="0.2">
      <c r="A31" s="6" t="s">
        <v>41</v>
      </c>
      <c r="B31" s="23">
        <v>718740</v>
      </c>
      <c r="C31" s="23">
        <f>+[1]Payroll!L194</f>
        <v>1034133.3496</v>
      </c>
      <c r="D31" s="23">
        <f>+([1]Payroll!L187/12)+([1]Payroll!L190/6)</f>
        <v>79157.77913333333</v>
      </c>
      <c r="E31" s="23">
        <v>79157.77913333333</v>
      </c>
      <c r="F31" s="23">
        <v>79157.77913333333</v>
      </c>
      <c r="G31" s="23">
        <v>79157.77913333333</v>
      </c>
      <c r="H31" s="23">
        <v>79157.77913333333</v>
      </c>
      <c r="I31" s="23">
        <v>79157.77913333333</v>
      </c>
      <c r="J31" s="23">
        <f>+([1]Payroll!L187/12)+([1]Payroll!L191/6)</f>
        <v>93197.77913333333</v>
      </c>
      <c r="K31" s="23">
        <v>93197.77913333333</v>
      </c>
      <c r="L31" s="23">
        <v>93197.77913333333</v>
      </c>
      <c r="M31" s="23">
        <v>93197.77913333333</v>
      </c>
      <c r="N31" s="23">
        <v>93197.77913333333</v>
      </c>
      <c r="O31" s="23">
        <v>93197.77913333333</v>
      </c>
      <c r="P31" s="21">
        <f t="shared" si="3"/>
        <v>1034133.3496000002</v>
      </c>
      <c r="Q31" s="21">
        <f t="shared" si="4"/>
        <v>0</v>
      </c>
    </row>
    <row r="32" spans="1:17" x14ac:dyDescent="0.2">
      <c r="A32" s="6" t="s">
        <v>42</v>
      </c>
      <c r="B32" s="23">
        <v>205607</v>
      </c>
      <c r="C32" s="23">
        <f t="shared" ref="C32" si="12">+C31*0.3</f>
        <v>310240.00487999996</v>
      </c>
      <c r="D32" s="23">
        <f>+D31*0.3</f>
        <v>23747.333739999998</v>
      </c>
      <c r="E32" s="23">
        <f t="shared" ref="E32:O32" si="13">+E31*0.3</f>
        <v>23747.333739999998</v>
      </c>
      <c r="F32" s="23">
        <f t="shared" si="13"/>
        <v>23747.333739999998</v>
      </c>
      <c r="G32" s="23">
        <f t="shared" si="13"/>
        <v>23747.333739999998</v>
      </c>
      <c r="H32" s="23">
        <f t="shared" si="13"/>
        <v>23747.333739999998</v>
      </c>
      <c r="I32" s="23">
        <f t="shared" si="13"/>
        <v>23747.333739999998</v>
      </c>
      <c r="J32" s="23">
        <f t="shared" si="13"/>
        <v>27959.333739999998</v>
      </c>
      <c r="K32" s="23">
        <f t="shared" si="13"/>
        <v>27959.333739999998</v>
      </c>
      <c r="L32" s="23">
        <f t="shared" si="13"/>
        <v>27959.333739999998</v>
      </c>
      <c r="M32" s="23">
        <f t="shared" si="13"/>
        <v>27959.333739999998</v>
      </c>
      <c r="N32" s="23">
        <f t="shared" si="13"/>
        <v>27959.333739999998</v>
      </c>
      <c r="O32" s="23">
        <f t="shared" si="13"/>
        <v>27959.333739999998</v>
      </c>
      <c r="P32" s="21">
        <f t="shared" si="3"/>
        <v>310240.00487999996</v>
      </c>
      <c r="Q32" s="21">
        <f t="shared" si="4"/>
        <v>0</v>
      </c>
    </row>
    <row r="33" spans="1:17" x14ac:dyDescent="0.2">
      <c r="A33" s="6" t="s">
        <v>43</v>
      </c>
      <c r="B33" s="23">
        <v>54983</v>
      </c>
      <c r="C33" s="23">
        <f t="shared" ref="C33" si="14">+C31*7.65%</f>
        <v>79111.201244399999</v>
      </c>
      <c r="D33" s="23">
        <f>+D31*0.0765</f>
        <v>6055.5701036999999</v>
      </c>
      <c r="E33" s="23">
        <f t="shared" ref="E33:O33" si="15">+E31*0.0765</f>
        <v>6055.5701036999999</v>
      </c>
      <c r="F33" s="23">
        <f t="shared" si="15"/>
        <v>6055.5701036999999</v>
      </c>
      <c r="G33" s="23">
        <f t="shared" si="15"/>
        <v>6055.5701036999999</v>
      </c>
      <c r="H33" s="23">
        <f t="shared" si="15"/>
        <v>6055.5701036999999</v>
      </c>
      <c r="I33" s="23">
        <f t="shared" si="15"/>
        <v>6055.5701036999999</v>
      </c>
      <c r="J33" s="23">
        <f t="shared" si="15"/>
        <v>7129.6301036999994</v>
      </c>
      <c r="K33" s="23">
        <f t="shared" si="15"/>
        <v>7129.6301036999994</v>
      </c>
      <c r="L33" s="23">
        <f t="shared" si="15"/>
        <v>7129.6301036999994</v>
      </c>
      <c r="M33" s="23">
        <f t="shared" si="15"/>
        <v>7129.6301036999994</v>
      </c>
      <c r="N33" s="23">
        <f t="shared" si="15"/>
        <v>7129.6301036999994</v>
      </c>
      <c r="O33" s="23">
        <f t="shared" si="15"/>
        <v>7129.6301036999994</v>
      </c>
      <c r="P33" s="21">
        <f t="shared" si="3"/>
        <v>79111.201244399999</v>
      </c>
      <c r="Q33" s="21">
        <f t="shared" si="4"/>
        <v>0</v>
      </c>
    </row>
    <row r="34" spans="1:17" x14ac:dyDescent="0.2">
      <c r="A34" s="6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1">
        <f t="shared" si="3"/>
        <v>0</v>
      </c>
      <c r="Q34" s="21">
        <f t="shared" si="4"/>
        <v>0</v>
      </c>
    </row>
    <row r="35" spans="1:17" x14ac:dyDescent="0.2">
      <c r="A35" s="24" t="s">
        <v>44</v>
      </c>
      <c r="B35" s="21">
        <f>SUM(B31:B33)</f>
        <v>979330</v>
      </c>
      <c r="C35" s="21">
        <f>SUM(C31:C33)</f>
        <v>1423484.5557244001</v>
      </c>
      <c r="D35" s="21">
        <f>SUM(D31:D33)</f>
        <v>108960.68297703333</v>
      </c>
      <c r="E35" s="21">
        <f t="shared" ref="E35:O35" si="16">SUM(E31:E33)</f>
        <v>108960.68297703333</v>
      </c>
      <c r="F35" s="21">
        <f t="shared" si="16"/>
        <v>108960.68297703333</v>
      </c>
      <c r="G35" s="21">
        <f t="shared" si="16"/>
        <v>108960.68297703333</v>
      </c>
      <c r="H35" s="21">
        <f t="shared" si="16"/>
        <v>108960.68297703333</v>
      </c>
      <c r="I35" s="21">
        <f t="shared" si="16"/>
        <v>108960.68297703333</v>
      </c>
      <c r="J35" s="21">
        <f t="shared" si="16"/>
        <v>128286.74297703333</v>
      </c>
      <c r="K35" s="21">
        <f t="shared" si="16"/>
        <v>128286.74297703333</v>
      </c>
      <c r="L35" s="21">
        <f t="shared" si="16"/>
        <v>128286.74297703333</v>
      </c>
      <c r="M35" s="21">
        <f t="shared" si="16"/>
        <v>128286.74297703333</v>
      </c>
      <c r="N35" s="21">
        <f t="shared" si="16"/>
        <v>128286.74297703333</v>
      </c>
      <c r="O35" s="21">
        <f t="shared" si="16"/>
        <v>128286.74297703333</v>
      </c>
      <c r="P35" s="21">
        <f t="shared" si="3"/>
        <v>1423484.5557244001</v>
      </c>
      <c r="Q35" s="21">
        <f t="shared" si="4"/>
        <v>0</v>
      </c>
    </row>
    <row r="36" spans="1:17" x14ac:dyDescent="0.2">
      <c r="A36" s="6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1">
        <f t="shared" si="3"/>
        <v>0</v>
      </c>
      <c r="Q36" s="21">
        <f t="shared" si="4"/>
        <v>0</v>
      </c>
    </row>
    <row r="37" spans="1:17" x14ac:dyDescent="0.2">
      <c r="A37" s="6" t="s">
        <v>45</v>
      </c>
      <c r="B37" s="23">
        <v>34000</v>
      </c>
      <c r="C37" s="23">
        <f>36100+(1450*12)</f>
        <v>53500</v>
      </c>
      <c r="D37" s="23">
        <f>+$C$37/12</f>
        <v>4458.333333333333</v>
      </c>
      <c r="E37" s="23">
        <f t="shared" ref="E37:O37" si="17">+$C$37/12</f>
        <v>4458.333333333333</v>
      </c>
      <c r="F37" s="23">
        <f t="shared" si="17"/>
        <v>4458.333333333333</v>
      </c>
      <c r="G37" s="23">
        <f t="shared" si="17"/>
        <v>4458.333333333333</v>
      </c>
      <c r="H37" s="23">
        <f t="shared" si="17"/>
        <v>4458.333333333333</v>
      </c>
      <c r="I37" s="23">
        <f t="shared" si="17"/>
        <v>4458.333333333333</v>
      </c>
      <c r="J37" s="23">
        <f t="shared" si="17"/>
        <v>4458.333333333333</v>
      </c>
      <c r="K37" s="23">
        <f t="shared" si="17"/>
        <v>4458.333333333333</v>
      </c>
      <c r="L37" s="23">
        <f t="shared" si="17"/>
        <v>4458.333333333333</v>
      </c>
      <c r="M37" s="23">
        <f t="shared" si="17"/>
        <v>4458.333333333333</v>
      </c>
      <c r="N37" s="23">
        <f t="shared" si="17"/>
        <v>4458.333333333333</v>
      </c>
      <c r="O37" s="23">
        <f t="shared" si="17"/>
        <v>4458.333333333333</v>
      </c>
      <c r="P37" s="21">
        <f t="shared" si="3"/>
        <v>53500.000000000007</v>
      </c>
      <c r="Q37" s="21">
        <f t="shared" si="4"/>
        <v>0</v>
      </c>
    </row>
    <row r="38" spans="1:17" x14ac:dyDescent="0.2">
      <c r="A38" s="6" t="s">
        <v>46</v>
      </c>
      <c r="B38" s="23">
        <f>16000+9300</f>
        <v>25300</v>
      </c>
      <c r="C38" s="23">
        <f>24000+15000</f>
        <v>39000</v>
      </c>
      <c r="D38" s="23">
        <f>$C$38/12</f>
        <v>3250</v>
      </c>
      <c r="E38" s="23">
        <f t="shared" ref="E38:O38" si="18">$C$38/12</f>
        <v>3250</v>
      </c>
      <c r="F38" s="23">
        <f t="shared" si="18"/>
        <v>3250</v>
      </c>
      <c r="G38" s="23">
        <f t="shared" si="18"/>
        <v>3250</v>
      </c>
      <c r="H38" s="23">
        <f t="shared" si="18"/>
        <v>3250</v>
      </c>
      <c r="I38" s="23">
        <f t="shared" si="18"/>
        <v>3250</v>
      </c>
      <c r="J38" s="23">
        <f t="shared" si="18"/>
        <v>3250</v>
      </c>
      <c r="K38" s="23">
        <f t="shared" si="18"/>
        <v>3250</v>
      </c>
      <c r="L38" s="23">
        <f t="shared" si="18"/>
        <v>3250</v>
      </c>
      <c r="M38" s="23">
        <f t="shared" si="18"/>
        <v>3250</v>
      </c>
      <c r="N38" s="23">
        <f t="shared" si="18"/>
        <v>3250</v>
      </c>
      <c r="O38" s="23">
        <f t="shared" si="18"/>
        <v>3250</v>
      </c>
      <c r="P38" s="21">
        <f t="shared" si="3"/>
        <v>39000</v>
      </c>
      <c r="Q38" s="21">
        <f t="shared" si="4"/>
        <v>0</v>
      </c>
    </row>
    <row r="39" spans="1:17" x14ac:dyDescent="0.2">
      <c r="A39" s="6" t="s">
        <v>47</v>
      </c>
      <c r="B39" s="23">
        <v>60000</v>
      </c>
      <c r="C39" s="23">
        <f>+'[1]Proposed downstairs'!T100+'[1]Proposed upstairs'!V100</f>
        <v>86649.484536082484</v>
      </c>
      <c r="D39" s="23">
        <f>+$C$39*D9</f>
        <v>6391.7525773195875</v>
      </c>
      <c r="E39" s="23">
        <f t="shared" ref="E39:O39" si="19">+$C$39*E9</f>
        <v>6391.7525773195875</v>
      </c>
      <c r="F39" s="23">
        <f t="shared" si="19"/>
        <v>6391.7525773195875</v>
      </c>
      <c r="G39" s="23">
        <f t="shared" si="19"/>
        <v>6649.4845360824747</v>
      </c>
      <c r="H39" s="23">
        <f t="shared" si="19"/>
        <v>6907.216494845361</v>
      </c>
      <c r="I39" s="23">
        <f t="shared" si="19"/>
        <v>6907.216494845361</v>
      </c>
      <c r="J39" s="23">
        <f t="shared" si="19"/>
        <v>7835.0515463917536</v>
      </c>
      <c r="K39" s="23">
        <f t="shared" si="19"/>
        <v>7835.0515463917536</v>
      </c>
      <c r="L39" s="23">
        <f t="shared" si="19"/>
        <v>7835.0515463917536</v>
      </c>
      <c r="M39" s="23">
        <f t="shared" si="19"/>
        <v>7835.0515463917536</v>
      </c>
      <c r="N39" s="23">
        <f t="shared" si="19"/>
        <v>7835.0515463917536</v>
      </c>
      <c r="O39" s="23">
        <f t="shared" si="19"/>
        <v>7835.0515463917536</v>
      </c>
      <c r="P39" s="21">
        <f t="shared" si="3"/>
        <v>86649.484536082484</v>
      </c>
      <c r="Q39" s="21">
        <f t="shared" si="4"/>
        <v>0</v>
      </c>
    </row>
    <row r="40" spans="1:17" x14ac:dyDescent="0.2">
      <c r="A40" s="6" t="s">
        <v>48</v>
      </c>
      <c r="B40" s="23">
        <v>26000</v>
      </c>
      <c r="C40" s="23">
        <f>+'[1]Proposed downstairs'!U100+'[1]Proposed upstairs'!W100</f>
        <v>37548.10996563574</v>
      </c>
      <c r="D40" s="23">
        <f>+$C$40*D9</f>
        <v>2769.7594501718213</v>
      </c>
      <c r="E40" s="23">
        <f t="shared" ref="E40:O40" si="20">+$C$40*E9</f>
        <v>2769.7594501718213</v>
      </c>
      <c r="F40" s="23">
        <f t="shared" si="20"/>
        <v>2769.7594501718213</v>
      </c>
      <c r="G40" s="23">
        <f t="shared" si="20"/>
        <v>2881.4432989690722</v>
      </c>
      <c r="H40" s="23">
        <f t="shared" si="20"/>
        <v>2993.1271477663231</v>
      </c>
      <c r="I40" s="23">
        <f t="shared" si="20"/>
        <v>2993.1271477663231</v>
      </c>
      <c r="J40" s="23">
        <f t="shared" si="20"/>
        <v>3395.1890034364264</v>
      </c>
      <c r="K40" s="23">
        <f t="shared" si="20"/>
        <v>3395.1890034364264</v>
      </c>
      <c r="L40" s="23">
        <f t="shared" si="20"/>
        <v>3395.1890034364264</v>
      </c>
      <c r="M40" s="23">
        <f t="shared" si="20"/>
        <v>3395.1890034364264</v>
      </c>
      <c r="N40" s="23">
        <f t="shared" si="20"/>
        <v>3395.1890034364264</v>
      </c>
      <c r="O40" s="23">
        <f t="shared" si="20"/>
        <v>3395.1890034364264</v>
      </c>
      <c r="P40" s="21">
        <f t="shared" si="3"/>
        <v>37548.10996563574</v>
      </c>
      <c r="Q40" s="21">
        <f t="shared" si="4"/>
        <v>0</v>
      </c>
    </row>
    <row r="41" spans="1:17" x14ac:dyDescent="0.2">
      <c r="A41" s="6" t="s">
        <v>49</v>
      </c>
      <c r="B41" s="23">
        <v>139440</v>
      </c>
      <c r="C41" s="23">
        <f t="shared" ref="C41" si="21">(171990*0.8)+(700*12)</f>
        <v>145992</v>
      </c>
      <c r="D41" s="23">
        <f>+$C$41/12</f>
        <v>12166</v>
      </c>
      <c r="E41" s="23">
        <f t="shared" ref="E41:O41" si="22">+$C$41/12</f>
        <v>12166</v>
      </c>
      <c r="F41" s="23">
        <f t="shared" si="22"/>
        <v>12166</v>
      </c>
      <c r="G41" s="23">
        <f t="shared" si="22"/>
        <v>12166</v>
      </c>
      <c r="H41" s="23">
        <f t="shared" si="22"/>
        <v>12166</v>
      </c>
      <c r="I41" s="23">
        <f t="shared" si="22"/>
        <v>12166</v>
      </c>
      <c r="J41" s="23">
        <f t="shared" si="22"/>
        <v>12166</v>
      </c>
      <c r="K41" s="23">
        <f t="shared" si="22"/>
        <v>12166</v>
      </c>
      <c r="L41" s="23">
        <f t="shared" si="22"/>
        <v>12166</v>
      </c>
      <c r="M41" s="23">
        <f t="shared" si="22"/>
        <v>12166</v>
      </c>
      <c r="N41" s="23">
        <f t="shared" si="22"/>
        <v>12166</v>
      </c>
      <c r="O41" s="23">
        <f t="shared" si="22"/>
        <v>12166</v>
      </c>
      <c r="P41" s="21">
        <f t="shared" si="3"/>
        <v>145992</v>
      </c>
      <c r="Q41" s="21">
        <f t="shared" si="4"/>
        <v>0</v>
      </c>
    </row>
    <row r="42" spans="1:17" x14ac:dyDescent="0.2">
      <c r="A42" s="6" t="s">
        <v>50</v>
      </c>
      <c r="B42" s="23">
        <v>65000</v>
      </c>
      <c r="C42" s="23">
        <f>65000+32000</f>
        <v>97000</v>
      </c>
      <c r="D42" s="23">
        <f>$C$42*D9</f>
        <v>7155.2647233789403</v>
      </c>
      <c r="E42" s="23">
        <f t="shared" ref="E42:O42" si="23">$C$42*E9</f>
        <v>7155.2647233789403</v>
      </c>
      <c r="F42" s="23">
        <f t="shared" si="23"/>
        <v>7155.2647233789403</v>
      </c>
      <c r="G42" s="23">
        <f t="shared" si="23"/>
        <v>7443.7834622248665</v>
      </c>
      <c r="H42" s="23">
        <f t="shared" si="23"/>
        <v>7732.3022010707909</v>
      </c>
      <c r="I42" s="23">
        <f t="shared" si="23"/>
        <v>7732.3022010707909</v>
      </c>
      <c r="J42" s="23">
        <f t="shared" si="23"/>
        <v>8770.9696609161219</v>
      </c>
      <c r="K42" s="23">
        <f t="shared" si="23"/>
        <v>8770.9696609161219</v>
      </c>
      <c r="L42" s="23">
        <f t="shared" si="23"/>
        <v>8770.9696609161219</v>
      </c>
      <c r="M42" s="23">
        <f t="shared" si="23"/>
        <v>8770.9696609161219</v>
      </c>
      <c r="N42" s="23">
        <f t="shared" si="23"/>
        <v>8770.9696609161219</v>
      </c>
      <c r="O42" s="23">
        <f t="shared" si="23"/>
        <v>8770.9696609161219</v>
      </c>
      <c r="P42" s="21">
        <f t="shared" si="3"/>
        <v>96999.999999999985</v>
      </c>
      <c r="Q42" s="21">
        <f t="shared" si="4"/>
        <v>0</v>
      </c>
    </row>
    <row r="43" spans="1:17" ht="15" customHeight="1" x14ac:dyDescent="0.2">
      <c r="A43" s="6" t="s">
        <v>51</v>
      </c>
      <c r="B43" s="23">
        <v>7500</v>
      </c>
      <c r="C43" s="23">
        <v>7500</v>
      </c>
      <c r="D43" s="23"/>
      <c r="E43" s="23"/>
      <c r="F43" s="23">
        <f>+$C$43/4</f>
        <v>1875</v>
      </c>
      <c r="G43" s="23"/>
      <c r="H43" s="23"/>
      <c r="I43" s="23">
        <f>+$C$43/4</f>
        <v>1875</v>
      </c>
      <c r="J43" s="23"/>
      <c r="K43" s="23"/>
      <c r="L43" s="23">
        <f>+$C$43/4</f>
        <v>1875</v>
      </c>
      <c r="M43" s="23"/>
      <c r="N43" s="23"/>
      <c r="O43" s="23">
        <f>+$C$43/4</f>
        <v>1875</v>
      </c>
      <c r="P43" s="21">
        <f t="shared" si="3"/>
        <v>7500</v>
      </c>
      <c r="Q43" s="21">
        <f t="shared" si="4"/>
        <v>0</v>
      </c>
    </row>
    <row r="44" spans="1:17" x14ac:dyDescent="0.2">
      <c r="A44" s="6" t="s">
        <v>52</v>
      </c>
      <c r="B44" s="23">
        <v>1200</v>
      </c>
      <c r="C44" s="23">
        <v>2400</v>
      </c>
      <c r="D44" s="23">
        <f>+$C$44/12</f>
        <v>200</v>
      </c>
      <c r="E44" s="23">
        <f t="shared" ref="E44:O44" si="24">+$C$44/12</f>
        <v>200</v>
      </c>
      <c r="F44" s="23">
        <f t="shared" si="24"/>
        <v>200</v>
      </c>
      <c r="G44" s="23">
        <f t="shared" si="24"/>
        <v>200</v>
      </c>
      <c r="H44" s="23">
        <f t="shared" si="24"/>
        <v>200</v>
      </c>
      <c r="I44" s="23">
        <f t="shared" si="24"/>
        <v>200</v>
      </c>
      <c r="J44" s="23">
        <f t="shared" si="24"/>
        <v>200</v>
      </c>
      <c r="K44" s="23">
        <f t="shared" si="24"/>
        <v>200</v>
      </c>
      <c r="L44" s="23">
        <f t="shared" si="24"/>
        <v>200</v>
      </c>
      <c r="M44" s="23">
        <f t="shared" si="24"/>
        <v>200</v>
      </c>
      <c r="N44" s="23">
        <f t="shared" si="24"/>
        <v>200</v>
      </c>
      <c r="O44" s="23">
        <f t="shared" si="24"/>
        <v>200</v>
      </c>
      <c r="P44" s="21">
        <f t="shared" si="3"/>
        <v>2400</v>
      </c>
      <c r="Q44" s="21">
        <f t="shared" si="4"/>
        <v>0</v>
      </c>
    </row>
    <row r="45" spans="1:17" x14ac:dyDescent="0.2">
      <c r="A45" s="6" t="s">
        <v>53</v>
      </c>
      <c r="B45" s="23">
        <v>3000</v>
      </c>
      <c r="C45" s="23">
        <v>5000</v>
      </c>
      <c r="D45" s="23">
        <f>+$C$45/12</f>
        <v>416.66666666666669</v>
      </c>
      <c r="E45" s="23">
        <f t="shared" ref="E45:O45" si="25">+$C$45/12</f>
        <v>416.66666666666669</v>
      </c>
      <c r="F45" s="23">
        <f t="shared" si="25"/>
        <v>416.66666666666669</v>
      </c>
      <c r="G45" s="23">
        <f t="shared" si="25"/>
        <v>416.66666666666669</v>
      </c>
      <c r="H45" s="23">
        <f t="shared" si="25"/>
        <v>416.66666666666669</v>
      </c>
      <c r="I45" s="23">
        <f t="shared" si="25"/>
        <v>416.66666666666669</v>
      </c>
      <c r="J45" s="23">
        <f t="shared" si="25"/>
        <v>416.66666666666669</v>
      </c>
      <c r="K45" s="23">
        <f t="shared" si="25"/>
        <v>416.66666666666669</v>
      </c>
      <c r="L45" s="23">
        <f t="shared" si="25"/>
        <v>416.66666666666669</v>
      </c>
      <c r="M45" s="23">
        <f t="shared" si="25"/>
        <v>416.66666666666669</v>
      </c>
      <c r="N45" s="23">
        <f t="shared" si="25"/>
        <v>416.66666666666669</v>
      </c>
      <c r="O45" s="23">
        <f t="shared" si="25"/>
        <v>416.66666666666669</v>
      </c>
      <c r="P45" s="21">
        <f t="shared" si="3"/>
        <v>5000</v>
      </c>
      <c r="Q45" s="21">
        <f t="shared" si="4"/>
        <v>0</v>
      </c>
    </row>
    <row r="46" spans="1:17" x14ac:dyDescent="0.2">
      <c r="A46" s="6" t="s">
        <v>54</v>
      </c>
      <c r="B46" s="23">
        <v>13175</v>
      </c>
      <c r="C46" s="23">
        <f>30000+12000</f>
        <v>42000</v>
      </c>
      <c r="D46" s="23">
        <f>$C$46*D9</f>
        <v>3098.1558596073764</v>
      </c>
      <c r="E46" s="23">
        <f t="shared" ref="E46:O46" si="26">$C$46*E9</f>
        <v>3098.1558596073764</v>
      </c>
      <c r="F46" s="23">
        <f t="shared" si="26"/>
        <v>3098.1558596073764</v>
      </c>
      <c r="G46" s="23">
        <f t="shared" si="26"/>
        <v>3223.0814991076741</v>
      </c>
      <c r="H46" s="23">
        <f t="shared" si="26"/>
        <v>3348.0071386079712</v>
      </c>
      <c r="I46" s="23">
        <f t="shared" si="26"/>
        <v>3348.0071386079712</v>
      </c>
      <c r="J46" s="23">
        <f t="shared" si="26"/>
        <v>3797.7394408090422</v>
      </c>
      <c r="K46" s="23">
        <f t="shared" si="26"/>
        <v>3797.7394408090422</v>
      </c>
      <c r="L46" s="23">
        <f t="shared" si="26"/>
        <v>3797.7394408090422</v>
      </c>
      <c r="M46" s="23">
        <f t="shared" si="26"/>
        <v>3797.7394408090422</v>
      </c>
      <c r="N46" s="23">
        <f t="shared" si="26"/>
        <v>3797.7394408090422</v>
      </c>
      <c r="O46" s="23">
        <f t="shared" si="26"/>
        <v>3797.7394408090422</v>
      </c>
      <c r="P46" s="21">
        <f t="shared" si="3"/>
        <v>41999.999999999985</v>
      </c>
      <c r="Q46" s="21">
        <f t="shared" si="4"/>
        <v>0</v>
      </c>
    </row>
    <row r="47" spans="1:17" x14ac:dyDescent="0.2">
      <c r="A47" s="6" t="s">
        <v>55</v>
      </c>
      <c r="B47" s="23">
        <v>1000</v>
      </c>
      <c r="C47" s="23">
        <v>10000</v>
      </c>
      <c r="D47" s="23">
        <v>2500</v>
      </c>
      <c r="E47" s="23"/>
      <c r="F47" s="23">
        <v>0</v>
      </c>
      <c r="G47" s="23">
        <v>2500</v>
      </c>
      <c r="H47" s="23"/>
      <c r="I47" s="23">
        <v>0</v>
      </c>
      <c r="J47" s="23">
        <v>2500</v>
      </c>
      <c r="K47" s="23"/>
      <c r="L47" s="23">
        <v>0</v>
      </c>
      <c r="M47" s="23">
        <v>2500</v>
      </c>
      <c r="N47" s="23"/>
      <c r="O47" s="23">
        <v>0</v>
      </c>
      <c r="P47" s="21">
        <f t="shared" si="3"/>
        <v>10000</v>
      </c>
      <c r="Q47" s="21">
        <f t="shared" si="4"/>
        <v>0</v>
      </c>
    </row>
    <row r="48" spans="1:17" x14ac:dyDescent="0.2">
      <c r="A48" s="6" t="s">
        <v>56</v>
      </c>
      <c r="B48" s="23">
        <v>2500</v>
      </c>
      <c r="C48" s="23">
        <f>+C15*0.02</f>
        <v>31720.656000000003</v>
      </c>
      <c r="D48" s="23">
        <f>+$C$48*D9</f>
        <v>2339.893720404521</v>
      </c>
      <c r="E48" s="23">
        <f t="shared" ref="E48:O48" si="27">+$C$48*E9</f>
        <v>2339.893720404521</v>
      </c>
      <c r="F48" s="23">
        <f t="shared" si="27"/>
        <v>2339.893720404521</v>
      </c>
      <c r="G48" s="23">
        <f t="shared" si="27"/>
        <v>2434.2442736466392</v>
      </c>
      <c r="H48" s="23">
        <f t="shared" si="27"/>
        <v>2528.5948268887569</v>
      </c>
      <c r="I48" s="23">
        <f t="shared" si="27"/>
        <v>2528.5948268887569</v>
      </c>
      <c r="J48" s="23">
        <f t="shared" si="27"/>
        <v>2868.2568185603809</v>
      </c>
      <c r="K48" s="23">
        <f t="shared" si="27"/>
        <v>2868.2568185603809</v>
      </c>
      <c r="L48" s="23">
        <f t="shared" si="27"/>
        <v>2868.2568185603809</v>
      </c>
      <c r="M48" s="23">
        <f t="shared" si="27"/>
        <v>2868.2568185603809</v>
      </c>
      <c r="N48" s="23">
        <f t="shared" si="27"/>
        <v>2868.2568185603809</v>
      </c>
      <c r="O48" s="23">
        <f t="shared" si="27"/>
        <v>2868.2568185603809</v>
      </c>
      <c r="P48" s="21">
        <f t="shared" si="3"/>
        <v>31720.656000000003</v>
      </c>
      <c r="Q48" s="21">
        <f t="shared" si="4"/>
        <v>0</v>
      </c>
    </row>
    <row r="49" spans="1:17" x14ac:dyDescent="0.2">
      <c r="A49" s="6" t="s">
        <v>57</v>
      </c>
      <c r="B49" s="23">
        <v>7500</v>
      </c>
      <c r="C49" s="23">
        <v>7500</v>
      </c>
      <c r="D49" s="23">
        <f>+$C$49/12</f>
        <v>625</v>
      </c>
      <c r="E49" s="23">
        <f t="shared" ref="E49:O49" si="28">+$C$49/12</f>
        <v>625</v>
      </c>
      <c r="F49" s="23">
        <f t="shared" si="28"/>
        <v>625</v>
      </c>
      <c r="G49" s="23">
        <f t="shared" si="28"/>
        <v>625</v>
      </c>
      <c r="H49" s="23">
        <f t="shared" si="28"/>
        <v>625</v>
      </c>
      <c r="I49" s="23">
        <f t="shared" si="28"/>
        <v>625</v>
      </c>
      <c r="J49" s="23">
        <f t="shared" si="28"/>
        <v>625</v>
      </c>
      <c r="K49" s="23">
        <f t="shared" si="28"/>
        <v>625</v>
      </c>
      <c r="L49" s="23">
        <f t="shared" si="28"/>
        <v>625</v>
      </c>
      <c r="M49" s="23">
        <f t="shared" si="28"/>
        <v>625</v>
      </c>
      <c r="N49" s="23">
        <f t="shared" si="28"/>
        <v>625</v>
      </c>
      <c r="O49" s="23">
        <f t="shared" si="28"/>
        <v>625</v>
      </c>
      <c r="P49" s="21">
        <f t="shared" si="3"/>
        <v>7500</v>
      </c>
      <c r="Q49" s="21">
        <f t="shared" si="4"/>
        <v>0</v>
      </c>
    </row>
    <row r="50" spans="1:17" x14ac:dyDescent="0.2">
      <c r="A50" s="6" t="s">
        <v>58</v>
      </c>
      <c r="B50" s="23">
        <v>19032</v>
      </c>
      <c r="C50" s="23">
        <v>19032</v>
      </c>
      <c r="D50" s="23">
        <f>+$C$50/12</f>
        <v>1586</v>
      </c>
      <c r="E50" s="23">
        <f t="shared" ref="E50:O50" si="29">+$C$50/12</f>
        <v>1586</v>
      </c>
      <c r="F50" s="23">
        <f t="shared" si="29"/>
        <v>1586</v>
      </c>
      <c r="G50" s="23">
        <f t="shared" si="29"/>
        <v>1586</v>
      </c>
      <c r="H50" s="23">
        <f t="shared" si="29"/>
        <v>1586</v>
      </c>
      <c r="I50" s="23">
        <f t="shared" si="29"/>
        <v>1586</v>
      </c>
      <c r="J50" s="23">
        <f t="shared" si="29"/>
        <v>1586</v>
      </c>
      <c r="K50" s="23">
        <f t="shared" si="29"/>
        <v>1586</v>
      </c>
      <c r="L50" s="23">
        <f t="shared" si="29"/>
        <v>1586</v>
      </c>
      <c r="M50" s="23">
        <f t="shared" si="29"/>
        <v>1586</v>
      </c>
      <c r="N50" s="23">
        <f t="shared" si="29"/>
        <v>1586</v>
      </c>
      <c r="O50" s="23">
        <f t="shared" si="29"/>
        <v>1586</v>
      </c>
      <c r="P50" s="21">
        <f t="shared" si="3"/>
        <v>19032</v>
      </c>
      <c r="Q50" s="21">
        <f t="shared" si="4"/>
        <v>0</v>
      </c>
    </row>
    <row r="51" spans="1:17" x14ac:dyDescent="0.2">
      <c r="A51" s="6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1"/>
      <c r="Q51" s="21"/>
    </row>
    <row r="52" spans="1:17" hidden="1" x14ac:dyDescent="0.2">
      <c r="A52" s="24" t="s">
        <v>59</v>
      </c>
      <c r="B52" s="21">
        <f>SUM(B37:B50)</f>
        <v>404647</v>
      </c>
      <c r="C52" s="21">
        <f>SUM(C37:C50)</f>
        <v>584842.25050171814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>
        <f t="shared" si="3"/>
        <v>0</v>
      </c>
      <c r="Q52" s="21">
        <f t="shared" si="4"/>
        <v>584842.25050171814</v>
      </c>
    </row>
    <row r="53" spans="1:17" hidden="1" x14ac:dyDescent="0.2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>
        <f t="shared" si="3"/>
        <v>0</v>
      </c>
      <c r="Q53" s="21">
        <f t="shared" si="4"/>
        <v>0</v>
      </c>
    </row>
    <row r="54" spans="1:17" x14ac:dyDescent="0.2">
      <c r="A54" s="24" t="s">
        <v>60</v>
      </c>
      <c r="B54" s="21">
        <f>SUM(B35:B51)</f>
        <v>1383977</v>
      </c>
      <c r="C54" s="21">
        <f>SUM(C35:C51)</f>
        <v>2008326.8062261182</v>
      </c>
      <c r="D54" s="21">
        <f t="shared" ref="D54:O54" si="30">SUM(D35:D51)</f>
        <v>155917.50930791555</v>
      </c>
      <c r="E54" s="21">
        <f t="shared" si="30"/>
        <v>153417.50930791555</v>
      </c>
      <c r="F54" s="21">
        <f t="shared" si="30"/>
        <v>155292.50930791555</v>
      </c>
      <c r="G54" s="21">
        <f t="shared" si="30"/>
        <v>156794.72004706404</v>
      </c>
      <c r="H54" s="21">
        <f t="shared" si="30"/>
        <v>155171.9307862125</v>
      </c>
      <c r="I54" s="21">
        <f t="shared" si="30"/>
        <v>157046.9307862125</v>
      </c>
      <c r="J54" s="21">
        <f t="shared" si="30"/>
        <v>180155.94944714702</v>
      </c>
      <c r="K54" s="21">
        <f t="shared" si="30"/>
        <v>177655.94944714702</v>
      </c>
      <c r="L54" s="21">
        <f t="shared" si="30"/>
        <v>179530.94944714702</v>
      </c>
      <c r="M54" s="21">
        <f t="shared" si="30"/>
        <v>180155.94944714702</v>
      </c>
      <c r="N54" s="21">
        <f t="shared" si="30"/>
        <v>177655.94944714702</v>
      </c>
      <c r="O54" s="21">
        <f t="shared" si="30"/>
        <v>179530.94944714702</v>
      </c>
      <c r="P54" s="21">
        <f t="shared" si="3"/>
        <v>2008326.806226118</v>
      </c>
      <c r="Q54" s="21">
        <f t="shared" si="4"/>
        <v>0</v>
      </c>
    </row>
    <row r="55" spans="1:17" x14ac:dyDescent="0.2">
      <c r="A55" s="2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>
        <f t="shared" si="3"/>
        <v>0</v>
      </c>
      <c r="Q55" s="21">
        <f t="shared" si="4"/>
        <v>0</v>
      </c>
    </row>
    <row r="56" spans="1:17" x14ac:dyDescent="0.2">
      <c r="A56" s="24" t="s">
        <v>61</v>
      </c>
      <c r="B56" s="21">
        <f>B28-B54</f>
        <v>27565</v>
      </c>
      <c r="C56" s="21">
        <f>C28-C54</f>
        <v>69844.632949139457</v>
      </c>
      <c r="D56" s="21">
        <f t="shared" ref="D56:O56" si="31">D28-D54</f>
        <v>48417.260967039852</v>
      </c>
      <c r="E56" s="21">
        <f t="shared" si="31"/>
        <v>517.26463758596219</v>
      </c>
      <c r="F56" s="21">
        <f t="shared" si="31"/>
        <v>1454.7646375859622</v>
      </c>
      <c r="G56" s="21">
        <f t="shared" si="31"/>
        <v>2979.8715559972334</v>
      </c>
      <c r="H56" s="21">
        <f t="shared" si="31"/>
        <v>10442.478474408475</v>
      </c>
      <c r="I56" s="21">
        <f t="shared" si="31"/>
        <v>11379.978474408475</v>
      </c>
      <c r="J56" s="21">
        <f t="shared" si="31"/>
        <v>5679.668421927985</v>
      </c>
      <c r="K56" s="21">
        <f t="shared" si="31"/>
        <v>8179.668421927985</v>
      </c>
      <c r="L56" s="21">
        <f t="shared" si="31"/>
        <v>9117.168421927985</v>
      </c>
      <c r="M56" s="21">
        <f t="shared" si="31"/>
        <v>5679.668421927985</v>
      </c>
      <c r="N56" s="21">
        <f t="shared" si="31"/>
        <v>8179.668421927985</v>
      </c>
      <c r="O56" s="21">
        <f t="shared" si="31"/>
        <v>4617.168421927985</v>
      </c>
      <c r="P56" s="21">
        <f>SUM(D56:O56)+0.00367054549860768</f>
        <v>116644.63294913937</v>
      </c>
      <c r="Q56" s="27">
        <f t="shared" si="4"/>
        <v>-46799.999999999913</v>
      </c>
    </row>
    <row r="57" spans="1:17" hidden="1" x14ac:dyDescent="0.2">
      <c r="A57" s="24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1">
        <f t="shared" si="3"/>
        <v>0</v>
      </c>
      <c r="Q57" s="21">
        <f t="shared" si="4"/>
        <v>0</v>
      </c>
    </row>
    <row r="58" spans="1:17" hidden="1" x14ac:dyDescent="0.2">
      <c r="A58" s="29" t="s">
        <v>62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1">
        <f t="shared" si="3"/>
        <v>0</v>
      </c>
      <c r="Q58" s="21">
        <f t="shared" si="4"/>
        <v>0</v>
      </c>
    </row>
    <row r="59" spans="1:17" hidden="1" x14ac:dyDescent="0.2">
      <c r="A59" s="6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1">
        <f t="shared" si="3"/>
        <v>0</v>
      </c>
      <c r="Q59" s="21">
        <f t="shared" si="4"/>
        <v>0</v>
      </c>
    </row>
    <row r="60" spans="1:17" hidden="1" x14ac:dyDescent="0.2">
      <c r="A60" s="29" t="s">
        <v>63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1">
        <f t="shared" si="3"/>
        <v>0</v>
      </c>
      <c r="Q60" s="21">
        <f t="shared" si="4"/>
        <v>0</v>
      </c>
    </row>
    <row r="61" spans="1:17" x14ac:dyDescent="0.2">
      <c r="A61" s="29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1">
        <f t="shared" si="3"/>
        <v>0</v>
      </c>
      <c r="Q61" s="21">
        <f t="shared" si="4"/>
        <v>0</v>
      </c>
    </row>
    <row r="63" spans="1:17" x14ac:dyDescent="0.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2.75" customHeight="1" x14ac:dyDescent="0.2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2:17" ht="12.75" customHeight="1" x14ac:dyDescent="0.2"/>
    <row r="67" spans="2:17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Garnett</dc:creator>
  <cp:lastModifiedBy>Alyssa Garnett</cp:lastModifiedBy>
  <dcterms:created xsi:type="dcterms:W3CDTF">2020-08-03T17:18:37Z</dcterms:created>
  <dcterms:modified xsi:type="dcterms:W3CDTF">2020-08-03T17:18:52Z</dcterms:modified>
</cp:coreProperties>
</file>